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" sheetId="1" r:id="rId3"/>
    <sheet state="visible" name="sbnc_budget" sheetId="2" r:id="rId4"/>
    <sheet state="visible" name="pnl_budget" sheetId="3" r:id="rId5"/>
    <sheet state="visible" name="availability" sheetId="4" r:id="rId6"/>
    <sheet state="visible" name="PNL임대료" sheetId="5" r:id="rId7"/>
    <sheet state="visible" name="종현참조" sheetId="6" r:id="rId8"/>
    <sheet state="visible" name="PNL임차인" sheetId="7" r:id="rId9"/>
    <sheet state="visible" name="임차인요약" sheetId="8" r:id="rId10"/>
    <sheet state="visible" name="세무확인리스트" sheetId="9" r:id="rId11"/>
    <sheet state="visible" name="삼화빌딩건물보수비용정리" sheetId="10" r:id="rId12"/>
    <sheet state="visible" name="RE rental" sheetId="11" r:id="rId13"/>
    <sheet state="visible" name="종현EB5" sheetId="12" r:id="rId14"/>
    <sheet state="visible" name="미향기록" sheetId="13" r:id="rId15"/>
    <sheet state="visible" name="must" sheetId="14" r:id="rId16"/>
    <sheet state="visible" name="씨티301래미안중도금20140317" sheetId="15" r:id="rId17"/>
    <sheet state="visible" name="calculations" sheetId="16" r:id="rId18"/>
    <sheet state="visible" name="GiftDetail" sheetId="17" r:id="rId19"/>
    <sheet state="visible" name="시트12" sheetId="18" r:id="rId20"/>
  </sheets>
  <definedNames/>
  <calcPr/>
</workbook>
</file>

<file path=xl/sharedStrings.xml><?xml version="1.0" encoding="utf-8"?>
<sst xmlns="http://schemas.openxmlformats.org/spreadsheetml/2006/main" count="17322" uniqueCount="6500">
  <si>
    <t>1일</t>
  </si>
  <si>
    <t>2일</t>
  </si>
  <si>
    <t>수당지급</t>
  </si>
  <si>
    <t>3일</t>
  </si>
  <si>
    <t>급여산정자료발송(회계사무실)</t>
  </si>
  <si>
    <t>4일</t>
  </si>
  <si>
    <t>5일</t>
  </si>
  <si>
    <t>6일</t>
  </si>
  <si>
    <t>7일</t>
  </si>
  <si>
    <t>/KTtelecop</t>
  </si>
  <si>
    <t>8일</t>
  </si>
  <si>
    <t>9일</t>
  </si>
  <si>
    <t>갑근세.지방소득세.지로.이체</t>
  </si>
  <si>
    <t>10일</t>
  </si>
  <si>
    <t xml:space="preserve">통합사회보험(우리카드.자동결제) </t>
  </si>
  <si>
    <t>11일</t>
  </si>
  <si>
    <t>요양원청구.시작</t>
  </si>
  <si>
    <t>12일</t>
  </si>
  <si>
    <t>계량기.검침사진</t>
  </si>
  <si>
    <t>13일</t>
  </si>
  <si>
    <t>상반기.수당정리</t>
  </si>
  <si>
    <t>14일</t>
  </si>
  <si>
    <t>신경과.급여이체예약</t>
  </si>
  <si>
    <t>15일</t>
  </si>
  <si>
    <t>16일</t>
  </si>
  <si>
    <t>17일</t>
  </si>
  <si>
    <t>18일</t>
  </si>
  <si>
    <t>19일</t>
  </si>
  <si>
    <t>20일</t>
  </si>
  <si>
    <t>###재활용수거3만원이체.하나284-810300-58907금용삼</t>
  </si>
  <si>
    <t>2020.9.4만원인상</t>
  </si>
  <si>
    <t>21일</t>
  </si>
  <si>
    <t>22일</t>
  </si>
  <si>
    <t>전기수도요금/주차요금/</t>
  </si>
  <si>
    <t>23일</t>
  </si>
  <si>
    <t>24일</t>
  </si>
  <si>
    <t>임대료정리.계산서발급</t>
  </si>
  <si>
    <t>25일</t>
  </si>
  <si>
    <t>26일</t>
  </si>
  <si>
    <t>27일</t>
  </si>
  <si>
    <t>피엔엘월말이체예약/ PNL이자정산일</t>
  </si>
  <si>
    <t>28일</t>
  </si>
  <si>
    <t>하반기.수당정리</t>
  </si>
  <si>
    <t>29일</t>
  </si>
  <si>
    <t>30일</t>
  </si>
  <si>
    <t>SBNC Budget</t>
  </si>
  <si>
    <t>씨티은행 193-01381-265-01 (1588-7000/3704-7700)</t>
  </si>
  <si>
    <t>211-90-68256</t>
  </si>
  <si>
    <t>137-90-08872 (P ENT)</t>
  </si>
  <si>
    <t>24418003134.박미향하나.28689001120608</t>
  </si>
  <si>
    <t>신한 110-206-395815</t>
  </si>
  <si>
    <t>국민 646802-01-043648 / 646801-01-002286</t>
  </si>
  <si>
    <t>seoulbrain1/nameno*.4대보험연계센터</t>
  </si>
  <si>
    <t>씨티.저축예금.자산관리통장 883-24827-267-01. 씨티.건물대출계좌. 170098935720001.피엔엘.  (원리금상환내역신청번호.97.) 직원연결...(계좌번호6자리?)</t>
  </si>
  <si>
    <t>수입</t>
  </si>
  <si>
    <t>지출</t>
  </si>
  <si>
    <t>카이사르는 훗날 역사 속에서 회자되는 명연설을 많이 남겼다. 그러나 사람들에게 회자되지 않는 연설 중에 이런 게 있다. "병사와 돈, 두 가지는 권력을 창출하고 보존하며 확장한다. 그리고 병사는 돈만 있으면 살 수 있다." 이미 오래전부터 돈은 권력과 동의어였다. 근대에 들어서도 마찬가지였다.</t>
  </si>
  <si>
    <t>이일근(서울브레인신경과의원) 097601-04-185597                                        대출계좌 346516-04-216331 / ..360 / ..373//-233998             코로나대출3억(상환2022계좌번호.346516-04-238191)</t>
  </si>
  <si>
    <t>NH기업자유예금 317-0012-1613-21   / 개인예금(비대면) 302-1669-9540-01</t>
  </si>
  <si>
    <t>giroseoulbrainsbncnumber86#</t>
  </si>
  <si>
    <t>2007.11.12.</t>
  </si>
  <si>
    <t>전세계약금</t>
  </si>
  <si>
    <t>오성프라임 KB국민 547801-04-195491</t>
  </si>
  <si>
    <t>KB 1588-9999...521(3).입출금(대출금)팩스신청 923상환</t>
  </si>
  <si>
    <t>post.name.nanona#</t>
  </si>
  <si>
    <t>소득세</t>
  </si>
  <si>
    <t>소개비</t>
  </si>
  <si>
    <t>영수증 받을 것</t>
  </si>
  <si>
    <t>미향KEB하나 244-18-00313-4 (137-90-08872)</t>
  </si>
  <si>
    <t>주민세</t>
  </si>
  <si>
    <t>2007.11.29.</t>
  </si>
  <si>
    <t>Citi Loan 300M</t>
  </si>
  <si>
    <t>국민.MMT.  097649-74-022967</t>
  </si>
  <si>
    <t>전세중도금</t>
  </si>
  <si>
    <t>ReitCom 314-86-66680. 국민 097601-04-273825.38</t>
  </si>
  <si>
    <t>명함</t>
  </si>
  <si>
    <t>오성 356-88-01399. 국민 547801-04-195491</t>
  </si>
  <si>
    <t>2008.6.2.</t>
  </si>
  <si>
    <t>2007.12.11.</t>
  </si>
  <si>
    <t>김선영 교육지원</t>
  </si>
  <si>
    <t>2007.12.13.</t>
  </si>
  <si>
    <t>심부장님</t>
  </si>
  <si>
    <t>IBK기업은행 011-508970-04-016 (9/23.1923) 1588-2588</t>
  </si>
  <si>
    <t>2007.12.18.</t>
  </si>
  <si>
    <t xml:space="preserve">IBK대출SBNC 011-508970-32-00032 (1566-2566.402) </t>
  </si>
  <si>
    <t>계림(TCD,Carotid) 계약금</t>
  </si>
  <si>
    <t>2007.12.26.</t>
  </si>
  <si>
    <t>정주영 교육지원</t>
  </si>
  <si>
    <t>mijicom KB 097601-04-302925  (790-88-02735)</t>
  </si>
  <si>
    <t>2007.12.28.</t>
  </si>
  <si>
    <t>전세잔금</t>
  </si>
  <si>
    <t>2007.12.31.</t>
  </si>
  <si>
    <t>씨티대출이자</t>
  </si>
  <si>
    <t>하나은행대출 392-980103-31842 1588-1111.77</t>
  </si>
  <si>
    <t>2008.1.3.</t>
  </si>
  <si>
    <t>광원(수면뇌파/신경근전도) 계약금</t>
  </si>
  <si>
    <t>기업 21103003504019 이상원</t>
  </si>
  <si>
    <t>하나은행저축 392-910345-22307</t>
  </si>
  <si>
    <t>2008.1.5.</t>
  </si>
  <si>
    <t>이승우 급여 + 20</t>
  </si>
  <si>
    <t>2008.1.14.</t>
  </si>
  <si>
    <t>2008.1.15.</t>
  </si>
  <si>
    <t>2008.1.17.</t>
  </si>
  <si>
    <t>유니온공조 계약금</t>
  </si>
  <si>
    <t>계산서확인필요</t>
  </si>
  <si>
    <t>비엠 착수금</t>
  </si>
  <si>
    <t>신한 140006770839 비엠아이엔에이</t>
  </si>
  <si>
    <t>검사실 복사제본</t>
  </si>
  <si>
    <t>2008.1.29.</t>
  </si>
  <si>
    <t>2008.1.30.</t>
  </si>
  <si>
    <t>비엠중도금</t>
  </si>
  <si>
    <t>ING 대출</t>
  </si>
  <si>
    <t>100000000 상환 (2008.4월초)</t>
  </si>
  <si>
    <t>2008.2.1.</t>
  </si>
  <si>
    <t>비엠 추가 계약금</t>
  </si>
  <si>
    <t>미르텍(AV) 계약금</t>
  </si>
  <si>
    <t>김용배건축사 계약금</t>
  </si>
  <si>
    <t>농협중앙 121402008481 김용배</t>
  </si>
  <si>
    <t>2008.2.4.</t>
  </si>
  <si>
    <t>이승우 급여</t>
  </si>
  <si>
    <t>2008.2.5.</t>
  </si>
  <si>
    <t>래시스 홈피 계약금</t>
  </si>
  <si>
    <t>2008.2.11.</t>
  </si>
  <si>
    <t>한미퍼니처 계약금</t>
  </si>
  <si>
    <t>2008.2.14</t>
  </si>
  <si>
    <t>장애인시설 공사비</t>
  </si>
  <si>
    <t>신한 62112244188 허만재</t>
  </si>
  <si>
    <t>간판 계약금</t>
  </si>
  <si>
    <t>국민 759210140051 박돈호</t>
  </si>
  <si>
    <t>700만원+부가세70만원</t>
  </si>
  <si>
    <t>2008.2.15.</t>
  </si>
  <si>
    <t>보루네오 의자(2)</t>
  </si>
  <si>
    <t>한샘침대(5)</t>
  </si>
  <si>
    <t>2008.2.18.</t>
  </si>
  <si>
    <t>잡비</t>
  </si>
  <si>
    <t>2008.2.19.</t>
  </si>
  <si>
    <t>한미퍼니처 잔금</t>
  </si>
  <si>
    <t>중소기업 29003474901011 한미퍼니처</t>
  </si>
  <si>
    <t>계림 중도금</t>
  </si>
  <si>
    <t>우리 1005601186410 최승용</t>
  </si>
  <si>
    <t>지하철 판넬광고 계약금</t>
  </si>
  <si>
    <t>우체국 01189001006712 탑애드</t>
  </si>
  <si>
    <t>청소기</t>
  </si>
  <si>
    <t>유니온공조 잔금</t>
  </si>
  <si>
    <t>기업 00706885801010 박기남</t>
  </si>
  <si>
    <t>977)5181</t>
  </si>
  <si>
    <t>삼성전자 리빙프라자</t>
  </si>
  <si>
    <t>시티카드</t>
  </si>
  <si>
    <t>2008.2.21.</t>
  </si>
  <si>
    <t>병원명함</t>
  </si>
  <si>
    <t>국민 084210621651 이재권 잘해드림</t>
  </si>
  <si>
    <t>2008.2.22.</t>
  </si>
  <si>
    <t>세덱 가구</t>
  </si>
  <si>
    <t>국민 284010029229 주식회사 쎄덱</t>
  </si>
  <si>
    <t>4302400 또는 5226400</t>
  </si>
  <si>
    <t xml:space="preserve">display </t>
  </si>
  <si>
    <t>신한 63512127306 류진이</t>
  </si>
  <si>
    <t>인사장 잘해드림</t>
  </si>
  <si>
    <t>광원(수면뇌파/신경근전도) 중도금</t>
  </si>
  <si>
    <t>윤혜연 2월 식비</t>
  </si>
  <si>
    <t>2008.2.26</t>
  </si>
  <si>
    <t>간판 중도금</t>
  </si>
  <si>
    <t>770중 650 지급</t>
  </si>
  <si>
    <t>민경/김선/정주 식비</t>
  </si>
  <si>
    <t>건축사 잔금</t>
  </si>
  <si>
    <t>농협 121402008481 김용배</t>
  </si>
  <si>
    <t>장애인 잔금</t>
  </si>
  <si>
    <t>2008.2.27.</t>
  </si>
  <si>
    <t>주혜 식비</t>
  </si>
  <si>
    <t>미르텍(AV) 잔금</t>
  </si>
  <si>
    <t>신한 110227328525</t>
  </si>
  <si>
    <t>114 광고 계약금</t>
  </si>
  <si>
    <t>국민 53170201020819 김용우</t>
  </si>
  <si>
    <t>2008.2.29.</t>
  </si>
  <si>
    <t>카드단말기</t>
  </si>
  <si>
    <t>외환 10118302716 노수홍</t>
  </si>
  <si>
    <t>유니폼(정현영)</t>
  </si>
  <si>
    <t>국민 218210628713 정현영</t>
  </si>
  <si>
    <t>2008.3.3.</t>
  </si>
  <si>
    <t>현금운영비</t>
  </si>
  <si>
    <t>(진료개시)</t>
  </si>
  <si>
    <t>신분증제작</t>
  </si>
  <si>
    <t>이젤2개</t>
  </si>
  <si>
    <t>다음쇼핑</t>
  </si>
  <si>
    <t>굿모닝 의자</t>
  </si>
  <si>
    <t>의사랑차트</t>
  </si>
  <si>
    <t>비엠잔금</t>
  </si>
  <si>
    <t>소화기 3개</t>
  </si>
  <si>
    <t>방송사진</t>
  </si>
  <si>
    <t>액자</t>
  </si>
  <si>
    <t>2008.3.4.</t>
  </si>
  <si>
    <t>간판 잔금</t>
  </si>
  <si>
    <t>3월 주차비</t>
  </si>
  <si>
    <t>의사랑공유기</t>
  </si>
  <si>
    <t>청소도구</t>
  </si>
  <si>
    <t>2008.3.5.</t>
  </si>
  <si>
    <t>정주영 웍샵비</t>
  </si>
  <si>
    <t>명함6000매</t>
  </si>
  <si>
    <t>호출벨</t>
  </si>
  <si>
    <t>국민 01540104183805 링크맨 정영미</t>
  </si>
  <si>
    <t>린넨</t>
  </si>
  <si>
    <t>외환 10522019882 이명직</t>
  </si>
  <si>
    <t>2008.3.6.</t>
  </si>
  <si>
    <t>케이터링예약금(230x30%)</t>
  </si>
  <si>
    <t>신한 635-12-127306 류진이</t>
  </si>
  <si>
    <t>래시스 홈피 잔금</t>
  </si>
  <si>
    <t>기업은행 06604756402016 유석철</t>
  </si>
  <si>
    <t>2008.3.10.</t>
  </si>
  <si>
    <t>조선광고심의료(의협)</t>
  </si>
  <si>
    <t>하나 22892124825037 대한의사협회(가상)</t>
  </si>
  <si>
    <t>고데기</t>
  </si>
  <si>
    <t>G market</t>
  </si>
  <si>
    <t>클릭초이스</t>
  </si>
  <si>
    <t>관리비 1월</t>
  </si>
  <si>
    <t>국민 097210421716 장기철</t>
  </si>
  <si>
    <t>임대관리비 2월</t>
  </si>
  <si>
    <t>국민 097210421732 장기철</t>
  </si>
  <si>
    <t>케이터링잔금(230x70%)</t>
  </si>
  <si>
    <t xml:space="preserve">박해정 50% </t>
  </si>
  <si>
    <t>2008.3.12.</t>
  </si>
  <si>
    <t>추가 가구 한미퍼니처</t>
  </si>
  <si>
    <t>잘해드림 봉투, 명함 추가</t>
  </si>
  <si>
    <t>지금까지 세금 133000 포함</t>
  </si>
  <si>
    <t>2008.3.13.</t>
  </si>
  <si>
    <t>네이버 키워드광고</t>
  </si>
  <si>
    <t>deposit</t>
  </si>
  <si>
    <t>다음 광고</t>
  </si>
  <si>
    <t xml:space="preserve">6개월 </t>
  </si>
  <si>
    <t xml:space="preserve">두통 어지럼증 손발저림 불면증 수면장애 신경과 편두통 </t>
  </si>
  <si>
    <t>2008.3.15.</t>
  </si>
  <si>
    <t>야후 광고</t>
  </si>
  <si>
    <t>3개월</t>
  </si>
  <si>
    <t>2008.3.17.</t>
  </si>
  <si>
    <t>비엠 잔금</t>
  </si>
  <si>
    <t>가계정보114 잔금</t>
  </si>
  <si>
    <t>VAT 10 포함 (계산서 확인)</t>
  </si>
  <si>
    <t>굿유니폼</t>
  </si>
  <si>
    <t>국민 60350104041386</t>
  </si>
  <si>
    <t>운영현금</t>
  </si>
  <si>
    <t>2008.3.18.</t>
  </si>
  <si>
    <t>컵수거기</t>
  </si>
  <si>
    <t>2008.3.20.</t>
  </si>
  <si>
    <t>약정리장</t>
  </si>
  <si>
    <t>계림잔금</t>
  </si>
  <si>
    <t>2008.3.25.</t>
  </si>
  <si>
    <t>민경미</t>
  </si>
  <si>
    <t>정주영</t>
  </si>
  <si>
    <t>김선영</t>
  </si>
  <si>
    <t>탑애드 지하철광고 잔금</t>
  </si>
  <si>
    <t>부가세포함</t>
  </si>
  <si>
    <t>2008.3.27.</t>
  </si>
  <si>
    <t>주혜진</t>
  </si>
  <si>
    <t>실내/케이터링 잔금</t>
  </si>
  <si>
    <t>2008.3.29.</t>
  </si>
  <si>
    <t>볼펜 400개</t>
  </si>
  <si>
    <t>신한 110234055367 이종문</t>
  </si>
  <si>
    <t>2008.4.1.</t>
  </si>
  <si>
    <t>진료안내 4000장</t>
  </si>
  <si>
    <t>82만*0.8=65만6천</t>
  </si>
  <si>
    <t>의료보험 추가(건국대)</t>
  </si>
  <si>
    <t>신한 140006772620 건국대총장</t>
  </si>
  <si>
    <t>2008.4.4.</t>
  </si>
  <si>
    <t>광원잔금</t>
  </si>
  <si>
    <t>finished</t>
  </si>
  <si>
    <t>2008.4.7.</t>
  </si>
  <si>
    <t>잘해드림 세액</t>
  </si>
  <si>
    <t>2008.4.8.</t>
  </si>
  <si>
    <t>주차비</t>
  </si>
  <si>
    <t>(600000+150000)</t>
  </si>
  <si>
    <t>월주차4월분 150000 포함</t>
  </si>
  <si>
    <t>기념품 우산 300개</t>
  </si>
  <si>
    <t>하나은행 15007739200104</t>
  </si>
  <si>
    <t>6600*300</t>
  </si>
  <si>
    <t>2008.4.10.</t>
  </si>
  <si>
    <t>의료보험료</t>
  </si>
  <si>
    <t>지로</t>
  </si>
  <si>
    <t>갑근세</t>
  </si>
  <si>
    <t>임대료관리비환경부담금</t>
  </si>
  <si>
    <t>2008.4.18.</t>
  </si>
  <si>
    <t>KT(2,3,4월)</t>
  </si>
  <si>
    <t>윤혜연</t>
  </si>
  <si>
    <t>2008.4.21.</t>
  </si>
  <si>
    <t>완납</t>
  </si>
  <si>
    <t>2008.4.23.</t>
  </si>
  <si>
    <t>랩지노믹스 검사대금</t>
  </si>
  <si>
    <t>국민 290210258138</t>
  </si>
  <si>
    <t>2008.4.24.</t>
  </si>
  <si>
    <t>국민연금(연체)</t>
  </si>
  <si>
    <t>2008.4.25.</t>
  </si>
  <si>
    <t>2008.4.26.</t>
  </si>
  <si>
    <t>2008.5.1.</t>
  </si>
  <si>
    <t>조선AD</t>
  </si>
  <si>
    <t>?</t>
  </si>
  <si>
    <t>1/3 VAT included</t>
  </si>
  <si>
    <t>한미메디케어</t>
  </si>
  <si>
    <t>하나 56291000228304 한미</t>
  </si>
  <si>
    <t>9090350 중 3000000</t>
  </si>
  <si>
    <t>24090350(-15000000)</t>
  </si>
  <si>
    <t>비엠 마지막 정산</t>
  </si>
  <si>
    <t>영우</t>
  </si>
  <si>
    <t>신한 37605002014 영우</t>
  </si>
  <si>
    <t>2008.5.2.</t>
  </si>
  <si>
    <t>하복 대금</t>
  </si>
  <si>
    <t>국민 60350104041386 김휘종 굿유니폼</t>
  </si>
  <si>
    <t>2008.5.3.</t>
  </si>
  <si>
    <t xml:space="preserve">referring clinic flowers </t>
  </si>
  <si>
    <t>이화/지디스/소리/미래/서울이비/윤이비/홍내과</t>
  </si>
  <si>
    <t>50000*7</t>
  </si>
  <si>
    <t>2008.5.6.</t>
  </si>
  <si>
    <t>고용보험</t>
  </si>
  <si>
    <t>산재보험</t>
  </si>
  <si>
    <t>2008.5.7.</t>
  </si>
  <si>
    <t>고구려 세무법인</t>
  </si>
  <si>
    <t>국민 53040101135067 세무법인고구려</t>
  </si>
  <si>
    <t>2008.5.8.</t>
  </si>
  <si>
    <t>연금보험료</t>
  </si>
  <si>
    <t>2008.5.13.</t>
  </si>
  <si>
    <t>임대관리비 4월</t>
  </si>
  <si>
    <t>(450000+150000)</t>
  </si>
  <si>
    <t>월주차5월분 150000 포함</t>
  </si>
  <si>
    <t>2008.5.14.</t>
  </si>
  <si>
    <t>문구류</t>
  </si>
  <si>
    <t>모든오피스</t>
  </si>
  <si>
    <t>시사뉴스피플</t>
  </si>
  <si>
    <t xml:space="preserve">국민 00993704008722 </t>
  </si>
  <si>
    <t>2008.5.20.</t>
  </si>
  <si>
    <t>두통학회등록</t>
  </si>
  <si>
    <t>2008.5.23.</t>
  </si>
  <si>
    <t>신동아6월호 구입</t>
  </si>
  <si>
    <t>2008.5.24.</t>
  </si>
  <si>
    <t>2008.5.27.</t>
  </si>
  <si>
    <t>광원 에어플로우 센서</t>
  </si>
  <si>
    <t>KT(5월)</t>
  </si>
  <si>
    <t>2008.5.28.</t>
  </si>
  <si>
    <t>이정은 제복</t>
  </si>
  <si>
    <t>굿유니폼 국민 603501 04 041386</t>
  </si>
  <si>
    <t>(Sum to May 08)</t>
  </si>
  <si>
    <t>올해납부/작년정산</t>
  </si>
  <si>
    <t>2008.6.3.</t>
  </si>
  <si>
    <t>신한 100020576154</t>
  </si>
  <si>
    <t>광원</t>
  </si>
  <si>
    <t>신동아 1년 구독</t>
  </si>
  <si>
    <t>2008.6.4.</t>
  </si>
  <si>
    <t>인터파크 치솔세트/면도크림</t>
  </si>
  <si>
    <t>2008.6.9.</t>
  </si>
  <si>
    <t>임대/관리비</t>
  </si>
  <si>
    <t>국민연금</t>
  </si>
  <si>
    <t>건강보험</t>
  </si>
  <si>
    <t>2008.6.10.</t>
  </si>
  <si>
    <t>(250000+150000)</t>
  </si>
  <si>
    <t>월주차6월분 150000 포함</t>
  </si>
  <si>
    <t>2008.6.11.</t>
  </si>
  <si>
    <t>수면학회 평생회비</t>
  </si>
  <si>
    <t>3,4,5월 내일신문광고(3/22~6/14)</t>
  </si>
  <si>
    <t xml:space="preserve"> 씨티카드 할부</t>
  </si>
  <si>
    <t>6,7,8월 내일신문광고(6/21~9/6)</t>
  </si>
  <si>
    <t>씨티카드 할부</t>
  </si>
  <si>
    <t>2008.6.18.</t>
  </si>
  <si>
    <t>2008.6.25.</t>
  </si>
  <si>
    <t>네이버 키워드(3,4,5,6월)</t>
  </si>
  <si>
    <t>추산, 월90만</t>
  </si>
  <si>
    <t>2008.6.26.</t>
  </si>
  <si>
    <t>이정은</t>
  </si>
  <si>
    <t>2008.6.28.</t>
  </si>
  <si>
    <t>홈피수정</t>
  </si>
  <si>
    <t>2008.7.1.</t>
  </si>
  <si>
    <t>청소급여</t>
  </si>
  <si>
    <t>2008.7.4.</t>
  </si>
  <si>
    <t>랩지노믹스 검사대금(5월)</t>
  </si>
  <si>
    <t>광원 전극</t>
  </si>
  <si>
    <t>한국MS</t>
  </si>
  <si>
    <t>신한 34905017626</t>
  </si>
  <si>
    <t>2008.7.8.</t>
  </si>
  <si>
    <t>흑백잉크 10개</t>
  </si>
  <si>
    <t>2008.7.9.</t>
  </si>
  <si>
    <t>건보료</t>
  </si>
  <si>
    <t>2008.7.11.</t>
  </si>
  <si>
    <t>하수구</t>
  </si>
  <si>
    <t>2008.7.18.</t>
  </si>
  <si>
    <t>2008.7.25.</t>
  </si>
  <si>
    <t>2008.7.26</t>
  </si>
  <si>
    <t>2008.7.27.</t>
  </si>
  <si>
    <t>2008.7.28.</t>
  </si>
  <si>
    <t>휴온스</t>
  </si>
  <si>
    <t>2008.7.30.</t>
  </si>
  <si>
    <t>광원 Neuprep</t>
  </si>
  <si>
    <t>2008.8.1.</t>
  </si>
  <si>
    <t>2008.8.4.</t>
  </si>
  <si>
    <t>KT Jun</t>
  </si>
  <si>
    <t>KT Jul</t>
  </si>
  <si>
    <t>2008.8.6.</t>
  </si>
  <si>
    <t>랩지노믹스 검사대금(6월)</t>
  </si>
  <si>
    <t>2008.8.9.</t>
  </si>
  <si>
    <t>가상계좌</t>
  </si>
  <si>
    <t>2008.8.11.</t>
  </si>
  <si>
    <t>2008.8.18.</t>
  </si>
  <si>
    <t>고용보험료</t>
  </si>
  <si>
    <t>산재보험료</t>
  </si>
  <si>
    <t>2008.8.23.</t>
  </si>
  <si>
    <t>주차비(6월분?)</t>
  </si>
  <si>
    <t>(+150000)</t>
  </si>
  <si>
    <t>월주차7월분 150000 포함</t>
  </si>
  <si>
    <t>주차비(7월분)</t>
  </si>
  <si>
    <t>(470000+150000)</t>
  </si>
  <si>
    <t>월주차8월분 150000 포함</t>
  </si>
  <si>
    <t>2008.8.25.</t>
  </si>
  <si>
    <t>2008.8.26.</t>
  </si>
  <si>
    <t>2008.8.27.</t>
  </si>
  <si>
    <t>잔액 3057000</t>
  </si>
  <si>
    <t>랩지노믹스 검사대금(7월)</t>
  </si>
  <si>
    <t>2008.8.28.</t>
  </si>
  <si>
    <t>잉크마트</t>
  </si>
  <si>
    <t>2008.9.1.</t>
  </si>
  <si>
    <t>내일신문(3개월광고, 9/13~  11/29)</t>
  </si>
  <si>
    <t>씨티비자 할부</t>
  </si>
  <si>
    <t>2008.9.2.</t>
  </si>
  <si>
    <t>기장료(7.8월)</t>
  </si>
  <si>
    <t>농협 110802165967 정범식</t>
  </si>
  <si>
    <t>2008.9.9.</t>
  </si>
  <si>
    <t>추석선물</t>
  </si>
  <si>
    <t>(추정)</t>
  </si>
  <si>
    <t>2008.9.10.</t>
  </si>
  <si>
    <t>건강보험 지로</t>
  </si>
  <si>
    <t>연금보험 지로</t>
  </si>
  <si>
    <t>매경 이코노미 대금</t>
  </si>
  <si>
    <t>2008.9.12.</t>
  </si>
  <si>
    <t>(500000+150000)</t>
  </si>
  <si>
    <t>월주차9월분 150000 포함</t>
  </si>
  <si>
    <t>2008.9.15.</t>
  </si>
  <si>
    <t>도메인 2년 연장 (seoulbrain.co.kr)</t>
  </si>
  <si>
    <t>2008.9.18.</t>
  </si>
  <si>
    <t>2008.9.25.</t>
  </si>
  <si>
    <t>2008.9.26</t>
  </si>
  <si>
    <t>2008.9.27.</t>
  </si>
  <si>
    <t>2008.9.22.</t>
  </si>
  <si>
    <t>KT (26453938)</t>
  </si>
  <si>
    <t>giro</t>
  </si>
  <si>
    <t>KT(5418286)</t>
  </si>
  <si>
    <t>재산세(광장동)</t>
  </si>
  <si>
    <t>재산세(목동)</t>
  </si>
  <si>
    <t>2008.10.1.</t>
  </si>
  <si>
    <t>병원청소</t>
  </si>
  <si>
    <t>2008.10.7.</t>
  </si>
  <si>
    <t>기장료(9월)</t>
  </si>
  <si>
    <t>이불(한일장식)</t>
  </si>
  <si>
    <t>외환 10522019882 이명직(한일장식상사)</t>
  </si>
  <si>
    <t>광원(8월,9월)</t>
  </si>
  <si>
    <t>랩지노믹스 검사대금(8월)</t>
  </si>
  <si>
    <t>국민 290210258138 양윤선</t>
  </si>
  <si>
    <t>2008.10.9.</t>
  </si>
  <si>
    <t>은행납부</t>
  </si>
  <si>
    <t>조선일보목동</t>
  </si>
  <si>
    <t>조선일보신사</t>
  </si>
  <si>
    <t>2008.10.13.</t>
  </si>
  <si>
    <t>2008.10.14.</t>
  </si>
  <si>
    <t>(170000+150000)</t>
  </si>
  <si>
    <t>월주차10월분 150000 포함</t>
  </si>
  <si>
    <t>2008.10.18.</t>
  </si>
  <si>
    <t>2008.10.25.</t>
  </si>
  <si>
    <t>2008.10.26</t>
  </si>
  <si>
    <t>2008.10.27.</t>
  </si>
  <si>
    <t>2008.10.20.</t>
  </si>
  <si>
    <t>2008.10.21.</t>
  </si>
  <si>
    <t>병원 잡화</t>
  </si>
  <si>
    <t>2008.10.31.</t>
  </si>
  <si>
    <t>잔액 1057000?</t>
  </si>
  <si>
    <t>기장료(10월)</t>
  </si>
  <si>
    <t>신한 140005642990 영우</t>
  </si>
  <si>
    <t>랩지노믹스 검사대금(9월)</t>
  </si>
  <si>
    <t>2008.11.2.</t>
  </si>
  <si>
    <t>간판 이동 비용</t>
  </si>
  <si>
    <t>정주영 임상신경 등록비</t>
  </si>
  <si>
    <t>2008.11.3.</t>
  </si>
  <si>
    <t>미화 급여</t>
  </si>
  <si>
    <t>국민 71660101049683 김옥순</t>
  </si>
  <si>
    <t>12월1일부터 이체</t>
  </si>
  <si>
    <t>2008.11.10.</t>
  </si>
  <si>
    <t>2008.11.11.</t>
  </si>
  <si>
    <t>네이버 키워드(7,8,9,10월)</t>
  </si>
  <si>
    <t>2008.11.12.</t>
  </si>
  <si>
    <t>전구</t>
  </si>
  <si>
    <t>월주차11월분 150000 포함</t>
  </si>
  <si>
    <t>2008.11.17.</t>
  </si>
  <si>
    <t>2008.11.18.</t>
  </si>
  <si>
    <t>2008.11.25.</t>
  </si>
  <si>
    <t>2008.11.26</t>
  </si>
  <si>
    <t>2008.11.27.</t>
  </si>
  <si>
    <t>2008.11.21.</t>
  </si>
  <si>
    <t>메이필드등록취득</t>
  </si>
  <si>
    <t>잘해드림 소봉투 2000</t>
  </si>
  <si>
    <t>기장료(11월)</t>
  </si>
  <si>
    <t>랩지노믹스 검사대금(10월)</t>
  </si>
  <si>
    <t>2008.12.1.</t>
  </si>
  <si>
    <t>병원미화</t>
  </si>
  <si>
    <t>국민 716601 01 049683 김옥순</t>
  </si>
  <si>
    <t>다음광고 두통 편두통 3개월</t>
  </si>
  <si>
    <t>씨티 원리금상환시작</t>
  </si>
  <si>
    <t>%6.65%</t>
  </si>
  <si>
    <t>지난 1년 대출이자</t>
  </si>
  <si>
    <t>%6.20%</t>
  </si>
  <si>
    <t>2008.12.2.</t>
  </si>
  <si>
    <t>SK chemical vaccine</t>
  </si>
  <si>
    <t>하나 10096151262137 sk 케미칼</t>
  </si>
  <si>
    <t>2008.12.5.</t>
  </si>
  <si>
    <t>M club</t>
  </si>
  <si>
    <t>입회비</t>
  </si>
  <si>
    <t>근소세/주민세</t>
  </si>
  <si>
    <t>2008.12.12.</t>
  </si>
  <si>
    <t>2008.12.16.</t>
  </si>
  <si>
    <t>(400000+150000)</t>
  </si>
  <si>
    <t>월주차12월분 150000 포함</t>
  </si>
  <si>
    <t>2008.12.18.</t>
  </si>
  <si>
    <t>2008.12.25.</t>
  </si>
  <si>
    <t>2008.12.26</t>
  </si>
  <si>
    <t>2008.12.27.</t>
  </si>
  <si>
    <t>2008.12.22.</t>
  </si>
  <si>
    <t>병원잡화 이마트몰</t>
  </si>
  <si>
    <t>2008.12.29.</t>
  </si>
  <si>
    <t>씨티상환</t>
  </si>
  <si>
    <t>2008.12.31.</t>
  </si>
  <si>
    <t>건강보험(11월분체납)</t>
  </si>
  <si>
    <t>기장료(12월)</t>
  </si>
  <si>
    <t>랩지노믹스 검사대금(11월)</t>
  </si>
  <si>
    <t>2009.1.2.</t>
  </si>
  <si>
    <t>2009.1.7.</t>
  </si>
  <si>
    <t>연금보험료 12월분</t>
  </si>
  <si>
    <t>건강보험료 12월분</t>
  </si>
  <si>
    <t>연금보험료 11월분 체납분</t>
  </si>
  <si>
    <t>2009.1.13.</t>
  </si>
  <si>
    <t>2009.1.14.</t>
  </si>
  <si>
    <t>윤혜연 조모상</t>
  </si>
  <si>
    <t>WCSA2009 registration</t>
  </si>
  <si>
    <t>2009.1.16.</t>
  </si>
  <si>
    <t>래시스 홈피 annual fee</t>
  </si>
  <si>
    <t>(300000+150000)</t>
  </si>
  <si>
    <t>월주차1월분 150000 포함</t>
  </si>
  <si>
    <t>2009.1.23.</t>
  </si>
  <si>
    <t>2009.1.23</t>
  </si>
  <si>
    <t>2009.1.29.</t>
  </si>
  <si>
    <t>2009.1.30.</t>
  </si>
  <si>
    <t>2009.1.31.</t>
  </si>
  <si>
    <t>기장료(1월)</t>
  </si>
  <si>
    <t>랩지노믹스 검사대금(12월)</t>
  </si>
  <si>
    <t>2009.2.4.</t>
  </si>
  <si>
    <t>병원물품</t>
  </si>
  <si>
    <t>이마트몰</t>
  </si>
  <si>
    <t>2009.2.9.</t>
  </si>
  <si>
    <t>연금보험료 1월분</t>
  </si>
  <si>
    <t>건강보험료 1월분</t>
  </si>
  <si>
    <t>영우메디텍</t>
  </si>
  <si>
    <t>신한 37605002014 영우메디텍</t>
  </si>
  <si>
    <t>2009.2.11.</t>
  </si>
  <si>
    <t>2009.2.12</t>
  </si>
  <si>
    <t>2009.2.13.</t>
  </si>
  <si>
    <t>월주차2월분 150000 포함</t>
  </si>
  <si>
    <t>2009.2.24.</t>
  </si>
  <si>
    <t>조선일보(1,2월)</t>
  </si>
  <si>
    <t>2009.2.18.</t>
  </si>
  <si>
    <t>2009.2.25.</t>
  </si>
  <si>
    <t xml:space="preserve">김선영 16/24 근무 - </t>
  </si>
  <si>
    <t>2009.2.26</t>
  </si>
  <si>
    <t>2009.2.27.</t>
  </si>
  <si>
    <t>2009.2.28.</t>
  </si>
  <si>
    <t>기장료(2월)</t>
  </si>
  <si>
    <t>랩지노믹스 검사대금(1월)</t>
  </si>
  <si>
    <t>2009.3.6.</t>
  </si>
  <si>
    <t>민경미 퇴직금 정산</t>
  </si>
  <si>
    <t>정주영 퇴직금정산</t>
  </si>
  <si>
    <t>윤혜연 퇴직금정산</t>
  </si>
  <si>
    <t>주혜진 퇴직금정산</t>
  </si>
  <si>
    <t>10월말 잔액 1057000? 에서 1955620원 잔액으로 요청이 왔으나 불명확 - 100만원 입금함 - 추후 확인 필요</t>
  </si>
  <si>
    <t>2009.3.9.</t>
  </si>
  <si>
    <t>2009.3.10.</t>
  </si>
  <si>
    <t>건강보험료</t>
  </si>
  <si>
    <t>2009.3.16.</t>
  </si>
  <si>
    <t>월주차3월분 150000 포함</t>
  </si>
  <si>
    <t>2009.3.17.</t>
  </si>
  <si>
    <t xml:space="preserve">병원 진료의뢰서 </t>
  </si>
  <si>
    <t>노인신경 등록비</t>
  </si>
  <si>
    <t>2009.3.18.</t>
  </si>
  <si>
    <t>2009.3.25.</t>
  </si>
  <si>
    <t>2009.3.26</t>
  </si>
  <si>
    <t>2009.3.27.</t>
  </si>
  <si>
    <t>2009.3.30</t>
  </si>
  <si>
    <t>산재</t>
  </si>
  <si>
    <t>고용</t>
  </si>
  <si>
    <t>2009.3.31.</t>
  </si>
  <si>
    <t>기장료(3월)</t>
  </si>
  <si>
    <t>랩지노믹스 검사대금(2월)</t>
  </si>
  <si>
    <t>조선일보 신사동</t>
  </si>
  <si>
    <t>2009.4.7.</t>
  </si>
  <si>
    <t>김선영 퇴직금</t>
  </si>
  <si>
    <t>1424060+179490(연말정산)</t>
  </si>
  <si>
    <t>2009.4.8.</t>
  </si>
  <si>
    <t>임대료/관리비</t>
  </si>
  <si>
    <t>정주영축의금</t>
  </si>
  <si>
    <t>2009.4.10.</t>
  </si>
  <si>
    <t>연금보험</t>
  </si>
  <si>
    <t>2009.4.15.</t>
  </si>
  <si>
    <t>간호화</t>
  </si>
  <si>
    <t>국민 조광현(비단구두) 807501-04-002176</t>
  </si>
  <si>
    <t>유니폼</t>
  </si>
  <si>
    <t>농협중앙회 정순원 274-02-045608</t>
  </si>
  <si>
    <t>2009.4.16.</t>
  </si>
  <si>
    <t>2009.4.17.</t>
  </si>
  <si>
    <t>Part Time</t>
  </si>
  <si>
    <t>2009.4.24.</t>
  </si>
  <si>
    <t>2009.4.24</t>
  </si>
  <si>
    <t>실지급 1873670</t>
  </si>
  <si>
    <t>이정은 가불</t>
  </si>
  <si>
    <t>다음 달에 감하여 지급</t>
  </si>
  <si>
    <t>2009.4.27.</t>
  </si>
  <si>
    <t>병원미화(4월분 선지급)</t>
  </si>
  <si>
    <t>2009.4.22.</t>
  </si>
  <si>
    <t xml:space="preserve">미르텍(AV)  데스크전화작업 </t>
  </si>
  <si>
    <t>신한 110227328525 이영수(미르테크)</t>
  </si>
  <si>
    <t>조선일보 신사동(4월분)</t>
  </si>
  <si>
    <t>엠클럽 제주 항공</t>
  </si>
  <si>
    <t>우리 141-242388-02-006 황성주</t>
  </si>
  <si>
    <t>돋보기세트</t>
  </si>
  <si>
    <t>농협 48002102342 김만영</t>
  </si>
  <si>
    <t>신개협등록</t>
  </si>
  <si>
    <t>2009.4.30.</t>
  </si>
  <si>
    <t>기장료(4월)</t>
  </si>
  <si>
    <t>랩지노믹스 검사대금(3월)</t>
  </si>
  <si>
    <t>2009.4.28.</t>
  </si>
  <si>
    <t>홈피 배너</t>
  </si>
  <si>
    <t>기업은행 066-047564-02-016 유석철 (5만원)</t>
  </si>
  <si>
    <t>2009.5.1.</t>
  </si>
  <si>
    <t>김선영 선생</t>
  </si>
  <si>
    <t>cash</t>
  </si>
  <si>
    <t>2009.5.6.</t>
  </si>
  <si>
    <t>SK 결제</t>
  </si>
  <si>
    <t>카드</t>
  </si>
  <si>
    <t>2009.5.8.</t>
  </si>
  <si>
    <t>2009.5.11.</t>
  </si>
  <si>
    <t>2009.5.12.</t>
  </si>
  <si>
    <t>2009.5.15.</t>
  </si>
  <si>
    <t>월주차 5월분 150000 포함</t>
  </si>
  <si>
    <t>2009.5.18.</t>
  </si>
  <si>
    <t>2009.5.25.</t>
  </si>
  <si>
    <t>2009.5.26.</t>
  </si>
  <si>
    <t>실지급 1803620</t>
  </si>
  <si>
    <t>이정은 가불 감액</t>
  </si>
  <si>
    <t>이정은 퇴직금정산</t>
  </si>
  <si>
    <t>2009.5.27.</t>
  </si>
  <si>
    <t xml:space="preserve">토너 </t>
  </si>
  <si>
    <t>2009.5.29.</t>
  </si>
  <si>
    <t>기장료</t>
  </si>
  <si>
    <t>조선일보</t>
  </si>
  <si>
    <t>2009.6.2.</t>
  </si>
  <si>
    <t>조정보수</t>
  </si>
  <si>
    <t>세무</t>
  </si>
  <si>
    <t>1009.6.9.</t>
  </si>
  <si>
    <t>2009.6.10.</t>
  </si>
  <si>
    <t>2009.6.13.</t>
  </si>
  <si>
    <t>월주차 6월분 150000 포함</t>
  </si>
  <si>
    <t>2009.6.18.</t>
  </si>
  <si>
    <t>2009.6.25.</t>
  </si>
  <si>
    <t>2006.6.26</t>
  </si>
  <si>
    <t>2006.6.17.</t>
  </si>
  <si>
    <t>1718780 (급여+상여) + 409570  (퇴직금)</t>
  </si>
  <si>
    <t>2006.6.19.</t>
  </si>
  <si>
    <t xml:space="preserve">운영현금 </t>
  </si>
  <si>
    <t>(100000+100000=200000)</t>
  </si>
  <si>
    <t>2009.6.26.</t>
  </si>
  <si>
    <t>의약품카드</t>
  </si>
  <si>
    <t>2009.6.30.</t>
  </si>
  <si>
    <t>2009.7.9.</t>
  </si>
  <si>
    <t>2009.7.14.</t>
  </si>
  <si>
    <t>(350000+150000)</t>
  </si>
  <si>
    <t>월주차 7월분 150000 포함</t>
  </si>
  <si>
    <t>2009.7.17.</t>
  </si>
  <si>
    <t>2009.7.24.</t>
  </si>
  <si>
    <t>2009.7.24</t>
  </si>
  <si>
    <t>2009.7.28.</t>
  </si>
  <si>
    <t>휴온스결제</t>
  </si>
  <si>
    <t>잔액 0</t>
  </si>
  <si>
    <t>2009.7.29.</t>
  </si>
  <si>
    <t>사업소세(356m2)</t>
  </si>
  <si>
    <t>주민세 재산분 (356m2)</t>
  </si>
  <si>
    <t>KT</t>
  </si>
  <si>
    <t>랩지노믹스</t>
  </si>
  <si>
    <t>2009.7.31.</t>
  </si>
  <si>
    <t>2009.8.4.</t>
  </si>
  <si>
    <t>간판</t>
  </si>
  <si>
    <t>농협 370 12 120224 박돈승</t>
  </si>
  <si>
    <t>2009.8.7.</t>
  </si>
  <si>
    <t>2009.8.10.</t>
  </si>
  <si>
    <t>2009.8.12.</t>
  </si>
  <si>
    <t>월주차 8월분 150000 포함</t>
  </si>
  <si>
    <t>국민 084-21-0621-651</t>
  </si>
  <si>
    <t>매경이코노미</t>
  </si>
  <si>
    <t>2009.8.17.</t>
  </si>
  <si>
    <t>2009.8.18.</t>
  </si>
  <si>
    <t>2009.8.25.</t>
  </si>
  <si>
    <t>2009.8.26.</t>
  </si>
  <si>
    <t xml:space="preserve">2009.8.17. </t>
  </si>
  <si>
    <t>영문스탬프</t>
  </si>
  <si>
    <t xml:space="preserve">안압기 수리 </t>
  </si>
  <si>
    <t xml:space="preserve">KT </t>
  </si>
  <si>
    <t>2009.8.31.</t>
  </si>
  <si>
    <t xml:space="preserve">SK vaccine </t>
  </si>
  <si>
    <t>완불</t>
  </si>
  <si>
    <t>2009.9.2.</t>
  </si>
  <si>
    <t>아세아약품 독감백신 (20개)</t>
  </si>
  <si>
    <t>신한 100 019 666660</t>
  </si>
  <si>
    <t>병원물품(11번가)</t>
  </si>
  <si>
    <t>2009.9.9.</t>
  </si>
  <si>
    <t>2009.9.7.</t>
  </si>
  <si>
    <t>아세아약품 독감백신 (60개)</t>
  </si>
  <si>
    <t>신한 100001167084</t>
  </si>
  <si>
    <t>독감백신 (-20개, 박승희소아과)</t>
  </si>
  <si>
    <t>시티</t>
  </si>
  <si>
    <t>2009.9.14.</t>
  </si>
  <si>
    <t>(550000+150000)</t>
  </si>
  <si>
    <t>2009.9.16.</t>
  </si>
  <si>
    <t>병원물품 이마트몰</t>
  </si>
  <si>
    <t>유니폼/유정인</t>
  </si>
  <si>
    <t>농협 정순원 274-02-045608</t>
  </si>
  <si>
    <t>2009.9.18.</t>
  </si>
  <si>
    <t>1270140+647080</t>
  </si>
  <si>
    <t>2009.9.25.</t>
  </si>
  <si>
    <t>1794900+895950</t>
  </si>
  <si>
    <t>2009.9.22.</t>
  </si>
  <si>
    <t>아세아약품 독감백신 (100개)</t>
  </si>
  <si>
    <t>2009.9.30.</t>
  </si>
  <si>
    <t xml:space="preserve">랩지노믹스 </t>
  </si>
  <si>
    <t>2009.9.24.</t>
  </si>
  <si>
    <t>조선신사</t>
  </si>
  <si>
    <t>2009.9.27.</t>
  </si>
  <si>
    <t>손세정제</t>
  </si>
  <si>
    <t>옥션</t>
  </si>
  <si>
    <t>2009.9.28.</t>
  </si>
  <si>
    <t>2009.10.9.</t>
  </si>
  <si>
    <t>곽티슈</t>
  </si>
  <si>
    <t>2009.10.14.</t>
  </si>
  <si>
    <t>유정인</t>
  </si>
  <si>
    <t>국민 097602-04-081656</t>
  </si>
  <si>
    <t>2009.10.16.</t>
  </si>
  <si>
    <t>2009.10.23.</t>
  </si>
  <si>
    <t>2009.10.26.</t>
  </si>
  <si>
    <t>월주차 10월분 150000 포함</t>
  </si>
  <si>
    <t>2009.10.30.</t>
  </si>
  <si>
    <t>한미메디</t>
  </si>
  <si>
    <t>50% 결제</t>
  </si>
  <si>
    <t>2009.10.28.</t>
  </si>
  <si>
    <t>2009.11.2.</t>
  </si>
  <si>
    <t>토너(잉크할인마트, HP LJ 1160)</t>
  </si>
  <si>
    <t>2009.11.9.</t>
  </si>
  <si>
    <t>2009.11.12</t>
  </si>
  <si>
    <t>월주차 11월분 150000 포함</t>
  </si>
  <si>
    <t>2009.11.14.</t>
  </si>
  <si>
    <t>2009.11.18.</t>
  </si>
  <si>
    <t>2009.11.25.</t>
  </si>
  <si>
    <t>2009.11.26.</t>
  </si>
  <si>
    <t>정주영 임상신경생리학회 + 지침서</t>
  </si>
  <si>
    <t>2009.11.16.</t>
  </si>
  <si>
    <t>두통학회</t>
  </si>
  <si>
    <t>2009.11.19.</t>
  </si>
  <si>
    <t>커피믹스</t>
  </si>
  <si>
    <t>인터파크</t>
  </si>
  <si>
    <t>의사회비</t>
  </si>
  <si>
    <t>2009.11.23.</t>
  </si>
  <si>
    <t>2009.11.24.</t>
  </si>
  <si>
    <t>인터파크 스킨로션</t>
  </si>
  <si>
    <t>2009.11.27.</t>
  </si>
  <si>
    <t>SK 백신대금</t>
  </si>
  <si>
    <t>삼성 의약품카드</t>
  </si>
  <si>
    <t>종합소득세</t>
  </si>
  <si>
    <t>KT 전화요금</t>
  </si>
  <si>
    <t>보령 백신(간염A)</t>
  </si>
  <si>
    <t>2009.11.30.</t>
  </si>
  <si>
    <t>2009.12.9.</t>
  </si>
  <si>
    <t>근로소득세</t>
  </si>
  <si>
    <t>2009.12.14.</t>
  </si>
  <si>
    <t>2009.12.18.</t>
  </si>
  <si>
    <t>2009.12.24.</t>
  </si>
  <si>
    <t>월주차 12월분 150000 포함</t>
  </si>
  <si>
    <t>2009.12.22.</t>
  </si>
  <si>
    <t>아세아백신(독감) 100개 (미향)</t>
  </si>
  <si>
    <t>400개 강남구의(4840000) 신한 100-019-666660</t>
  </si>
  <si>
    <t>2009.12.30.</t>
  </si>
  <si>
    <t>2009.12.31.</t>
  </si>
  <si>
    <t>계림메디칼(probe)</t>
  </si>
  <si>
    <t>2010.1.9.</t>
  </si>
  <si>
    <t>2010.1.11.</t>
  </si>
  <si>
    <t>2010.1.14.</t>
  </si>
  <si>
    <t>2010.1.18.</t>
  </si>
  <si>
    <t>2010.1.25.</t>
  </si>
  <si>
    <t>2010.1.26.</t>
  </si>
  <si>
    <t>월주차 1월분 150000 포함</t>
  </si>
  <si>
    <t>2010.1.29.</t>
  </si>
  <si>
    <t>2010.2.9.</t>
  </si>
  <si>
    <t>연말정산</t>
  </si>
  <si>
    <t>2010.2.12.</t>
  </si>
  <si>
    <t>2010.2.18.</t>
  </si>
  <si>
    <t>2010.2.25.</t>
  </si>
  <si>
    <t>2010.2.26.</t>
  </si>
  <si>
    <t>월주차 2월분 150000 포함</t>
  </si>
  <si>
    <t>2010.3.3.</t>
  </si>
  <si>
    <t>2010.2.24.</t>
  </si>
  <si>
    <t>보령 간염A 백신</t>
  </si>
  <si>
    <t>2010.3.9.</t>
  </si>
  <si>
    <t>2010.3.12.</t>
  </si>
  <si>
    <t>월주차 3월분 150000 포함</t>
  </si>
  <si>
    <t>2010.3.15.</t>
  </si>
  <si>
    <t>2010.3.18.</t>
  </si>
  <si>
    <t>2010.3.25.</t>
  </si>
  <si>
    <t>2010.3.26.</t>
  </si>
  <si>
    <t>2010.3.16.</t>
  </si>
  <si>
    <t>산재/고용 정산</t>
  </si>
  <si>
    <t>농협 714 12 308363 김휘종(굿유니폼)</t>
  </si>
  <si>
    <t>2010.3.21.</t>
  </si>
  <si>
    <t>신사모 등록</t>
  </si>
  <si>
    <t>신경과동문회비(2007~2010)</t>
  </si>
  <si>
    <t>2010년 이사 연회비 15만원</t>
  </si>
  <si>
    <t>2010.3.23.</t>
  </si>
  <si>
    <t>래시스 홈피 revision fee</t>
  </si>
  <si>
    <t>2010.3.31.</t>
  </si>
  <si>
    <t>2010.3.30.</t>
  </si>
  <si>
    <t>하나 164 910012 90504 한미</t>
  </si>
  <si>
    <t>잔고 270380</t>
  </si>
  <si>
    <t>삼성 의약품카드(220990 remained)</t>
  </si>
  <si>
    <t>병원명함/봉투</t>
  </si>
  <si>
    <t>2010.4.5.</t>
  </si>
  <si>
    <t>영우에디텍</t>
  </si>
  <si>
    <t>신한은행</t>
  </si>
  <si>
    <t>2010.4.9.</t>
  </si>
  <si>
    <t>2010.4.14.</t>
  </si>
  <si>
    <t>2010.4.16.</t>
  </si>
  <si>
    <t>2010.4.23.</t>
  </si>
  <si>
    <t>2010.4.26.</t>
  </si>
  <si>
    <t>2010.4.13.</t>
  </si>
  <si>
    <t>(500000+150000 월주차 4월분)</t>
  </si>
  <si>
    <t>월주차 4월분 150000 포함</t>
  </si>
  <si>
    <t>노무법인 율촌</t>
  </si>
  <si>
    <t>국민 782701-04-066172</t>
  </si>
  <si>
    <t>2010.4.20.</t>
  </si>
  <si>
    <t>두통학회 등록 (+ 보톡스 웍샵)</t>
  </si>
  <si>
    <t>2010.2.28</t>
  </si>
  <si>
    <t>2010.4.30.</t>
  </si>
  <si>
    <t>2010.4.27.</t>
  </si>
  <si>
    <t>SK chemical</t>
  </si>
  <si>
    <t>2010.4.28.</t>
  </si>
  <si>
    <t>2010.5.10.</t>
  </si>
  <si>
    <t>2010.5.9.</t>
  </si>
  <si>
    <t>커피 그라인더</t>
  </si>
  <si>
    <t>2010.5.12.</t>
  </si>
  <si>
    <t>(500000+150000 월주차 5월분)</t>
  </si>
  <si>
    <t>2010.5.14.</t>
  </si>
  <si>
    <t>2010.5.18.</t>
  </si>
  <si>
    <t>2010.5.25.</t>
  </si>
  <si>
    <t>2010.5.26.</t>
  </si>
  <si>
    <t>2010.5.16.</t>
  </si>
  <si>
    <t>2010.5.28.</t>
  </si>
  <si>
    <t>종합소득세 - 1/2분납</t>
  </si>
  <si>
    <t>지방소득세(소득세분) - 1/2분납</t>
  </si>
  <si>
    <t>2010.5.27</t>
  </si>
  <si>
    <t>2010.5.31.</t>
  </si>
  <si>
    <t>조정료</t>
  </si>
  <si>
    <t>2010.6.9.</t>
  </si>
  <si>
    <t>2010.6.11.</t>
  </si>
  <si>
    <t>(300000+150000 월주차 6월분)</t>
  </si>
  <si>
    <t>2010.6.14.</t>
  </si>
  <si>
    <t>2010.6.18.</t>
  </si>
  <si>
    <t>2010.6.25.</t>
  </si>
  <si>
    <t>2010.6.20.</t>
  </si>
  <si>
    <t>수연 보수교육</t>
  </si>
  <si>
    <t>2010.6.21.</t>
  </si>
  <si>
    <t>자동차세</t>
  </si>
  <si>
    <t xml:space="preserve">SK 케미칼 </t>
  </si>
  <si>
    <t>2010.6.30.</t>
  </si>
  <si>
    <t>2010.6.29.</t>
  </si>
  <si>
    <t>보령</t>
  </si>
  <si>
    <t>2010.7.1.</t>
  </si>
  <si>
    <t>신한 140 005 642990 영우메디텍 (2/16매입분)</t>
  </si>
  <si>
    <t>삼성컴퓨터 그래픽카드 서비스</t>
  </si>
  <si>
    <t>2010.7.9.</t>
  </si>
  <si>
    <t>2010.7..</t>
  </si>
  <si>
    <t>(450000+150000 월주차 7월분)</t>
  </si>
  <si>
    <t>2010.7.14.</t>
  </si>
  <si>
    <t>2010.7.15.</t>
  </si>
  <si>
    <t>2010.7.23.</t>
  </si>
  <si>
    <t>2010.7.26.</t>
  </si>
  <si>
    <t>2010.7.8.</t>
  </si>
  <si>
    <t>2010.7.10.</t>
  </si>
  <si>
    <t>2010.7.20.</t>
  </si>
  <si>
    <t>2010.7.27.</t>
  </si>
  <si>
    <t>종합소득세분납</t>
  </si>
  <si>
    <t>2010.7.30.</t>
  </si>
  <si>
    <t>삼성카드</t>
  </si>
  <si>
    <t>2010.8.10.</t>
  </si>
  <si>
    <t>89000+가산세</t>
  </si>
  <si>
    <t>2010.8.13.</t>
  </si>
  <si>
    <t>2010.8.18.</t>
  </si>
  <si>
    <t>2010.8.25.</t>
  </si>
  <si>
    <t>2010.8.26.</t>
  </si>
  <si>
    <t>2010.8.11.</t>
  </si>
  <si>
    <t>(550000+150000 월주차 8월분)</t>
  </si>
  <si>
    <t>2010.8.17.</t>
  </si>
  <si>
    <t>2010.8.21.</t>
  </si>
  <si>
    <t>주민세(사업자)</t>
  </si>
  <si>
    <t>2010.8.31.</t>
  </si>
  <si>
    <t>2010.9.9.</t>
  </si>
  <si>
    <t>국민은행 644837 04 000208 김영순(동아빌딩)</t>
  </si>
  <si>
    <t>2010.9.14.</t>
  </si>
  <si>
    <t>2010.9.17.</t>
  </si>
  <si>
    <t>2010.9.20.</t>
  </si>
  <si>
    <t>2010.9.11.</t>
  </si>
  <si>
    <t>(500000+150000 월주차 9월분)</t>
  </si>
  <si>
    <t>2010.9.25.</t>
  </si>
  <si>
    <t>2010.9.30.</t>
  </si>
  <si>
    <t>2010.9.28.</t>
  </si>
  <si>
    <t>2010.10.11.</t>
  </si>
  <si>
    <t>교통개선부담금, 환경부담금 2010년 9월</t>
  </si>
  <si>
    <t>2010.10.9.</t>
  </si>
  <si>
    <t>2010.10.14.</t>
  </si>
  <si>
    <t>2010.10.18.</t>
  </si>
  <si>
    <t>2010.10.25.</t>
  </si>
  <si>
    <t>2010.10.26.</t>
  </si>
  <si>
    <t>2010.10.19.</t>
  </si>
  <si>
    <t>잔고 516980</t>
  </si>
  <si>
    <t>잘해드림, 봉투명함</t>
  </si>
  <si>
    <t>국민 084210621651</t>
  </si>
  <si>
    <t>2010.10.31</t>
  </si>
  <si>
    <t>(400000+150000 월주차10월분)</t>
  </si>
  <si>
    <t>2010.11.9.</t>
  </si>
  <si>
    <t>한국일보</t>
  </si>
  <si>
    <t>2010.11.13.</t>
  </si>
  <si>
    <t>2010.11.18.</t>
  </si>
  <si>
    <t>2010.11.25.</t>
  </si>
  <si>
    <t>2010.11.26.</t>
  </si>
  <si>
    <t>2010.11.13</t>
  </si>
  <si>
    <t>유정인퇴직금</t>
  </si>
  <si>
    <t>2010.11.15.</t>
  </si>
  <si>
    <t>(350000+150000 월주차11월분)</t>
  </si>
  <si>
    <t>2010.11.22.</t>
  </si>
  <si>
    <t>2010.11.23.</t>
  </si>
  <si>
    <t>하이전구/삼성카드결제</t>
  </si>
  <si>
    <t>2010.11.28.</t>
  </si>
  <si>
    <t>2010.11.30</t>
  </si>
  <si>
    <t>2010.12.2.</t>
  </si>
  <si>
    <t>중소기업 211 030035 04 019</t>
  </si>
  <si>
    <t>계림</t>
  </si>
  <si>
    <t>TCD 수리 우리은행 최승용 1005 601 186410</t>
  </si>
  <si>
    <t>2010.12.7.</t>
  </si>
  <si>
    <t>2010.12.9.</t>
  </si>
  <si>
    <t>349401-04-196346 김영순(동아빌딩)</t>
  </si>
  <si>
    <t>2010.12.10.</t>
  </si>
  <si>
    <t>2010.12.14.</t>
  </si>
  <si>
    <t xml:space="preserve">홈피연장 </t>
  </si>
  <si>
    <t>기업 167-094898-01-015 유현</t>
  </si>
  <si>
    <t>2010.12.16.</t>
  </si>
  <si>
    <t>(400000+150000 월주차12월분)</t>
  </si>
  <si>
    <t>2010.12.17.</t>
  </si>
  <si>
    <t>2010.12.24.</t>
  </si>
  <si>
    <t>2010.12.22.</t>
  </si>
  <si>
    <t>하나 164 910012 90504 한미 (잔고 517880)</t>
  </si>
  <si>
    <t>2010.12.27.</t>
  </si>
  <si>
    <t xml:space="preserve">위드메드(nCPAP) </t>
  </si>
  <si>
    <t>중소기업은행 1644 7713 00 (121.5+90*3)</t>
  </si>
  <si>
    <t>2010.12.29.</t>
  </si>
  <si>
    <t>2010.12.31.</t>
  </si>
  <si>
    <t>2010.1.10.</t>
  </si>
  <si>
    <t>2011.1.11.</t>
  </si>
  <si>
    <t>납기후</t>
  </si>
  <si>
    <t>2011.1.13.</t>
  </si>
  <si>
    <t>(400000+150000 월주차1월분)</t>
  </si>
  <si>
    <t>2011.1.14.</t>
  </si>
  <si>
    <t>2011.1.18.</t>
  </si>
  <si>
    <t>2011.1.25.</t>
  </si>
  <si>
    <t>2011.1.26.</t>
  </si>
  <si>
    <t>등록면허세(면허분)</t>
  </si>
  <si>
    <t>2011.1.31.</t>
  </si>
  <si>
    <t>2011.2.10.</t>
  </si>
  <si>
    <t>2011.2.9.</t>
  </si>
  <si>
    <t>뉴로포스(electrode)</t>
  </si>
  <si>
    <t>외환은행 611 018346 701</t>
  </si>
  <si>
    <t>2011.2.14.</t>
  </si>
  <si>
    <t>2011.2.18.</t>
  </si>
  <si>
    <t>2011.2.25.</t>
  </si>
  <si>
    <t>2011.2.16.</t>
  </si>
  <si>
    <t>(350000+150000 월주차2월분)</t>
  </si>
  <si>
    <t>2011.2.28.</t>
  </si>
  <si>
    <t>민경미 퇴직금정산</t>
  </si>
  <si>
    <t>3Yr. gift</t>
  </si>
  <si>
    <t>3+2+2+1+1</t>
  </si>
  <si>
    <t>2011.2.23.</t>
  </si>
  <si>
    <t>2011.3.8.</t>
  </si>
  <si>
    <t>직원제복(해피사)</t>
  </si>
  <si>
    <t>국민 486401-04-009514</t>
  </si>
  <si>
    <t>직원제복(올웨이즈)</t>
  </si>
  <si>
    <t>국민 650737-01-001199</t>
  </si>
  <si>
    <t>2011.3.9.</t>
  </si>
  <si>
    <t>2011.3.10.</t>
  </si>
  <si>
    <t>건보/연금/산재/고용</t>
  </si>
  <si>
    <t>산재체납</t>
  </si>
  <si>
    <t>고용체납</t>
  </si>
  <si>
    <t>2011.3.14.</t>
  </si>
  <si>
    <t>2011.3.18.</t>
  </si>
  <si>
    <t>2011.3.25.</t>
  </si>
  <si>
    <t>(400000+150000 월주차3월분)</t>
  </si>
  <si>
    <t>2011.3.24.</t>
  </si>
  <si>
    <t>토너</t>
  </si>
  <si>
    <t>신한 140 005 642990 영우메디텍 (6/29매입분)</t>
  </si>
  <si>
    <t>2011.3.28.</t>
  </si>
  <si>
    <t>2011.3.31</t>
  </si>
  <si>
    <t>이정은 급여</t>
  </si>
  <si>
    <t>(369354+55980)</t>
  </si>
  <si>
    <t>이정은 퇴직금 정산</t>
  </si>
  <si>
    <t>(1620773-44370)</t>
  </si>
  <si>
    <t>2011.4.9.</t>
  </si>
  <si>
    <t>349401-04-196346 김영순(동아빌딩), 환경금포함</t>
  </si>
  <si>
    <t>2011.4.7.</t>
  </si>
  <si>
    <t>프린터</t>
  </si>
  <si>
    <t>11번가</t>
  </si>
  <si>
    <t>2011.4.14.</t>
  </si>
  <si>
    <t>2011.4.18.</t>
  </si>
  <si>
    <t>2011.4.25.</t>
  </si>
  <si>
    <t>2011.4.29.</t>
  </si>
  <si>
    <t>한아라</t>
  </si>
  <si>
    <t>2011.4.10.</t>
  </si>
  <si>
    <t>신개협등록/연회비2010,2011</t>
  </si>
  <si>
    <t>2011.4.11.</t>
  </si>
  <si>
    <t>통합사회보험</t>
  </si>
  <si>
    <t>2011.4.13.</t>
  </si>
  <si>
    <t>토너(SCX6322DN, HP LJ1100)</t>
  </si>
  <si>
    <t>(400000+150000 월주차4월분)</t>
  </si>
  <si>
    <t>홈플러스</t>
  </si>
  <si>
    <t>정주영 휴가 수당(2일치)</t>
  </si>
  <si>
    <t>현금</t>
  </si>
  <si>
    <t>2011.5.9.</t>
  </si>
  <si>
    <t>2011.5.13.</t>
  </si>
  <si>
    <t>2011.5.18.</t>
  </si>
  <si>
    <t>2011.5.25.</t>
  </si>
  <si>
    <t>2011.6.1.</t>
  </si>
  <si>
    <t>2011.5.12.</t>
  </si>
  <si>
    <t>(600000+150000 월주차5월분)</t>
  </si>
  <si>
    <t>2011.5.31.</t>
  </si>
  <si>
    <t>2011.5.30.</t>
  </si>
  <si>
    <t>2010 소득세</t>
  </si>
  <si>
    <t>농특세</t>
  </si>
  <si>
    <t>지방소득세 종합소득분</t>
  </si>
  <si>
    <t>2011.6.9.</t>
  </si>
  <si>
    <t>2011.6.10.</t>
  </si>
  <si>
    <t>임대료/관리비/주차비</t>
  </si>
  <si>
    <t>하나 101-910012-67104(월주차6월분)</t>
  </si>
  <si>
    <t>KT 전화요금(201104)</t>
  </si>
  <si>
    <t>KT 전화요금(201105)</t>
  </si>
  <si>
    <t>2011.6.14.</t>
  </si>
  <si>
    <t>2011.6.17.</t>
  </si>
  <si>
    <t>2011.6.24.</t>
  </si>
  <si>
    <t>2011.7.1.</t>
  </si>
  <si>
    <t>2011.6.27.</t>
  </si>
  <si>
    <t>소프트웨어구입(한컴오피스*2,V3*5)</t>
  </si>
  <si>
    <t>VAT 포함</t>
  </si>
  <si>
    <t>2011.6.28.</t>
  </si>
  <si>
    <t>KT 전화요금(201106)</t>
  </si>
  <si>
    <t>2011.6.30.</t>
  </si>
  <si>
    <t>원래 116792(5월에 6000원 더 이체)</t>
  </si>
  <si>
    <t>2011.7.4.</t>
  </si>
  <si>
    <t>하나 101-910012-67104  (월주차7월분)</t>
  </si>
  <si>
    <t>뉴로포스(전극)</t>
  </si>
  <si>
    <t>외환 611-018346-701 뉴로포스</t>
  </si>
  <si>
    <t>2011.7.6.</t>
  </si>
  <si>
    <t>2011.7.18.</t>
  </si>
  <si>
    <t>하나 101-910012-67104</t>
  </si>
  <si>
    <t>2011.7.14.</t>
  </si>
  <si>
    <t>2011.7.25.</t>
  </si>
  <si>
    <t>2011.8.1.</t>
  </si>
  <si>
    <t>2011.7.19.</t>
  </si>
  <si>
    <t>기업은행 16709489801015 유현</t>
  </si>
  <si>
    <t>샤워기+수고비</t>
  </si>
  <si>
    <t>75000&amp;20000</t>
  </si>
  <si>
    <t>2011.7.31.</t>
  </si>
  <si>
    <t>임대+관리+주차</t>
  </si>
  <si>
    <t>월주차 8월분</t>
  </si>
  <si>
    <t>2011.7.27.</t>
  </si>
  <si>
    <t>KT 전화요금(201107)</t>
  </si>
  <si>
    <t>2011.7.29.</t>
  </si>
  <si>
    <t>Citi Card</t>
  </si>
  <si>
    <t>이마트몰/씨티카드</t>
  </si>
  <si>
    <t>11번가/씨티카드</t>
  </si>
  <si>
    <t>2011.8.8.</t>
  </si>
  <si>
    <t>2011.8.10.</t>
  </si>
  <si>
    <t>2011.8.12.</t>
  </si>
  <si>
    <t>2011.8.18.</t>
  </si>
  <si>
    <t>2011.8.25.</t>
  </si>
  <si>
    <t>2011.9.1.</t>
  </si>
  <si>
    <t>2011.8.23.</t>
  </si>
  <si>
    <t>레시스 홈피수정</t>
  </si>
  <si>
    <t>기업은행 167-094898-01-015 유현</t>
  </si>
  <si>
    <t>2011.8.31.</t>
  </si>
  <si>
    <t>2011.8.26.</t>
  </si>
  <si>
    <t>신사동 주민세</t>
  </si>
  <si>
    <t>한국일보 신사</t>
  </si>
  <si>
    <t>2011.9.5.</t>
  </si>
  <si>
    <t>월주차 당월분</t>
  </si>
  <si>
    <t>2011.9.7.</t>
  </si>
  <si>
    <t>레시스 홈피 annual fee(매년12월)</t>
  </si>
  <si>
    <t>2011.9.9.</t>
  </si>
  <si>
    <t>2011.9.16.</t>
  </si>
  <si>
    <t>2011.9.23.</t>
  </si>
  <si>
    <t>2011.9.30.</t>
  </si>
  <si>
    <t>2011.9.8.</t>
  </si>
  <si>
    <t>2011.9.14.</t>
  </si>
  <si>
    <t>잉크할인마트 HP LJ P1102</t>
  </si>
  <si>
    <t>주민세(신사동건물)</t>
  </si>
  <si>
    <t>2011.9.27.</t>
  </si>
  <si>
    <t>2011.9.28.</t>
  </si>
  <si>
    <t>잔액 243050</t>
  </si>
  <si>
    <t>홈플러스인터넷쇼핑몰</t>
  </si>
  <si>
    <t>2011.9.29.</t>
  </si>
  <si>
    <t>2011.10.7.</t>
  </si>
  <si>
    <t>2011.10.14.</t>
  </si>
  <si>
    <t>2011.10.18.</t>
  </si>
  <si>
    <t>2011.10.25.</t>
  </si>
  <si>
    <t>2011.11.1.</t>
  </si>
  <si>
    <t>2011.10.17.</t>
  </si>
  <si>
    <t>신경과 동문회비</t>
  </si>
  <si>
    <t>2011.10.20.</t>
  </si>
  <si>
    <t>2011.10.31.</t>
  </si>
  <si>
    <t>2011.10.25</t>
  </si>
  <si>
    <t>2011.11.4.</t>
  </si>
  <si>
    <t>2011.11.9.</t>
  </si>
  <si>
    <t>전자납부번호 5701 8587 046 01</t>
  </si>
  <si>
    <t>2011.11.14.</t>
  </si>
  <si>
    <t>유정인 퇴직금 정산</t>
  </si>
  <si>
    <t>2011.11.18.</t>
  </si>
  <si>
    <t>2011.11.25.</t>
  </si>
  <si>
    <t>2011.12.1.</t>
  </si>
  <si>
    <t>2011.11.22.</t>
  </si>
  <si>
    <t>2011.11.24.</t>
  </si>
  <si>
    <t>종합소득세 중간예납</t>
  </si>
  <si>
    <t>2011.11.29.</t>
  </si>
  <si>
    <t>한국일보신사</t>
  </si>
  <si>
    <t>KT 신사동</t>
  </si>
  <si>
    <t>병원홍보팜플렛</t>
  </si>
  <si>
    <t>국민 이재권 084-21-0621651</t>
  </si>
  <si>
    <t>2011.11.30.</t>
  </si>
  <si>
    <t>2011.12.14.</t>
  </si>
  <si>
    <t>2011.12.16.</t>
  </si>
  <si>
    <t>2011.12.23.</t>
  </si>
  <si>
    <t>2011.12.30.</t>
  </si>
  <si>
    <t>2011.12.8.</t>
  </si>
  <si>
    <t>2011.12.12</t>
  </si>
  <si>
    <t>기업 211-030035-04-019 광원메디칼</t>
  </si>
  <si>
    <t>민경미 퇴직금</t>
  </si>
  <si>
    <t>2011.12.22.</t>
  </si>
  <si>
    <t>유정인 인상분 누락 차액지급</t>
  </si>
  <si>
    <t>(1657690-1601073)</t>
  </si>
  <si>
    <t>뉴로포스 전극</t>
  </si>
  <si>
    <t>외환 611-018346-701 주식회사뉴로포스</t>
  </si>
  <si>
    <t>2011.12.26.</t>
  </si>
  <si>
    <t>2011.12.28.</t>
  </si>
  <si>
    <t>2012.1.9.</t>
  </si>
  <si>
    <t>2012.1.13.</t>
  </si>
  <si>
    <t>2012.1.18.</t>
  </si>
  <si>
    <t>2012.1.20.</t>
  </si>
  <si>
    <t>2012.2.1.</t>
  </si>
  <si>
    <t>2012.1.16.</t>
  </si>
  <si>
    <t>윤혜연 수당</t>
  </si>
  <si>
    <t>2012.1.31.</t>
  </si>
  <si>
    <t>2012.1.25.</t>
  </si>
  <si>
    <t>2012.1.27.</t>
  </si>
  <si>
    <t>등록면허세</t>
  </si>
  <si>
    <t>2012.1.30.</t>
  </si>
  <si>
    <t>2012.2.14.</t>
  </si>
  <si>
    <t>2012.2.17.</t>
  </si>
  <si>
    <t>2012.2.24.</t>
  </si>
  <si>
    <t>2012.2.29.</t>
  </si>
  <si>
    <t>2012.2.8.</t>
  </si>
  <si>
    <t>2012.2.14</t>
  </si>
  <si>
    <t>윤혜연 퇴직금 정산</t>
  </si>
  <si>
    <t>정주영 퇴직금 정산</t>
  </si>
  <si>
    <t>2012.2.20.</t>
  </si>
  <si>
    <t>2012.2.23.</t>
  </si>
  <si>
    <t>직원제복 올웨이즈</t>
  </si>
  <si>
    <t>2012.2.27.</t>
  </si>
  <si>
    <t>2012.3.10.</t>
  </si>
  <si>
    <t>2012.3.14.</t>
  </si>
  <si>
    <t>(1777300+65780)</t>
  </si>
  <si>
    <t>2012.3.16.</t>
  </si>
  <si>
    <t>(1768600+166440)</t>
  </si>
  <si>
    <t>2012.3.23.</t>
  </si>
  <si>
    <t>(1954630+190880)</t>
  </si>
  <si>
    <t>2012.3.30.</t>
  </si>
  <si>
    <t>(1585680+82900)</t>
  </si>
  <si>
    <t>2012.3.7.</t>
  </si>
  <si>
    <t>잔액 441580 (한미메디.하나 164 910012 90504)</t>
  </si>
  <si>
    <t>2012.3.24.</t>
  </si>
  <si>
    <t>2012.3.26.</t>
  </si>
  <si>
    <t>두통학회 등록</t>
  </si>
  <si>
    <t>2012.3.27.</t>
  </si>
  <si>
    <t>2012.4.9.</t>
  </si>
  <si>
    <t>2012.4.8.</t>
  </si>
  <si>
    <t>2012.4.10</t>
  </si>
  <si>
    <t>정보경</t>
  </si>
  <si>
    <t>2012.4.13.</t>
  </si>
  <si>
    <t>2012.4.18.</t>
  </si>
  <si>
    <t>2012.4.25.</t>
  </si>
  <si>
    <t>2012.5.1.</t>
  </si>
  <si>
    <t>2012.4.19.</t>
  </si>
  <si>
    <t>2012.4.23.</t>
  </si>
  <si>
    <t>2012.4.30.</t>
  </si>
  <si>
    <t>2012.4.26.</t>
  </si>
  <si>
    <t>2012.5.2.</t>
  </si>
  <si>
    <t>2012.5.7.</t>
  </si>
  <si>
    <t>2012.5.8.</t>
  </si>
  <si>
    <t>2012.5.14.</t>
  </si>
  <si>
    <t>2012.5.16.</t>
  </si>
  <si>
    <t>이세영</t>
  </si>
  <si>
    <t>2012.5.18.</t>
  </si>
  <si>
    <t>2012.5.25.</t>
  </si>
  <si>
    <t>2012.6.1.</t>
  </si>
  <si>
    <t>2012.5.11.</t>
  </si>
  <si>
    <t>2012.5.17.</t>
  </si>
  <si>
    <t>올웨이즈 유니폼</t>
  </si>
  <si>
    <t>2012.5.22.</t>
  </si>
  <si>
    <t>2012.5.31.</t>
  </si>
  <si>
    <t>2012.5.29.</t>
  </si>
  <si>
    <t>잔액 291180 (한미메디.하나 164 910012 90504)</t>
  </si>
  <si>
    <t>세무회계 조정료</t>
  </si>
  <si>
    <t>지방소득세</t>
  </si>
  <si>
    <t>2012.5.30.</t>
  </si>
  <si>
    <t>2012.6.5.</t>
  </si>
  <si>
    <t>직원퇴직연금</t>
  </si>
  <si>
    <t>최초불입, 소급포함</t>
  </si>
  <si>
    <t>2012.6.9.</t>
  </si>
  <si>
    <t>2012.6.14.</t>
  </si>
  <si>
    <t>2012.6.15.</t>
  </si>
  <si>
    <t>2012.6.18.</t>
  </si>
  <si>
    <t>2012.6.25.</t>
  </si>
  <si>
    <t>2012.6.29.</t>
  </si>
  <si>
    <t>2012.6.22.</t>
  </si>
  <si>
    <t>2012.6.28.</t>
  </si>
  <si>
    <t>2012.6.30.</t>
  </si>
  <si>
    <t>2012.7.6.</t>
  </si>
  <si>
    <t>의협,시의사회비</t>
  </si>
  <si>
    <t>구의사회비 250000 기 납부</t>
  </si>
  <si>
    <t>2012.7.9.</t>
  </si>
  <si>
    <t>V3 백신 갱신</t>
  </si>
  <si>
    <t>2012.7.13.</t>
  </si>
  <si>
    <t>2012.7.16.</t>
  </si>
  <si>
    <t>2012.7.18.</t>
  </si>
  <si>
    <t>2012.7.25.</t>
  </si>
  <si>
    <t>2012.8.1.</t>
  </si>
  <si>
    <t>2012.7.31.</t>
  </si>
  <si>
    <t>2012.7.24.</t>
  </si>
  <si>
    <t>2012.8.9.</t>
  </si>
  <si>
    <t>2012.8.6.</t>
  </si>
  <si>
    <t>근전도 수리, 광원메디칼</t>
  </si>
  <si>
    <t>기업 211-030035-04-019</t>
  </si>
  <si>
    <t>2012.8.7.</t>
  </si>
  <si>
    <t>래시스 홈피 년회비, SSL 비용</t>
  </si>
  <si>
    <t>기업 167-094898-01-015 유 현 (13만+38500)</t>
  </si>
  <si>
    <t>2012.8.14.</t>
  </si>
  <si>
    <t>2012.8.16.</t>
  </si>
  <si>
    <t>2012.8.17.</t>
  </si>
  <si>
    <t>2012.8.24.</t>
  </si>
  <si>
    <t>2012.8.31.</t>
  </si>
  <si>
    <t>잘해드림, 명함봉투</t>
  </si>
  <si>
    <t>국민은행 084-21-0621-651 이재권</t>
  </si>
  <si>
    <t>2012.9.14.</t>
  </si>
  <si>
    <t>2012.9.18.</t>
  </si>
  <si>
    <t>2012.9.25.</t>
  </si>
  <si>
    <t>2012.9.28.</t>
  </si>
  <si>
    <t>2012.9.6.</t>
  </si>
  <si>
    <t>80050530-0001 한국투자증권 이일근</t>
  </si>
  <si>
    <t>2012.9.9.</t>
  </si>
  <si>
    <t>2012.9.26.</t>
  </si>
  <si>
    <t>하나 164-910012-90504</t>
  </si>
  <si>
    <t>2012.10.12.</t>
  </si>
  <si>
    <t>2012.10.16.</t>
  </si>
  <si>
    <t>2012.10.18.</t>
  </si>
  <si>
    <t>2012.10.25.</t>
  </si>
  <si>
    <t>2012.11.1.</t>
  </si>
  <si>
    <t>2012.10.8.</t>
  </si>
  <si>
    <t>2012.10.11.</t>
  </si>
  <si>
    <t>신경과학회비(2011.8만+2012.10만)</t>
  </si>
  <si>
    <t>2012.10.22.</t>
  </si>
  <si>
    <t>2012.10.31.</t>
  </si>
  <si>
    <t>2012.10.24.</t>
  </si>
  <si>
    <t>녹십자 뇌수막구균백신</t>
  </si>
  <si>
    <t>HP 근전도 컴퓨터 메인보드 교체</t>
  </si>
  <si>
    <t>2012.11.14.</t>
  </si>
  <si>
    <t>2012.11.16.</t>
  </si>
  <si>
    <t>2012.11.23.</t>
  </si>
  <si>
    <t>2012.11.30.</t>
  </si>
  <si>
    <t>2012.11.6.</t>
  </si>
  <si>
    <t>80050530-0001 한국투자증권 이일근 (3배수 월초)</t>
  </si>
  <si>
    <t>2012.11.8.</t>
  </si>
  <si>
    <t>2012.11.21.</t>
  </si>
  <si>
    <t>소득세예납</t>
  </si>
  <si>
    <t>외환 661-018346-701</t>
  </si>
  <si>
    <t>2012.11.22.</t>
  </si>
  <si>
    <t>2012.12.14.</t>
  </si>
  <si>
    <t>2012.12.18.</t>
  </si>
  <si>
    <t>2012.12.24.</t>
  </si>
  <si>
    <t>2012.12.31.</t>
  </si>
  <si>
    <t>2012.12.7.</t>
  </si>
  <si>
    <t>2012.12.12.</t>
  </si>
  <si>
    <t>직원퇴직연금(이세영)</t>
  </si>
  <si>
    <t>80050530-0001 한국투자증권 이일근 (3배수월 초)</t>
  </si>
  <si>
    <t>2012.12.20.</t>
  </si>
  <si>
    <t>2012.12.22.</t>
  </si>
  <si>
    <t>2012.12.23.</t>
  </si>
  <si>
    <t>2013.1.14.</t>
  </si>
  <si>
    <t>2013.1.16.</t>
  </si>
  <si>
    <t>2013.1.18.</t>
  </si>
  <si>
    <t>2013.1.25.</t>
  </si>
  <si>
    <t>2013.2.1.</t>
  </si>
  <si>
    <t>2013.1.4.</t>
  </si>
  <si>
    <t>병원물품/홈플러스</t>
  </si>
  <si>
    <t>2013.1.21.</t>
  </si>
  <si>
    <t>등록세</t>
  </si>
  <si>
    <t>2013.1.22.</t>
  </si>
  <si>
    <t>2013.1.31</t>
  </si>
  <si>
    <t>2013.1.24.</t>
  </si>
  <si>
    <t>2012.2.4.</t>
  </si>
  <si>
    <t>2013.2.14.</t>
  </si>
  <si>
    <t>2013.2.15.</t>
  </si>
  <si>
    <t>2013.2.18.</t>
  </si>
  <si>
    <t>2013.2.25.</t>
  </si>
  <si>
    <t>2013.2.28.</t>
  </si>
  <si>
    <t>2013.2.7.</t>
  </si>
  <si>
    <t>2013.2.20.</t>
  </si>
  <si>
    <t>2013.2.22.</t>
  </si>
  <si>
    <t>2013.2.27</t>
  </si>
  <si>
    <t>2013.2.27.</t>
  </si>
  <si>
    <t>기영약품</t>
  </si>
  <si>
    <t>씨티카드</t>
  </si>
  <si>
    <t>(2012년 정산 차액 지급 - 25일 일괄 지급)</t>
  </si>
  <si>
    <t>2013.3.14.</t>
  </si>
  <si>
    <t>2013.3.15.</t>
  </si>
  <si>
    <t>2013.3.18.</t>
  </si>
  <si>
    <t>2013.3.25.</t>
  </si>
  <si>
    <t>2013.4.1.</t>
  </si>
  <si>
    <t>2013.3.7.</t>
  </si>
  <si>
    <t>2013.3.8.</t>
  </si>
  <si>
    <t>래시스 홈피 1G</t>
  </si>
  <si>
    <t>2013.3.19.</t>
  </si>
  <si>
    <t>파인컬러 국민 083701-04-024547</t>
  </si>
  <si>
    <t>해피사 이철주 국민 486401-04-009514</t>
  </si>
  <si>
    <t>2013.3.20.</t>
  </si>
  <si>
    <t>2013.3.29.</t>
  </si>
  <si>
    <t>2013.3.23.</t>
  </si>
  <si>
    <t>노신의등록</t>
  </si>
  <si>
    <t>한미메디케어 이체</t>
  </si>
  <si>
    <t>2013.3.26.</t>
  </si>
  <si>
    <t>2013.3.27.</t>
  </si>
  <si>
    <t>2013.4.9.</t>
  </si>
  <si>
    <t>2013.4.11.</t>
  </si>
  <si>
    <t xml:space="preserve">병원물품 홈플러스 </t>
  </si>
  <si>
    <t>2013.4.12.</t>
  </si>
  <si>
    <t>바이오스페이스 혈압계 수리비</t>
  </si>
  <si>
    <t>우리 1005 601 020129</t>
  </si>
  <si>
    <t>2013.4.16.</t>
  </si>
  <si>
    <t>2013.4.18.</t>
  </si>
  <si>
    <t>2013.4.25.</t>
  </si>
  <si>
    <t>2013.5.1.</t>
  </si>
  <si>
    <t>2013.4.29.</t>
  </si>
  <si>
    <t>2013.4.30.</t>
  </si>
  <si>
    <t>의료소모품</t>
  </si>
  <si>
    <t>shop.co.kr</t>
  </si>
  <si>
    <t>2013.5.3.</t>
  </si>
  <si>
    <t>계림 T3000 계약금</t>
  </si>
  <si>
    <t>우리 1005 601 186410</t>
  </si>
  <si>
    <t>2013.5.14.</t>
  </si>
  <si>
    <t>2013.5.16.</t>
  </si>
  <si>
    <t>2013.5.24.</t>
  </si>
  <si>
    <t>2013.5.31.</t>
  </si>
  <si>
    <t>2013.5.7.</t>
  </si>
  <si>
    <t>2013.5.8.</t>
  </si>
  <si>
    <t>계림 T3000 중도금</t>
  </si>
  <si>
    <t>2013.5.29.</t>
  </si>
  <si>
    <t>소득세분(주민세)</t>
  </si>
  <si>
    <t>2013.5.30.</t>
  </si>
  <si>
    <t>보령 A형백신 결제</t>
  </si>
  <si>
    <t>2013.6.14.</t>
  </si>
  <si>
    <t>2013.6.18.</t>
  </si>
  <si>
    <t>2013.6.25.</t>
  </si>
  <si>
    <t>2013.7.1.</t>
  </si>
  <si>
    <t>2013.6.7.</t>
  </si>
  <si>
    <t>2013.6.8.</t>
  </si>
  <si>
    <t>계림 T3000 잔금</t>
  </si>
  <si>
    <t>2013.6.17.</t>
  </si>
  <si>
    <t>래시스 보안인증 연장비용</t>
  </si>
  <si>
    <t>유현 기업은행 167-094898-01-015</t>
  </si>
  <si>
    <t>2013.6.19.</t>
  </si>
  <si>
    <t>직원퇴직연금 수수료</t>
  </si>
  <si>
    <t>2013.6.27</t>
  </si>
  <si>
    <t>2013.6.29.</t>
  </si>
  <si>
    <t>2013.7.12.</t>
  </si>
  <si>
    <t>2013.7.16.</t>
  </si>
  <si>
    <t>2013.7.18.</t>
  </si>
  <si>
    <t>2013.7.25.</t>
  </si>
  <si>
    <t>2013.8.1.</t>
  </si>
  <si>
    <t>2013.7.8.</t>
  </si>
  <si>
    <t>2013.7.9.</t>
  </si>
  <si>
    <t>V3 백신 갱신 (2년)</t>
  </si>
  <si>
    <t>2013.7.10.</t>
  </si>
  <si>
    <t>병원물품 홈플러스</t>
  </si>
  <si>
    <t>래시스 홈피 호스팅 비용</t>
  </si>
  <si>
    <t xml:space="preserve">기업 167-094898-01-015 유 현 </t>
  </si>
  <si>
    <t>2013.7.19.</t>
  </si>
  <si>
    <t>2013.7.31</t>
  </si>
  <si>
    <t>2013.7.22.</t>
  </si>
  <si>
    <t>뇌파업그레이드</t>
  </si>
  <si>
    <t>기업은행 광원 이체</t>
  </si>
  <si>
    <t>주민세재산분(사업소세, 356m2)</t>
  </si>
  <si>
    <t>etax.seoul.go.kr /지로</t>
  </si>
  <si>
    <t>2013.7.23.</t>
  </si>
  <si>
    <t>2013.8.14.</t>
  </si>
  <si>
    <t>2013.8.16.</t>
  </si>
  <si>
    <t>2013.8.23.</t>
  </si>
  <si>
    <t>2013.8.28.</t>
  </si>
  <si>
    <t>사회보험료체납분</t>
  </si>
  <si>
    <t>2013.8.30.</t>
  </si>
  <si>
    <t>2013.9.13.</t>
  </si>
  <si>
    <t>2013.9.16.</t>
  </si>
  <si>
    <t>2013.9.17.</t>
  </si>
  <si>
    <t>2013.9.25.</t>
  </si>
  <si>
    <t>2013.10.1.</t>
  </si>
  <si>
    <t>2013.9.6.</t>
  </si>
  <si>
    <t>2013.9.9.</t>
  </si>
  <si>
    <t>2013.9.24.</t>
  </si>
  <si>
    <t>2013.9.30.</t>
  </si>
  <si>
    <t>2013.10.14.</t>
  </si>
  <si>
    <t>2013.10.16.</t>
  </si>
  <si>
    <t>2013.10.18.</t>
  </si>
  <si>
    <t>2013.10.25.</t>
  </si>
  <si>
    <t>2013.11.1.</t>
  </si>
  <si>
    <t>2013.10.22.</t>
  </si>
  <si>
    <t>2013.10.31.</t>
  </si>
  <si>
    <t>2013.11.5.</t>
  </si>
  <si>
    <t>2013.11.14.</t>
  </si>
  <si>
    <t>2013.11.15.</t>
  </si>
  <si>
    <t>2013.11.18.</t>
  </si>
  <si>
    <t>2013.11.25</t>
  </si>
  <si>
    <t>2013.11.29.</t>
  </si>
  <si>
    <t>2013.11.20.</t>
  </si>
  <si>
    <t>2013.11.26.</t>
  </si>
  <si>
    <t>2013.11.30.</t>
  </si>
  <si>
    <t>2013.11.27.</t>
  </si>
  <si>
    <t>2013.12.9.</t>
  </si>
  <si>
    <t>2013.12.13.</t>
  </si>
  <si>
    <t>2013.12.16.</t>
  </si>
  <si>
    <t>2013.12.18.</t>
  </si>
  <si>
    <t>2013.12.24.</t>
  </si>
  <si>
    <t>2013.12.31.</t>
  </si>
  <si>
    <t>2013.12.27.</t>
  </si>
  <si>
    <t>2013..12.27.</t>
  </si>
  <si>
    <t>2014.1.8.</t>
  </si>
  <si>
    <t>2014.1.14.</t>
  </si>
  <si>
    <t>2014.1.16.</t>
  </si>
  <si>
    <t>2014.1.17.</t>
  </si>
  <si>
    <t>2014.1.24.</t>
  </si>
  <si>
    <t>2014.1.31.</t>
  </si>
  <si>
    <t>2014.1.21.</t>
  </si>
  <si>
    <t>2014.1.29.</t>
  </si>
  <si>
    <t>2014.1.28.</t>
  </si>
  <si>
    <t>2014.2.3.</t>
  </si>
  <si>
    <t>래시스호스팅메인/추가/보안</t>
  </si>
  <si>
    <t>330000/yr</t>
  </si>
  <si>
    <t>2014.2.6.</t>
  </si>
  <si>
    <t>래시스호스팅메인/추가/보안 - 부가세</t>
  </si>
  <si>
    <t>2014.2.7.</t>
  </si>
  <si>
    <t>2014.2.14.</t>
  </si>
  <si>
    <t>2014.2.18.</t>
  </si>
  <si>
    <t>2014.2.25.</t>
  </si>
  <si>
    <t>2014.2.28.</t>
  </si>
  <si>
    <t>2014.2.24.</t>
  </si>
  <si>
    <t>2014.3.7.</t>
  </si>
  <si>
    <t>2014.3.14.</t>
  </si>
  <si>
    <t>2014.3.18.</t>
  </si>
  <si>
    <t>2014.3.25.</t>
  </si>
  <si>
    <t>2014.4.1.</t>
  </si>
  <si>
    <t>2014.3.20.</t>
  </si>
  <si>
    <t>병원 제복</t>
  </si>
  <si>
    <t>(주)올웨이즈 국민은행 650737-01-001199</t>
  </si>
  <si>
    <t>2014.3.24.</t>
  </si>
  <si>
    <t>2014.3.31.</t>
  </si>
  <si>
    <t>2014.4.7.</t>
  </si>
  <si>
    <t>2014.4.14.</t>
  </si>
  <si>
    <t>2014.4.16.</t>
  </si>
  <si>
    <t>2014.4.18.</t>
  </si>
  <si>
    <t>2014.4.25.</t>
  </si>
  <si>
    <t>2014.5.1.</t>
  </si>
  <si>
    <t>2014.4.22.</t>
  </si>
  <si>
    <t>2014.4.30.</t>
  </si>
  <si>
    <t>신경과의사회비.2012~2014</t>
  </si>
  <si>
    <t>신의회 학술대회비</t>
  </si>
  <si>
    <t>2014.4.28.</t>
  </si>
  <si>
    <t>2014.5.8.</t>
  </si>
  <si>
    <t>2014.5.14.</t>
  </si>
  <si>
    <t>2014.5.16.</t>
  </si>
  <si>
    <t>2014.5.23.</t>
  </si>
  <si>
    <t>2014.5.30.</t>
  </si>
  <si>
    <t xml:space="preserve">2014.5.24. </t>
  </si>
  <si>
    <t>광원. 젤리</t>
  </si>
  <si>
    <t>2014.5.28.</t>
  </si>
  <si>
    <t>2014.5.29.</t>
  </si>
  <si>
    <t>2014.6.8.</t>
  </si>
  <si>
    <t>2014.6.13.</t>
  </si>
  <si>
    <t>2014.6.16.</t>
  </si>
  <si>
    <t>2014.6.18.</t>
  </si>
  <si>
    <t>2014.6.25.</t>
  </si>
  <si>
    <t>2014.7.1.</t>
  </si>
  <si>
    <t>2014.6.23.</t>
  </si>
  <si>
    <t>유정인 결혼축의금</t>
  </si>
  <si>
    <t>2014.6.30.</t>
  </si>
  <si>
    <t>주차 258000+150000</t>
  </si>
  <si>
    <t>2014.7.4.</t>
  </si>
  <si>
    <t>2014.7.14.</t>
  </si>
  <si>
    <t>2014.7.16.</t>
  </si>
  <si>
    <t>2014.7.18.</t>
  </si>
  <si>
    <t>2014.7.25.</t>
  </si>
  <si>
    <t>2014.8.1.</t>
  </si>
  <si>
    <t>2014.7.17.</t>
  </si>
  <si>
    <t>래시스 홈피 연비용 선납</t>
  </si>
  <si>
    <t>새마을금고 9002-1420-8874-8 유석철</t>
  </si>
  <si>
    <t>2014.7.23.</t>
  </si>
  <si>
    <t>etax.seoul.go.kr /지로 356*250=89000</t>
  </si>
  <si>
    <t>주차 288000</t>
  </si>
  <si>
    <t>2014.7.29.</t>
  </si>
  <si>
    <t>광원.완납</t>
  </si>
  <si>
    <t>2014.8.2.</t>
  </si>
  <si>
    <t>국민 097601-04-204511 서창희</t>
  </si>
  <si>
    <t>주차는 후불, 원장주차는 선불</t>
  </si>
  <si>
    <t>2014.8.14.</t>
  </si>
  <si>
    <t>2014.8.18.</t>
  </si>
  <si>
    <t>2014.8.25.</t>
  </si>
  <si>
    <t>2014.9.1.</t>
  </si>
  <si>
    <t>2014.8.8.</t>
  </si>
  <si>
    <t>80050530-0001 한국투자증권 이일근 (연 수수료)</t>
  </si>
  <si>
    <t>2014.8.13.</t>
  </si>
  <si>
    <t>2014.8.29.</t>
  </si>
  <si>
    <t>임대+관리</t>
  </si>
  <si>
    <t>2014.9.6.</t>
  </si>
  <si>
    <t>주차정산</t>
  </si>
  <si>
    <t>국민은행 097601-04-204511 서창희</t>
  </si>
  <si>
    <t>2014.9.12.</t>
  </si>
  <si>
    <t>2014.9.16.</t>
  </si>
  <si>
    <t>2014.9.18.</t>
  </si>
  <si>
    <t>2014.9.25.</t>
  </si>
  <si>
    <t>2014.10.1.</t>
  </si>
  <si>
    <t>homplus.co.kr</t>
  </si>
  <si>
    <t>2014.9.19.</t>
  </si>
  <si>
    <t>2014.9.22.</t>
  </si>
  <si>
    <t>초과근무수당.정주영(8/22~9/21,23일간)</t>
  </si>
  <si>
    <t>초과근무수당.한아라</t>
  </si>
  <si>
    <t>2014.9.24.</t>
  </si>
  <si>
    <t>2014.9.30.</t>
  </si>
  <si>
    <t>2014.10.14.</t>
  </si>
  <si>
    <t>2014.10.16.</t>
  </si>
  <si>
    <t>2014.10.17.</t>
  </si>
  <si>
    <t>2014.10.24.</t>
  </si>
  <si>
    <t>2014.10.31.</t>
  </si>
  <si>
    <t>2014.10.23.</t>
  </si>
  <si>
    <t>초과근무.정주영(9/22~10/21,19일간)</t>
  </si>
  <si>
    <t>26000(*21)</t>
  </si>
  <si>
    <t>25000(*21)</t>
  </si>
  <si>
    <t>초과근무수당.이세영</t>
  </si>
  <si>
    <t>27000(*21)</t>
  </si>
  <si>
    <t>윤혜연.출산축하</t>
  </si>
  <si>
    <t>유정인.출산축하</t>
  </si>
  <si>
    <t>2014년 10월 1일부터 근무</t>
  </si>
  <si>
    <t>2014.11.6.</t>
  </si>
  <si>
    <t>2014.11.14.</t>
  </si>
  <si>
    <t>2014.11.18.</t>
  </si>
  <si>
    <t>2014.11.25.</t>
  </si>
  <si>
    <t>2014.12.1.</t>
  </si>
  <si>
    <t>2014.11.22.</t>
  </si>
  <si>
    <t>초과근무.정주영(10/22~11/19,25일간)</t>
  </si>
  <si>
    <t>26000(*27)</t>
  </si>
  <si>
    <t>25000(*27)</t>
  </si>
  <si>
    <t>초과근무수당.이세영(~11/21,27일간)</t>
  </si>
  <si>
    <t>27000(*29)</t>
  </si>
  <si>
    <t>2014.11.24.</t>
  </si>
  <si>
    <t>2014.11.29.</t>
  </si>
  <si>
    <t>2014.12.3.</t>
  </si>
  <si>
    <t>2014.12.5.</t>
  </si>
  <si>
    <t>2014.12.8.</t>
  </si>
  <si>
    <t>2014.12.12.</t>
  </si>
  <si>
    <t>2014.12.16.</t>
  </si>
  <si>
    <t>2014.12.18.</t>
  </si>
  <si>
    <t>2014.12.24.</t>
  </si>
  <si>
    <t>2014.12.31.</t>
  </si>
  <si>
    <t>2014.12.19.</t>
  </si>
  <si>
    <t>2014.12.22.</t>
  </si>
  <si>
    <t>초과근무수당.이세영(~12/21,24일간)</t>
  </si>
  <si>
    <t>27000(*26)</t>
  </si>
  <si>
    <t>2014.12.23.</t>
  </si>
  <si>
    <t>2015.1.6.</t>
  </si>
  <si>
    <t>2015.1.14.</t>
  </si>
  <si>
    <t>2015.1.16.</t>
  </si>
  <si>
    <t>2015.1.23.</t>
  </si>
  <si>
    <t>2015.1.30.</t>
  </si>
  <si>
    <t>KT 신사동(2014.12월분)</t>
  </si>
  <si>
    <t>2015.1.27.</t>
  </si>
  <si>
    <t>2015.1.29.</t>
  </si>
  <si>
    <t>2015.2.13.</t>
  </si>
  <si>
    <t>2015.2.16.</t>
  </si>
  <si>
    <t>2015.2.17.</t>
  </si>
  <si>
    <t>2015.2.25.</t>
  </si>
  <si>
    <t>2015.2.27.</t>
  </si>
  <si>
    <t>2015.2.5.</t>
  </si>
  <si>
    <t>2015.2.9.</t>
  </si>
  <si>
    <t>2015.2.21.</t>
  </si>
  <si>
    <t>2015.2.26.</t>
  </si>
  <si>
    <t xml:space="preserve">신경전도 컴퓨터 수리비 </t>
  </si>
  <si>
    <t xml:space="preserve">컴119넷. KB국민.9-15549669-45 </t>
  </si>
  <si>
    <t>2015.3.5.</t>
  </si>
  <si>
    <t>2015.3.13.</t>
  </si>
  <si>
    <t>2015.3.16.</t>
  </si>
  <si>
    <t>2015.3.18.</t>
  </si>
  <si>
    <t>2015.3.25.</t>
  </si>
  <si>
    <t>2015.4.1.</t>
  </si>
  <si>
    <t>2015.3.14.</t>
  </si>
  <si>
    <t>2015.3.17.</t>
  </si>
  <si>
    <t>신경전도데이터 복구비용</t>
  </si>
  <si>
    <t>신한100-024-574396 이규경 119컴퓨터 FIXRDATA</t>
  </si>
  <si>
    <t>2015.3.20.</t>
  </si>
  <si>
    <t>shop.co.kr  하나카드</t>
  </si>
  <si>
    <t>2015.3.23.</t>
  </si>
  <si>
    <t>2015.3.31.</t>
  </si>
  <si>
    <t>2015.3.26.</t>
  </si>
  <si>
    <t>외환.메디노블스카드</t>
  </si>
  <si>
    <t>2015.4.2.</t>
  </si>
  <si>
    <t>신경과학회 연회비</t>
  </si>
  <si>
    <t>하나카드</t>
  </si>
  <si>
    <t>두통학회 연회비</t>
  </si>
  <si>
    <t>2015.4.7.</t>
  </si>
  <si>
    <t>2015.4.14.</t>
  </si>
  <si>
    <t>2015.4.16.</t>
  </si>
  <si>
    <t>2015.4.17.</t>
  </si>
  <si>
    <t>2015.4.24.</t>
  </si>
  <si>
    <t>2015.5.1.</t>
  </si>
  <si>
    <t>2015.4.15.</t>
  </si>
  <si>
    <t>2015.4.30.</t>
  </si>
  <si>
    <t>2015.4.28.</t>
  </si>
  <si>
    <t>SK chemical (가처리.원장서명 못함)</t>
  </si>
  <si>
    <t>2015.5.4.</t>
  </si>
  <si>
    <t>2015.5.7.</t>
  </si>
  <si>
    <t>2015.5.14.</t>
  </si>
  <si>
    <t>2015.5.15.</t>
  </si>
  <si>
    <t>2015.5.18.</t>
  </si>
  <si>
    <t>2015.5.22.</t>
  </si>
  <si>
    <t>2015.6.1.</t>
  </si>
  <si>
    <t>2015.5.29.</t>
  </si>
  <si>
    <t>2015.5.28.</t>
  </si>
  <si>
    <t>2015.6.4.</t>
  </si>
  <si>
    <t>정수기 구입</t>
  </si>
  <si>
    <t>씨티카드+계산서</t>
  </si>
  <si>
    <t>2015.6.8.</t>
  </si>
  <si>
    <t>2015.6.12.</t>
  </si>
  <si>
    <t>2015.6.16.</t>
  </si>
  <si>
    <t>2015.6.18.</t>
  </si>
  <si>
    <t>2015.6.25.</t>
  </si>
  <si>
    <t>2015.7.1.</t>
  </si>
  <si>
    <t>1801937(1745353+56584)</t>
  </si>
  <si>
    <t>2015.6.11.</t>
  </si>
  <si>
    <t>2015.6.15.</t>
  </si>
  <si>
    <t>2015.6.23.</t>
  </si>
  <si>
    <t>2015.6.30.</t>
  </si>
  <si>
    <t>2015.6.29.</t>
  </si>
  <si>
    <t>소득세조정료</t>
  </si>
  <si>
    <t>성실수수료</t>
  </si>
  <si>
    <t>소득세.농어촌특별세</t>
  </si>
  <si>
    <t>지방소득세.소득세분</t>
  </si>
  <si>
    <t>2015.7.5.</t>
  </si>
  <si>
    <t>2015.7.14.</t>
  </si>
  <si>
    <t>2015.7.16.</t>
  </si>
  <si>
    <t>2015.7.17.</t>
  </si>
  <si>
    <t>2015.7.24.</t>
  </si>
  <si>
    <t>2015.7.31.</t>
  </si>
  <si>
    <t>2015.7.15.</t>
  </si>
  <si>
    <t>초과근무.정주영(6/15~7/14,26일간)</t>
  </si>
  <si>
    <t>26000(*28)</t>
  </si>
  <si>
    <t>25000(*28)</t>
  </si>
  <si>
    <t>2015.8.4.</t>
  </si>
  <si>
    <t>2015.8.</t>
  </si>
  <si>
    <t>2015.8.14.</t>
  </si>
  <si>
    <t>2015.8.18.</t>
  </si>
  <si>
    <t>2015.8.25.</t>
  </si>
  <si>
    <t>2015.9.1.</t>
  </si>
  <si>
    <t>2015.8.13.</t>
  </si>
  <si>
    <t>초과근무.정주영(7/15~8/14,26일간)</t>
  </si>
  <si>
    <t>의협24기</t>
  </si>
  <si>
    <t>etax.seoul.go.kr /지로 356*250=89000+가산</t>
  </si>
  <si>
    <t>소득세(분납2)</t>
  </si>
  <si>
    <t>2015.8.27.</t>
  </si>
  <si>
    <t>2015.8.31.</t>
  </si>
  <si>
    <t>2015.9.7.</t>
  </si>
  <si>
    <t>2015.9.7..</t>
  </si>
  <si>
    <t>2015.9.14.</t>
  </si>
  <si>
    <t>(-63180)</t>
  </si>
  <si>
    <t>2015.9.16.</t>
  </si>
  <si>
    <t>2015.9.18.</t>
  </si>
  <si>
    <t>2015.9.25.</t>
  </si>
  <si>
    <t>2015.10.1.</t>
  </si>
  <si>
    <t>2015.9.12.</t>
  </si>
  <si>
    <t>26000(*26)</t>
  </si>
  <si>
    <t>25000(*26)</t>
  </si>
  <si>
    <t>안랩 Internet Security9.0(2년 라이센스)</t>
  </si>
  <si>
    <t>2015.9.30.</t>
  </si>
  <si>
    <t>신경과의사회.연회비.등록비</t>
  </si>
  <si>
    <t>2015.10.5.</t>
  </si>
  <si>
    <t>2015.10.14.</t>
  </si>
  <si>
    <t>2015.10.16.</t>
  </si>
  <si>
    <t>2015.10.23.</t>
  </si>
  <si>
    <t>2015.10.30.</t>
  </si>
  <si>
    <t>inkdcmart.co.kr(HP Laserjet P1102)</t>
  </si>
  <si>
    <t>광원(paste)</t>
  </si>
  <si>
    <t>퇴직연금 수수료</t>
  </si>
  <si>
    <t>한국투자</t>
  </si>
  <si>
    <t>2015.10.22.</t>
  </si>
  <si>
    <t>2015.10.23</t>
  </si>
  <si>
    <t>2015.11.2.</t>
  </si>
  <si>
    <t>래시스 홈피 수정 비용</t>
  </si>
  <si>
    <t>2015.11.4</t>
  </si>
  <si>
    <t>광원(2014.12.24.)</t>
  </si>
  <si>
    <t>광원(2015.02.26)</t>
  </si>
  <si>
    <t>2015.11.6.</t>
  </si>
  <si>
    <t>2015.11.7.</t>
  </si>
  <si>
    <t>2015.11.13.</t>
  </si>
  <si>
    <t>2015.11.16.</t>
  </si>
  <si>
    <t>2015.11.18.</t>
  </si>
  <si>
    <t>2015.11.25.</t>
  </si>
  <si>
    <t>2015.12.1.</t>
  </si>
  <si>
    <t>2015.11.17.</t>
  </si>
  <si>
    <t>잘해드림, 병원명함, 봉투</t>
  </si>
  <si>
    <t>2015.11.20.</t>
  </si>
  <si>
    <t>2015.11.30.</t>
  </si>
  <si>
    <t>2015.11.26.</t>
  </si>
  <si>
    <t>명함.잘해드림.부가세추가</t>
  </si>
  <si>
    <t>280000?</t>
  </si>
  <si>
    <t>의사랑.새컴퓨터비용</t>
  </si>
  <si>
    <t>홈플러스.병원물품</t>
  </si>
  <si>
    <t>2015.12.3.</t>
  </si>
  <si>
    <t>2015.12.8.</t>
  </si>
  <si>
    <t>2015.12.14.</t>
  </si>
  <si>
    <t>2015.12.16.</t>
  </si>
  <si>
    <t>2015.12.18.</t>
  </si>
  <si>
    <t>2015.12.24.</t>
  </si>
  <si>
    <t>2015.12.31.</t>
  </si>
  <si>
    <t>2015.12.21.</t>
  </si>
  <si>
    <t>citi card</t>
  </si>
  <si>
    <t>2015.12.23.</t>
  </si>
  <si>
    <t>병원물품.the.shop</t>
  </si>
  <si>
    <t>www.shop.co.kr</t>
  </si>
  <si>
    <t>2015.12.30.</t>
  </si>
  <si>
    <t>직원퇴직연금(6개월)</t>
  </si>
  <si>
    <t>2016.1.6.</t>
  </si>
  <si>
    <t>2016.1.11.</t>
  </si>
  <si>
    <t>2016.1.14.</t>
  </si>
  <si>
    <t>2016.1.15.</t>
  </si>
  <si>
    <t>2016.1.18.</t>
  </si>
  <si>
    <t>2016.1.25.</t>
  </si>
  <si>
    <t>2016.2.1.</t>
  </si>
  <si>
    <t>2016.1.20.</t>
  </si>
  <si>
    <t>2016.1.29.</t>
  </si>
  <si>
    <t>2016.2.5.</t>
  </si>
  <si>
    <t>2016.2.6.</t>
  </si>
  <si>
    <t>2016.2.15.</t>
  </si>
  <si>
    <t>2016.2.16.</t>
  </si>
  <si>
    <t>2016.2.18.</t>
  </si>
  <si>
    <t>정선영</t>
  </si>
  <si>
    <t>2016.2.25.</t>
  </si>
  <si>
    <t>2016.2.29.</t>
  </si>
  <si>
    <t>2016.2.23.</t>
  </si>
  <si>
    <t>2016.2.24.</t>
  </si>
  <si>
    <t>유정인.퇴직연금정산</t>
  </si>
  <si>
    <t>2016.2.27.</t>
  </si>
  <si>
    <t>광원.paste x12</t>
  </si>
  <si>
    <t>2016.3.4.</t>
  </si>
  <si>
    <t>2016.3.7.</t>
  </si>
  <si>
    <t>2016.3.16.</t>
  </si>
  <si>
    <t>2016.3.18.</t>
  </si>
  <si>
    <t>2016.3.25.</t>
  </si>
  <si>
    <t>2016.4.1.</t>
  </si>
  <si>
    <t>이세영(연말정산환급)</t>
  </si>
  <si>
    <t>2016.3.22.</t>
  </si>
  <si>
    <t>2016.3.24.</t>
  </si>
  <si>
    <t>2016.3.31.</t>
  </si>
  <si>
    <t>2016년1월부터 29만원으로 인상 적용</t>
  </si>
  <si>
    <t>아이젤 2개</t>
  </si>
  <si>
    <t>박ENT 2개 같이.</t>
  </si>
  <si>
    <t>2016.4.4.</t>
  </si>
  <si>
    <t>2016.4.7.</t>
  </si>
  <si>
    <t>2016.4.15.</t>
  </si>
  <si>
    <t>2016.4.18.</t>
  </si>
  <si>
    <t>2016.4.25.</t>
  </si>
  <si>
    <t>2016.4.29.</t>
  </si>
  <si>
    <t>2016.4.14.</t>
  </si>
  <si>
    <t>이세영 결혼축의금</t>
  </si>
  <si>
    <t>유니폼.올웨이즈</t>
  </si>
  <si>
    <t>2016.4.23.</t>
  </si>
  <si>
    <t>2016.5.24.</t>
  </si>
  <si>
    <t>2016.4.30.</t>
  </si>
  <si>
    <t>2016.5.9.</t>
  </si>
  <si>
    <t>2016.5.16.</t>
  </si>
  <si>
    <t>2016.5.18.</t>
  </si>
  <si>
    <t>2016.5.25.</t>
  </si>
  <si>
    <t>2016.6.1.</t>
  </si>
  <si>
    <t>2016.5.13.</t>
  </si>
  <si>
    <t>광원.stimulator.수리</t>
  </si>
  <si>
    <t>2016.5.19.</t>
  </si>
  <si>
    <t>서울대.신경과의국.연회비.2015</t>
  </si>
  <si>
    <t>서울대.신경과의국.연회비.2016</t>
  </si>
  <si>
    <t>유당학술기금1</t>
  </si>
  <si>
    <t>2016.5.31.</t>
  </si>
  <si>
    <t>광원.PC교체</t>
  </si>
  <si>
    <t>2016.6.2.</t>
  </si>
  <si>
    <t>2016.6.8.</t>
  </si>
  <si>
    <t>2016.6.16.</t>
  </si>
  <si>
    <t>2016.6.17.</t>
  </si>
  <si>
    <t>2016.6.24.</t>
  </si>
  <si>
    <t>2016.7.1.</t>
  </si>
  <si>
    <t>유당학술기금2</t>
  </si>
  <si>
    <t>2016.6.20.</t>
  </si>
  <si>
    <t>2016.6.23.</t>
  </si>
  <si>
    <t>광원.전극</t>
  </si>
  <si>
    <t>2016.6.30.</t>
  </si>
  <si>
    <t>2016.6.28.</t>
  </si>
  <si>
    <t>2015귀속.종합소득세납부</t>
  </si>
  <si>
    <t>세무조정수수료</t>
  </si>
  <si>
    <t>성실신고확인보수</t>
  </si>
  <si>
    <t>2016.7.4.</t>
  </si>
  <si>
    <t>2016.7.6.</t>
  </si>
  <si>
    <t>원장 재킷</t>
  </si>
  <si>
    <t>2016.7.12.</t>
  </si>
  <si>
    <t>래시스 1년 연장(30% DC)</t>
  </si>
  <si>
    <t>2016.7.15.</t>
  </si>
  <si>
    <t>2016.7.18.</t>
  </si>
  <si>
    <t>2016.7.25.</t>
  </si>
  <si>
    <t>2016.8.1.</t>
  </si>
  <si>
    <t>2016.7.14.</t>
  </si>
  <si>
    <t>유당학술기금3</t>
  </si>
  <si>
    <t>2016.7.22.</t>
  </si>
  <si>
    <t>2016.7.29.</t>
  </si>
  <si>
    <t>2016.8.2.</t>
  </si>
  <si>
    <t>2016.8.4.</t>
  </si>
  <si>
    <t>중복납부.환급신청(9/5)</t>
  </si>
  <si>
    <t>2016.8.8.</t>
  </si>
  <si>
    <t>2016.8.16.</t>
  </si>
  <si>
    <t>2016.8.18.</t>
  </si>
  <si>
    <t>2016.8.25.</t>
  </si>
  <si>
    <t>2016.9.1.</t>
  </si>
  <si>
    <t>2016.8.10.</t>
  </si>
  <si>
    <t>2015귀속.종합소득세분납</t>
  </si>
  <si>
    <t>인터넷지로</t>
  </si>
  <si>
    <t>2016.8.30</t>
  </si>
  <si>
    <t>2016.9.3.</t>
  </si>
  <si>
    <t>혈압기</t>
  </si>
  <si>
    <t>인바디강남.우리.1005-402-659327</t>
  </si>
  <si>
    <t>2016.9.7.</t>
  </si>
  <si>
    <t>2016.9.13.</t>
  </si>
  <si>
    <t>2016.9.23.</t>
  </si>
  <si>
    <t>2016.9.30.</t>
  </si>
  <si>
    <t>2016.9.8.</t>
  </si>
  <si>
    <t>seoulbrain.도메인연장</t>
  </si>
  <si>
    <t>2019.9.말까지 3년 (whois)</t>
  </si>
  <si>
    <t>2016.9.24.</t>
  </si>
  <si>
    <t>2016.10.10.</t>
  </si>
  <si>
    <t>2016.10.14.</t>
  </si>
  <si>
    <t>2016.10.18.</t>
  </si>
  <si>
    <t>2016.10.25.</t>
  </si>
  <si>
    <t>2016.11.1.</t>
  </si>
  <si>
    <t>2016.10.31.</t>
  </si>
  <si>
    <t>2016.10.26.</t>
  </si>
  <si>
    <t>광원.paste.nuprep</t>
  </si>
  <si>
    <t>2016.11.3.</t>
  </si>
  <si>
    <t>2016.11.7.</t>
  </si>
  <si>
    <t>2016.11.9.</t>
  </si>
  <si>
    <t>래시스 홈피 이전공고</t>
  </si>
  <si>
    <t>2016.11.16.</t>
  </si>
  <si>
    <t>2016.11.18.</t>
  </si>
  <si>
    <t>2016.11.25.</t>
  </si>
  <si>
    <t>2016.12.1.</t>
  </si>
  <si>
    <t>2016.11.22.</t>
  </si>
  <si>
    <t>2016.11.24.</t>
  </si>
  <si>
    <t>2016.11.30.</t>
  </si>
  <si>
    <t xml:space="preserve">더편한 세무법인 301-01207-205-41 농협중앙
</t>
  </si>
  <si>
    <t>2016.11.29.</t>
  </si>
  <si>
    <t>소득세.중간예납.분납</t>
  </si>
  <si>
    <t>19076000원 중 9076000원은 1월 납부 예정</t>
  </si>
  <si>
    <t>2016.12.5.</t>
  </si>
  <si>
    <t>2016.12.6.</t>
  </si>
  <si>
    <t>2016.12.16.</t>
  </si>
  <si>
    <t>2016.12.23.</t>
  </si>
  <si>
    <t>2016.12.30.</t>
  </si>
  <si>
    <t>2016.12.12.</t>
  </si>
  <si>
    <t>새병원.인테리어공사비.계약금</t>
  </si>
  <si>
    <t>계약금/중도금/잔금76000000</t>
  </si>
  <si>
    <t>우리은행 1002-352-064299 이선임</t>
  </si>
  <si>
    <t>2016.12.22.</t>
  </si>
  <si>
    <t>2016.12.27.</t>
  </si>
  <si>
    <t>(2016.9.)</t>
  </si>
  <si>
    <t>2017.1.4.</t>
  </si>
  <si>
    <t>2017.1.5.</t>
  </si>
  <si>
    <t xml:space="preserve">간판.계약금
</t>
  </si>
  <si>
    <t>신한100-025-128087 박돈승(지에스데코)</t>
  </si>
  <si>
    <t>440만원(400+40)의 60%</t>
  </si>
  <si>
    <t>2017.1.16.</t>
  </si>
  <si>
    <t>2017.1.18.</t>
  </si>
  <si>
    <t>2017.1.25.</t>
  </si>
  <si>
    <t>2017.2.1.</t>
  </si>
  <si>
    <t>2017.1.9.</t>
  </si>
  <si>
    <t>2017.1.11.</t>
  </si>
  <si>
    <t>새병원.인테리어공사비.중도금</t>
  </si>
  <si>
    <t xml:space="preserve">간판.잔금
</t>
  </si>
  <si>
    <t>440만원(400+40)의 40%</t>
  </si>
  <si>
    <t>2017.1.17.</t>
  </si>
  <si>
    <t>촉탁의사등록회비(서울요양원.20만원)</t>
  </si>
  <si>
    <t xml:space="preserve">씨티 146-51397-245 강남구의사회
</t>
  </si>
  <si>
    <t>촉탁의사등록회비(논현요양원.8만원)</t>
  </si>
  <si>
    <t>직원.의자.1개</t>
  </si>
  <si>
    <t>직원.의자.2개</t>
  </si>
  <si>
    <t>새병원.냉난방.환풍기.공사</t>
  </si>
  <si>
    <t>(890+89) 국민은행 048-21-1068-381 배준영</t>
  </si>
  <si>
    <t>소득세.중간예납.분납2</t>
  </si>
  <si>
    <t>citicard</t>
  </si>
  <si>
    <t>2017.1.30.</t>
  </si>
  <si>
    <t>철거비용.백호</t>
  </si>
  <si>
    <t>(4114000+2000000+2114000)</t>
  </si>
  <si>
    <t>2017.1.31.</t>
  </si>
  <si>
    <t>잔여관리비.합산</t>
  </si>
  <si>
    <t>네오스.임대보증금.환불</t>
  </si>
  <si>
    <t>2017.2.2.</t>
  </si>
  <si>
    <t>삼화301임대관리전기수도</t>
  </si>
  <si>
    <t>국민 097601-04-235351 이일근피엔엘</t>
  </si>
  <si>
    <t>2017.2.3.</t>
  </si>
  <si>
    <t xml:space="preserve">홈페이지.수정비용
</t>
  </si>
  <si>
    <t>TCD.PMD150 5V Power Supply</t>
  </si>
  <si>
    <t>우리은행 1005-802-252747 (주)계림메디칼</t>
  </si>
  <si>
    <t>2017.2.8.</t>
  </si>
  <si>
    <t>2017.2.16.</t>
  </si>
  <si>
    <t>2017.2.17.</t>
  </si>
  <si>
    <t>2017.2.24.</t>
  </si>
  <si>
    <t>2017.2.28.</t>
  </si>
  <si>
    <t>2017.2.10</t>
  </si>
  <si>
    <t>주차정산(1/1~1/23)</t>
  </si>
  <si>
    <t>2017.2.20.</t>
  </si>
  <si>
    <t>이전.네트워크.배선</t>
  </si>
  <si>
    <t>신협 131-017-711894 이영수에스엠텍미디어</t>
  </si>
  <si>
    <t>2017.2.22.</t>
  </si>
  <si>
    <t>미화아주머니 첫 급여</t>
  </si>
  <si>
    <t>2017.2.23.</t>
  </si>
  <si>
    <t>안압기계.진원메디칼</t>
  </si>
  <si>
    <t xml:space="preserve">국민 383601-04-084715 </t>
  </si>
  <si>
    <t>임대관리전기</t>
  </si>
  <si>
    <t>피엔엘</t>
  </si>
  <si>
    <t>광원.paste</t>
  </si>
  <si>
    <t>촉탁의사등록회비(강남실버.8만원)</t>
  </si>
  <si>
    <t>씨티 146-51397-245 강남구의사회</t>
  </si>
  <si>
    <t>촉탁의사등록회비(역삼요양원.8만원)</t>
  </si>
  <si>
    <t>촉탁의사등록회비(유명요양원.3만원)</t>
  </si>
  <si>
    <t>2017.3.8.</t>
  </si>
  <si>
    <t>2017.3.16.</t>
  </si>
  <si>
    <t>2017.3.17.</t>
  </si>
  <si>
    <t>2017.3.24.</t>
  </si>
  <si>
    <t>2017.4.1.</t>
  </si>
  <si>
    <t>2017.3.9.</t>
  </si>
  <si>
    <t>광원.이전비용</t>
  </si>
  <si>
    <t>citicard (장부교체.대표이사교체)</t>
  </si>
  <si>
    <t>2017.3.23.</t>
  </si>
  <si>
    <t>미화아주머니 급여</t>
  </si>
  <si>
    <t>KT 텔레캅 (1월)</t>
  </si>
  <si>
    <t xml:space="preserve">가상개인계좌.KB국민.4710 9013 7140 29 </t>
  </si>
  <si>
    <t>KT 텔레캅 (2월)</t>
  </si>
  <si>
    <t>2017.3.31.</t>
  </si>
  <si>
    <t>피엔엘 KB국민 097601-04-235351</t>
  </si>
  <si>
    <t>수도요금</t>
  </si>
  <si>
    <t>2017.3.30.</t>
  </si>
  <si>
    <t>2017.4.6.</t>
  </si>
  <si>
    <t>KT 텔레캅 (3월)</t>
  </si>
  <si>
    <t>2017.4.7.</t>
  </si>
  <si>
    <t>2017.4.15.</t>
  </si>
  <si>
    <t>올웨이즈.유니폼</t>
  </si>
  <si>
    <t>2017.4.17.</t>
  </si>
  <si>
    <t>2017.4.18.</t>
  </si>
  <si>
    <t>2017.4.22.</t>
  </si>
  <si>
    <t>2017.5.1.</t>
  </si>
  <si>
    <t>2017.5.8.</t>
  </si>
  <si>
    <t>KT 텔레캅 (4월)</t>
  </si>
  <si>
    <t>2017.4.21.</t>
  </si>
  <si>
    <t>김순례 하나은행 144-890700-62807</t>
  </si>
  <si>
    <t>2017.4.24.</t>
  </si>
  <si>
    <t>2017.4.28.</t>
  </si>
  <si>
    <t>김혜진 급여 산정</t>
  </si>
  <si>
    <t>국민 490102 04 138700 김혜진</t>
  </si>
  <si>
    <t>2017.4.27.</t>
  </si>
  <si>
    <t xml:space="preserve">citicard </t>
  </si>
  <si>
    <t>2017.5.15.</t>
  </si>
  <si>
    <t>2017.5.18.</t>
  </si>
  <si>
    <t>2017.6.1.</t>
  </si>
  <si>
    <t>2017.5.12.</t>
  </si>
  <si>
    <t>carotid.probe.계림메디칼</t>
  </si>
  <si>
    <t>우리은행 1005-802-252747 주식회사계림메디칼</t>
  </si>
  <si>
    <t>2017.5.17.</t>
  </si>
  <si>
    <t>한아라.수당</t>
  </si>
  <si>
    <t>4/24~5/15. 16+1=17일</t>
  </si>
  <si>
    <t>정선영.수당</t>
  </si>
  <si>
    <t>2017.5.23.</t>
  </si>
  <si>
    <t>2017.5.31.</t>
  </si>
  <si>
    <t>임대관리전기수도</t>
  </si>
  <si>
    <t>196112원 납입 못하고 6월에 같이 납입</t>
  </si>
  <si>
    <t>2017.6.7.</t>
  </si>
  <si>
    <t>5/16~5/31(-3일). 9+1-3=7일</t>
  </si>
  <si>
    <t>5/16~5/31. 9+1=10일</t>
  </si>
  <si>
    <t>2017.6.9.</t>
  </si>
  <si>
    <t>2017.6.16.</t>
  </si>
  <si>
    <t>5월16일~25일 10일간 근무</t>
  </si>
  <si>
    <t>2017.6.30.</t>
  </si>
  <si>
    <t>2017.6.23.</t>
  </si>
  <si>
    <t>2017.6.19.</t>
  </si>
  <si>
    <t>윤혜연.수당</t>
  </si>
  <si>
    <t>6/5~6/15(9일). 9+1 = 10일 (+1일근무)</t>
  </si>
  <si>
    <t>6/5~6/15(9일). 9+1 = 10일 (+3일근무)</t>
  </si>
  <si>
    <t>2017.6.20.</t>
  </si>
  <si>
    <t>보완지급</t>
  </si>
  <si>
    <t>KT 텔레캅 (5월)</t>
  </si>
  <si>
    <t>5,6월 합산납입 196112+210816</t>
  </si>
  <si>
    <t>2017.6.27.</t>
  </si>
  <si>
    <t>통합종합소득세(분할1)</t>
  </si>
  <si>
    <t>지로(분할2: 19421220) 17660원.추가</t>
  </si>
  <si>
    <t>1760원.추가</t>
  </si>
  <si>
    <t>2017.7.4.</t>
  </si>
  <si>
    <t>6/16~6/30(13일). 13+1 = 14일 (+1일근무)</t>
  </si>
  <si>
    <t>세무.조정보수.부가세포함</t>
  </si>
  <si>
    <t>성실신고확인수수료</t>
  </si>
  <si>
    <t>2017.7.5.</t>
  </si>
  <si>
    <t>2017.7.7.</t>
  </si>
  <si>
    <t>2017.7.14.</t>
  </si>
  <si>
    <t>2017.8.1.</t>
  </si>
  <si>
    <t>2017.7.10.</t>
  </si>
  <si>
    <t>KT 텔레캅 (6월)</t>
  </si>
  <si>
    <t>2017.7.13.</t>
  </si>
  <si>
    <t>구.시의사회비.의협회비</t>
  </si>
  <si>
    <t>래시스 1년 연장(20% DC)</t>
  </si>
  <si>
    <t>2017.7.21.</t>
  </si>
  <si>
    <t>미화아주머니 급여(2018.2.33만원으로)</t>
  </si>
  <si>
    <t>017.7.31.</t>
  </si>
  <si>
    <t>2017.7.17.</t>
  </si>
  <si>
    <t>7/1~7/15(13일). 13+1 = 14일 (+1일근무)</t>
  </si>
  <si>
    <t>2017.7.19.</t>
  </si>
  <si>
    <t>직원퇴직연금(이세영.미납분)</t>
  </si>
  <si>
    <t>7/16~7/31(13일). 13+1 = 14일 (+1일근무)</t>
  </si>
  <si>
    <t>7/16~7/31(13일-휴가1일). 12+1 = 13일 (+1일근무)</t>
  </si>
  <si>
    <t>2017.8.7.</t>
  </si>
  <si>
    <t>KT 텔레캅 (7월)</t>
  </si>
  <si>
    <t>2017.8.16.</t>
  </si>
  <si>
    <t>2017.9.1.</t>
  </si>
  <si>
    <t>2017.8.10.</t>
  </si>
  <si>
    <t>병원물품(the.shop)</t>
  </si>
  <si>
    <t>citicard-계산서</t>
  </si>
  <si>
    <t>2017.8.23.</t>
  </si>
  <si>
    <t>2017.8.31.</t>
  </si>
  <si>
    <t>2017.8.18.</t>
  </si>
  <si>
    <t>8/1~8/15(8일). 8+1 = 9일 (+1일근무)</t>
  </si>
  <si>
    <t>종합소득세분납(2)</t>
  </si>
  <si>
    <t xml:space="preserve">주민세 </t>
  </si>
  <si>
    <t>2017.8.24.</t>
  </si>
  <si>
    <t>8/16~8/31(14일). 14+1 = 15일 (+1일근무)</t>
  </si>
  <si>
    <t>2017.9.6.</t>
  </si>
  <si>
    <t>KT 텔레캅 (8월)</t>
  </si>
  <si>
    <t>2017.9.18.</t>
  </si>
  <si>
    <t>2017.9.29.</t>
  </si>
  <si>
    <t>2017.9.22.</t>
  </si>
  <si>
    <t>미화아주머니 급여(2018.2.부터33만)</t>
  </si>
  <si>
    <t>추석7만추가</t>
  </si>
  <si>
    <t>9/1~9/15(13일). 13+1 = 14일 (휴가1.5일-&gt; 12.5일)</t>
  </si>
  <si>
    <t>9/1~9/15(13일). 13+1 = 14일 (휴가0.5일-&gt; 13.5일)</t>
  </si>
  <si>
    <t>9/1~9/15(13일). 13+1 = 14일 (휴가1.0일-&gt; 13일)</t>
  </si>
  <si>
    <t>9/16~9/30(13일). 13+1 = 14일 (휴가0일)</t>
  </si>
  <si>
    <t>9/16~9/30(13일). 13+1 = 14일 (휴가3일)</t>
  </si>
  <si>
    <t>9/16~9/30(13일). 13+1 = 14일 (휴가0.5일)</t>
  </si>
  <si>
    <t>2017.9.28.</t>
  </si>
  <si>
    <t>통합사회보험료.9월분(10/10.납부기한)</t>
  </si>
  <si>
    <t>2017.10.</t>
  </si>
  <si>
    <t>KT 텔레캅 (9월)</t>
  </si>
  <si>
    <t>2017.10.18.</t>
  </si>
  <si>
    <t>2017.11.1.</t>
  </si>
  <si>
    <t>2017.10.2.</t>
  </si>
  <si>
    <t>2017.10.16.</t>
  </si>
  <si>
    <t>10/1~10/15(5일). 5+1 = 6일</t>
  </si>
  <si>
    <t>2017.10.23.</t>
  </si>
  <si>
    <t>2017.10.31.</t>
  </si>
  <si>
    <t>2017.10.19.</t>
  </si>
  <si>
    <t>뉴로포스.전극</t>
  </si>
  <si>
    <t>우리은행 1005-101-355193 (주)뉴로포스</t>
  </si>
  <si>
    <t>2017.10.20.</t>
  </si>
  <si>
    <t>조무사교육등록비2016(윤혜연)</t>
  </si>
  <si>
    <t>조무사교육등록비2017(윤혜연)</t>
  </si>
  <si>
    <t>2017.10.25.</t>
  </si>
  <si>
    <t>V3 internet security 1년 연장</t>
  </si>
  <si>
    <t>2017.10.26.</t>
  </si>
  <si>
    <t>2017.11.2</t>
  </si>
  <si>
    <t>10/15~10/31(14일). 14+1 = 15일 (휴가0일)</t>
  </si>
  <si>
    <t>10/15~10/31(14일). 14+1 = 15일 (휴가1일) 14일</t>
  </si>
  <si>
    <t>2017.11.17.</t>
  </si>
  <si>
    <t>2017.12.1.</t>
  </si>
  <si>
    <t>2017.11.22.</t>
  </si>
  <si>
    <t>2017.11.7.</t>
  </si>
  <si>
    <t>통합사회보험료.10월분(11/10.납부기한)</t>
  </si>
  <si>
    <t>11/1~11/15(13일). 13+1 = 14일 (휴가1일) 13일</t>
  </si>
  <si>
    <t>11/1~11/15(13일). 13+1 = 14일 (휴가2일) 12일</t>
  </si>
  <si>
    <t>소득세.예납(28,969,000) 1차</t>
  </si>
  <si>
    <t>2017.11.30.</t>
  </si>
  <si>
    <t>2017.11.24.</t>
  </si>
  <si>
    <t>KT 텔레캅 (10월)</t>
  </si>
  <si>
    <t>2017.12.2.</t>
  </si>
  <si>
    <t>11/16~11/30(13일). 13+1 = 14일 (휴가0일) 14일</t>
  </si>
  <si>
    <t>2017.12.7.</t>
  </si>
  <si>
    <t>KT 텔레캅 (11월)</t>
  </si>
  <si>
    <t>통합사회보험료.11월분(12/10.납부기한)</t>
  </si>
  <si>
    <t>2017.12.18.</t>
  </si>
  <si>
    <t>2017.12.29.</t>
  </si>
  <si>
    <t>2017.12.22.</t>
  </si>
  <si>
    <t>12/1~12/15(13일). 13+1 = 14일 (휴가0일) 14일</t>
  </si>
  <si>
    <t>12/1~12/15(13일). 13+1 = 14일 (휴가0.5일) 13.5일</t>
  </si>
  <si>
    <t>홈피수정비용.래시스</t>
  </si>
  <si>
    <t>2018.1.2.</t>
  </si>
  <si>
    <t>12/16~12/31(12일). 12+1 = 13일 (휴가1일) 12일</t>
  </si>
  <si>
    <t>12/16~12/31(12일). 12+1 = 13일 (휴가0일) 13일</t>
  </si>
  <si>
    <t>2018.1.18.</t>
  </si>
  <si>
    <t>2018.2.1.</t>
  </si>
  <si>
    <t>2018.1.22.</t>
  </si>
  <si>
    <t>2018.1.8.</t>
  </si>
  <si>
    <t>KT 텔레캅 (12월)</t>
  </si>
  <si>
    <t>#납부가 안되었음? - 청구180250원</t>
  </si>
  <si>
    <t>통합사회보험료.12월분(1/10.납부기한)</t>
  </si>
  <si>
    <t>2018.1.17.</t>
  </si>
  <si>
    <t>1/1~1/15(12일). (휴가1일) 11일</t>
  </si>
  <si>
    <t>1/1~1/15(12일). (휴가0일) 12일</t>
  </si>
  <si>
    <t>1/1~1/15(12일). (휴가0.5일) 11.5일</t>
  </si>
  <si>
    <t>2018.1.23.</t>
  </si>
  <si>
    <t>소득세.예납(28,969,000) 2차.2018.1.</t>
  </si>
  <si>
    <t>2018.1.24.</t>
  </si>
  <si>
    <t>2018.1.31.</t>
  </si>
  <si>
    <t>2018.1.30.</t>
  </si>
  <si>
    <t>직원퇴직연금(10~12월)</t>
  </si>
  <si>
    <t>2018.2.2.</t>
  </si>
  <si>
    <t>1/16~1/31(14일). (휴가0일) 14일</t>
  </si>
  <si>
    <t>1/16~1/31(14일). (휴가1일) 13일</t>
  </si>
  <si>
    <t>2018.2.7.</t>
  </si>
  <si>
    <t># 납부액이 1월 미납분에 대해 처리됨.?</t>
  </si>
  <si>
    <t>통합사회보험료</t>
  </si>
  <si>
    <t>2018.2.14.</t>
  </si>
  <si>
    <t>2/1~2/15(12일). (휴가1.5일) 10.5일</t>
  </si>
  <si>
    <t>2/1~2/15(12일). (휴가0일) 12일</t>
  </si>
  <si>
    <t>2018.2.28.</t>
  </si>
  <si>
    <t>(설.보너스.10만.포함)</t>
  </si>
  <si>
    <t>2018.2.26.</t>
  </si>
  <si>
    <t>실제 산정액</t>
  </si>
  <si>
    <t>추가지급액</t>
  </si>
  <si>
    <t>2018.3.2.</t>
  </si>
  <si>
    <t>2/16~2/28(9일). (휴가0일) 9일</t>
  </si>
  <si>
    <t>2018.3.16.</t>
  </si>
  <si>
    <t>다음 수당에 차감</t>
  </si>
  <si>
    <t>2018.3.30.</t>
  </si>
  <si>
    <t>2018.3.22.</t>
  </si>
  <si>
    <t>연체92250+85000+부가세8500</t>
  </si>
  <si>
    <t>2018.3.7.</t>
  </si>
  <si>
    <t>2018.3.8.</t>
  </si>
  <si>
    <t>이세영직원.연말정산입금</t>
  </si>
  <si>
    <t>"차감"지급액</t>
  </si>
  <si>
    <t>2018.3.31.</t>
  </si>
  <si>
    <t>2018.6.7.</t>
  </si>
  <si>
    <t>delayed payment</t>
  </si>
  <si>
    <t>2018.4.2.</t>
  </si>
  <si>
    <t>3/16~3/31(14일). (휴가1일) 13일</t>
  </si>
  <si>
    <t>2018.4.18.</t>
  </si>
  <si>
    <t>2018.4.30.</t>
  </si>
  <si>
    <t>2018.4.6.</t>
  </si>
  <si>
    <t>2018.4.20.</t>
  </si>
  <si>
    <t>2018.4.17.</t>
  </si>
  <si>
    <t>4/1~4/15(12일). (휴가0.5일) 11.5일</t>
  </si>
  <si>
    <t>4/1~4/15(12일). (휴가1일) 11일</t>
  </si>
  <si>
    <t>2018.4.26.</t>
  </si>
  <si>
    <t>2018.5.2.</t>
  </si>
  <si>
    <t>4/16~4/30(13일). (휴가0.5일) 12.5일</t>
  </si>
  <si>
    <t>4/16~4/30(13일). (휴가0일) 13일</t>
  </si>
  <si>
    <t>4/16~4/30(13일). (휴가1일) 12일</t>
  </si>
  <si>
    <t>2018.5.7.</t>
  </si>
  <si>
    <t>2018.5.8.</t>
  </si>
  <si>
    <t>2018.5.18.</t>
  </si>
  <si>
    <t>2018.6.1.</t>
  </si>
  <si>
    <t>2018.5.21.</t>
  </si>
  <si>
    <t>2018.5.31.</t>
  </si>
  <si>
    <t>2018.5.17.</t>
  </si>
  <si>
    <t>5/1~5/15(11일). (휴가0일) 11일</t>
  </si>
  <si>
    <t>5/1~5/15(11일). (휴가1.5일) 9.5일</t>
  </si>
  <si>
    <t>5/1~5/15(11일). (휴가0.5일) 10.5일</t>
  </si>
  <si>
    <t>2018.5.16.</t>
  </si>
  <si>
    <t>래시스 홈피 연비용 선납(2019년 비용)</t>
  </si>
  <si>
    <t>2018.6.2.</t>
  </si>
  <si>
    <t>5/15~5/31(13일). (휴가1.5일) 11.5일</t>
  </si>
  <si>
    <t>5/15~5/31(13일). (휴가0일) 13일</t>
  </si>
  <si>
    <t>5/15~5/31(13일). (휴가1일) 12일</t>
  </si>
  <si>
    <t>2018.6.18.</t>
  </si>
  <si>
    <t>2018.6.29.</t>
  </si>
  <si>
    <t>2018.7.(8월1일 지급부터 인상.7월1일은 7만원지급</t>
  </si>
  <si>
    <t>2018.6.22.</t>
  </si>
  <si>
    <t>가상개인계좌.KB국민.4710 9013 7140 29</t>
  </si>
  <si>
    <t>6/1~15(11일). (휴가1.5일) 9.5일</t>
  </si>
  <si>
    <t>6/1~15(11일). (휴가0.5일) 10.5일</t>
  </si>
  <si>
    <t>6/1~15(11일). (휴가0일) 11일</t>
  </si>
  <si>
    <t>2018.7.2.</t>
  </si>
  <si>
    <t>6/16~22(6일). (휴가0일) 6일</t>
  </si>
  <si>
    <t>2018.6.21.</t>
  </si>
  <si>
    <t>종합소득세.분납1</t>
  </si>
  <si>
    <t>국민 001-2921-6556-14-0</t>
  </si>
  <si>
    <t>지방소득세.종합소득분</t>
  </si>
  <si>
    <t>국민 4011-92-05299326</t>
  </si>
  <si>
    <t>성실신고수수료</t>
  </si>
  <si>
    <t>2018.7.3.</t>
  </si>
  <si>
    <t>2018.7.18.</t>
  </si>
  <si>
    <t>2018.8.1.</t>
  </si>
  <si>
    <t>2018.7.20.</t>
  </si>
  <si>
    <t>2018.7.9.</t>
  </si>
  <si>
    <t>2018.7.12.</t>
  </si>
  <si>
    <t>2018.7.17.</t>
  </si>
  <si>
    <t>7/1~15(12일). (휴가1일) 11일</t>
  </si>
  <si>
    <t>2018.7.16.</t>
  </si>
  <si>
    <t>서울의대42회.30주년.도서관기금</t>
  </si>
  <si>
    <t>총무.박용범.계좌</t>
  </si>
  <si>
    <t>2018.7.26.</t>
  </si>
  <si>
    <t>직원퇴직연금.1년수수료</t>
  </si>
  <si>
    <t>2018.7.31.</t>
  </si>
  <si>
    <t>7/16~31(14일). (휴가0.5일) 13.5일</t>
  </si>
  <si>
    <t>7/16~31(14일). (휴가1일) 13일</t>
  </si>
  <si>
    <t>윤혜연.수당.추가</t>
  </si>
  <si>
    <t>합계 = 522383</t>
  </si>
  <si>
    <t>2018.8.17.</t>
  </si>
  <si>
    <t>2018.8.31.</t>
  </si>
  <si>
    <t>2018.8.22.</t>
  </si>
  <si>
    <t>2018.8.10.</t>
  </si>
  <si>
    <t>우리카드납부(전자납부번호 5701 8587 046 01)</t>
  </si>
  <si>
    <t>2018.8.9.</t>
  </si>
  <si>
    <t>8/1~15(9일). (휴가0일) 9일</t>
  </si>
  <si>
    <t>2018.8.24.</t>
  </si>
  <si>
    <t>종합소득세.분납2</t>
  </si>
  <si>
    <t>지로 (국민 001-2921-6659-64-5)</t>
  </si>
  <si>
    <t>2018.9.3.</t>
  </si>
  <si>
    <t>8/16~31(14일). (휴가1일) 13일</t>
  </si>
  <si>
    <t>2018.9.18.</t>
  </si>
  <si>
    <t>2018.10.1.</t>
  </si>
  <si>
    <t>2018.9.21.</t>
  </si>
  <si>
    <t>추석 상여 포함</t>
  </si>
  <si>
    <t>2018.9.10.</t>
  </si>
  <si>
    <t>9/1~15(13일). (휴가1일) 12일</t>
  </si>
  <si>
    <t>9/1~15(13일). (휴가0일) 13일</t>
  </si>
  <si>
    <t>9/1~15(13일). (휴가0.5일) 12.5일</t>
  </si>
  <si>
    <t>2018.9.28.</t>
  </si>
  <si>
    <t>2018.9.20</t>
  </si>
  <si>
    <t xml:space="preserve">랩지노믹스.6.7.8.월 </t>
  </si>
  <si>
    <t>9/16~30(9일). (휴가0.5일) 8.5일</t>
  </si>
  <si>
    <t>9/16~30(9일). (휴가2일) 7일</t>
  </si>
  <si>
    <t>2018.10.12.</t>
  </si>
  <si>
    <t>2018.10.10.</t>
  </si>
  <si>
    <t>2018.10.11.</t>
  </si>
  <si>
    <t>2018.10.17.</t>
  </si>
  <si>
    <t>10/1~15(10일). (휴가1일) 9일</t>
  </si>
  <si>
    <t>10/1~15(10일). (휴가0일) 10일</t>
  </si>
  <si>
    <t>2018.10.16.</t>
  </si>
  <si>
    <t>SK chemical.vaccine</t>
  </si>
  <si>
    <t>citi card (약 20만원 잔액)</t>
  </si>
  <si>
    <t>안랩 2년 연장구입</t>
  </si>
  <si>
    <t xml:space="preserve">citi card </t>
  </si>
  <si>
    <t>2018.10.18.</t>
  </si>
  <si>
    <t>2018.11.1.</t>
  </si>
  <si>
    <t>2018.10.22.</t>
  </si>
  <si>
    <t>2018.10.31.</t>
  </si>
  <si>
    <t>2018.11.2.</t>
  </si>
  <si>
    <t>랩지노믹스.</t>
  </si>
  <si>
    <t>10/16~31(14일). (휴가1일) 13일</t>
  </si>
  <si>
    <t>10/16~31(14일). (휴가1.5일) 12.5일</t>
  </si>
  <si>
    <t>2018.11.8.</t>
  </si>
  <si>
    <t>2018.11.12.</t>
  </si>
  <si>
    <t>2018.11.16.</t>
  </si>
  <si>
    <t>2018.11.30</t>
  </si>
  <si>
    <t>2018.11.22.</t>
  </si>
  <si>
    <t>한아라.결혼.축의금</t>
  </si>
  <si>
    <t>2018.11.24.</t>
  </si>
  <si>
    <t>11/1~15(13일). (휴가0.5일) 12.5일</t>
  </si>
  <si>
    <t>11/1~15(13일). (휴가1일) 12일</t>
  </si>
  <si>
    <t>2018.11.19.</t>
  </si>
  <si>
    <t>종합소득세예납.분납1차</t>
  </si>
  <si>
    <t>지로.총액.35850000(잔액17850000)</t>
  </si>
  <si>
    <t>2018.11.30.</t>
  </si>
  <si>
    <t>미수포함</t>
  </si>
  <si>
    <t>2018.12.3.</t>
  </si>
  <si>
    <t>11/16~30(13일). (휴가0일) 13일</t>
  </si>
  <si>
    <t>11/16~30(13일). (휴가6일) 7일</t>
  </si>
  <si>
    <t>11/16~30(13일). (휴가1일) 12일</t>
  </si>
  <si>
    <t>2018.12.5.</t>
  </si>
  <si>
    <t>광원메디칼.전극</t>
  </si>
  <si>
    <t>종합부동산세</t>
  </si>
  <si>
    <t>2018.12.10.</t>
  </si>
  <si>
    <t>2018.12.18.</t>
  </si>
  <si>
    <t>2018.12.31</t>
  </si>
  <si>
    <t>2018.12.21.</t>
  </si>
  <si>
    <t>2018.12.7.</t>
  </si>
  <si>
    <t>citicard-계산서 (57370-할인3000)</t>
  </si>
  <si>
    <t>2018.12.17.</t>
  </si>
  <si>
    <t>12/1~15(13일). (휴가0일) 13일</t>
  </si>
  <si>
    <t>12/1~15(13일). (휴가0.5일) 12.5일</t>
  </si>
  <si>
    <t>12/1~15(13일). (휴가2일) 11일</t>
  </si>
  <si>
    <t>2018.12.14.</t>
  </si>
  <si>
    <t>하나은행 189-910004-68504 (주)기영약품</t>
  </si>
  <si>
    <t>2018.12.24.</t>
  </si>
  <si>
    <t>차량리스선납금</t>
  </si>
  <si>
    <t>하나은행775-910020-10304 (주)세양물류중고차</t>
  </si>
  <si>
    <t>차량이전비용</t>
  </si>
  <si>
    <t>우리은행 1002-240-903935 이정은</t>
  </si>
  <si>
    <t>2018.12.31.</t>
  </si>
  <si>
    <t>2019.1.2.</t>
  </si>
  <si>
    <t>12/16~31(12일). (휴가1.5일) 10.5일</t>
  </si>
  <si>
    <t>12/16~31(12일). (휴가1일) 11일</t>
  </si>
  <si>
    <t>12/16~31(12일). (휴가0일) 12일</t>
  </si>
  <si>
    <t>한아라.교육비</t>
  </si>
  <si>
    <t>2018년도</t>
  </si>
  <si>
    <t>정선영.교육비</t>
  </si>
  <si>
    <t>2019.1.18.</t>
  </si>
  <si>
    <t>2019.2.1.</t>
  </si>
  <si>
    <t>2019.1.22.</t>
  </si>
  <si>
    <t>2019.1.10.</t>
  </si>
  <si>
    <t>2019.1.17.</t>
  </si>
  <si>
    <t>1/1~15(12일). (휴가0일) 12일</t>
  </si>
  <si>
    <t>2019.1.15.</t>
  </si>
  <si>
    <t>2019.1.23.</t>
  </si>
  <si>
    <t>미화아주머니 설상여</t>
  </si>
  <si>
    <t>2019.1.31.</t>
  </si>
  <si>
    <t>2019.1.29.</t>
  </si>
  <si>
    <t>면허세</t>
  </si>
  <si>
    <t>종합소득세예납.분납2차</t>
  </si>
  <si>
    <t>1/16~31(14일). (휴가0.5일) 13.5일</t>
  </si>
  <si>
    <t>1/16~31(14일). (휴가1일) 13일</t>
  </si>
  <si>
    <t>1/16~31(14일). (휴가1.5일) 12.5일</t>
  </si>
  <si>
    <t>2019.2.10.</t>
  </si>
  <si>
    <t>2019.2.7.</t>
  </si>
  <si>
    <t>2019.2.18.</t>
  </si>
  <si>
    <t>2019.2.28.</t>
  </si>
  <si>
    <t>2019.2.22.</t>
  </si>
  <si>
    <t>미화아주머니 급여(2019.2.부터35만)</t>
  </si>
  <si>
    <t>2/1~15(10일). (휴가1일) 9일</t>
  </si>
  <si>
    <t>2/1~15(10일). (휴가0일)10일</t>
  </si>
  <si>
    <t>2019.3.2.</t>
  </si>
  <si>
    <t>2/16~28(11일). (휴가0일) 11일</t>
  </si>
  <si>
    <t>2019.3.10.</t>
  </si>
  <si>
    <t>2019.3.18.</t>
  </si>
  <si>
    <t>2019.4.1.</t>
  </si>
  <si>
    <t>2019.3.22.</t>
  </si>
  <si>
    <t>2019.3.11.</t>
  </si>
  <si>
    <t>신경과의사회 연회비</t>
  </si>
  <si>
    <t>신경과의사회 춘계학술 등록</t>
  </si>
  <si>
    <t>2019.3.29.</t>
  </si>
  <si>
    <t>3/1~15(12일). (휴가1일) 11일</t>
  </si>
  <si>
    <t>3/1~15(12일). (휴가0일) 12일</t>
  </si>
  <si>
    <t>2019.4.2.</t>
  </si>
  <si>
    <t>3/16~31(13일). (휴가1.5일) 11.5일</t>
  </si>
  <si>
    <t>3/16~31(13일). (휴가1일) 12일</t>
  </si>
  <si>
    <t>3/16~31(13일). (휴가0일) 13일</t>
  </si>
  <si>
    <t>2019.4.10.</t>
  </si>
  <si>
    <t>2019.4.18.</t>
  </si>
  <si>
    <t>연말정산 적용</t>
  </si>
  <si>
    <t>2019.4.30.</t>
  </si>
  <si>
    <t>2019.4.22.</t>
  </si>
  <si>
    <t>2019.4.17.</t>
  </si>
  <si>
    <t>4/1~15(13일). (휴가0.5일) 12.5일</t>
  </si>
  <si>
    <t>4/1~15(13일). (휴가0일) 13일</t>
  </si>
  <si>
    <t>4/1~15(13일). (휴가1일) 12일</t>
  </si>
  <si>
    <t>2019.5.2.</t>
  </si>
  <si>
    <t>4/16~30(13일). (휴가0.5일) 12.5일</t>
  </si>
  <si>
    <t>4/16~30(13일). (휴가1일) 12일</t>
  </si>
  <si>
    <t>4/16~30(13일). (휴가0일) 13일</t>
  </si>
  <si>
    <t>2019.5.10</t>
  </si>
  <si>
    <t>2019.5.17.</t>
  </si>
  <si>
    <t>2019.5.31.</t>
  </si>
  <si>
    <t>2019.5.22.</t>
  </si>
  <si>
    <t>2019.5.8.</t>
  </si>
  <si>
    <t>2019.5.25.</t>
  </si>
  <si>
    <t>5/1~15(11일). (휴가2.5일) 8.5일</t>
  </si>
  <si>
    <t>5/1~15(11일). (휴가0일) 11일</t>
  </si>
  <si>
    <t>2019.6.3.</t>
  </si>
  <si>
    <t>5/16~31(10일). (휴가0일) 10일</t>
  </si>
  <si>
    <t>5/16~31(10일). (휴가0일) 10일(333790)</t>
  </si>
  <si>
    <t>5/16~31(10일). (휴가0.5일) 9.5일(286216)</t>
  </si>
  <si>
    <t>2019.6.5.</t>
  </si>
  <si>
    <t>광원.paste.electrode</t>
  </si>
  <si>
    <t>2019.6.18.</t>
  </si>
  <si>
    <t>2019.7.1.</t>
  </si>
  <si>
    <t>2019.6.21.</t>
  </si>
  <si>
    <t>2019.6.7.</t>
  </si>
  <si>
    <t>2019.6.10.</t>
  </si>
  <si>
    <t>2019.6.11.</t>
  </si>
  <si>
    <t>윤혜연.교육비</t>
  </si>
  <si>
    <t>래시스 2020년.1년.선납</t>
  </si>
  <si>
    <t>농협 356-0233-3642-93 유석철</t>
  </si>
  <si>
    <t>2019.6.17.</t>
  </si>
  <si>
    <t>6/1~15(12일). (휴가0일) 12일</t>
  </si>
  <si>
    <t>6/1~15(12일). (휴가0.5일) 11.5일</t>
  </si>
  <si>
    <t>395669 (33379 차감하여 362290)</t>
  </si>
  <si>
    <t>361536 (45192 차감하여 316344)</t>
  </si>
  <si>
    <t>2019.6.28.</t>
  </si>
  <si>
    <t>2019.6.27.</t>
  </si>
  <si>
    <t>종합소득세1차(2018년.귀속분)</t>
  </si>
  <si>
    <t>국민 001-0927-2789-72-6</t>
  </si>
  <si>
    <t>씨티 422-51432-928-59</t>
  </si>
  <si>
    <t>농협 301-0120-7205-41 더편한세무법인</t>
  </si>
  <si>
    <t>2019.7.2.</t>
  </si>
  <si>
    <t>6/16~30(12일). (휴가0.5일) 11.5일</t>
  </si>
  <si>
    <t>2019.7.18.</t>
  </si>
  <si>
    <t>2019.8.1.</t>
  </si>
  <si>
    <t>2019.7.22.</t>
  </si>
  <si>
    <t>2019.7.10.</t>
  </si>
  <si>
    <t>국세계좌 0 1 2 6 - 1 9 0 7 - 4 - 1 4 - 7 1 7 4 4 4 0 4</t>
  </si>
  <si>
    <t>전자납부번호 11680- 1- 30- 19- 1- 0821667- 5</t>
  </si>
  <si>
    <t>2019.7.17.</t>
  </si>
  <si>
    <t>7/1~15(13일). (휴가0.5일) 12.5일</t>
  </si>
  <si>
    <t>7/1~15(13일). (휴가0일) 13일</t>
  </si>
  <si>
    <t>2019.7.24.</t>
  </si>
  <si>
    <t>2019.7.31.</t>
  </si>
  <si>
    <t>필의료재단(6월)</t>
  </si>
  <si>
    <t>필의료재단 KB국민 431801-01-032977</t>
  </si>
  <si>
    <t>2019.8.2.</t>
  </si>
  <si>
    <t>7/16~27(11일). (휴가1일) 10일</t>
  </si>
  <si>
    <t>7/16~27(11일). (휴가0일) 11일</t>
  </si>
  <si>
    <t>7/16~27(11일). (휴가0.5일) 10.5일</t>
  </si>
  <si>
    <t>2019.8.5.</t>
  </si>
  <si>
    <t>한아라급여 착오차액 추가입금</t>
  </si>
  <si>
    <t>원래 1936123</t>
  </si>
  <si>
    <t>2019.8.7.</t>
  </si>
  <si>
    <t>2019.8.16.</t>
  </si>
  <si>
    <t>2019.8.30.</t>
  </si>
  <si>
    <t>2019.8.22.</t>
  </si>
  <si>
    <t>종합소득세2차(2018년.귀속분)</t>
  </si>
  <si>
    <t>2019.8.10.</t>
  </si>
  <si>
    <t>필의료재단(7월)</t>
  </si>
  <si>
    <t>2019.9.2.</t>
  </si>
  <si>
    <t>8/16~31(14일). (휴가0.5일) 13.5일</t>
  </si>
  <si>
    <t>8/16~31(14일). (휴가0일) 14일</t>
  </si>
  <si>
    <t>2019.9.18.</t>
  </si>
  <si>
    <t>2019.10.1.</t>
  </si>
  <si>
    <t>2019.9.22.</t>
  </si>
  <si>
    <t>미화아주머니 추석상여</t>
  </si>
  <si>
    <t>2019.9.7.</t>
  </si>
  <si>
    <t>2019.9.17.</t>
  </si>
  <si>
    <t>9/1~15(9일). (휴가0.5일) 8.5일</t>
  </si>
  <si>
    <t>9/1~15(9일). (휴가1일) 8일 (+100000)</t>
  </si>
  <si>
    <t>9/1~15(9일). (휴가0일) 9일 (+100000)</t>
  </si>
  <si>
    <t>2019.9.15.</t>
  </si>
  <si>
    <t>도메인(seoulbrain)연장3년</t>
  </si>
  <si>
    <t>3년(~2022.9.)</t>
  </si>
  <si>
    <t>2019.9.10.</t>
  </si>
  <si>
    <t>2019.9.30.</t>
  </si>
  <si>
    <t>필의료재단(8월)</t>
  </si>
  <si>
    <t>2019.10.2.</t>
  </si>
  <si>
    <t>9/16~30(13일). (휴가0.5일) 12.5일</t>
  </si>
  <si>
    <t>9/16~30(13일). (휴가0일) 13일 (+100000)</t>
  </si>
  <si>
    <t>9/16~30(13일). (휴가0.5일) 12.5일 (+100000)</t>
  </si>
  <si>
    <t>2019.10.7.</t>
  </si>
  <si>
    <t>2019.10.10.</t>
  </si>
  <si>
    <t>임상뇌전증학회</t>
  </si>
  <si>
    <t xml:space="preserve">신한 100-022-021429 </t>
  </si>
  <si>
    <t>2019.10.18.</t>
  </si>
  <si>
    <t>2019.11.1.</t>
  </si>
  <si>
    <t>2019.10.22.</t>
  </si>
  <si>
    <t>2019.10.17.</t>
  </si>
  <si>
    <t>10/1~15(11일). (휴가0.5일) 10.5일</t>
  </si>
  <si>
    <t>10/1~15(11일). (휴가0.5일) 10.5일 (+100000)</t>
  </si>
  <si>
    <t>2019.10.12.</t>
  </si>
  <si>
    <t>랩지노믹스.final</t>
  </si>
  <si>
    <t>2019.10.31.</t>
  </si>
  <si>
    <t>필의료재단(9월)</t>
  </si>
  <si>
    <t>2019.10.14.</t>
  </si>
  <si>
    <t>의료소모품.the.shop</t>
  </si>
  <si>
    <t>2019.11.4.</t>
  </si>
  <si>
    <t>10/16~31(14일). (휴가0.5일) 13.5일</t>
  </si>
  <si>
    <t>10/16~31(14일). (휴가0일) 14일(+100000)</t>
  </si>
  <si>
    <t>10/16~31(14일). (휴가0.5일) 13.5일(+100000)</t>
  </si>
  <si>
    <t>2019.11.11.</t>
  </si>
  <si>
    <t>2019.11.18.</t>
  </si>
  <si>
    <t>2019.11.29.</t>
  </si>
  <si>
    <t>2019.11.22.</t>
  </si>
  <si>
    <t>2019.11.10.</t>
  </si>
  <si>
    <t>계좌이체</t>
  </si>
  <si>
    <t>국민 001-2923-0722-60-8</t>
  </si>
  <si>
    <t>국민 402-492480-88676</t>
  </si>
  <si>
    <t>11/1~15(13일). (휴가0일) 13일</t>
  </si>
  <si>
    <t>11/1~15(13일). (휴가1.5일) 11.5일(+100000)</t>
  </si>
  <si>
    <t>11/1~15(13일). (휴가0일) 13일(+100000)</t>
  </si>
  <si>
    <t>2019.11.25.</t>
  </si>
  <si>
    <t>소득세예납(1차)</t>
  </si>
  <si>
    <t xml:space="preserve">총액37649000원 국민 0012-92-0893608-4 </t>
  </si>
  <si>
    <t>필의료재단(10월)</t>
  </si>
  <si>
    <t>2019.11.28.</t>
  </si>
  <si>
    <t>퇴직연금(확정기여형DC) 수수료(1년)</t>
  </si>
  <si>
    <t>퇴직연금납부계좌 (-3029)  80050530-29</t>
  </si>
  <si>
    <t>광원메디칼.뇌파기교체.50%</t>
  </si>
  <si>
    <t>2019.12.2.</t>
  </si>
  <si>
    <t>11/16~30(13일). (휴가0.5일) 12.5일</t>
  </si>
  <si>
    <t>11/16~30(13일). (휴가1일) 12일(+100000)</t>
  </si>
  <si>
    <t>11/16~30(13일). (휴가1.5일) 11.5일(+100000)</t>
  </si>
  <si>
    <t>2019.12.9.</t>
  </si>
  <si>
    <t>한아라.기사연수등록비</t>
  </si>
  <si>
    <t>기사연수 18125x8</t>
  </si>
  <si>
    <t>정선영.기사연수등록비</t>
  </si>
  <si>
    <t>2019.12.18.</t>
  </si>
  <si>
    <t>2019.12.31.</t>
  </si>
  <si>
    <t>2019.12.20.</t>
  </si>
  <si>
    <t>2019.12.17.</t>
  </si>
  <si>
    <t>12/1~15(12일). (휴가0일) 12일</t>
  </si>
  <si>
    <t>12/1~15(12일). (휴가2일) 10일(+100000)</t>
  </si>
  <si>
    <t>12/1~15(12일). (휴가1.5일) 10.5일(+100000)</t>
  </si>
  <si>
    <t>TCD장비 수리(전원공급장치)</t>
  </si>
  <si>
    <t>우리 1005-802-252747 (주)계림메디칼</t>
  </si>
  <si>
    <t>2019.12.23.</t>
  </si>
  <si>
    <t>2019.12.10.</t>
  </si>
  <si>
    <t>필의료재단(11월)</t>
  </si>
  <si>
    <t>이니시스제약(SK제약?)</t>
  </si>
  <si>
    <t>2019.12.27.</t>
  </si>
  <si>
    <t>2020.1.2.</t>
  </si>
  <si>
    <t>12/15~31(13일). (휴가3일) 10일</t>
  </si>
  <si>
    <t>12/15~31(13일). (휴가1일) 12일(+100000)</t>
  </si>
  <si>
    <t>12/15~31(13일). (휴가0.5일) 12.5일(+100000)</t>
  </si>
  <si>
    <t>2020.1.17.</t>
  </si>
  <si>
    <t>2020.1.31.</t>
  </si>
  <si>
    <t>2020.1.22.</t>
  </si>
  <si>
    <t>미화아주머니 설 상여</t>
  </si>
  <si>
    <t>2020.1.10.</t>
  </si>
  <si>
    <t>1/1~15(12일). (휴가0.5일) 11.5일(+100000)</t>
  </si>
  <si>
    <t>1/1~15(12일). (휴가0일) 12일(+100000)</t>
  </si>
  <si>
    <t>소득세예납(2차)</t>
  </si>
  <si>
    <t>2020.1.14.</t>
  </si>
  <si>
    <t>회계서류수수료(씨티은행)</t>
  </si>
  <si>
    <t>면허세(1/31)</t>
  </si>
  <si>
    <t>2020.1.30.</t>
  </si>
  <si>
    <t>필의료재단(12월)</t>
  </si>
  <si>
    <t>2020.2.3.</t>
  </si>
  <si>
    <t>1/16~31(11일). (휴가0일) 11일</t>
  </si>
  <si>
    <t>1/16~31(11일). (휴가0일) 11일(+100000)</t>
  </si>
  <si>
    <t>1/16~31(11일). (휴가0.5일) 10.5일(+100000)</t>
  </si>
  <si>
    <t>2020.2.18.</t>
  </si>
  <si>
    <t>2020.2.28.</t>
  </si>
  <si>
    <t>2020.2.21.</t>
  </si>
  <si>
    <t>김순례.아주머니 급여(2019.2.부터35만)</t>
  </si>
  <si>
    <t>2020.2.10.</t>
  </si>
  <si>
    <t>2020.2.11.</t>
  </si>
  <si>
    <t>직원퇴직연금(2019 1년치)</t>
  </si>
  <si>
    <t>직원 퇴직연금 한국투자 80050530-0001</t>
  </si>
  <si>
    <t>필의료재단(1월)</t>
  </si>
  <si>
    <t>2/1~15(13일). (휴가1일) 12일</t>
  </si>
  <si>
    <t>2/1~15(13일). (휴가1일) 12일(+100000)</t>
  </si>
  <si>
    <t>2/1~15(13일). (휴가0일) 13일(+100000)</t>
  </si>
  <si>
    <t>2020.3.2.</t>
  </si>
  <si>
    <t>2/16~29(12일) (휴가0.5일) 11.5일</t>
  </si>
  <si>
    <t>2/16~29(12일) (휴가1일) 11일(+100000)</t>
  </si>
  <si>
    <t>2020.3.10.</t>
  </si>
  <si>
    <t>2020.3.18.</t>
  </si>
  <si>
    <t>2020.4.1.</t>
  </si>
  <si>
    <t>2020.3.20.</t>
  </si>
  <si>
    <t>2020.3.7.</t>
  </si>
  <si>
    <t>기장료인상분.2월부터</t>
  </si>
  <si>
    <t>광원메디칼.소모품</t>
  </si>
  <si>
    <t>2020.3.12.</t>
  </si>
  <si>
    <t>필의료재단(2월)</t>
  </si>
  <si>
    <t>2020.3.17.</t>
  </si>
  <si>
    <t>3/1~15(12일) (휴가0.5일) 11.5일</t>
  </si>
  <si>
    <t>3/1~15(12일) (휴가0일) 12일(+100000)</t>
  </si>
  <si>
    <t>3/1~15(12일) (휴가1일) 11일(+100000)</t>
  </si>
  <si>
    <t>김순례.아주머니 급여.보완</t>
  </si>
  <si>
    <t>2020.3.31.</t>
  </si>
  <si>
    <t>2020.4.2.</t>
  </si>
  <si>
    <t>3/16~31(14일) (휴가1일) 13일</t>
  </si>
  <si>
    <t>3/16~31(14일) (휴가0.5일) 13.5일(+100000)</t>
  </si>
  <si>
    <t>3/16~31(14일) (휴가0일) 14일(+100000)</t>
  </si>
  <si>
    <t>2020.4.10.</t>
  </si>
  <si>
    <t>2020.4.17.</t>
  </si>
  <si>
    <t>2020.4.29.</t>
  </si>
  <si>
    <t>2020.4.22.</t>
  </si>
  <si>
    <t>김순례.아주머니 급여(2020.4.부터70만)</t>
  </si>
  <si>
    <t>2020.4.14.</t>
  </si>
  <si>
    <t>필의료재단(3월)</t>
  </si>
  <si>
    <t>4/1~15(12일) (휴가0.5일) 11.5일</t>
  </si>
  <si>
    <t>4/1~15(12일) (휴가0일) 12일(+100000)</t>
  </si>
  <si>
    <t>4/1~15(12일) (휴가0.5일) 11.5일(+100000)</t>
  </si>
  <si>
    <t>래시스 2021년.1년.선납</t>
  </si>
  <si>
    <t>2020.5.4.</t>
  </si>
  <si>
    <t>4/16~30(12일) (휴가0일) 12일</t>
  </si>
  <si>
    <t>4/16~30(12일) (휴가1일) 11일(+100000)</t>
  </si>
  <si>
    <t>4/16~30(12일) (휴가0.5일) 11.5일(+100000)</t>
  </si>
  <si>
    <t>2020.5.6.</t>
  </si>
  <si>
    <t>정선영 결혼축의금</t>
  </si>
  <si>
    <t>2020.5.10.</t>
  </si>
  <si>
    <t>2020.5.18.</t>
  </si>
  <si>
    <t>2020.6.1.</t>
  </si>
  <si>
    <t>2020.5.22.</t>
  </si>
  <si>
    <t>2020.5.12.</t>
  </si>
  <si>
    <t>5/1~15(11일) (휴가0.5일) 10.5일</t>
  </si>
  <si>
    <t>5/1~15(11일) (휴가1일) 10일(+100000)</t>
  </si>
  <si>
    <t>5/1~15(11일) (휴가0일) 11일(+100000)</t>
  </si>
  <si>
    <t>2020.5.28.</t>
  </si>
  <si>
    <t>필의료재단(4월)</t>
  </si>
  <si>
    <t>2020.6.2.</t>
  </si>
  <si>
    <t>5/16~31(13일) (휴가0일) 13일</t>
  </si>
  <si>
    <t>5/16~31(13일) (휴가3일) 10일(+100000)</t>
  </si>
  <si>
    <t>5/16~31(12일) (휴가2.5일) 10.5일(+100000)</t>
  </si>
  <si>
    <t>2020.6.10.</t>
  </si>
  <si>
    <t>2020.6.18.</t>
  </si>
  <si>
    <t>2020.7.1.</t>
  </si>
  <si>
    <t>2020.6.22.</t>
  </si>
  <si>
    <t>2020.6.15.</t>
  </si>
  <si>
    <t>2020.6.17.</t>
  </si>
  <si>
    <t>6/1~15(12일) (휴가0일) 12일</t>
  </si>
  <si>
    <t>6/1~15(12일) (휴가2.5일) 9.5일(+100000)</t>
  </si>
  <si>
    <t>6/1~15(12일) (휴가0일) 12일(+100000)</t>
  </si>
  <si>
    <t>2020.6.30.</t>
  </si>
  <si>
    <t>필의료재단(5월)</t>
  </si>
  <si>
    <t>2020.7.2.</t>
  </si>
  <si>
    <t>6/16~30(13일) (휴가0일) 13일</t>
  </si>
  <si>
    <t>6/16~30(13일) (휴가1일) 12일(+100000)</t>
  </si>
  <si>
    <t>2020.7.17.</t>
  </si>
  <si>
    <t>2020.7.31.</t>
  </si>
  <si>
    <t>2020.7.22.</t>
  </si>
  <si>
    <t>2020.7.10.</t>
  </si>
  <si>
    <t xml:space="preserve">국민 </t>
  </si>
  <si>
    <t>7/1~15(13일) (휴가1일) 12일</t>
  </si>
  <si>
    <t>7/1~15(13일) (휴가0.5일) 12.5일(+100000)</t>
  </si>
  <si>
    <t>의료폐기물수거비</t>
  </si>
  <si>
    <t>하나은행.297-910090-71307 맹준호</t>
  </si>
  <si>
    <t>(D2775)</t>
  </si>
  <si>
    <t>2020.8.25.</t>
  </si>
  <si>
    <t>2020.8.3.</t>
  </si>
  <si>
    <t>7/16~31(9일) (휴가0일) 9일</t>
  </si>
  <si>
    <t>7/16~31(9일) (휴가1일) 8일(+100000)</t>
  </si>
  <si>
    <t>7/16~31(9일) (휴가0일) 9일(+100000)</t>
  </si>
  <si>
    <t>2020.7.24.</t>
  </si>
  <si>
    <t>계림.경동맥초음파.계약금</t>
  </si>
  <si>
    <t>우리.1005-802-252747(주)계림메디칼 (17,900,000)</t>
  </si>
  <si>
    <t>2020.8.10.</t>
  </si>
  <si>
    <t>2020.8.18.</t>
  </si>
  <si>
    <t>2020.9.1.</t>
  </si>
  <si>
    <t>2020.8.21.</t>
  </si>
  <si>
    <t>씨티</t>
  </si>
  <si>
    <t>2020.8..</t>
  </si>
  <si>
    <t>계림.경동맥초음파.잔금</t>
  </si>
  <si>
    <t>8/1~16(10.5일) (휴가0일) 10.5일</t>
  </si>
  <si>
    <t>8/1~16(10.5일) (휴가0일) 10.5일(+10만)</t>
  </si>
  <si>
    <t>하나은행.297-910090-71307 맹준호(예닮환경)</t>
  </si>
  <si>
    <t>종합소득세.48,123,820</t>
  </si>
  <si>
    <t>2020.8.31.</t>
  </si>
  <si>
    <t>2020.8.</t>
  </si>
  <si>
    <t>유비케어.의사랑.진료실컴퓨터설치</t>
  </si>
  <si>
    <t>2020.9.2.</t>
  </si>
  <si>
    <t>8/16~31(12일) (휴가0.5일) 11.5일</t>
  </si>
  <si>
    <t>8/16~31(12일) (휴가0일) 12일(+10만)</t>
  </si>
  <si>
    <t>2020.9.10.</t>
  </si>
  <si>
    <t>백신대금.90개</t>
  </si>
  <si>
    <t>블루엠텍코리아.지정계좌.기업.0315481988</t>
  </si>
  <si>
    <t>백신대금.10개</t>
  </si>
  <si>
    <t>블루엠텍코리아.지정계좌.기업.0315481989</t>
  </si>
  <si>
    <t>백신대금.100개</t>
  </si>
  <si>
    <t>블루엠텍코리아.가상계좌.국민52239085954678</t>
  </si>
  <si>
    <t>the.shop.의료소모품</t>
  </si>
  <si>
    <t>2020.9.18.</t>
  </si>
  <si>
    <t>2020.9.29.</t>
  </si>
  <si>
    <t>2020.9.22.</t>
  </si>
  <si>
    <t>2020.9.17.</t>
  </si>
  <si>
    <t>9/1~15(13일) (휴가0일) 13일</t>
  </si>
  <si>
    <t>9/1~15(13일) (휴가0.5일) 12.5일(+10만)</t>
  </si>
  <si>
    <t>9/1~15(13일) (휴가1.5일) 11.5일(+10만)</t>
  </si>
  <si>
    <t>2020.10.5.</t>
  </si>
  <si>
    <t>9/16~30(12일) (휴가1.5일) 10.5일</t>
  </si>
  <si>
    <t>9/16~30(12일) (휴가1일) 11일(+10만)</t>
  </si>
  <si>
    <t>9/16~30(12일) (휴가0일) 12일(+10만)</t>
  </si>
  <si>
    <t>2020.10.10.</t>
  </si>
  <si>
    <t>2020.10.16.</t>
  </si>
  <si>
    <t>KT 텔레캅 (9월)(매월10일 이전 납부필요)</t>
  </si>
  <si>
    <t>2020.10.12.</t>
  </si>
  <si>
    <t>2020.10.30.</t>
  </si>
  <si>
    <t>2020.10.22.</t>
  </si>
  <si>
    <t>2020.10.19.</t>
  </si>
  <si>
    <t>10/1~15(9일) (휴가1일) 8일</t>
  </si>
  <si>
    <t>10/1~15(9일) (휴가0일) 9일(+10만)</t>
  </si>
  <si>
    <t>10/1~15(9일) (휴가0.5일) 8.5일(+10만)</t>
  </si>
  <si>
    <t>2020.10.14.</t>
  </si>
  <si>
    <t>직원퇴직연금(202001_202009)</t>
  </si>
  <si>
    <t>윤혜연.직원교육비</t>
  </si>
  <si>
    <t>2020.10.23.</t>
  </si>
  <si>
    <t>안랩V3internetSecurity9.0 - 2년</t>
  </si>
  <si>
    <t>2020.11.2.</t>
  </si>
  <si>
    <t>10/16~31(14일) (휴가0일) 14일</t>
  </si>
  <si>
    <t>10/16~31(14일) (휴가1일) 13일(+10만)</t>
  </si>
  <si>
    <t>2020.11.10.</t>
  </si>
  <si>
    <t>2020.11.9.</t>
  </si>
  <si>
    <t>KT 텔레캅 (10월)(매월10일 이전 납부필요)</t>
  </si>
  <si>
    <t>2020.11.4.</t>
  </si>
  <si>
    <t>2020.11.18.</t>
  </si>
  <si>
    <t>2020.12.1.</t>
  </si>
  <si>
    <t>2020.11.20.</t>
  </si>
  <si>
    <t>2020.11.30.</t>
  </si>
  <si>
    <t>2020.11.17.</t>
  </si>
  <si>
    <t>11/1~15(12일) (휴가0.5일) 11.5일</t>
  </si>
  <si>
    <t>11/1~15(12일) (휴가1일) 11일(+10만)</t>
  </si>
  <si>
    <t>2020.11.24.</t>
  </si>
  <si>
    <t>소득세예납(42805000) 11/30까지</t>
  </si>
  <si>
    <t>국민 0010-92-9306995-7 (잔액.20805000.1월말)</t>
  </si>
  <si>
    <t>2020.11.27.</t>
  </si>
  <si>
    <t>기영약품.010.2784.0929</t>
  </si>
  <si>
    <t>2020.12.2.</t>
  </si>
  <si>
    <t>11/16~30(13일) (휴가0일) 13일</t>
  </si>
  <si>
    <t>11/16~30(13일) (휴가6일) 7일(+10만)</t>
  </si>
  <si>
    <t>11/16~30(13일) (휴가0.5일) 2.5일(+10만)</t>
  </si>
  <si>
    <t>2020.12.10.</t>
  </si>
  <si>
    <t>2020.12.8.</t>
  </si>
  <si>
    <t>KT 텔레캅 (11월)(매월10일 이전 납부필요)</t>
  </si>
  <si>
    <t>2020.12.7.</t>
  </si>
  <si>
    <t>단양군.급여환급</t>
  </si>
  <si>
    <t>농협.가상계좌</t>
  </si>
  <si>
    <t>광원.NCS.수리비</t>
  </si>
  <si>
    <t>2020.12.18.</t>
  </si>
  <si>
    <t>2020.12.31.</t>
  </si>
  <si>
    <t>2020.12.22.</t>
  </si>
  <si>
    <t>2020.12.17.</t>
  </si>
  <si>
    <t>한아라.직원교육비</t>
  </si>
  <si>
    <t>정선영.직원교육비</t>
  </si>
  <si>
    <t>12/1~15(13일) (휴가0일) 13일</t>
  </si>
  <si>
    <t>12/1~15(13일) (휴가4.5일) 8.5일(+10만)</t>
  </si>
  <si>
    <t>12/1~15(13일) (휴가2.5일) 10.5일(+10만)</t>
  </si>
  <si>
    <t>2020.12.30.</t>
  </si>
  <si>
    <t>직원퇴직연금(202010_202012)</t>
  </si>
  <si>
    <t>2021.1.4.</t>
  </si>
  <si>
    <t>12/16~31(13일) (휴가0.5일) 12.5일</t>
  </si>
  <si>
    <t>12/16~31(13일) (휴가1일) 12일(+10만)</t>
  </si>
  <si>
    <t>12/16~31(13일) (휴가3.5일) 9.5일(+10만)</t>
  </si>
  <si>
    <t>2021.1.11.</t>
  </si>
  <si>
    <t>KT 텔레캅 (12월)(매월10일 이전 납부필요)</t>
  </si>
  <si>
    <t>2021.1.18.</t>
  </si>
  <si>
    <t>1/1~15(15일) (휴가0.5일) 14.5일</t>
  </si>
  <si>
    <t>1/1~15(15일) (휴가1일) 14일(+10만)</t>
  </si>
  <si>
    <t>1/1~15(15일) (휴가0일) 15일(+10만)</t>
  </si>
  <si>
    <t>2021.2.1.</t>
  </si>
  <si>
    <t>2021.1.22.</t>
  </si>
  <si>
    <t>래시스.홈피.수정.adobe.flash</t>
  </si>
  <si>
    <t>2021.1.23.</t>
  </si>
  <si>
    <t>광원.paste.</t>
  </si>
  <si>
    <t>2021.1.31.</t>
  </si>
  <si>
    <t>2021.1.25.</t>
  </si>
  <si>
    <t xml:space="preserve">소득세잔액납(총액.42805000) </t>
  </si>
  <si>
    <t>지로 (잔액.20805000.1월말)</t>
  </si>
  <si>
    <t>2021.2.2.</t>
  </si>
  <si>
    <t>1/16~31(16일) (휴가0.5일) 15.5일</t>
  </si>
  <si>
    <t>1/16~31(16일) (휴가0.5일) 15.5일(+10만)</t>
  </si>
  <si>
    <t>1/16~31(16일) (휴가2일) 14일(+10만)</t>
  </si>
  <si>
    <t>퇴직연금운용수수료.한국투자(20.6.~21.6.)</t>
  </si>
  <si>
    <t>한국투자 8005053029</t>
  </si>
  <si>
    <t>2021.2.3.</t>
  </si>
  <si>
    <t>한아라.시조모상</t>
  </si>
  <si>
    <t>2021.2.10.</t>
  </si>
  <si>
    <t>KT 텔레캅 (1월)(매월10일 이전 납부필요)</t>
  </si>
  <si>
    <t>2021.2.17.</t>
  </si>
  <si>
    <t>2/1~15(15일) (휴가1일) 14일</t>
  </si>
  <si>
    <t>2/1~15(15일) (휴가2일.시조모상) 13일(+10만)</t>
  </si>
  <si>
    <t>2/1~15(15일) (휴가0일) 15일(+10만)</t>
  </si>
  <si>
    <t>2021.2.18.</t>
  </si>
  <si>
    <t>2021.2.26.</t>
  </si>
  <si>
    <t>2021.2.22.</t>
  </si>
  <si>
    <t>2021.2.25.</t>
  </si>
  <si>
    <t>씨티카드(세금계산서)</t>
  </si>
  <si>
    <t>2021.3.3.</t>
  </si>
  <si>
    <t>2/16~28(13일) (휴가1일) 12일</t>
  </si>
  <si>
    <t>2/16~28(13일) (휴가0일) 13일(+10만)</t>
  </si>
  <si>
    <t>2/16~28(13일) (휴가0.5일) 12.5일(+10만)</t>
  </si>
  <si>
    <t>2021.3.10.</t>
  </si>
  <si>
    <t>2021.3.18.</t>
  </si>
  <si>
    <t>2021.4.1.</t>
  </si>
  <si>
    <t>2021.3.22.</t>
  </si>
  <si>
    <t>KT 텔레캅 (2월)(매월10일 이전 납부필요)</t>
  </si>
  <si>
    <t>2021.3.17.</t>
  </si>
  <si>
    <t>2021.3.31.</t>
  </si>
  <si>
    <t>2021.4.2.</t>
  </si>
  <si>
    <t>2021.4.13.</t>
  </si>
  <si>
    <t>KT 텔레캅 (3월)(매월10일 이전 납부필요)</t>
  </si>
  <si>
    <t>2021.4.10.</t>
  </si>
  <si>
    <t>2021.4.18.</t>
  </si>
  <si>
    <t>2021.4.30.</t>
  </si>
  <si>
    <t>2021.4.22.</t>
  </si>
  <si>
    <t>2021.4.16.</t>
  </si>
  <si>
    <t>2021.5.3.</t>
  </si>
  <si>
    <t>2021.5.10.</t>
  </si>
  <si>
    <t>2021.5.18.</t>
  </si>
  <si>
    <t>2021.6.1.</t>
  </si>
  <si>
    <t>2021.5.21.</t>
  </si>
  <si>
    <t>2021.5..</t>
  </si>
  <si>
    <t>광원.paste.전극</t>
  </si>
  <si>
    <t>KT 텔레캅 (4월)(매월10일 이전 납부필요)</t>
  </si>
  <si>
    <t>2021.5.28.</t>
  </si>
  <si>
    <t>2021.6.2.</t>
  </si>
  <si>
    <t>2021.6.10.</t>
  </si>
  <si>
    <t>2021.6.18.</t>
  </si>
  <si>
    <t>2021.7.1.</t>
  </si>
  <si>
    <t>인상분 반영</t>
  </si>
  <si>
    <t>2021.6.22.</t>
  </si>
  <si>
    <t>2021.6.9.</t>
  </si>
  <si>
    <t>KT 텔레캅 (5월)(매월10일 이전 납부필요)</t>
  </si>
  <si>
    <t>2021.6.17.</t>
  </si>
  <si>
    <t>인상분반영</t>
  </si>
  <si>
    <t>퇴직연금운용수수료.한국투자(20.6.5~21.6.4.)</t>
  </si>
  <si>
    <t>한국투자 8005053029 이일근</t>
  </si>
  <si>
    <t>광원.시에라웨이브.자극기수리비</t>
  </si>
  <si>
    <t>2021.7.2.</t>
  </si>
  <si>
    <t>2021.7.10.</t>
  </si>
  <si>
    <t>2021.6.29.</t>
  </si>
  <si>
    <t>윤혜연.보수교육비.간호조무사협회</t>
  </si>
  <si>
    <t>2021.7..</t>
  </si>
  <si>
    <t>KT 텔레캅 (6월)(매월10일 이전 납부필요)</t>
  </si>
  <si>
    <t>2021.7.16.</t>
  </si>
  <si>
    <t>2021.7.30.</t>
  </si>
  <si>
    <t>2021.7.22.</t>
  </si>
  <si>
    <t>2021.7.9.</t>
  </si>
  <si>
    <t>2021조정보수</t>
  </si>
  <si>
    <t>성실신고보수</t>
  </si>
  <si>
    <t>2021.8.2.</t>
  </si>
  <si>
    <t>2021.7.27.</t>
  </si>
  <si>
    <t>래미안신반포재산세건물분</t>
  </si>
  <si>
    <t>목동재산세건물분</t>
  </si>
  <si>
    <t>2021.8.10.</t>
  </si>
  <si>
    <t>2021.8.9.</t>
  </si>
  <si>
    <t>KT 텔레캅 (7월)(매월10일 이전 납부필요)</t>
  </si>
  <si>
    <t>2021.8.18.</t>
  </si>
  <si>
    <t>2021.9.1.</t>
  </si>
  <si>
    <t>2021.8.20.</t>
  </si>
  <si>
    <t>raesis 래시스 2022년.1년.선납(~2022.12)</t>
  </si>
  <si>
    <t>264000*1.1=290400 농협 356-0233-3642-93 유석철</t>
  </si>
  <si>
    <t>2021.8.31.</t>
  </si>
  <si>
    <t>2021.8.23.</t>
  </si>
  <si>
    <t>독감백신대금50개(국산)</t>
  </si>
  <si>
    <t xml:space="preserve">블루엠텍(주) 기업은행 48002578897765 </t>
  </si>
  <si>
    <t>주민세(서울브레인신경과)</t>
  </si>
  <si>
    <t>2021.9.2.</t>
  </si>
  <si>
    <t>2021.9.10.</t>
  </si>
  <si>
    <t>2021.9.9.</t>
  </si>
  <si>
    <t>KT 텔레캅 (8월)(매월10일 이전 납부필요)</t>
  </si>
  <si>
    <t>이것이 실제로 7월분</t>
  </si>
  <si>
    <t>2021.9.17.</t>
  </si>
  <si>
    <t>2021.10.1.</t>
  </si>
  <si>
    <t>2021.9.30.</t>
  </si>
  <si>
    <t>2021.9.27.</t>
  </si>
  <si>
    <t>기영약품.</t>
  </si>
  <si>
    <t>독감백신대금50개(수입.박씨그리프)</t>
  </si>
  <si>
    <t>블루엠텍(주) 국민은행 4053 9085 835830</t>
  </si>
  <si>
    <t>2021.10.2.</t>
  </si>
  <si>
    <t>2021.10.10.</t>
  </si>
  <si>
    <t>2021.10.18.</t>
  </si>
  <si>
    <t>2021.11.1.</t>
  </si>
  <si>
    <t>2021.10.22.</t>
  </si>
  <si>
    <t>2021.10.12.</t>
  </si>
  <si>
    <t>지로(전용계좌)</t>
  </si>
  <si>
    <t>2021.10.29.</t>
  </si>
  <si>
    <t>2021.11.2.</t>
  </si>
  <si>
    <t>2021.11.10.</t>
  </si>
  <si>
    <t>직원퇴직연금(202101_202109)</t>
  </si>
  <si>
    <t>2021.11.18.</t>
  </si>
  <si>
    <t>2021.12.1.</t>
  </si>
  <si>
    <t>2021.11.22.</t>
  </si>
  <si>
    <t>2021.11.11.</t>
  </si>
  <si>
    <t>2021.11.19.(10.9.)</t>
  </si>
  <si>
    <t>2021.11.19.(11.9.)</t>
  </si>
  <si>
    <t>가상개인계좌.KB국민.4710 9013 7140 30</t>
  </si>
  <si>
    <t>2021.11.19.(12.9.)</t>
  </si>
  <si>
    <t>KT 텔레캅 (10월)(익월에 납부필요)</t>
  </si>
  <si>
    <t>가상개인계좌.KB국민.4710 9013 7140 31</t>
  </si>
  <si>
    <t>2021.11.30.</t>
  </si>
  <si>
    <t>2021.11.23.</t>
  </si>
  <si>
    <t>2021.12.2.</t>
  </si>
  <si>
    <t>2021.12.10.</t>
  </si>
  <si>
    <t>추가건강보험료</t>
  </si>
  <si>
    <t>2021.12.17.</t>
  </si>
  <si>
    <t>2021.12.31.</t>
  </si>
  <si>
    <t>2021.12.22.</t>
  </si>
  <si>
    <t>2021.12.14.</t>
  </si>
  <si>
    <t>KT 텔레캅 (11월)(익월에 납부필요)</t>
  </si>
  <si>
    <t>추가근무 29.5시간 산정시급 44431*29.5=1310715</t>
  </si>
  <si>
    <t>추가근무 28.5시간 산정시급 32952*28.5=939132</t>
  </si>
  <si>
    <t>추가근무 29.5시간 산정시급 28792*29.5=849364</t>
  </si>
  <si>
    <t>2021.12.30.</t>
  </si>
  <si>
    <t>2021.12.23.</t>
  </si>
  <si>
    <t>2022.1.3.</t>
  </si>
  <si>
    <t>추가근무 15일 45시간 산정시급 14810</t>
  </si>
  <si>
    <t>추가근무 15일 45시간 산정시급 12153</t>
  </si>
  <si>
    <t>추가근무 15.5일 46.5시간 산정시급 10727</t>
  </si>
  <si>
    <t>2022.1.10.</t>
  </si>
  <si>
    <t>2021.12.29.</t>
  </si>
  <si>
    <t>아우디.이전비용.세금</t>
  </si>
  <si>
    <t>(주)씨엘엠앤에스 기업48100056997869</t>
  </si>
  <si>
    <t>직원의복.굿유니폼</t>
  </si>
  <si>
    <t>2022.1.18.</t>
  </si>
  <si>
    <t>2022.1.28.</t>
  </si>
  <si>
    <t>2022.1.21.</t>
  </si>
  <si>
    <t>2022.1.12.</t>
  </si>
  <si>
    <t>KT 텔레캅 (12월)(익월에 납부필요)</t>
  </si>
  <si>
    <t>2022.1.17.</t>
  </si>
  <si>
    <t>추가근무13.5일(40.5시간) 산정시급 14810</t>
  </si>
  <si>
    <t>추가근무 15일(45시간) 산정시급 12153</t>
  </si>
  <si>
    <t>추가근무 14.5일(43.5시간) 산정시급 10727</t>
  </si>
  <si>
    <t>2022.1.24.</t>
  </si>
  <si>
    <t>2022.2.3.</t>
  </si>
  <si>
    <t>추가근무15.5일(31시간) 산정시급 22216</t>
  </si>
  <si>
    <t>추가근무 15일(30시간) 산정시급 18230</t>
  </si>
  <si>
    <t>추가근무 15일(30시간) 산정시급 16091</t>
  </si>
  <si>
    <t>2022.2.10.</t>
  </si>
  <si>
    <t>2022.2.9.</t>
  </si>
  <si>
    <t>KT 텔레캅 (1월)(익월에 납부필요)</t>
  </si>
  <si>
    <t>광원.electrode</t>
  </si>
  <si>
    <t>2022.2.23.</t>
  </si>
  <si>
    <t>2021귀속.종합소득세.예납</t>
  </si>
  <si>
    <t>2022.2.14.</t>
  </si>
  <si>
    <t>직원퇴직연금(202110_202112)</t>
  </si>
  <si>
    <t>2022.2.18.</t>
  </si>
  <si>
    <t>2022.2.28.</t>
  </si>
  <si>
    <t>2022.2.22.</t>
  </si>
  <si>
    <t>2022.2.17.</t>
  </si>
  <si>
    <t>추가근무14.5일(29시간) 산정시급 22216</t>
  </si>
  <si>
    <t>추가근무 14일(28시간) 산정시급 18230</t>
  </si>
  <si>
    <t>추가근무 13일(26시간) 산정시급 16091</t>
  </si>
  <si>
    <t>2022.3.2.</t>
  </si>
  <si>
    <t>추가근무12.5(25시간) 산정시급 22799</t>
  </si>
  <si>
    <t>추가근무 12일(24시간) 산정시급 18230</t>
  </si>
  <si>
    <t>2022.3.10.</t>
  </si>
  <si>
    <t>KT 텔레캅 (2월)(익월에 납부필요)</t>
  </si>
  <si>
    <t>2022.3.14.</t>
  </si>
  <si>
    <t>서수정.첫달</t>
  </si>
  <si>
    <t>2022.3.18.</t>
  </si>
  <si>
    <t>윤혜연.연말정산</t>
  </si>
  <si>
    <t>정선영.연말정산</t>
  </si>
  <si>
    <t>2022.4.1.</t>
  </si>
  <si>
    <t>한아라.연말정산</t>
  </si>
  <si>
    <t>2022.3.22.</t>
  </si>
  <si>
    <t>래시스.홈피수정비용</t>
  </si>
  <si>
    <t>2022.3.17.</t>
  </si>
  <si>
    <t>추가근무15일(30시간) 산정시급 22799</t>
  </si>
  <si>
    <t>추가근무 14.5일(29시간) 산정시급 16091</t>
  </si>
  <si>
    <t>2022.3..</t>
  </si>
  <si>
    <t>상한10만원</t>
  </si>
  <si>
    <t>2022.3.23.</t>
  </si>
  <si>
    <t>직원퇴직연금(202201_202203)</t>
  </si>
  <si>
    <t>2022.3.31.</t>
  </si>
  <si>
    <t>2022.4.2.</t>
  </si>
  <si>
    <t>추가근무16일(32시간) 산정시급 22799</t>
  </si>
  <si>
    <t>추가근무 16일(32시간) 산정시급 16604</t>
  </si>
  <si>
    <t>2022.4.10.</t>
  </si>
  <si>
    <t>2022.4.11.</t>
  </si>
  <si>
    <t>KT 텔레캅 (3월)(익월에 납부필요)</t>
  </si>
  <si>
    <t>2022.4.14.</t>
  </si>
  <si>
    <t>서수정</t>
  </si>
  <si>
    <t>2022.4.18.</t>
  </si>
  <si>
    <t>2022.4.30.</t>
  </si>
  <si>
    <t>2022.4.22.</t>
  </si>
  <si>
    <t>한아라.출산축하금</t>
  </si>
  <si>
    <t>광원.SierraWave.Stimulator</t>
  </si>
  <si>
    <t>추가근무 15일(30시간) 산정시급 16604</t>
  </si>
  <si>
    <t>2022.4.20.</t>
  </si>
  <si>
    <t>건보징수금</t>
  </si>
  <si>
    <t>국민.003-19-296597743</t>
  </si>
  <si>
    <t>2022.4.29.</t>
  </si>
  <si>
    <t>2022.5.2.</t>
  </si>
  <si>
    <t>추가근무 14.5일(29시간) 산정시급 16604</t>
  </si>
  <si>
    <t>2022.5.10.</t>
  </si>
  <si>
    <t>2022.5.6.</t>
  </si>
  <si>
    <t>KT 텔레캅 (4월)(익월에 납부필요)</t>
  </si>
  <si>
    <t>2022.5.13.</t>
  </si>
  <si>
    <t>2022.5.18.</t>
  </si>
  <si>
    <t>2022.6.1.</t>
  </si>
  <si>
    <t>2022.5.20.</t>
  </si>
  <si>
    <t>2022.5.17.</t>
  </si>
  <si>
    <t>2022.5.31.</t>
  </si>
  <si>
    <t>2022.6.10.</t>
  </si>
  <si>
    <t>2022.6.2.</t>
  </si>
  <si>
    <t>추가근무 11일(22시간) 산정시급 16604</t>
  </si>
  <si>
    <t>2022.6.8.</t>
  </si>
  <si>
    <t>김민선</t>
  </si>
  <si>
    <t>2022.6.14.</t>
  </si>
  <si>
    <t>2022.6.17.</t>
  </si>
  <si>
    <t>2022.6.22.</t>
  </si>
  <si>
    <t>2022.6.13.</t>
  </si>
  <si>
    <t>퇴직연금운용수수료.한국투자(21.6.5~22.6.4.)</t>
  </si>
  <si>
    <t>추가근무14.5일(29시간) 산정시급 22799</t>
  </si>
  <si>
    <t>2022.6.23.</t>
  </si>
  <si>
    <t>자동차세(16고1408)</t>
  </si>
  <si>
    <t>2022.6.30.</t>
  </si>
  <si>
    <t>2022.7.1.</t>
  </si>
  <si>
    <t>추가근무14일(28시간) 산정시급 22799</t>
  </si>
  <si>
    <t>2022.6.</t>
  </si>
  <si>
    <t>종합소득세납부</t>
  </si>
  <si>
    <t>2022.7.10.</t>
  </si>
  <si>
    <t>2022.7.7.</t>
  </si>
  <si>
    <t>KT 텔레캅 (5월)(익월에 납부필요)</t>
  </si>
  <si>
    <t>KT 텔레캅 (6월)(익월에 납부필요)</t>
  </si>
  <si>
    <t>2022.7.8.</t>
  </si>
  <si>
    <t>2022.7.14.</t>
  </si>
  <si>
    <t>2022.7.18.</t>
  </si>
  <si>
    <t>2022.7.22.</t>
  </si>
  <si>
    <t>2022.7.29.</t>
  </si>
  <si>
    <t>2022.7.13.</t>
  </si>
  <si>
    <t>2022조정보수</t>
  </si>
  <si>
    <t>추가근무 13.5일(27시간) 산정시급 16604</t>
  </si>
  <si>
    <t>2022.8.2.</t>
  </si>
  <si>
    <t>추가근무12일(24시간) 산정시급 22799</t>
  </si>
  <si>
    <t>추가근무 2일(4시간) 산정시급 16604</t>
  </si>
  <si>
    <t>서수정.수당</t>
  </si>
  <si>
    <t>추가근무 8.5일(17시간) 산정시급 13000</t>
  </si>
  <si>
    <t>2022.8.10.</t>
  </si>
  <si>
    <t>2022.8.9.</t>
  </si>
  <si>
    <t>정선영.출산축하금</t>
  </si>
  <si>
    <t>2022.8.12.</t>
  </si>
  <si>
    <t>2022.8.18.</t>
  </si>
  <si>
    <t>2022.8.22.</t>
  </si>
  <si>
    <t>2022.8.17.</t>
  </si>
  <si>
    <t>KT 텔레캅 (7월)(익월에 납부필요)</t>
  </si>
  <si>
    <t>whois 도메인 연장 (seoulbrain.co.kr) 5년(2027.8)</t>
  </si>
  <si>
    <t>추가근무8일(16시간) 산정시급 22799</t>
  </si>
  <si>
    <t>추가근무 5.5일(11시간) 산정시급 13000</t>
  </si>
  <si>
    <t>2022.8.31.</t>
  </si>
  <si>
    <t>2022.8.25.</t>
  </si>
  <si>
    <t>독감백신(한독박씨그리프테트라)50개</t>
  </si>
  <si>
    <t>씨티카드 (블루팜코리아)</t>
  </si>
  <si>
    <t>2022.8.26.</t>
  </si>
  <si>
    <t>의료폐기물비콘태그</t>
  </si>
  <si>
    <t>국민56709013855528.네이버페이.</t>
  </si>
  <si>
    <t>2022.9.2.</t>
  </si>
  <si>
    <t>추가근무 13일(26시간) 산정시급 13000</t>
  </si>
  <si>
    <t>2022.8.27.</t>
  </si>
  <si>
    <t>주민세(사업소분)</t>
  </si>
  <si>
    <t>씨티428-9183892454</t>
  </si>
  <si>
    <t>2022.9.10.</t>
  </si>
  <si>
    <t>2022.9.8.</t>
  </si>
  <si>
    <t>KT 텔레캅 (8월)(익월에 납부필요)</t>
  </si>
  <si>
    <t>2022.9.9.</t>
  </si>
  <si>
    <t>2022.9.14.</t>
  </si>
  <si>
    <t>2022.9.16.</t>
  </si>
  <si>
    <t>2022.9.22.</t>
  </si>
  <si>
    <t>2022.9.6.</t>
  </si>
  <si>
    <t>김민선.굿유니폼 121000-적립금22000</t>
  </si>
  <si>
    <t>2022.9.17.</t>
  </si>
  <si>
    <t>정선영.수당.서수정수요일오후대리근무.2회</t>
  </si>
  <si>
    <t>추가근무 7일(14시간) 산정시급 13000</t>
  </si>
  <si>
    <t>2022.9.21.</t>
  </si>
  <si>
    <t>직원퇴직연금(202204_202209)</t>
  </si>
  <si>
    <t>2022.9.30.</t>
  </si>
  <si>
    <t>2022.9.28.</t>
  </si>
  <si>
    <t>김민선.교육비</t>
  </si>
  <si>
    <t>2022.10.4.</t>
  </si>
  <si>
    <t>추가근무 10일(20시간) 산정시급 13000</t>
  </si>
  <si>
    <t>2022.10.10.</t>
  </si>
  <si>
    <t>2022.10..</t>
  </si>
  <si>
    <t>지로 (전자납부번호 8006 9778 660 19)</t>
  </si>
  <si>
    <t>2022.10.14.</t>
  </si>
  <si>
    <t>2022.10.18.</t>
  </si>
  <si>
    <t>2022.10.22.</t>
  </si>
  <si>
    <t>2022.11.1.</t>
  </si>
  <si>
    <t>2022.10.19~31 산정 (4일부터 근무, 15일분 기 지급)</t>
  </si>
  <si>
    <t>2022.10.17.</t>
  </si>
  <si>
    <t>추가근무 0.5일(1시간) 산정시급 13000</t>
  </si>
  <si>
    <t>2022.10.31.</t>
  </si>
  <si>
    <t>2022.11.2.</t>
  </si>
  <si>
    <t>2022.11.7.</t>
  </si>
  <si>
    <t>2022.11.10.</t>
  </si>
  <si>
    <t>2022.11.11.</t>
  </si>
  <si>
    <t>KT 텔레캅 (9월)(익월에 납부필요)</t>
  </si>
  <si>
    <t>2022.11.14.</t>
  </si>
  <si>
    <t>2022.11.18.</t>
  </si>
  <si>
    <t>2022.11.22.</t>
  </si>
  <si>
    <t>2022.12.1.</t>
  </si>
  <si>
    <t>2022.11.17.</t>
  </si>
  <si>
    <t>추가근무13.5일(27시간) 산정시급 22799</t>
  </si>
  <si>
    <t>추가근무 15일(30시간) 산정시급 18743</t>
  </si>
  <si>
    <t>2022.11.30.</t>
  </si>
  <si>
    <t>2022.12.2.</t>
  </si>
  <si>
    <t>추가근무 13일(26시간) 산정시급 18743</t>
  </si>
  <si>
    <t>2022.11.29.</t>
  </si>
  <si>
    <t>소득세.예납</t>
  </si>
  <si>
    <t>의료폐기물수거비.추가액</t>
  </si>
  <si>
    <t>2022.12.8.</t>
  </si>
  <si>
    <t>2022.12.9.</t>
  </si>
  <si>
    <t>이종현.건강보험료.2022.11.</t>
  </si>
  <si>
    <t>KB국민은행 001592-69-745610 - 부과취소</t>
  </si>
  <si>
    <t>raesis 래시스 2023년.1년.(~2023.12)</t>
  </si>
  <si>
    <t>330000*1.1=363000 농협 356-0233-3642-93 유석철</t>
  </si>
  <si>
    <t>2022.12.10.</t>
  </si>
  <si>
    <t>2022.12.14.</t>
  </si>
  <si>
    <t>2022.12.17.</t>
  </si>
  <si>
    <t>2022.12.22.</t>
  </si>
  <si>
    <t>2022.12.31.</t>
  </si>
  <si>
    <t>2022.12.30.</t>
  </si>
  <si>
    <t>2023.1.2.</t>
  </si>
  <si>
    <t>추가근무11일(22시간) 산정시급 22799</t>
  </si>
  <si>
    <t>2022.12.28.</t>
  </si>
  <si>
    <t>계림메디칼.수리비TCD</t>
  </si>
  <si>
    <t>우리.1005-802-252747(주)계림메디칼</t>
  </si>
  <si>
    <t>자동차세(아우디1408)</t>
  </si>
  <si>
    <t>2023.1.10.</t>
  </si>
  <si>
    <t>이종현.건강보험료.2023.1.</t>
  </si>
  <si>
    <t xml:space="preserve">KB국민은행 001592-69-745610 </t>
  </si>
  <si>
    <t>직원퇴직연금(202210_202212)</t>
  </si>
  <si>
    <t>2023.1.13.</t>
  </si>
  <si>
    <t>2023.1.18.</t>
  </si>
  <si>
    <t>2023.1.20.</t>
  </si>
  <si>
    <t>2023.2.1.</t>
  </si>
  <si>
    <t>2023.1.6.</t>
  </si>
  <si>
    <t>2023.1.17.</t>
  </si>
  <si>
    <t>추가근무13일(26시간) 산정시급 22799</t>
  </si>
  <si>
    <t>추가근무 14.5일(29시간) 산정시급 18743</t>
  </si>
  <si>
    <t>2023.1.31.</t>
  </si>
  <si>
    <t>등록면허세(서울브레인신경과)</t>
  </si>
  <si>
    <t>2023.2.2.</t>
  </si>
  <si>
    <t>추가근무 12.5일(25시간) 산정시급 22799</t>
  </si>
  <si>
    <t>추가근무 12.5일(25시간) 산정시급 18743</t>
  </si>
  <si>
    <t>2023.2.9.</t>
  </si>
  <si>
    <t>2023.2.10.</t>
  </si>
  <si>
    <t>이종민.건강보험료.2022.11.</t>
  </si>
  <si>
    <t>KB국민은행 001592-69-745610</t>
  </si>
  <si>
    <t>갑근세납부</t>
  </si>
  <si>
    <t>2023.2.13.</t>
  </si>
  <si>
    <t>서수정.퇴직금지급</t>
  </si>
  <si>
    <t>2023.2.17.</t>
  </si>
  <si>
    <t>2023.2.22.</t>
  </si>
  <si>
    <t>2023.2.28.</t>
  </si>
  <si>
    <t>2023.2.18.</t>
  </si>
  <si>
    <t>추가근무 14일(28시간) 산정시급 22799</t>
  </si>
  <si>
    <t>2023.3.2.</t>
  </si>
  <si>
    <t>추가근무 12일(24시간) 산정시급 23382</t>
  </si>
  <si>
    <t>추가근무 12.5일(25시간) 산정시급 16604</t>
  </si>
  <si>
    <t>2023.3.9.</t>
  </si>
  <si>
    <t>2023.3.10.</t>
  </si>
  <si>
    <t>퇴직연금.김민선.가입(2022.5.19.~2023.2.28.)</t>
  </si>
  <si>
    <t>김민선급여.선지급</t>
  </si>
  <si>
    <t>2023.3.14.</t>
  </si>
  <si>
    <t>김민선급여.추가지급</t>
  </si>
  <si>
    <t>2023.3.17.</t>
  </si>
  <si>
    <t>2023.3.22.</t>
  </si>
  <si>
    <t>김순례.아주머니 급여(2023.5.부터75만)</t>
  </si>
  <si>
    <t>2023.3.31.</t>
  </si>
  <si>
    <t>2023.3.18.</t>
  </si>
  <si>
    <t>추가근무 13일(26시간) 산정시급 23382</t>
  </si>
  <si>
    <t>추가근무 13.5일(27시간) 산정시급 18743</t>
  </si>
  <si>
    <t>광원메디칼.paste</t>
  </si>
  <si>
    <t>2023.4.3.</t>
  </si>
  <si>
    <t>추가근무 16일(32시간) 산정시급 23382</t>
  </si>
  <si>
    <t>추가근무 15일(30시간) 산정시급 17117</t>
  </si>
  <si>
    <t>2023.4.10.</t>
  </si>
  <si>
    <t>2023.4.14.</t>
  </si>
  <si>
    <t>2023.4.18.</t>
  </si>
  <si>
    <t>2023.4.21.</t>
  </si>
  <si>
    <t>2023.4.28.</t>
  </si>
  <si>
    <t>서수정.연말정산환급금.지급</t>
  </si>
  <si>
    <t>2023.4.17.</t>
  </si>
  <si>
    <t>추가근무 14.5일(29시간) 산정시급 23382</t>
  </si>
  <si>
    <t>추가근무 14일(28시간) 산정시급 18743</t>
  </si>
  <si>
    <t>추가근무 14.5일(29시간) 산정시급 17117</t>
  </si>
  <si>
    <t>2023.5.2.</t>
  </si>
  <si>
    <t>추가근무 13일(26시간) 산정시급 17117</t>
  </si>
  <si>
    <t>2023.5.10.</t>
  </si>
  <si>
    <t>2023.5.3.</t>
  </si>
  <si>
    <t>의사랑.데스크컴퓨터설치비</t>
  </si>
  <si>
    <t>2023.5.12.</t>
  </si>
  <si>
    <t>2023.5.18.</t>
  </si>
  <si>
    <t>2023.5.22.</t>
  </si>
  <si>
    <t>2023.6.1.</t>
  </si>
  <si>
    <t>2023.5.17.</t>
  </si>
  <si>
    <t>2023.5.31.</t>
  </si>
  <si>
    <t>2023.6.2.</t>
  </si>
  <si>
    <t>추가근무 14일(28시간) 산정시급 23382</t>
  </si>
  <si>
    <t>의료폐기물수거비.추가.총액49000</t>
  </si>
  <si>
    <t>2023.6.10.</t>
  </si>
  <si>
    <t>2023.6.7.</t>
  </si>
  <si>
    <t>the.shop</t>
  </si>
  <si>
    <t>2023.6.12.</t>
  </si>
  <si>
    <t>2023.6.14.</t>
  </si>
  <si>
    <t>2023.6.17.</t>
  </si>
  <si>
    <t>2023.6.22.</t>
  </si>
  <si>
    <t>2023.7.1.</t>
  </si>
  <si>
    <t>2023.6.16.</t>
  </si>
  <si>
    <t>추가근무 13.5일(27시간) 산정시급 19256</t>
  </si>
  <si>
    <t>김민선.수당</t>
  </si>
  <si>
    <t>(추가근무8시간.산정시급 12500원).6월급여보전</t>
  </si>
  <si>
    <t>2023.6.29.</t>
  </si>
  <si>
    <t>2023.6.29.-&gt;7/4</t>
  </si>
  <si>
    <t>퇴직연금DC운용수수료.한국투자(22.6.5~23.6.4.)</t>
  </si>
  <si>
    <t>자동차세.1408아우디</t>
  </si>
  <si>
    <t>추가근무 11일(22시간) 산정시급 23382</t>
  </si>
  <si>
    <t>추가근무 11일(22시간) 산정시급 19256</t>
  </si>
  <si>
    <t>추가근무 9.5일(19시간) 산정시급 17117</t>
  </si>
  <si>
    <t>2022.6.29.</t>
  </si>
  <si>
    <t>2023.7.10.</t>
  </si>
  <si>
    <t>국민.003192.51.248204  하나.176.948367.19037</t>
  </si>
  <si>
    <t>2023.7.14.</t>
  </si>
  <si>
    <t>2023.7.18.</t>
  </si>
  <si>
    <t>2023.7.22.</t>
  </si>
  <si>
    <t>2023.8.1.</t>
  </si>
  <si>
    <t>2023.7.12.</t>
  </si>
  <si>
    <t>직원퇴직연금(202301_202306)</t>
  </si>
  <si>
    <t>2023.7.17.</t>
  </si>
  <si>
    <t>추가근무 14.5일(29시간) 산정시급 19256</t>
  </si>
  <si>
    <t>광원메디칼.NCS전극수리</t>
  </si>
  <si>
    <t>광원메디칼.paste.전극</t>
  </si>
  <si>
    <t>2023.7.19.</t>
  </si>
  <si>
    <t>재산세.목동</t>
  </si>
  <si>
    <t>씨티은행이체</t>
  </si>
  <si>
    <t>재산세.잠원동</t>
  </si>
  <si>
    <t>2023.7.24.</t>
  </si>
  <si>
    <t>임대관리전기.수도</t>
  </si>
  <si>
    <t>2023.8.2.</t>
  </si>
  <si>
    <t>추가근무 14일(28시간) 산정시급 19256</t>
  </si>
  <si>
    <t>추가근무 13.5일(27시간) 산정시급 17117</t>
  </si>
  <si>
    <t>2023.8.10.</t>
  </si>
  <si>
    <t>2023.8.14.</t>
  </si>
  <si>
    <t>2023.8.18.</t>
  </si>
  <si>
    <t>2023.8.22.</t>
  </si>
  <si>
    <t>2023.9.1.</t>
  </si>
  <si>
    <t>2023.8.23.</t>
  </si>
  <si>
    <t>소봉투.2000</t>
  </si>
  <si>
    <t>프린트하우</t>
  </si>
  <si>
    <t>명함.3000</t>
  </si>
  <si>
    <t>디자인홈</t>
  </si>
  <si>
    <t>2023.8.28.</t>
  </si>
  <si>
    <t>2023.8.27.</t>
  </si>
  <si>
    <t>giro.citibank</t>
  </si>
  <si>
    <t>2023.9.2.</t>
  </si>
  <si>
    <t>추가근무 18.5일(37시간) 산정시급 23382</t>
  </si>
  <si>
    <t>추가근무 19일(38시간) 산정시급 19256</t>
  </si>
  <si>
    <t>추가근무 18.5일(37시간) 산정시급 17117</t>
  </si>
  <si>
    <t>2023.9.10.</t>
  </si>
  <si>
    <t>2023.9.9.</t>
  </si>
  <si>
    <t>2023.9.14.</t>
  </si>
  <si>
    <t>2023.9.18.</t>
  </si>
  <si>
    <t>2023.9.22.</t>
  </si>
  <si>
    <t>2023.9.27.</t>
  </si>
  <si>
    <t>raesis 래시스 2024년.1년.(~2024.12)할인.80%</t>
  </si>
  <si>
    <t>330000*1.1=363000(*0.8) 농협 356-0233-3642-93 유석철</t>
  </si>
  <si>
    <t>독감백신(블루엠텍.수입산)60개</t>
  </si>
  <si>
    <t>국민7742-9013-648465 (블루엠텍)</t>
  </si>
  <si>
    <t>2023.9.16.</t>
  </si>
  <si>
    <t>추가근무 15일(30시간) 산정시급 23382</t>
  </si>
  <si>
    <t>추가근무 12.5일(25시간) 산정시급 19256</t>
  </si>
  <si>
    <t>2023.9.26.</t>
  </si>
  <si>
    <t>재산세2기.잠원동</t>
  </si>
  <si>
    <t>재산세2기.신정동</t>
  </si>
  <si>
    <t>2023.10.4.</t>
  </si>
  <si>
    <t>추가근무 13.5일(27시간) 산정시급 23382</t>
  </si>
  <si>
    <t>2023.10.10.</t>
  </si>
  <si>
    <t>2023.10.14.</t>
  </si>
  <si>
    <t>2023.10.18.</t>
  </si>
  <si>
    <t>2023.10.21.</t>
  </si>
  <si>
    <t>2023.11.1.</t>
  </si>
  <si>
    <t>2023.10.17.</t>
  </si>
  <si>
    <t>추가근무 13일(26시간) 산정시급 19256</t>
  </si>
  <si>
    <t>2023.10.31.</t>
  </si>
  <si>
    <t>2023.11.2.</t>
  </si>
  <si>
    <t>추가근무 15일(30시간) 산정시급 19256</t>
  </si>
  <si>
    <t>2023.11.10.</t>
  </si>
  <si>
    <t>2023.11.8.</t>
  </si>
  <si>
    <t>2023.11.6.</t>
  </si>
  <si>
    <t>가상개인계좌.KB국민.47109013714029</t>
  </si>
  <si>
    <t>2023.11.14.</t>
  </si>
  <si>
    <t>2023.11.18.</t>
  </si>
  <si>
    <t>2023.11.22.</t>
  </si>
  <si>
    <t>2023.12.1.</t>
  </si>
  <si>
    <t>2023.11.9.</t>
  </si>
  <si>
    <t>2023.11.17.</t>
  </si>
  <si>
    <t>2023.11.30.</t>
  </si>
  <si>
    <t>케이씨엘의료재단 KB국민 431801-01-032977</t>
  </si>
  <si>
    <t>2023.12.4.</t>
  </si>
  <si>
    <t>2023.12.10.</t>
  </si>
  <si>
    <t>2023.12.8.</t>
  </si>
  <si>
    <t>환자복(3)</t>
  </si>
  <si>
    <t>2023.12.9.</t>
  </si>
  <si>
    <t>2023.12.14.</t>
  </si>
  <si>
    <t>2023.12.18.</t>
  </si>
  <si>
    <t>2023.12.22.</t>
  </si>
  <si>
    <t>2023.12.30.</t>
  </si>
  <si>
    <t>광원메디칼.electrode</t>
  </si>
  <si>
    <t>2024.1.3.</t>
  </si>
  <si>
    <t>추가근무 14일(28시간) 산정시급 17117</t>
  </si>
  <si>
    <t>2024.1.10.</t>
  </si>
  <si>
    <t>2024.1.11.</t>
  </si>
  <si>
    <t>2024.1.13.</t>
  </si>
  <si>
    <t>2024.1.18.</t>
  </si>
  <si>
    <t>2024.1.22.</t>
  </si>
  <si>
    <t>2024.2.1.</t>
  </si>
  <si>
    <t>2024.1.17.</t>
  </si>
  <si>
    <t>2024.1.19.</t>
  </si>
  <si>
    <t>등록면허세2024.1.</t>
  </si>
  <si>
    <t>2024.1.31.</t>
  </si>
  <si>
    <t>2024.1.25.</t>
  </si>
  <si>
    <t>2024.2.2.</t>
  </si>
  <si>
    <t>추가근무 16일(32시간) 산정시급 19256</t>
  </si>
  <si>
    <t>2024.2.10.</t>
  </si>
  <si>
    <t>2024.2.3.</t>
  </si>
  <si>
    <t>이종현.건강보험료</t>
  </si>
  <si>
    <t>2024.2.5.</t>
  </si>
  <si>
    <t>혈압계수리비</t>
  </si>
  <si>
    <t>2024.2.7.</t>
  </si>
  <si>
    <t>2024.2.14.</t>
  </si>
  <si>
    <t>2024.2.17.</t>
  </si>
  <si>
    <t>2024.2.21.</t>
  </si>
  <si>
    <t>2024.2.26.</t>
  </si>
  <si>
    <t>착오.2회지급-&gt;11월에 미지급하기로 함</t>
  </si>
  <si>
    <t>2024.2.29.</t>
  </si>
  <si>
    <t>추가근무 14일(28시간) 산정시급 23966</t>
  </si>
  <si>
    <t>2024.2.16.</t>
  </si>
  <si>
    <t>직원퇴직연금(202307_202309)</t>
  </si>
  <si>
    <t>직원퇴직연금(202310_202312)</t>
  </si>
  <si>
    <t>2024.2.19.</t>
  </si>
  <si>
    <t>국민카드</t>
  </si>
  <si>
    <t>2024.3.2.</t>
  </si>
  <si>
    <t>추가근무 11.5일(23시간) 산정시급 23966</t>
  </si>
  <si>
    <t>2024.3.9.</t>
  </si>
  <si>
    <t>김민선(급여기준입사일5월19일)</t>
  </si>
  <si>
    <t>2024.3.14.</t>
  </si>
  <si>
    <t>2024.3.18.</t>
  </si>
  <si>
    <t>2024.3.22.</t>
  </si>
  <si>
    <t>2024.4.1.</t>
  </si>
  <si>
    <t>추가근무 14.5일(29시간) 산정시급 23966</t>
  </si>
  <si>
    <t>2024.3.29.</t>
  </si>
  <si>
    <t>2024.4.2.</t>
  </si>
  <si>
    <t>추가근무 16일(32시간) 산정시급 23966</t>
  </si>
  <si>
    <t>추가근무 14.5일(29시간) 산정시급 17631</t>
  </si>
  <si>
    <t>2024.4.9.</t>
  </si>
  <si>
    <t>광원메디칼.paste.electrodes</t>
  </si>
  <si>
    <t>독촉.건강보험료.종현차액</t>
  </si>
  <si>
    <t>종현납부.차액</t>
  </si>
  <si>
    <t>2024.4.13.</t>
  </si>
  <si>
    <t>2024.4.18.</t>
  </si>
  <si>
    <t>2024.4.22.</t>
  </si>
  <si>
    <t>2024.4.30.</t>
  </si>
  <si>
    <t>한남공원관리비.1년(11평*20000=220000)</t>
  </si>
  <si>
    <t>지로6405997..1년(11평*20000=220000)</t>
  </si>
  <si>
    <t>2024.4.17.</t>
  </si>
  <si>
    <t>추가근무 15일(30시간) 산정시급 23966</t>
  </si>
  <si>
    <t>추가근무 13.5일(27시간) 산정시급 17631</t>
  </si>
  <si>
    <t>2024.5.2.</t>
  </si>
  <si>
    <t>추가근무 14일(28시간) 산정시급 17631</t>
  </si>
  <si>
    <t>2024.5.10.</t>
  </si>
  <si>
    <t>2024.5.14.</t>
  </si>
  <si>
    <t>2024.5.18.</t>
  </si>
  <si>
    <t>2024.5.22.</t>
  </si>
  <si>
    <t>2024.6.1.</t>
  </si>
  <si>
    <t>2024.5.31.</t>
  </si>
  <si>
    <t>KCL의료재단(4월)</t>
  </si>
  <si>
    <t>2024.6.3.</t>
  </si>
  <si>
    <t>추가근무 16일(32시간) 산정시급 17631</t>
  </si>
  <si>
    <t>2024.6.10.</t>
  </si>
  <si>
    <t>의료폐기물수거비.추가.52500-47500</t>
  </si>
  <si>
    <t>국민 00570204116818</t>
  </si>
  <si>
    <t>2024.6.14.</t>
  </si>
  <si>
    <t>국민 77460204072933</t>
  </si>
  <si>
    <t>2024.6.18.</t>
  </si>
  <si>
    <t>국민 09760204082679</t>
  </si>
  <si>
    <t>2024.6.22.</t>
  </si>
  <si>
    <t>하나 14489070062807</t>
  </si>
  <si>
    <t>2024.6.29.</t>
  </si>
  <si>
    <t>국민 09760104177220</t>
  </si>
  <si>
    <t>2024.6.17.</t>
  </si>
  <si>
    <t>추가근무 13.5일(27시간) 산정시급 23966</t>
  </si>
  <si>
    <t>추가근무 14일(28시간) 산정시급 19770</t>
  </si>
  <si>
    <t>추가근무 15일(30시간) 산정시급 17631</t>
  </si>
  <si>
    <t>KCL의료재단(5월)</t>
  </si>
  <si>
    <t>2024.7.2.</t>
  </si>
  <si>
    <t>2024.6.28.</t>
  </si>
  <si>
    <t>종합소득세.국세</t>
  </si>
  <si>
    <t>지방소득세.지방세</t>
  </si>
  <si>
    <t>2024.7.10.</t>
  </si>
  <si>
    <t>2024.7.13.</t>
  </si>
  <si>
    <t>2024.7.18.</t>
  </si>
  <si>
    <t>2024.7.22.</t>
  </si>
  <si>
    <t>2024.8.1.</t>
  </si>
  <si>
    <t>2024.7.31.</t>
  </si>
  <si>
    <t>KCL의료재단(6월)</t>
  </si>
  <si>
    <t>2024.7.26.</t>
  </si>
  <si>
    <t>재산세.목동.이종민</t>
  </si>
  <si>
    <t>재산세.신사동1.건물분</t>
  </si>
  <si>
    <t>재산세.신사동2.건물분</t>
  </si>
  <si>
    <t>2024.8.2.</t>
  </si>
  <si>
    <t>추가근무 17일(34시간) 산정시급 23966</t>
  </si>
  <si>
    <t>추가근무 18일(36시간) 산정시급 19770</t>
  </si>
  <si>
    <t>추가근무 16.5일(33시간) 산정시급 17631</t>
  </si>
  <si>
    <t>2024.8.9.</t>
  </si>
  <si>
    <t>2024.8.10.</t>
  </si>
  <si>
    <t>2024.8.14.</t>
  </si>
  <si>
    <t>2024.8.17.</t>
  </si>
  <si>
    <t>2024.8.22.</t>
  </si>
  <si>
    <t>2024.8.31.</t>
  </si>
  <si>
    <t>2024.8.7.</t>
  </si>
  <si>
    <t>주민세.사업소분</t>
  </si>
  <si>
    <t>추가근무 13일(26시간) 산정시급 23966</t>
  </si>
  <si>
    <t>KCL의료재단(7월)</t>
  </si>
  <si>
    <t>2024.9.2.</t>
  </si>
  <si>
    <t>국민은행 203501-01-001835</t>
  </si>
  <si>
    <t>2024.9.10.</t>
  </si>
  <si>
    <t>2024.9.9.</t>
  </si>
  <si>
    <t>2024.9.14.</t>
  </si>
  <si>
    <t>2024.9.21.</t>
  </si>
  <si>
    <t>2024.9.30.</t>
  </si>
  <si>
    <t>2023.6.29.-&gt;9/10</t>
  </si>
  <si>
    <t>퇴직연금DC운용수수료.한국투자(23.6.5~24.6.4.)</t>
  </si>
  <si>
    <t>추가근무 14.5일(29시간) 산정시급 19770</t>
  </si>
  <si>
    <t>KCL의료재단(8월)</t>
  </si>
  <si>
    <t>2024.10.4.</t>
  </si>
  <si>
    <t>(과지급-&gt;다음지급에서 차감)</t>
  </si>
  <si>
    <t>다음달에 차감</t>
  </si>
  <si>
    <t>(차액추가지급-&gt;우측)</t>
  </si>
  <si>
    <t>추가근무 15일(30시간) 산정시급 19770</t>
  </si>
  <si>
    <t>이번달에 추가지급</t>
  </si>
  <si>
    <t>2024.10.10.</t>
  </si>
  <si>
    <t>2024.10.14.</t>
  </si>
  <si>
    <t>2024.10.18.</t>
  </si>
  <si>
    <t>2024.10.22.</t>
  </si>
  <si>
    <t>2024.11.1.</t>
  </si>
  <si>
    <t>(과지급-&gt;지급에서 차감)</t>
  </si>
  <si>
    <t>차감하여 지급액</t>
  </si>
  <si>
    <t>2024.10.30.</t>
  </si>
  <si>
    <t>KCL의료재단(9월)</t>
  </si>
  <si>
    <t>차액추가입금</t>
  </si>
  <si>
    <t>2024.11.2.</t>
  </si>
  <si>
    <t>추가근무 15.5일(31시간) 산정시급 23966</t>
  </si>
  <si>
    <t>추가근무 16일(32시간) 산정시급 19770</t>
  </si>
  <si>
    <t>2024.11.9.</t>
  </si>
  <si>
    <t>2024.11.6.</t>
  </si>
  <si>
    <t>안랩.1년결제</t>
  </si>
  <si>
    <t>2024.11.14.</t>
  </si>
  <si>
    <t>2024.11.18.</t>
  </si>
  <si>
    <t>2024.11.22.</t>
  </si>
  <si>
    <r>
      <rPr/>
      <t>하나 14489070062807</t>
    </r>
    <r>
      <rPr>
        <sz val="7.0"/>
      </rPr>
      <t>(착오.24.2월에2회지급-&gt;11월에 미지급하기로 함)</t>
    </r>
  </si>
  <si>
    <t>2024.11.29.</t>
  </si>
  <si>
    <t>추가근무 12.5일(25시간) 산정시급 17631</t>
  </si>
  <si>
    <t>KCL의료재단(10월)</t>
  </si>
  <si>
    <t>2024.11.20.</t>
  </si>
  <si>
    <t>의사회.의협회비</t>
  </si>
  <si>
    <t>2024.12.3.</t>
  </si>
  <si>
    <t>2024.12.10.</t>
  </si>
  <si>
    <t>raesis 래시스 2025년.1년.(~2025.12)</t>
  </si>
  <si>
    <t>330000*1.0(부가세없이.3만.할인)농협356-0233-3642-93유석철</t>
  </si>
  <si>
    <t>2024.12.14.</t>
  </si>
  <si>
    <t>2024.12.18.</t>
  </si>
  <si>
    <t>2024.12.21.</t>
  </si>
  <si>
    <t>2024.12.31.</t>
  </si>
  <si>
    <t>2024.12.9.</t>
  </si>
  <si>
    <t>종부세</t>
  </si>
  <si>
    <t>2024.12.17.</t>
  </si>
  <si>
    <t>추가근무 13일(26시간) 산정시급 19770</t>
  </si>
  <si>
    <t>2024.12.23.</t>
  </si>
  <si>
    <t>the.shop.병원물품</t>
  </si>
  <si>
    <t>씨티카드-&gt;계산서</t>
  </si>
  <si>
    <t>2024.12.26.</t>
  </si>
  <si>
    <t>KCL의료재단(11월)</t>
  </si>
  <si>
    <t>2025.1.2.</t>
  </si>
  <si>
    <t>추가근무 15.5일(31시간) 산정시급 19770</t>
  </si>
  <si>
    <t>직원퇴직연금(202410_202412)</t>
  </si>
  <si>
    <t>2025.1.10.</t>
  </si>
  <si>
    <t>2025.1.14.</t>
  </si>
  <si>
    <t>2025.1.18.</t>
  </si>
  <si>
    <t>2025.1.22.</t>
  </si>
  <si>
    <t>2025.1.31.</t>
  </si>
  <si>
    <t>2025.1.17.</t>
  </si>
  <si>
    <t>KCL의료재단(12월)</t>
  </si>
  <si>
    <t>2025.1.21.</t>
  </si>
  <si>
    <t>등록면허세.서울브레인신경과</t>
  </si>
  <si>
    <t>2025.1.24.</t>
  </si>
  <si>
    <t>광원메디칼.EP헤드폰수리</t>
  </si>
  <si>
    <t>2025.2.3.</t>
  </si>
  <si>
    <t>2025.2.10.</t>
  </si>
  <si>
    <t>2025.2.14.</t>
  </si>
  <si>
    <t>2025.2.18.</t>
  </si>
  <si>
    <t>2025.2.22.</t>
  </si>
  <si>
    <t>2025.2.28.</t>
  </si>
  <si>
    <t>2025.2.17.</t>
  </si>
  <si>
    <t>추가근무 12.5일(25시간) 산정시급 19770</t>
  </si>
  <si>
    <t>KCL의료재단(1월)</t>
  </si>
  <si>
    <t>2025.3.4.</t>
  </si>
  <si>
    <t>추가근무 12일(24시간) 산정시급 24549</t>
  </si>
  <si>
    <t>추가근무 13일(26시간) 산정시급 17631</t>
  </si>
  <si>
    <t>2025.3.10.</t>
  </si>
  <si>
    <t>2025.3.14.</t>
  </si>
  <si>
    <t>2025.3.18.</t>
  </si>
  <si>
    <t>2025.3.22.</t>
  </si>
  <si>
    <t>2025.4.1.</t>
  </si>
  <si>
    <t>2025.3.17.</t>
  </si>
  <si>
    <t>추가근무 14일(28시간) 산정시급 24549</t>
  </si>
  <si>
    <t>2025.3.31.</t>
  </si>
  <si>
    <t>KCL의료재단(2월)</t>
  </si>
  <si>
    <t>2025.3.21.</t>
  </si>
  <si>
    <t>광원 NCS 기기 계약금</t>
  </si>
  <si>
    <t>기업 211-030035-04-019 광원메디칼(300+980+900+900=3080)</t>
  </si>
  <si>
    <t>2025.4.2.</t>
  </si>
  <si>
    <t>추가근무 15.5일(31시간) 산정시급 24549</t>
  </si>
  <si>
    <t>추가근무 14.5일(29시간) 산정시급 18144</t>
  </si>
  <si>
    <t>2025.4.10.</t>
  </si>
  <si>
    <t>2025.4.14.</t>
  </si>
  <si>
    <t>2025.4.18.</t>
  </si>
  <si>
    <t>2025.4.22.</t>
  </si>
  <si>
    <t>2025.4.30.</t>
  </si>
  <si>
    <t>2025.4.12.</t>
  </si>
  <si>
    <t>광원 NCS 기기 1차 중도금</t>
  </si>
  <si>
    <t>2025.4.17.</t>
  </si>
  <si>
    <t>KCL의료재단(3월)</t>
  </si>
  <si>
    <t>2025.5.2.</t>
  </si>
  <si>
    <t>추가근무 14.5일(29시간) 산정시급 24549</t>
  </si>
  <si>
    <t>2025.5.9.</t>
  </si>
  <si>
    <t>2025.5.10.</t>
  </si>
  <si>
    <t>2025.5.14.</t>
  </si>
  <si>
    <t>2025.5.17.</t>
  </si>
  <si>
    <t>2025.5.22.</t>
  </si>
  <si>
    <t>2025.5.31.</t>
  </si>
  <si>
    <t>2025.5.12.</t>
  </si>
  <si>
    <t>광원 NCS 기기 2차 중도금</t>
  </si>
  <si>
    <t>추가근무 15일(30시간) 산정시급 24549</t>
  </si>
  <si>
    <t>추가근무 15일(30시간) 산정시급 18144</t>
  </si>
  <si>
    <t>2025.5.23.</t>
  </si>
  <si>
    <t>2025.6.2.</t>
  </si>
  <si>
    <t>2025.6.10.</t>
  </si>
  <si>
    <t>2025.6.14.</t>
  </si>
  <si>
    <t>2025.6.18.</t>
  </si>
  <si>
    <t>2025.6.22.</t>
  </si>
  <si>
    <t>2025.6.28.</t>
  </si>
  <si>
    <t>2025.6.12.</t>
  </si>
  <si>
    <t>광원 NCS 기기 잔금</t>
  </si>
  <si>
    <t>2025.6.17.</t>
  </si>
  <si>
    <t>추가근무 14.5일(29시간) 산정시급 20283</t>
  </si>
  <si>
    <t>2025.6.28.(7월초)</t>
  </si>
  <si>
    <t>2025.7.10.</t>
  </si>
  <si>
    <t>2025.7.14.</t>
  </si>
  <si>
    <t>2025.7.18.</t>
  </si>
  <si>
    <t>2025.7.22.</t>
  </si>
  <si>
    <t>2025.8.1.</t>
  </si>
  <si>
    <t>2025.6.27.</t>
  </si>
  <si>
    <t>지방소득세.2024귀속</t>
  </si>
  <si>
    <t>종합소득세.2024귀속.2분납.1차</t>
  </si>
  <si>
    <t>롯데카드</t>
  </si>
  <si>
    <t>2025.7.6.</t>
  </si>
  <si>
    <t>2025.7..</t>
  </si>
  <si>
    <t>2025.7.24.</t>
  </si>
  <si>
    <t>싱그릭스*4.블루팜코리아</t>
  </si>
  <si>
    <t>2025.4.15.</t>
  </si>
  <si>
    <t>싱그릭스*6.블루팜코리아(약3개월전)</t>
  </si>
  <si>
    <t>종합소득세.2024귀속.2분납.2차</t>
  </si>
  <si>
    <t>0.2% for 1yr</t>
  </si>
  <si>
    <t>2008.3.</t>
  </si>
  <si>
    <t>2008.4.29.</t>
  </si>
  <si>
    <t>청구(입금액) - 보호급여 빠짐...</t>
  </si>
  <si>
    <t>본인부담</t>
  </si>
  <si>
    <t>비급여</t>
  </si>
  <si>
    <t>2008.4.</t>
  </si>
  <si>
    <t>2008.5.</t>
  </si>
  <si>
    <t>2008.6.19.</t>
  </si>
  <si>
    <t>2008.6.</t>
  </si>
  <si>
    <t>2008.7.17.</t>
  </si>
  <si>
    <t>2008.7.</t>
  </si>
  <si>
    <t>2008.8.20.</t>
  </si>
  <si>
    <t>2008.8.</t>
  </si>
  <si>
    <t>2008.9.17.</t>
  </si>
  <si>
    <t>2008.9.</t>
  </si>
  <si>
    <t>2008.10.</t>
  </si>
  <si>
    <t>2008.11.24.</t>
  </si>
  <si>
    <t>2008.11.</t>
  </si>
  <si>
    <t>2008.12.17.</t>
  </si>
  <si>
    <t>2008.12.</t>
  </si>
  <si>
    <t>2009.1.20.</t>
  </si>
  <si>
    <t>2009.1.</t>
  </si>
  <si>
    <t>2009.2.19.</t>
  </si>
  <si>
    <t>2009.2.</t>
  </si>
  <si>
    <t>2009.3.20.</t>
  </si>
  <si>
    <t>2009.3.</t>
  </si>
  <si>
    <t>2009.4.</t>
  </si>
  <si>
    <t>2009.5.20.</t>
  </si>
  <si>
    <t>2009.5.</t>
  </si>
  <si>
    <t>2009.6.15.</t>
  </si>
  <si>
    <t>2009.6.</t>
  </si>
  <si>
    <t>2009.7.16.</t>
  </si>
  <si>
    <t>2009.7.</t>
  </si>
  <si>
    <t>2009.8.</t>
  </si>
  <si>
    <t>2009.9.15.</t>
  </si>
  <si>
    <t>2009.9.</t>
  </si>
  <si>
    <t>2009.10.</t>
  </si>
  <si>
    <t>2009.11.</t>
  </si>
  <si>
    <t>2009.12.15.</t>
  </si>
  <si>
    <t>2009.12.</t>
  </si>
  <si>
    <t>2010.1.20.</t>
  </si>
  <si>
    <t>2010.1.</t>
  </si>
  <si>
    <t>2010.2.</t>
  </si>
  <si>
    <t>2010.3.</t>
  </si>
  <si>
    <t>2010.4.19.</t>
  </si>
  <si>
    <t>2010.4.</t>
  </si>
  <si>
    <t>2010.5.19.</t>
  </si>
  <si>
    <t>2010.5.</t>
  </si>
  <si>
    <t>2010.6.</t>
  </si>
  <si>
    <t>2010.7.16.</t>
  </si>
  <si>
    <t>2010.7.</t>
  </si>
  <si>
    <t>2010.8.</t>
  </si>
  <si>
    <t>2010.9.16.</t>
  </si>
  <si>
    <t>2010.9.</t>
  </si>
  <si>
    <t>2010.10.</t>
  </si>
  <si>
    <t>2010.11.17.</t>
  </si>
  <si>
    <t>2010.11.</t>
  </si>
  <si>
    <t>2010.12.</t>
  </si>
  <si>
    <t>2011.1.20.</t>
  </si>
  <si>
    <t>2011.1.</t>
  </si>
  <si>
    <t>2011.2.22.</t>
  </si>
  <si>
    <t>2011.2.</t>
  </si>
  <si>
    <t>2011.3.22.</t>
  </si>
  <si>
    <t>2011.3.</t>
  </si>
  <si>
    <t>2011.4.19.</t>
  </si>
  <si>
    <t>2011.4.</t>
  </si>
  <si>
    <t>2011.5.23.</t>
  </si>
  <si>
    <t>2011.5.</t>
  </si>
  <si>
    <t>2011.6.21.</t>
  </si>
  <si>
    <t>2011.6.</t>
  </si>
  <si>
    <t>2011.7.</t>
  </si>
  <si>
    <t>2011.8.19.(+2500000)</t>
  </si>
  <si>
    <t>2011.8.</t>
  </si>
  <si>
    <t>2011.9.</t>
  </si>
  <si>
    <t>2011.10.</t>
  </si>
  <si>
    <t>2011.11.17</t>
  </si>
  <si>
    <t>2011.11.</t>
  </si>
  <si>
    <t>2011.12.21.(+3766000)</t>
  </si>
  <si>
    <t>2011.12.</t>
  </si>
  <si>
    <t>2012.1.</t>
  </si>
  <si>
    <t>2012.2.</t>
  </si>
  <si>
    <t>2012.3.</t>
  </si>
  <si>
    <t>2012.4.17.</t>
  </si>
  <si>
    <t>2012.4.</t>
  </si>
  <si>
    <t>2012.5.</t>
  </si>
  <si>
    <t>2012.6.20.</t>
  </si>
  <si>
    <t>2012.6.</t>
  </si>
  <si>
    <t>2012.7.18.(+6896650)</t>
  </si>
  <si>
    <t>2012.7.</t>
  </si>
  <si>
    <t>2012.8.21.</t>
  </si>
  <si>
    <t>2012.8.</t>
  </si>
  <si>
    <t>2012.9.19.</t>
  </si>
  <si>
    <t>2012.9.</t>
  </si>
  <si>
    <t>2012.10.19.</t>
  </si>
  <si>
    <t>2012.10.</t>
  </si>
  <si>
    <t>2012.11.</t>
  </si>
  <si>
    <t>2012.12.</t>
  </si>
  <si>
    <t>2013.1.</t>
  </si>
  <si>
    <t>2013.3.21.</t>
  </si>
  <si>
    <t>2013.2.</t>
  </si>
  <si>
    <t>2013.3.22.</t>
  </si>
  <si>
    <t>2013.3.</t>
  </si>
  <si>
    <t>2013.4.19.</t>
  </si>
  <si>
    <t>2013.4.</t>
  </si>
  <si>
    <t>2013.5.22.</t>
  </si>
  <si>
    <t>2013.5.</t>
  </si>
  <si>
    <t>2013.6.21.</t>
  </si>
  <si>
    <t>2013.6.</t>
  </si>
  <si>
    <t>2013.7.</t>
  </si>
  <si>
    <t>2013.8.16</t>
  </si>
  <si>
    <t>2013.8.</t>
  </si>
  <si>
    <t>2013.9.</t>
  </si>
  <si>
    <t>2013.10.21.</t>
  </si>
  <si>
    <t>2013.10.</t>
  </si>
  <si>
    <t>2013.11.</t>
  </si>
  <si>
    <t>2013.12.20.</t>
  </si>
  <si>
    <t>2013.12.</t>
  </si>
  <si>
    <t>2014.1.</t>
  </si>
  <si>
    <t>2014.2.</t>
  </si>
  <si>
    <t>2014.3.</t>
  </si>
  <si>
    <t>2014.4.</t>
  </si>
  <si>
    <t>2014.5.22.</t>
  </si>
  <si>
    <t>2014.5.</t>
  </si>
  <si>
    <t>2014.6.</t>
  </si>
  <si>
    <t>2014.7.</t>
  </si>
  <si>
    <t>2014.8.20.</t>
  </si>
  <si>
    <t>2014.8.</t>
  </si>
  <si>
    <t>2014.9.</t>
  </si>
  <si>
    <t>2014.10.22.</t>
  </si>
  <si>
    <t>2014.10.</t>
  </si>
  <si>
    <t>2014.11.21.</t>
  </si>
  <si>
    <t>2014.11.</t>
  </si>
  <si>
    <t>2014.12.</t>
  </si>
  <si>
    <t>2015.1.22.</t>
  </si>
  <si>
    <t>2015.1.</t>
  </si>
  <si>
    <t>2015.2.23.</t>
  </si>
  <si>
    <t>2015.2.</t>
  </si>
  <si>
    <t>2015.3.</t>
  </si>
  <si>
    <t>2015.4.21.</t>
  </si>
  <si>
    <t>2015.4.</t>
  </si>
  <si>
    <t>2015.5.21.</t>
  </si>
  <si>
    <t>2015.5.</t>
  </si>
  <si>
    <t>2015.6.</t>
  </si>
  <si>
    <t>2015.7.10</t>
  </si>
  <si>
    <t>2015.7.</t>
  </si>
  <si>
    <t>2015.8.12.</t>
  </si>
  <si>
    <t>2015.9.10.</t>
  </si>
  <si>
    <t>2015.9.</t>
  </si>
  <si>
    <t>2015.10.12.</t>
  </si>
  <si>
    <t>2015.10.</t>
  </si>
  <si>
    <t>2015.11.11.</t>
  </si>
  <si>
    <t>2015.11.</t>
  </si>
  <si>
    <t>2015.12.10.</t>
  </si>
  <si>
    <t>2015.12.</t>
  </si>
  <si>
    <t>2016.1.13.</t>
  </si>
  <si>
    <t>2016.1.</t>
  </si>
  <si>
    <t>2016.2.12.</t>
  </si>
  <si>
    <t>2016.2.</t>
  </si>
  <si>
    <t>2016.3.11.</t>
  </si>
  <si>
    <t>2016.3.</t>
  </si>
  <si>
    <t>2016.4.11.</t>
  </si>
  <si>
    <t>2016.4.</t>
  </si>
  <si>
    <t>2016.5.12.</t>
  </si>
  <si>
    <t>2016.5.</t>
  </si>
  <si>
    <t>2016.6.10.</t>
  </si>
  <si>
    <t>2016.6.</t>
  </si>
  <si>
    <t>2016.7.11.</t>
  </si>
  <si>
    <t>2016.7.</t>
  </si>
  <si>
    <t>2016.8.</t>
  </si>
  <si>
    <t>2016.9.12.</t>
  </si>
  <si>
    <t>2016.9.</t>
  </si>
  <si>
    <t>2016.10.17.</t>
  </si>
  <si>
    <t>2016.10.</t>
  </si>
  <si>
    <t>2016.11.10.</t>
  </si>
  <si>
    <t>2016.11.</t>
  </si>
  <si>
    <t xml:space="preserve">2016.12.
</t>
  </si>
  <si>
    <t>2017.1.</t>
  </si>
  <si>
    <t>2017.2.10.</t>
  </si>
  <si>
    <t>2017.2.</t>
  </si>
  <si>
    <t>2017.3.13.</t>
  </si>
  <si>
    <t>2017.3.</t>
  </si>
  <si>
    <t>2017.4.</t>
  </si>
  <si>
    <t>2017.5.</t>
  </si>
  <si>
    <t>2017.6.14.</t>
  </si>
  <si>
    <t>2017.6.</t>
  </si>
  <si>
    <t>2017.7.12.</t>
  </si>
  <si>
    <t>2017.7.</t>
  </si>
  <si>
    <t>2017.8.</t>
  </si>
  <si>
    <t>2017.9.11.</t>
  </si>
  <si>
    <t>2017.11.9.</t>
  </si>
  <si>
    <t>2017년9월분</t>
  </si>
  <si>
    <t>2017.12.11.</t>
  </si>
  <si>
    <t>2017년10월분</t>
  </si>
  <si>
    <t>2018.2.12.</t>
  </si>
  <si>
    <t>2018.2.21.</t>
  </si>
  <si>
    <t>2018.3.12.</t>
  </si>
  <si>
    <t>2018.3.20.</t>
  </si>
  <si>
    <t>2018.4.12.</t>
  </si>
  <si>
    <t>2018.5.14.</t>
  </si>
  <si>
    <t>2018.6.19.</t>
  </si>
  <si>
    <t>2018.7.23.</t>
  </si>
  <si>
    <t>2018.9.20.</t>
  </si>
  <si>
    <t>2019.5.21.</t>
  </si>
  <si>
    <t>2019.6.14.</t>
  </si>
  <si>
    <t>2019.10.21.</t>
  </si>
  <si>
    <t>2019.11.14.</t>
  </si>
  <si>
    <t>2019.12.12.</t>
  </si>
  <si>
    <t>2020.2.13.</t>
  </si>
  <si>
    <t>2020.3.9.</t>
  </si>
  <si>
    <t>2020.4.8.</t>
  </si>
  <si>
    <t>2020.4.20.</t>
  </si>
  <si>
    <t>2020.5.15</t>
  </si>
  <si>
    <t>2020.6.8.</t>
  </si>
  <si>
    <t>2020.7.9.</t>
  </si>
  <si>
    <t>2020.7.20.</t>
  </si>
  <si>
    <t>2020.8.20.</t>
  </si>
  <si>
    <t>2020.9.8.</t>
  </si>
  <si>
    <t>2020.10.21.</t>
  </si>
  <si>
    <t>2021.1.20.</t>
  </si>
  <si>
    <t>2021.2.9.</t>
  </si>
  <si>
    <t>2021.3.9.</t>
  </si>
  <si>
    <t>2021.3.19.</t>
  </si>
  <si>
    <t>2021.4.8.</t>
  </si>
  <si>
    <t>2021.4.19.</t>
  </si>
  <si>
    <t>2021.5.11.</t>
  </si>
  <si>
    <t>2021.6.8.</t>
  </si>
  <si>
    <t>2021.7.8.</t>
  </si>
  <si>
    <t>2021.7.21.</t>
  </si>
  <si>
    <t>2021.9.8.</t>
  </si>
  <si>
    <t>2021.10.13.</t>
  </si>
  <si>
    <t>2021.11.8.</t>
  </si>
  <si>
    <t>2021.12.8.</t>
  </si>
  <si>
    <t>2022.2.11.</t>
  </si>
  <si>
    <t>2022.4.21.</t>
  </si>
  <si>
    <t>2022.6.21.</t>
  </si>
  <si>
    <t>2022.7.11.</t>
  </si>
  <si>
    <t>2022.7.20.</t>
  </si>
  <si>
    <t>2022.8.29.</t>
  </si>
  <si>
    <t>2022.10.12.</t>
  </si>
  <si>
    <t>2022.10.21.</t>
  </si>
  <si>
    <t>2022.11.8.</t>
  </si>
  <si>
    <t>2022.12.20.</t>
  </si>
  <si>
    <t>2023.1.9.</t>
  </si>
  <si>
    <t>2023.1.19.</t>
  </si>
  <si>
    <t>2023.2.8.</t>
  </si>
  <si>
    <t>2023.5.11.</t>
  </si>
  <si>
    <t>2023.5.19.</t>
  </si>
  <si>
    <t>2023.6.9.</t>
  </si>
  <si>
    <t>2023.6.19.</t>
  </si>
  <si>
    <t>2023.7.21.</t>
  </si>
  <si>
    <t>2023.9.5.</t>
  </si>
  <si>
    <t>2023.9.11.</t>
  </si>
  <si>
    <t>2023.9.19.</t>
  </si>
  <si>
    <t>2023.10.13.</t>
  </si>
  <si>
    <t>2023.10.19.</t>
  </si>
  <si>
    <t>2023.11.21.</t>
  </si>
  <si>
    <t>2023.12.11.</t>
  </si>
  <si>
    <t>2024.2.8.</t>
  </si>
  <si>
    <t>2024.3.11.</t>
  </si>
  <si>
    <t>2024.6.11.</t>
  </si>
  <si>
    <t>2024.6.20.</t>
  </si>
  <si>
    <t>2024.7.8.</t>
  </si>
  <si>
    <t>2024.7.19.</t>
  </si>
  <si>
    <t>2024.8.8.</t>
  </si>
  <si>
    <t>2024.8.21.</t>
  </si>
  <si>
    <t>2024.9.24.</t>
  </si>
  <si>
    <t>2024.10.11.</t>
  </si>
  <si>
    <t>2024.10.21.</t>
  </si>
  <si>
    <t>2024.11.11.</t>
  </si>
  <si>
    <t>2024.12.20.</t>
  </si>
  <si>
    <t>2025.1.9.</t>
  </si>
  <si>
    <t>2025.3.11.</t>
  </si>
  <si>
    <t>2025.4.9.</t>
  </si>
  <si>
    <t>2025.5.13.</t>
  </si>
  <si>
    <t>2025.5.21.</t>
  </si>
  <si>
    <t>2025.6.11.</t>
  </si>
  <si>
    <t>2025.6.20.</t>
  </si>
  <si>
    <t>전세보증금(120M)양변</t>
  </si>
  <si>
    <t>연금/건강/산재/고용</t>
  </si>
  <si>
    <t>근소세주민세</t>
  </si>
  <si>
    <t>노란우산공제(2010.5.)</t>
  </si>
  <si>
    <t>(종민하키/부부여행적립)</t>
  </si>
  <si>
    <t>말일</t>
  </si>
  <si>
    <t>종민하키/부부여행적립</t>
  </si>
  <si>
    <t>아파트관리비</t>
  </si>
  <si>
    <t>진달래지역아동센터 (대표 최옥)</t>
  </si>
  <si>
    <t>30~50</t>
  </si>
  <si>
    <t>우리은행 1005-601-631772</t>
  </si>
  <si>
    <t>PNL_Budget</t>
  </si>
  <si>
    <t>국민097601-04-235351 이일근(피엔엘)</t>
  </si>
  <si>
    <t>수도사업소3146.4700//1599-3900-3-2-</t>
  </si>
  <si>
    <t>cyber.kepco/neurolee/auction</t>
  </si>
  <si>
    <t>giro.pnl160912.pnl216###</t>
  </si>
  <si>
    <t xml:space="preserve">hometaxneurolee1NameNoName#
</t>
  </si>
  <si>
    <t>601-52-00200</t>
  </si>
  <si>
    <t>하나 39291034522307(PNL이일근)</t>
  </si>
  <si>
    <t>고객번호029055972</t>
  </si>
  <si>
    <t>고객번호 01 0312 1024</t>
  </si>
  <si>
    <t>KB이일근(서울브레인신경과의원) 097601-04-185597 (5)</t>
  </si>
  <si>
    <t>날짜</t>
  </si>
  <si>
    <t>항목</t>
  </si>
  <si>
    <t>증빙확인</t>
  </si>
  <si>
    <t>기업용공인인증서(KB)</t>
  </si>
  <si>
    <t>설정등기.인지50%</t>
  </si>
  <si>
    <t>국민 346-01-0022-112 국민은행.학동지점</t>
  </si>
  <si>
    <t>설정채권할인</t>
  </si>
  <si>
    <t>국민 346501-04-199463 정지환법무사무소</t>
  </si>
  <si>
    <t>#</t>
  </si>
  <si>
    <t>법무사수수료.인지.채권(1)</t>
  </si>
  <si>
    <t>손기봉법무사무소 신한 110283839049</t>
  </si>
  <si>
    <t>세금</t>
  </si>
  <si>
    <t>2016.9.13</t>
  </si>
  <si>
    <t>법무사수수료.인지.채권(2).채권착오분</t>
  </si>
  <si>
    <t>중개수수료.닥터공인</t>
  </si>
  <si>
    <t>신한 140-008-046838 (주)닥터뱅크앤에셋부동산중개 이상훈</t>
  </si>
  <si>
    <t>2016.9.27.</t>
  </si>
  <si>
    <t>동부.화재보험.1년</t>
  </si>
  <si>
    <t>함영님.아주머니.급여.상여</t>
  </si>
  <si>
    <t>KB국민.097602.04.074542  (40+3)*(19/30)+10만</t>
  </si>
  <si>
    <t>202비엔엠.임대료</t>
  </si>
  <si>
    <t>2016.9.28.</t>
  </si>
  <si>
    <t>바비스토리.임대보증금</t>
  </si>
  <si>
    <t>2016.9.29.</t>
  </si>
  <si>
    <t>B102바비스토리임대료</t>
  </si>
  <si>
    <t>501대한전기임대료</t>
  </si>
  <si>
    <t>302세움아트임대료</t>
  </si>
  <si>
    <t>기타 계좌 거래내역 팩스도 신청</t>
  </si>
  <si>
    <t>201디자인삼층임대료</t>
  </si>
  <si>
    <t>KB대출계좌(내역신청.전화-9-2-3)</t>
  </si>
  <si>
    <t>1588-9999##</t>
  </si>
  <si>
    <t>502테무임대료</t>
  </si>
  <si>
    <t>346516-04-216331</t>
  </si>
  <si>
    <t>102제이랩임대료</t>
  </si>
  <si>
    <t>346516-04-216360</t>
  </si>
  <si>
    <t>402MKS임대료</t>
  </si>
  <si>
    <t>346516-04-216373</t>
  </si>
  <si>
    <t>2016.10.4.</t>
  </si>
  <si>
    <t>401매스21임대료</t>
  </si>
  <si>
    <t>346516-04-233998</t>
  </si>
  <si>
    <t>20190910~</t>
  </si>
  <si>
    <t>2016.10.5.</t>
  </si>
  <si>
    <t>101롤리우드임대료</t>
  </si>
  <si>
    <t>2016.10.7.</t>
  </si>
  <si>
    <t>9월 전기료(삼화사.대납)</t>
  </si>
  <si>
    <t>국민은행 전용입금계좌</t>
  </si>
  <si>
    <t>소방안전 업무 대행 계약</t>
  </si>
  <si>
    <t>매월 말일 10만원(VAT 별도) 자동이체</t>
  </si>
  <si>
    <t>엘리베이터 관리 계약</t>
  </si>
  <si>
    <t>매월 25일 이체 필요</t>
  </si>
  <si>
    <t>### 정화조 청소</t>
  </si>
  <si>
    <t>2016년8월 중 시행했다고 함</t>
  </si>
  <si>
    <t>2016.10.11.</t>
  </si>
  <si>
    <t>B101JK골프.임대보증금반환</t>
  </si>
  <si>
    <t>신한은행 598 04 135060 임철균</t>
  </si>
  <si>
    <t>2016.10.12.</t>
  </si>
  <si>
    <t>상하수도요금.물이용부담금(7월3일~9월2일)</t>
  </si>
  <si>
    <t>국민.전용입금계좌.673090-78-307389</t>
  </si>
  <si>
    <t>전기요금</t>
  </si>
  <si>
    <t>지로. 고객번호 01 0312 1024</t>
  </si>
  <si>
    <t>2016.10.29.</t>
  </si>
  <si>
    <t>옥션.500매.7000+2500</t>
  </si>
  <si>
    <t>2016.10.27.</t>
  </si>
  <si>
    <t>함영님.아주머니.급여</t>
  </si>
  <si>
    <t>소방안전 관리비용.월11만원</t>
  </si>
  <si>
    <t>자동이체.프라임방재</t>
  </si>
  <si>
    <t>엘리베이터 관리비용(9,10월)월9만원</t>
  </si>
  <si>
    <t>신한은행 140-010-403800 DAK 엘리베이터</t>
  </si>
  <si>
    <t>501대한전기.전기요금</t>
  </si>
  <si>
    <t>302세움아트.전기요금</t>
  </si>
  <si>
    <t>(전기요금 제외 입금)</t>
  </si>
  <si>
    <t xml:space="preserve">
</t>
  </si>
  <si>
    <t>합계 2048407 - 입금착오 추가입금 정리</t>
  </si>
  <si>
    <t>2016.11.2.</t>
  </si>
  <si>
    <t>B102바비스토리전기요금(9,10월)</t>
  </si>
  <si>
    <t>(전기요금 추가 입금)</t>
  </si>
  <si>
    <t>2016.11.8.</t>
  </si>
  <si>
    <t>(원래 2962656원.착오기재 -&gt; 230000원 차액 추가 납입 요정)</t>
  </si>
  <si>
    <t>합계 2922656 - 입금착오 추가입금 정리</t>
  </si>
  <si>
    <t>엘리베이터 관리비용(11월)월9만원</t>
  </si>
  <si>
    <t>2016.11.31.</t>
  </si>
  <si>
    <t>지로(seoulbrain)</t>
  </si>
  <si>
    <t>지로(seoulbrain)  PNL고객번호 01 0312 1024</t>
  </si>
  <si>
    <t>2016.11.28.</t>
  </si>
  <si>
    <t>302세움아트.수도요금</t>
  </si>
  <si>
    <t>501대한전기.수도요금</t>
  </si>
  <si>
    <t>B102바비스토리전기요금</t>
  </si>
  <si>
    <t>B102바비스토리수도요금</t>
  </si>
  <si>
    <t>엘리베이터 시스템업그레이드 계약금</t>
  </si>
  <si>
    <t>2016.12.8.</t>
  </si>
  <si>
    <t>기장료(10,11월)</t>
  </si>
  <si>
    <t>건물수리.공사비.계약금</t>
  </si>
  <si>
    <t>계약금/중도금/잔금60000000</t>
  </si>
  <si>
    <t xml:space="preserve">B101.공사비.계약금
</t>
  </si>
  <si>
    <t>2016.12.13.</t>
  </si>
  <si>
    <t>101롤리우드임대료(임대료.원금)</t>
  </si>
  <si>
    <t>함영님.아주머니.급여.(히터관리10)</t>
  </si>
  <si>
    <t>소방안전 관리비용.월11만원.자동이체</t>
  </si>
  <si>
    <t xml:space="preserve">B101.계약금/중도금/잔금26000000
</t>
  </si>
  <si>
    <t>*상하수도요금.물이용부담금(7월3일~9월2일)</t>
  </si>
  <si>
    <t xml:space="preserve">*(기장료.121000)
</t>
  </si>
  <si>
    <t>101롤리우드임대료(관리비포함.11월분완납)</t>
  </si>
  <si>
    <t>2016.12.28.</t>
  </si>
  <si>
    <t>건물수리.공사비.중도금</t>
  </si>
  <si>
    <t>2017.1.13.</t>
  </si>
  <si>
    <t>세금계산서 지연수취 가산금(대한전기)</t>
  </si>
  <si>
    <t>신한 140-003-703333 대한전기</t>
  </si>
  <si>
    <t>부가세납부</t>
  </si>
  <si>
    <t>국민은행 위탁계좌 001392-16-767841</t>
  </si>
  <si>
    <t>2017.1.26.</t>
  </si>
  <si>
    <t>함영님.아주머니.급여.(설20)</t>
  </si>
  <si>
    <t>상하수도요금.물이용부담금(11월~1월)</t>
  </si>
  <si>
    <t xml:space="preserve">기장료
</t>
  </si>
  <si>
    <t>기장료 월 11만원(부가세포함)</t>
  </si>
  <si>
    <t>엘리베이터 관리비용</t>
  </si>
  <si>
    <t>202비엔엠.임대료.전기요금</t>
  </si>
  <si>
    <t>B102바비스토리.임대료</t>
  </si>
  <si>
    <t>B102바비스토리.전기료</t>
  </si>
  <si>
    <t>B102바비스토리.수도료</t>
  </si>
  <si>
    <t>301서울브레인신경과</t>
  </si>
  <si>
    <t>건물수리.공사비.잔금</t>
  </si>
  <si>
    <t>우리은행 1002-352-064299 이선임.주차차단기209만원제외</t>
  </si>
  <si>
    <t>202비엔엠.수도요금</t>
  </si>
  <si>
    <t>2017.2.6.</t>
  </si>
  <si>
    <t xml:space="preserve">소방안전교육.등록비
</t>
  </si>
  <si>
    <t>지정계좌.국민 708190-13-038087 삼화빌딩</t>
  </si>
  <si>
    <t>엘리베이터교육.등록비</t>
  </si>
  <si>
    <t>교육시.직접.납부</t>
  </si>
  <si>
    <t>502테무임대료(12월.미납.1월임대료납부)</t>
  </si>
  <si>
    <t>201디자인삼층임대료.11월.임대전기</t>
  </si>
  <si>
    <t>201디자인삼층임대료.12월.임대전기</t>
  </si>
  <si>
    <t>201디자인삼층임대료.1월.임대전기수도</t>
  </si>
  <si>
    <t>201디자인삼층임대료.11월.수도</t>
  </si>
  <si>
    <t>국민은행 426602-01-512690 서창희</t>
  </si>
  <si>
    <t>301서울브레인신경과.임대료.전기요금</t>
  </si>
  <si>
    <t>함영님.아주머니.급여.</t>
  </si>
  <si>
    <t>자동이체</t>
  </si>
  <si>
    <t>2017.2.25.</t>
  </si>
  <si>
    <t>102제이랩임대료.전기요금</t>
  </si>
  <si>
    <t>2017.2.27.</t>
  </si>
  <si>
    <t>402MKS임대.전기료</t>
  </si>
  <si>
    <t>2017.3.1.</t>
  </si>
  <si>
    <t>B102바비스토리.전기료(2월)</t>
  </si>
  <si>
    <t>2017.3.3.</t>
  </si>
  <si>
    <t>401매스21임대료.전기료</t>
  </si>
  <si>
    <t>2017.3.6.</t>
  </si>
  <si>
    <t>101롤리우드임대료.전기요금.2017.2월분</t>
  </si>
  <si>
    <t>엘리베이터 시스템업그레이드 잔금</t>
  </si>
  <si>
    <t>엘리베이터 인테리어비용</t>
  </si>
  <si>
    <t>2017.3.16</t>
  </si>
  <si>
    <t xml:space="preserve">503호 계약금 </t>
  </si>
  <si>
    <t>현금. 이찬호(Mickey Lee)</t>
  </si>
  <si>
    <t>101롤리우드임대료.전기수도.2017.1월분</t>
  </si>
  <si>
    <t>롤리우드.유태욱.   12,629,151원 이체해드림.우리은행</t>
  </si>
  <si>
    <t>101롤리우드임대료.전기.2016.12월분</t>
  </si>
  <si>
    <t>101롤리우드임대료.전기수도.2017.3월정산</t>
  </si>
  <si>
    <t>3월1일~17일</t>
  </si>
  <si>
    <t>롤리우드.임대보증금 정산</t>
  </si>
  <si>
    <t>101호.임대보증금.권용기</t>
  </si>
  <si>
    <t>권용기.이체</t>
  </si>
  <si>
    <t>자동이체25일</t>
  </si>
  <si>
    <t>102제이랩임대료.전기.수도.요금</t>
  </si>
  <si>
    <t>2017.3.28.</t>
  </si>
  <si>
    <t>101버터밀크비스켓</t>
  </si>
  <si>
    <t>401매스21임대료.전기료.수도료</t>
  </si>
  <si>
    <t>301서울브레인신경과.수도요금</t>
  </si>
  <si>
    <t>202비엔엠.임대료.전기요금.수도요금</t>
  </si>
  <si>
    <t>402MKS임대.전기수도료</t>
  </si>
  <si>
    <t>B102바비스토리.임대료(2월)</t>
  </si>
  <si>
    <t>2017.4.4.</t>
  </si>
  <si>
    <t>B102바비스토리.전기료(3월)</t>
  </si>
  <si>
    <t>B102바비스토리.수도료(3월)</t>
  </si>
  <si>
    <t>502테무임대료(12월)</t>
  </si>
  <si>
    <t>502테무임대료(2월)</t>
  </si>
  <si>
    <t>502테무임대료(3월)</t>
  </si>
  <si>
    <t>부가가치세 예납</t>
  </si>
  <si>
    <t>가상계좌 국민 0013-92-4757179-6</t>
  </si>
  <si>
    <t>2017.4.10.</t>
  </si>
  <si>
    <t>503호.중도금.</t>
  </si>
  <si>
    <t>503호.잔금.</t>
  </si>
  <si>
    <t>2017.4.20.</t>
  </si>
  <si>
    <t>503호.중개수수료.</t>
  </si>
  <si>
    <t>부가세포함. 신한은행 905-04-047166 예금주 이상훈</t>
  </si>
  <si>
    <t>지로 고객번호 01 0312 1024</t>
  </si>
  <si>
    <t>2017.4.26.</t>
  </si>
  <si>
    <t>이종현.급여</t>
  </si>
  <si>
    <t>국민 026402-04-172835 이종현</t>
  </si>
  <si>
    <t>101버터밀크비스켓.임대료.전기요금</t>
  </si>
  <si>
    <t>2017.4.30.</t>
  </si>
  <si>
    <t>503올고톡임대료</t>
  </si>
  <si>
    <t>B102바비스토리.임대료(3월)</t>
  </si>
  <si>
    <t>2017.5.2.</t>
  </si>
  <si>
    <t>B102바비스토리.전기료(4월)</t>
  </si>
  <si>
    <t>2017.5.30.</t>
  </si>
  <si>
    <t>프라임방재.공사대금</t>
  </si>
  <si>
    <t>기업은행 2692-5475-00 프라임방재</t>
  </si>
  <si>
    <t>서창희</t>
  </si>
  <si>
    <t>상하수도요금</t>
  </si>
  <si>
    <t>102제이랩임대료.전기수도요금</t>
  </si>
  <si>
    <t>2017.5.26.</t>
  </si>
  <si>
    <t>2017.5.28.</t>
  </si>
  <si>
    <t>101버터밀크비스켓.임대료.전기수도요금</t>
  </si>
  <si>
    <t>2017.5.29.</t>
  </si>
  <si>
    <t>502테무임대료(4월)</t>
  </si>
  <si>
    <t>301서울브레인신경과.임대료.전기수도요금</t>
  </si>
  <si>
    <t>401매스21임대료.전기수도료</t>
  </si>
  <si>
    <t>2017.6.2.</t>
  </si>
  <si>
    <t>B102바비스토리.임대료(4월)</t>
  </si>
  <si>
    <t>B102바비스토리.전기료(5월)</t>
  </si>
  <si>
    <t>B102바비스토리.수도료(5월)</t>
  </si>
  <si>
    <t>2017.6.22.</t>
  </si>
  <si>
    <t>국민 163490-12-265520 이일근</t>
  </si>
  <si>
    <t>국민 115390-12-989416 이일근</t>
  </si>
  <si>
    <t>201호.계약금.박준형</t>
  </si>
  <si>
    <t>201호.보증금.잔금.박준형</t>
  </si>
  <si>
    <t>201호.6월관리비(임대료는7월1일부터.부과)</t>
  </si>
  <si>
    <t>201호디자인삼층.보증금반환</t>
  </si>
  <si>
    <t>(10000000-9776061) 신한은행 140 010 233174 디자인삼층</t>
  </si>
  <si>
    <t>삼화빌딩.삼화사.소액소송.답변서.비용</t>
  </si>
  <si>
    <t>신한.110-283-991854 김영섭 (세금계산서+)</t>
  </si>
  <si>
    <t>201호.중개수수료.</t>
  </si>
  <si>
    <t>2017.6.26.</t>
  </si>
  <si>
    <t>정화조.청소비용</t>
  </si>
  <si>
    <t>국민은행 809-01-0157-218 한성성업(주)</t>
  </si>
  <si>
    <t>2017.6.28.</t>
  </si>
  <si>
    <t>503올고톡임대료.전기요금</t>
  </si>
  <si>
    <t>2017.7.31.</t>
  </si>
  <si>
    <t>citicard 자동이체</t>
  </si>
  <si>
    <t>2017.7.24.</t>
  </si>
  <si>
    <t xml:space="preserve">국민은행 426602-01-512690 서창희 </t>
  </si>
  <si>
    <t>국민 673090-78-307389 이일근</t>
  </si>
  <si>
    <t>B102바비스토리.전기료(6월)</t>
  </si>
  <si>
    <t>우산포장기.옴니팩</t>
  </si>
  <si>
    <t>국민은행 524901-01-030066 에이앤에스개발</t>
  </si>
  <si>
    <t>5층.화장실.변기공사비(부가세포함)</t>
  </si>
  <si>
    <t>하나은행 589-910001-61404 박(실장) 대원이씨엠(주)</t>
  </si>
  <si>
    <t>삼화빌딩재산세.건물분</t>
  </si>
  <si>
    <t>국민(가상계좌) 408492-13-631133 서울재산이일근</t>
  </si>
  <si>
    <t>국민은행 001-4923-8836-87-3 가상계좌</t>
  </si>
  <si>
    <t>2017.7.26.</t>
  </si>
  <si>
    <t>통합사회보험료.7월분(8/10.납부기한)</t>
  </si>
  <si>
    <t>건강보험5,6월분</t>
  </si>
  <si>
    <t>국민연금5,6월분</t>
  </si>
  <si>
    <t>2017.7.25.</t>
  </si>
  <si>
    <t>2017.7.28.</t>
  </si>
  <si>
    <t>2017.7.29.</t>
  </si>
  <si>
    <t>초과납부</t>
  </si>
  <si>
    <t>2017.7.30.</t>
  </si>
  <si>
    <t>201아티스.임대료.전기수도요금</t>
  </si>
  <si>
    <t>국민은행 426602-01-512690 서창희 (SBNC.account...)</t>
  </si>
  <si>
    <t>공인인증서.갱신</t>
  </si>
  <si>
    <t>국민은행</t>
  </si>
  <si>
    <t>2017.8.25.</t>
  </si>
  <si>
    <t>502테무임대료.전기요금(8월)</t>
  </si>
  <si>
    <t>2017.8.28.</t>
  </si>
  <si>
    <t>2017.8.29.</t>
  </si>
  <si>
    <t>초과납부 상계</t>
  </si>
  <si>
    <t>201아티스.임대료.전기요금</t>
  </si>
  <si>
    <t>통합사회보험료.8월분(9/10.납부기한)</t>
  </si>
  <si>
    <t xml:space="preserve">가상계좌 KB국민 650790-72-703809 </t>
  </si>
  <si>
    <t>502테무임대료(5월)</t>
  </si>
  <si>
    <t>502테무임대료(6월)</t>
  </si>
  <si>
    <t>502테무임대료(7월)</t>
  </si>
  <si>
    <t>추석10만추가</t>
  </si>
  <si>
    <t>2017.9.26.</t>
  </si>
  <si>
    <t>2017.9.15.</t>
  </si>
  <si>
    <t>동부.화재보험.소멸성.1년</t>
  </si>
  <si>
    <t>국민 097890-13-898862 동부화재</t>
  </si>
  <si>
    <t>삼화빌딩재산세.토지분</t>
  </si>
  <si>
    <t xml:space="preserve">국민(가상) 407-592524-25145 </t>
  </si>
  <si>
    <t>2017.9.16.</t>
  </si>
  <si>
    <t>주차장.누수공사비50%.그린.이정우</t>
  </si>
  <si>
    <t>465만원*0.5*1.1. 하나은행.847-910189-11307 이정우</t>
  </si>
  <si>
    <t>계산서는 "연수건업이엔씨"</t>
  </si>
  <si>
    <t>503올고톡임대료관리비전기수도</t>
  </si>
  <si>
    <t>2017.9.27.</t>
  </si>
  <si>
    <t>교통유발부담금</t>
  </si>
  <si>
    <t>신한은행 562-049-54506662</t>
  </si>
  <si>
    <t>부가가치세</t>
  </si>
  <si>
    <t>국민은행 0014-92-8776087-9</t>
  </si>
  <si>
    <t>2017.10.27.</t>
  </si>
  <si>
    <t>건물입구.마스터키.에버넷</t>
  </si>
  <si>
    <t>농협 1173-01-005172 에버넷</t>
  </si>
  <si>
    <t>2017.11.27.</t>
  </si>
  <si>
    <t>B102바비스토리.임대료(5월)</t>
  </si>
  <si>
    <t>B102바비스토리.임대료(6월)</t>
  </si>
  <si>
    <t>2017.12.27.</t>
  </si>
  <si>
    <t>2017.12.28.</t>
  </si>
  <si>
    <t>2017.12.30.</t>
  </si>
  <si>
    <t>2017.12.31.</t>
  </si>
  <si>
    <t>286-890808-66907 하나은행. 이종현</t>
  </si>
  <si>
    <t>자동이체25일.프라임방재</t>
  </si>
  <si>
    <t>국민 001-0929-6453-03-2</t>
  </si>
  <si>
    <t>2018.1.26.</t>
  </si>
  <si>
    <t>2018.1.29.</t>
  </si>
  <si>
    <t>조혜원.보증금반환</t>
  </si>
  <si>
    <t>하나 288-810167-97407 조혜원</t>
  </si>
  <si>
    <t>401매스21임대료.전기(수도료)</t>
  </si>
  <si>
    <t>수도요금 빠짐...</t>
  </si>
  <si>
    <t>401매스21.수도료</t>
  </si>
  <si>
    <t>7월전기(바비스토리)</t>
  </si>
  <si>
    <t>7월수도</t>
  </si>
  <si>
    <t>8월전기</t>
  </si>
  <si>
    <t>9월전기</t>
  </si>
  <si>
    <t>9월수도</t>
  </si>
  <si>
    <t>10월전기</t>
  </si>
  <si>
    <t>11월전기</t>
  </si>
  <si>
    <t>11월수도</t>
  </si>
  <si>
    <t>12월전기</t>
  </si>
  <si>
    <t>1월전기</t>
  </si>
  <si>
    <t>1월수도</t>
  </si>
  <si>
    <t>설.상여포함(43+10)</t>
  </si>
  <si>
    <t>2018.2.22.</t>
  </si>
  <si>
    <t>2018.2.23.</t>
  </si>
  <si>
    <t>2018.2.27.</t>
  </si>
  <si>
    <t>전기차단기교체대금.영원E&amp;F</t>
  </si>
  <si>
    <t>하나은행 394-910196-11307 김영선</t>
  </si>
  <si>
    <t>2018.3.6.</t>
  </si>
  <si>
    <t>테무.보증금반환</t>
  </si>
  <si>
    <t>국민은행 872937-04-005138 주식회사테무</t>
  </si>
  <si>
    <t>방화문공사.3층.</t>
  </si>
  <si>
    <t>국민은행 844401-04-157031 노점기(흥화건축)</t>
  </si>
  <si>
    <t>2018.3.26.</t>
  </si>
  <si>
    <t>2018.3.24.</t>
  </si>
  <si>
    <t>501대한전기.보증금반환</t>
  </si>
  <si>
    <t>신한 140-003-703333 대한전기이엔지</t>
  </si>
  <si>
    <t>2018.3.28.</t>
  </si>
  <si>
    <t>음식물폐기.하진기업.계약금</t>
  </si>
  <si>
    <t>하나은행 560-910005-13204</t>
  </si>
  <si>
    <t>세면기.수리</t>
  </si>
  <si>
    <t>국민 552-24-0323-258 이명옥</t>
  </si>
  <si>
    <t>폐기물과태료</t>
  </si>
  <si>
    <t>국민 4127-92-7133754-2 전용계좌 (강남구청)</t>
  </si>
  <si>
    <t>(김동석)402호보증금1800(+200)</t>
  </si>
  <si>
    <t>502베이스.임대.전기.수도요금</t>
  </si>
  <si>
    <t xml:space="preserve">402MKS 임대보증금 </t>
  </si>
  <si>
    <t>우리은행 김재중 126 570376 02 001</t>
  </si>
  <si>
    <t>501호 샷시 설치 공사대금</t>
  </si>
  <si>
    <t>401매스21임대료.전기료.수도미납</t>
  </si>
  <si>
    <t>401매스21.수도요금</t>
  </si>
  <si>
    <t>2018.4.19.</t>
  </si>
  <si>
    <t>국민 0011-92-5600228-5  (예정고지 직전 50%)</t>
  </si>
  <si>
    <t>402라이언.임대.전기료</t>
  </si>
  <si>
    <t>2018.4.27.</t>
  </si>
  <si>
    <t>2018.4.29.</t>
  </si>
  <si>
    <t>302세움아트임대료(전기료.제외)</t>
  </si>
  <si>
    <t>502베이스.임대.전기요금</t>
  </si>
  <si>
    <t>오과장님.누수공사</t>
  </si>
  <si>
    <t>20-&gt;25 국민 097601-04-013449 오인철</t>
  </si>
  <si>
    <t>베스트건축.발코니누수공사.계약금40%</t>
  </si>
  <si>
    <t>(240+24=264) 농협 211024-52-038650 김광진</t>
  </si>
  <si>
    <t>2018.5.9.</t>
  </si>
  <si>
    <t>하진기업.음식물쓰레기수거비.4월분</t>
  </si>
  <si>
    <t>농협 058-01-092683 하진기업 (피엔엘)</t>
  </si>
  <si>
    <t>베스트건축.발코니누수공사.잔금60%</t>
  </si>
  <si>
    <t>(360+36=396) 농협 211024-52-038650 김광진</t>
  </si>
  <si>
    <t>2018.5.24.</t>
  </si>
  <si>
    <t>402라이언아카데미임대료.전기.</t>
  </si>
  <si>
    <t>402라이언아카데미.수도요금</t>
  </si>
  <si>
    <t>2018.5.25.</t>
  </si>
  <si>
    <t>2018.5.28.</t>
  </si>
  <si>
    <t>전기요금(4월연체980300+5월844170)</t>
  </si>
  <si>
    <t>2018..4.23.</t>
  </si>
  <si>
    <t>2018.5.30.</t>
  </si>
  <si>
    <t>2018.6..</t>
  </si>
  <si>
    <t>하진기업.음식물쓰레기수거비.5월분</t>
  </si>
  <si>
    <t>2018.6.8.</t>
  </si>
  <si>
    <t>목공가구수리</t>
  </si>
  <si>
    <t>하나 237-910123-90307 김선우 010.8727.3395</t>
  </si>
  <si>
    <t>2018.6.20.</t>
  </si>
  <si>
    <t>애플코리아.ipad.etc</t>
  </si>
  <si>
    <t>씨티은행 002891-00000-145 애플코리아.유한회사</t>
  </si>
  <si>
    <t>2018.6.27.</t>
  </si>
  <si>
    <t>2018.7.1.</t>
  </si>
  <si>
    <t>401매스21임대료.전기료.5월미납</t>
  </si>
  <si>
    <t>401매스21.수도요금5월미납</t>
  </si>
  <si>
    <t>이종현.퇴직금</t>
  </si>
  <si>
    <t>2018.7.24.</t>
  </si>
  <si>
    <t>부가세</t>
  </si>
  <si>
    <t xml:space="preserve">국민 001-2925-1208-628 </t>
  </si>
  <si>
    <t>삼화빌딩.재산세</t>
  </si>
  <si>
    <t>국민 406-292541-26430</t>
  </si>
  <si>
    <t>2018.7.25.</t>
  </si>
  <si>
    <t>401매스21임대료.전기료.6월미납분</t>
  </si>
  <si>
    <t>2018.7.27.</t>
  </si>
  <si>
    <t>전기.인테리어.수리(유지현.팀장)</t>
  </si>
  <si>
    <t>(목동)</t>
  </si>
  <si>
    <t>2018.7.29.</t>
  </si>
  <si>
    <t>503올고톡임대료.전기수도요금</t>
  </si>
  <si>
    <t>2018.7.30.</t>
  </si>
  <si>
    <t>##### 10000원 초과납(2218047)</t>
  </si>
  <si>
    <t>세움아트.임대보증금.반환</t>
  </si>
  <si>
    <t>중소기업은행 274-038318-04-012 세움아트</t>
  </si>
  <si>
    <t>2018.8.23.</t>
  </si>
  <si>
    <t>202비엔엠.임대료.초과납반환</t>
  </si>
  <si>
    <t>국민은행 378-01-0020-849 배혜숙</t>
  </si>
  <si>
    <t>국민은행 405-392960-61824</t>
  </si>
  <si>
    <t>501호.임대보증금잔액</t>
  </si>
  <si>
    <t>401매스21임대료.전기수도료.7월미납분</t>
  </si>
  <si>
    <t>2018.8.29.</t>
  </si>
  <si>
    <t>2018.8.30.</t>
  </si>
  <si>
    <t>오인철.페인트전기공사비</t>
  </si>
  <si>
    <t>오인철 국민  097601-04-013449</t>
  </si>
  <si>
    <t>2018.9.7.</t>
  </si>
  <si>
    <t>B102골프.계약금</t>
  </si>
  <si>
    <t>닥터공인.중개료(501호)</t>
  </si>
  <si>
    <t>501호 1억7천× 0.25%=425,000</t>
  </si>
  <si>
    <t>추석상여포함</t>
  </si>
  <si>
    <t>2018.9.13.</t>
  </si>
  <si>
    <t>하진기업.음식물쓰레기수거비.6,7,8월분</t>
  </si>
  <si>
    <t>2018.9.17.</t>
  </si>
  <si>
    <t>401매스21임대료.전기료.8월분</t>
  </si>
  <si>
    <t>B102골프.중도금</t>
  </si>
  <si>
    <t>B102골프.보증금완납(2000)</t>
  </si>
  <si>
    <t>닥터공인.중개료(B102호)</t>
  </si>
  <si>
    <t>B102호. 2억1천만×0.5%=105만원</t>
  </si>
  <si>
    <t>삼화빌딩.재산세.토지분</t>
  </si>
  <si>
    <t xml:space="preserve">국민 405-392113-14972 </t>
  </si>
  <si>
    <t>2018.9.19.</t>
  </si>
  <si>
    <t>삼화빌딩.DB화재보험.1년소멸성</t>
  </si>
  <si>
    <t xml:space="preserve">국민 477490-11-132414 </t>
  </si>
  <si>
    <t>2018.9.22.</t>
  </si>
  <si>
    <t>2018.9.26.</t>
  </si>
  <si>
    <t>2018.9.27.</t>
  </si>
  <si>
    <t>501다와.임대료.전기요금.수도요금</t>
  </si>
  <si>
    <t>2018.9.29.</t>
  </si>
  <si>
    <t>과납) 5339원</t>
  </si>
  <si>
    <t>2018.10.15.</t>
  </si>
  <si>
    <t>부가가치세(예납)</t>
  </si>
  <si>
    <t>국민 0013-92-2514590-0</t>
  </si>
  <si>
    <t>주차장.지하.방수우레탄공사.계약금</t>
  </si>
  <si>
    <t>그린종합건축.이정우.기업.010-6709-2230</t>
  </si>
  <si>
    <t xml:space="preserve">우리은행 761-589209-65-990 </t>
  </si>
  <si>
    <t>2018.10.23.</t>
  </si>
  <si>
    <t>2018.10.25.</t>
  </si>
  <si>
    <t>501다와.임대료.전기요금</t>
  </si>
  <si>
    <t>2018.10.30.</t>
  </si>
  <si>
    <t>B102골프디아삽.임대료.전기요금</t>
  </si>
  <si>
    <t>하진기업.음식물쓰레기수거비.9월분</t>
  </si>
  <si>
    <t>과납 차액 납입0 5339원</t>
  </si>
  <si>
    <t>2018.11.5.</t>
  </si>
  <si>
    <t>주차장.지하.방수우레탄공사.잔금</t>
  </si>
  <si>
    <t>하진기업.음식물쓰레기수거비.10월분</t>
  </si>
  <si>
    <t>2018.11.23.</t>
  </si>
  <si>
    <t>2018.11.27.</t>
  </si>
  <si>
    <t>402라이언아카데미임대료.전기.수도요금</t>
  </si>
  <si>
    <t>202비엔엠.임대료.전기수도요금</t>
  </si>
  <si>
    <t>B102골프디아삽.임대료.전기수도요금</t>
  </si>
  <si>
    <t>2018.12.1.</t>
  </si>
  <si>
    <t>2018.12.4</t>
  </si>
  <si>
    <t>201아티스.수도요금</t>
  </si>
  <si>
    <t>2018.12.7</t>
  </si>
  <si>
    <t>하진기업.음식물쓰레기수거비.11월분</t>
  </si>
  <si>
    <t>2018.12.26.</t>
  </si>
  <si>
    <t>주차비(추가)</t>
  </si>
  <si>
    <t>2018.12.27.</t>
  </si>
  <si>
    <t>2018.12.28.</t>
  </si>
  <si>
    <t>2018.12.30.</t>
  </si>
  <si>
    <t>2018.1.21.</t>
  </si>
  <si>
    <t>401매스21임대료.전기료.12월</t>
  </si>
  <si>
    <t>엘리베이터.전등교체비용</t>
  </si>
  <si>
    <t>DAK 엘리베이터 입금</t>
  </si>
  <si>
    <t>2019.1.7.</t>
  </si>
  <si>
    <t>401매스21임대료.전기수도료.11월</t>
  </si>
  <si>
    <t>2019.1.</t>
  </si>
  <si>
    <t>하진기업.음식물쓰레기수거비.12월분</t>
  </si>
  <si>
    <t>부가세2기분</t>
  </si>
  <si>
    <t>국민은행 전용계좌 001-4923-8144-40-2</t>
  </si>
  <si>
    <t>함영님.아주머니.급여.설상여</t>
  </si>
  <si>
    <t>2019.1.28.</t>
  </si>
  <si>
    <t>201아티스.임대료.전기.수도요금</t>
  </si>
  <si>
    <t>2019.1.30.</t>
  </si>
  <si>
    <t>계약금.302호.아티스.메종드에이치</t>
  </si>
  <si>
    <t>2000만원.보증금.200.계약금.잔금800남음.</t>
  </si>
  <si>
    <t>2019.2.</t>
  </si>
  <si>
    <t>하진기업.음식물쓰레기수거비.1월분</t>
  </si>
  <si>
    <t>2019.2..</t>
  </si>
  <si>
    <t>함영님.아주머니.급여.(2019.2부터 45만)</t>
  </si>
  <si>
    <t>승강기.정기검사비용</t>
  </si>
  <si>
    <t>2019.2.25.</t>
  </si>
  <si>
    <t>401매스21임대료.전기수도료.1월</t>
  </si>
  <si>
    <t>2019.2.26.</t>
  </si>
  <si>
    <t>2019.2.27.</t>
  </si>
  <si>
    <t>201.302.아티스.임대전기.합계</t>
  </si>
  <si>
    <t>2019.3.16.</t>
  </si>
  <si>
    <t>101약국임대보증금.계약금10%</t>
  </si>
  <si>
    <t>2019.3.27.</t>
  </si>
  <si>
    <t>2019.3.21.</t>
  </si>
  <si>
    <t>2019.3.18(15).</t>
  </si>
  <si>
    <t>소방안전.보수공사비용.프라임방재</t>
  </si>
  <si>
    <t>기업은행 2692547502 프라임방재</t>
  </si>
  <si>
    <t>2019.3.28.</t>
  </si>
  <si>
    <t>302아티스.임대료.전기수도요금</t>
  </si>
  <si>
    <t>2019.3.30.</t>
  </si>
  <si>
    <t>2019.3.31.</t>
  </si>
  <si>
    <t>2019.4.15.</t>
  </si>
  <si>
    <t>101버터밀크비스켓.임대보증금반환</t>
  </si>
  <si>
    <t>4월 임대료 차액(20,000,000 - 1,432,431 = 18,567,569원)</t>
  </si>
  <si>
    <t>101약국임대보증금.잔액</t>
  </si>
  <si>
    <t>2019...</t>
  </si>
  <si>
    <t>2019..</t>
  </si>
  <si>
    <t>2019.4.16.</t>
  </si>
  <si>
    <t>부가세예납</t>
  </si>
  <si>
    <t>가상계좌 KB 0014-92-8868186-7</t>
  </si>
  <si>
    <t>2019.4.25.</t>
  </si>
  <si>
    <t>2019.4.27.</t>
  </si>
  <si>
    <t>2019.4.29.</t>
  </si>
  <si>
    <t>101약국임대관리비.전기요금</t>
  </si>
  <si>
    <t>302아티스.임대료.전기요금</t>
  </si>
  <si>
    <t>2019.5.9.</t>
  </si>
  <si>
    <t>지하.펌프2대.비용</t>
  </si>
  <si>
    <t>아세아펌프 국민 935501-01-117589 박선호(아세아펌프)</t>
  </si>
  <si>
    <t>설치수고비(오과장님)</t>
  </si>
  <si>
    <t>엘리베이터비상전원수리</t>
  </si>
  <si>
    <t>401매스21임대료.전기료.2월</t>
  </si>
  <si>
    <t>401매스21임대료.전기수도료.3월</t>
  </si>
  <si>
    <t>2019.5.28.</t>
  </si>
  <si>
    <t>정화조청소(5/25)비용(1)</t>
  </si>
  <si>
    <t xml:space="preserve">한성성업(주) 국민은행 809-01-0157-218 </t>
  </si>
  <si>
    <t>정화조청소(5/25)비용(2)보일러실</t>
  </si>
  <si>
    <t>402라이언아카데미임대료.전기.수도</t>
  </si>
  <si>
    <t>2019.5.27.</t>
  </si>
  <si>
    <t>2019.5.30.</t>
  </si>
  <si>
    <t>101늘봄약국.임대관리비.전기수도요금</t>
  </si>
  <si>
    <t>2019.6.25.</t>
  </si>
  <si>
    <t>2019.6.26.</t>
  </si>
  <si>
    <t>401매스21임대료.전기료.4월</t>
  </si>
  <si>
    <t>101늘봄약국.임대관리비.전기요금</t>
  </si>
  <si>
    <t>2019.6.29.</t>
  </si>
  <si>
    <t>2019.6.30.</t>
  </si>
  <si>
    <t>501다와.임대료.전기수도요금.5월분</t>
  </si>
  <si>
    <t>401매스21임대료.전기수도요금.5월</t>
  </si>
  <si>
    <t>2019.7.16</t>
  </si>
  <si>
    <t>하진기업.음식물쓰레기수거비.12~4월분</t>
  </si>
  <si>
    <t>2019.7.23.</t>
  </si>
  <si>
    <t>2019.7..</t>
  </si>
  <si>
    <t>부가세(확정신고)</t>
  </si>
  <si>
    <t xml:space="preserve">국민 0 0 1 - 1 9 2 0 - 2 9 7 7 - 3 2 - 0 </t>
  </si>
  <si>
    <t>재산세(건축물분)</t>
  </si>
  <si>
    <t>국민 409 192792 27564</t>
  </si>
  <si>
    <t>2019.7.25.</t>
  </si>
  <si>
    <t>501다와.임대료.전기수도요금</t>
  </si>
  <si>
    <t>2019.7.26.</t>
  </si>
  <si>
    <t>2019.7.29.</t>
  </si>
  <si>
    <t>2019.7.30.</t>
  </si>
  <si>
    <t>하진기업.음식물쓰레기수거비.7월분</t>
  </si>
  <si>
    <t>2019.8.23.</t>
  </si>
  <si>
    <t xml:space="preserve">국민 408-492397-89131 </t>
  </si>
  <si>
    <t>2019.8.24</t>
  </si>
  <si>
    <t>2019.8.27.</t>
  </si>
  <si>
    <t>2019.8.29.</t>
  </si>
  <si>
    <t>401매스21임대료.전기요금.6월</t>
  </si>
  <si>
    <t>401매스21임대료.전기수도요금.7월</t>
  </si>
  <si>
    <t>2019.8.31.</t>
  </si>
  <si>
    <t>2019.9.6.</t>
  </si>
  <si>
    <t>화재보험.DB손해보험</t>
  </si>
  <si>
    <t>국민 242090-78-299411</t>
  </si>
  <si>
    <t>승강기보험.DB손해보험</t>
  </si>
  <si>
    <t>국민 242090-78-299648</t>
  </si>
  <si>
    <t>2019.9.24.</t>
  </si>
  <si>
    <t>하진기업.음식물쓰레기수거비.8월분</t>
  </si>
  <si>
    <t>함.아주머니.추석상여</t>
  </si>
  <si>
    <t>재산세.토지분</t>
  </si>
  <si>
    <t>국민.407-592449-77278</t>
  </si>
  <si>
    <t>2019.9.26.</t>
  </si>
  <si>
    <t>한일전기.양천</t>
  </si>
  <si>
    <t>한일전기 이성훈 55881034156407</t>
  </si>
  <si>
    <t>2019.9.25.</t>
  </si>
  <si>
    <t>402라이언아카데미.수도.</t>
  </si>
  <si>
    <t>2019.9.27.</t>
  </si>
  <si>
    <t>2019.9.29.</t>
  </si>
  <si>
    <t>502베이스.수도요금</t>
  </si>
  <si>
    <t>401매스21임대료.전기요금.8월</t>
  </si>
  <si>
    <t>제습기</t>
  </si>
  <si>
    <t>하나카드.cjmall</t>
  </si>
  <si>
    <t>부가세.예납</t>
  </si>
  <si>
    <t>2019.10.25.</t>
  </si>
  <si>
    <t>2019.10.28.</t>
  </si>
  <si>
    <t>2019.10.30.</t>
  </si>
  <si>
    <t>방수공사.그린종합건축</t>
  </si>
  <si>
    <t>기업은행 010-6709-2230 이정우</t>
  </si>
  <si>
    <t>2019.11.20.</t>
  </si>
  <si>
    <t>401매스21임대료.전기수도요금.9월</t>
  </si>
  <si>
    <t>2019.11.26</t>
  </si>
  <si>
    <t>2019.11.27.</t>
  </si>
  <si>
    <t>2019.11.30.</t>
  </si>
  <si>
    <t>2019.12.24.</t>
  </si>
  <si>
    <t>2019.12.25.</t>
  </si>
  <si>
    <t>2019.12.26.</t>
  </si>
  <si>
    <t>202호.굿슬립신경과.계약금</t>
  </si>
  <si>
    <t>2019.12.28.</t>
  </si>
  <si>
    <t>2019.12.30.</t>
  </si>
  <si>
    <t>202호 B&amp;M 전세보증금 반환(임차료 제함)</t>
  </si>
  <si>
    <t>2238470원 임차료 빼고 반환 국민378-01-0020-849 배혜숙</t>
  </si>
  <si>
    <t>10373검침</t>
  </si>
  <si>
    <t>함영님.아주머니(2019.2부터 45만.2020.4.까지)</t>
  </si>
  <si>
    <t>함영님.아주머니.상여</t>
  </si>
  <si>
    <t xml:space="preserve">KB국민 001-3920-6271-83-1 </t>
  </si>
  <si>
    <t>2020.1.27.</t>
  </si>
  <si>
    <t>402라이언아카데미수도</t>
  </si>
  <si>
    <t>2020.1.28.</t>
  </si>
  <si>
    <t>2020.2.4.</t>
  </si>
  <si>
    <t>401매스21임대료.전기요금.10월</t>
  </si>
  <si>
    <t>201호.계약금.유민기</t>
  </si>
  <si>
    <t>201호.보증금잔금</t>
  </si>
  <si>
    <t>201호.중개수수료.리리베리</t>
  </si>
  <si>
    <t>신한 905-04-047166 이상훈. 2억×0.5%=100만원</t>
  </si>
  <si>
    <t>2020.2.11</t>
  </si>
  <si>
    <t>302호아티스.임대료.전기료.2월12일까지</t>
  </si>
  <si>
    <t>2020.2.12.</t>
  </si>
  <si>
    <t>302호아티스.임대보증금반환</t>
  </si>
  <si>
    <t>401매스21임대료.전기수도요금.11월</t>
  </si>
  <si>
    <t>2020.2.24.</t>
  </si>
  <si>
    <t>10303검침</t>
  </si>
  <si>
    <t>하진기업.음식물쓰레기수거비.2020년부터.소멸</t>
  </si>
  <si>
    <t>농협 058-01-092683 하진기업 (피엔엘) /소멸-&gt;봉투값으로</t>
  </si>
  <si>
    <t>2020.2.26.</t>
  </si>
  <si>
    <t>2020.2.25.</t>
  </si>
  <si>
    <t>201리리베리.임대료전기요금</t>
  </si>
  <si>
    <t>2020.2.27.</t>
  </si>
  <si>
    <t>2020.2.28</t>
  </si>
  <si>
    <t>401매스21임대료.전기요금.12월</t>
  </si>
  <si>
    <t>202호.굿슬립신경과.보증금완납</t>
  </si>
  <si>
    <t>2020.3.1.</t>
  </si>
  <si>
    <t>2020.3.11.</t>
  </si>
  <si>
    <t>202호.샤시대금.뻐꾸기</t>
  </si>
  <si>
    <t>기업은행 01045556764 김성환.뻐꾸기</t>
  </si>
  <si>
    <t>2020.3.26.</t>
  </si>
  <si>
    <t>8719검침</t>
  </si>
  <si>
    <t>2020.3.23.</t>
  </si>
  <si>
    <t>401매스21임대료.전기수도요금.1월</t>
  </si>
  <si>
    <t>2020.3.25.</t>
  </si>
  <si>
    <t>202굿슬립임대료.수도요금</t>
  </si>
  <si>
    <t>202굿슬립임대료.전기요금</t>
  </si>
  <si>
    <t>2020.3.30.</t>
  </si>
  <si>
    <t>B102골프디아삽.임대료.전기수도요금.3월</t>
  </si>
  <si>
    <t>20%감면.코로나</t>
  </si>
  <si>
    <t>201리리베리.임대료전기수도요금</t>
  </si>
  <si>
    <t>401매스21임대료.전기요금.2월</t>
  </si>
  <si>
    <t>502베이스.임대.전기수도요금</t>
  </si>
  <si>
    <t>#재활용수거3만원이체.</t>
  </si>
  <si>
    <t>하나284-810300-58907금용삼</t>
  </si>
  <si>
    <t>부가세예납50%</t>
  </si>
  <si>
    <t xml:space="preserve">부가세50%예납. 국민.0013-92-6742189-7 </t>
  </si>
  <si>
    <t>2020.4.23.</t>
  </si>
  <si>
    <t>7225검침</t>
  </si>
  <si>
    <t>분리수거비.제외</t>
  </si>
  <si>
    <t>2020.4.25.</t>
  </si>
  <si>
    <t>402라이언아카데미임대료.전기</t>
  </si>
  <si>
    <t>2020.4.27.</t>
  </si>
  <si>
    <t>B102골프디아삽.임대료.전기요금.4월</t>
  </si>
  <si>
    <t>2020.4.30.</t>
  </si>
  <si>
    <t>2020.5.20.</t>
  </si>
  <si>
    <t>401매스21임대료.전기수도요금.3월</t>
  </si>
  <si>
    <t>2020.5.24.</t>
  </si>
  <si>
    <t>5845검침</t>
  </si>
  <si>
    <t>2020.5.25.</t>
  </si>
  <si>
    <t>402라이언아카데미임대료.전기수도</t>
  </si>
  <si>
    <t>2020.5.26.</t>
  </si>
  <si>
    <t>202굿슬립임대료.전기수도요금</t>
  </si>
  <si>
    <t>2020.5.27.</t>
  </si>
  <si>
    <t>503.302올고톡임대료.전기수도요금</t>
  </si>
  <si>
    <t>2020.5.29.</t>
  </si>
  <si>
    <t>B102골프디아삽.임대료.전기수도요금.5월</t>
  </si>
  <si>
    <t>2020.5.30.</t>
  </si>
  <si>
    <t>B101레이트컴.전세보증금</t>
  </si>
  <si>
    <t>2020.6.23.</t>
  </si>
  <si>
    <t>6317검침</t>
  </si>
  <si>
    <t>2020.6.25.</t>
  </si>
  <si>
    <t>2020.6.29.</t>
  </si>
  <si>
    <t>302올고톡임대료.전기요금</t>
  </si>
  <si>
    <t>B102골프디아삽.임대료.전기요금.6월</t>
  </si>
  <si>
    <t>방수공사.그린종합건축(1980000.50%)</t>
  </si>
  <si>
    <t>2020.7.3.</t>
  </si>
  <si>
    <t>방수공사.그린종합건축(잔금50%)</t>
  </si>
  <si>
    <t>2020.7.8.</t>
  </si>
  <si>
    <t>503호.계약금</t>
  </si>
  <si>
    <t>503호.잔금(한숙자)</t>
  </si>
  <si>
    <t>2020.7.11.</t>
  </si>
  <si>
    <t>닥터공인.중개료(503호)</t>
  </si>
  <si>
    <t>503호.1억3천만×0.5%=65만원. 신한.905-04-047166.이상훈</t>
  </si>
  <si>
    <t>(D1111)</t>
  </si>
  <si>
    <t>2020.7.16.</t>
  </si>
  <si>
    <t>오티스승강기납품대금.계약금</t>
  </si>
  <si>
    <t xml:space="preserve">씨티은행 13808-643922-05 오티스엘리베이터 </t>
  </si>
  <si>
    <t xml:space="preserve">국민 408-492500-49238 </t>
  </si>
  <si>
    <t>국민 001-4929-0776-33-1</t>
  </si>
  <si>
    <t>2020.7,23</t>
  </si>
  <si>
    <t>402라이언아카데미.수도</t>
  </si>
  <si>
    <t>102제이랩임대료.전기.수도요금</t>
  </si>
  <si>
    <t>302올고톡임대료.전기.수도요금</t>
  </si>
  <si>
    <t>2020.7.25.</t>
  </si>
  <si>
    <t>202굿슬립임대료.전기.수도요금</t>
  </si>
  <si>
    <t>2020.7.30.</t>
  </si>
  <si>
    <t>B102골프디아삽.임대료.전기.수도요금.7월</t>
  </si>
  <si>
    <t>201리리베리.임대료전기.수도요금</t>
  </si>
  <si>
    <t>101늘봄약국.임대관리비.전기.수도요금</t>
  </si>
  <si>
    <t>301서울브레인신경과.임대료.전기.수도요금</t>
  </si>
  <si>
    <t>502클랩셰어.임대.전기.수도요금</t>
  </si>
  <si>
    <t>503한숙자.임대관리비.전기.수도요금</t>
  </si>
  <si>
    <t>401매스21임대료.전기요금.4월</t>
  </si>
  <si>
    <t>2020.8.19.</t>
  </si>
  <si>
    <t>지하설비실.파이프공사</t>
  </si>
  <si>
    <t>신영엔지니어링</t>
  </si>
  <si>
    <t>2020.8.24.</t>
  </si>
  <si>
    <t xml:space="preserve">전용계좌이체 </t>
  </si>
  <si>
    <t>2020.8.26.</t>
  </si>
  <si>
    <t>2020.8.27.</t>
  </si>
  <si>
    <t>2020.8.30.</t>
  </si>
  <si>
    <t>201리리베리.임대료전기.요금</t>
  </si>
  <si>
    <t>B102골프디아삽.임대료.전기요금.8월</t>
  </si>
  <si>
    <t>502클랩셰어.임대.전기요금</t>
  </si>
  <si>
    <t>503한숙자.임대관리비.전기요금</t>
  </si>
  <si>
    <t>승강기검사.비용</t>
  </si>
  <si>
    <t>전용계좌 국민은행 67529011483226</t>
  </si>
  <si>
    <t>2020.9.12.</t>
  </si>
  <si>
    <t>화재보험.DB손보</t>
  </si>
  <si>
    <t>KB국민 097690-13-324631</t>
  </si>
  <si>
    <t>승강기보험.DB손보</t>
  </si>
  <si>
    <t>KB국민 097690-13-324587</t>
  </si>
  <si>
    <t>#재활용수거4만원이체.</t>
  </si>
  <si>
    <t>7756검침</t>
  </si>
  <si>
    <t xml:space="preserve">국민 406-292355-83616 </t>
  </si>
  <si>
    <t>2020.9.24.</t>
  </si>
  <si>
    <t>2020.9.25.</t>
  </si>
  <si>
    <t>2020.9.28.</t>
  </si>
  <si>
    <t>503한숙자.임대관리비.전기수도요금</t>
  </si>
  <si>
    <t>302올고톡임대료.전기수도요금</t>
  </si>
  <si>
    <t>B102골프디아삽.임대료.전기수도요금.9월</t>
  </si>
  <si>
    <t>502클랩셰어.임대.전기수도요금</t>
  </si>
  <si>
    <t>2020.10.2.</t>
  </si>
  <si>
    <t>2020.10.20.</t>
  </si>
  <si>
    <t>부가세.예납(by.10/25)</t>
  </si>
  <si>
    <t>국민 0010-92-6062980-5</t>
  </si>
  <si>
    <t>2020.10..</t>
  </si>
  <si>
    <t>5226검침</t>
  </si>
  <si>
    <t>교통유발부담금(134886감면)</t>
  </si>
  <si>
    <t>우리은행 761-761933-65-990</t>
  </si>
  <si>
    <t>2020.10.26.</t>
  </si>
  <si>
    <t>(마스크800*330)월드하이텍</t>
  </si>
  <si>
    <t>월드하이텍 우리은행 1005-501-289235</t>
  </si>
  <si>
    <t>2020.10.27.</t>
  </si>
  <si>
    <t>2020.10.28.</t>
  </si>
  <si>
    <t>B102골프디아삽.임대료.전기요금.10월</t>
  </si>
  <si>
    <t>2020.10.31.</t>
  </si>
  <si>
    <t>503예원연습실.임대관리비.전기요금</t>
  </si>
  <si>
    <t>2020.11.1.</t>
  </si>
  <si>
    <t>2021.3.23. 청구액(1437806)과 차액 36,001 반환이체 결정</t>
  </si>
  <si>
    <t>2020.11.7.</t>
  </si>
  <si>
    <t>배수배관수리비</t>
  </si>
  <si>
    <t>대우상사</t>
  </si>
  <si>
    <t>2020.11.23.</t>
  </si>
  <si>
    <t>7116검침</t>
  </si>
  <si>
    <t>2020.11.25.</t>
  </si>
  <si>
    <t>2020.11.28.</t>
  </si>
  <si>
    <t>B102골프디아삽.임대료.전기수도요금.11월</t>
  </si>
  <si>
    <t>2020.11.29.</t>
  </si>
  <si>
    <t>503예원연습실.임대관리비.전기수도요금</t>
  </si>
  <si>
    <t>2020.12.24.</t>
  </si>
  <si>
    <t>9400검침</t>
  </si>
  <si>
    <t>2020.12.28.</t>
  </si>
  <si>
    <t>2021.1.1.</t>
  </si>
  <si>
    <t>B102골프디아삽.임대료.전기요금.2020.2월</t>
  </si>
  <si>
    <t>B102골프디아삽.임대료.전기요금.2020.12월</t>
  </si>
  <si>
    <t>2021.1.26.</t>
  </si>
  <si>
    <t>2021.1.27.</t>
  </si>
  <si>
    <t>401제삼공작소임대료.전기수도요금</t>
  </si>
  <si>
    <t>2021.1.28.</t>
  </si>
  <si>
    <t>2021.1.29.</t>
  </si>
  <si>
    <t>2021.1.30.</t>
  </si>
  <si>
    <t>승강기관리.교육비.등록</t>
  </si>
  <si>
    <t>하나카드.edu.koelsa.or.kr.결제</t>
  </si>
  <si>
    <t>오티스승강기납품대금.계약금(3003중2700)</t>
  </si>
  <si>
    <t>부가세확정2기</t>
  </si>
  <si>
    <t>가상계좌 KB국민001-1928-8556-65-3</t>
  </si>
  <si>
    <t>2021.3.2.</t>
  </si>
  <si>
    <t>2021.2.24.</t>
  </si>
  <si>
    <t>(2월OTIS공사이후재선정)</t>
  </si>
  <si>
    <t>401제삼공작소임대료.전기요금</t>
  </si>
  <si>
    <t>2021.2.27.</t>
  </si>
  <si>
    <t>2021.3.11.</t>
  </si>
  <si>
    <t>1348318-130000=48318remained</t>
  </si>
  <si>
    <t>2021.3.23.</t>
  </si>
  <si>
    <t>9834검침</t>
  </si>
  <si>
    <t>502호.클랩셰어 10월 착오입금 반환</t>
  </si>
  <si>
    <t>2021.3.25.</t>
  </si>
  <si>
    <t>2021.3.26.</t>
  </si>
  <si>
    <t>2021.3.27.</t>
  </si>
  <si>
    <t>2021.3.29.</t>
  </si>
  <si>
    <t>2021.3.30.</t>
  </si>
  <si>
    <t>2021.4.6.</t>
  </si>
  <si>
    <t>1321350+48318=1369668</t>
  </si>
  <si>
    <t>국민 0012 92 5707928 2</t>
  </si>
  <si>
    <t>2021.4.23.</t>
  </si>
  <si>
    <t>검침6910</t>
  </si>
  <si>
    <t>(2월OTIS공사이후재선정)7월부터 부과예정</t>
  </si>
  <si>
    <t>2021.4.26.</t>
  </si>
  <si>
    <t>2021.4.28.</t>
  </si>
  <si>
    <t>2021.4.29.</t>
  </si>
  <si>
    <t>2021.5.1.</t>
  </si>
  <si>
    <t>1369668입금 후 62509 반환</t>
  </si>
  <si>
    <t>2021.5.4.</t>
  </si>
  <si>
    <t>401매스21.체납임대료.전기수도요금.2020.11월</t>
  </si>
  <si>
    <t>매스21.체납분</t>
  </si>
  <si>
    <t>2021.5.14.</t>
  </si>
  <si>
    <t>정화조청소비용(1)</t>
  </si>
  <si>
    <t>정화조청소비용(2)보일러실</t>
  </si>
  <si>
    <t>2021.5.20.</t>
  </si>
  <si>
    <t>오티스승강기잔금</t>
  </si>
  <si>
    <t>2021.5.24.</t>
  </si>
  <si>
    <t>2021.5.31.</t>
  </si>
  <si>
    <t>소방안전 관리비용.월11만원+VAT.자동이체</t>
  </si>
  <si>
    <t>401매스21.체납임대료.전기요금.2020.12월</t>
  </si>
  <si>
    <t>2021.6.4.</t>
  </si>
  <si>
    <t>401호.시스템창호.LG하이샤시.계약금</t>
  </si>
  <si>
    <t>농협은행 356-1466-0074-43 유지현(디자인몬스터)</t>
  </si>
  <si>
    <t>2021.5.27.</t>
  </si>
  <si>
    <t>302올고톡임대료.전기요금.4월분</t>
  </si>
  <si>
    <t>2021.5.29.</t>
  </si>
  <si>
    <t>201리리베리.수도요금</t>
  </si>
  <si>
    <t>2021.6.7.</t>
  </si>
  <si>
    <t>2021.6.24.</t>
  </si>
  <si>
    <t>2021.6.30.</t>
  </si>
  <si>
    <t>401호.시스템창호.LG하이샤시.중도금</t>
  </si>
  <si>
    <t>401호.시스템창호.LG하이샤시.잔금</t>
  </si>
  <si>
    <t>### 세금계산서 : 610만+61만 = 671만(이번 입금 488만원)</t>
  </si>
  <si>
    <t>2021.7.13.</t>
  </si>
  <si>
    <t>2021.6.25.</t>
  </si>
  <si>
    <t>2021.6.28.</t>
  </si>
  <si>
    <t>2021.7.6.</t>
  </si>
  <si>
    <t>2021.7.23.</t>
  </si>
  <si>
    <t>삼화빌딩재산세건물분</t>
  </si>
  <si>
    <t>국민은행전용계좌 408-492582-34995</t>
  </si>
  <si>
    <t>자동이체.지로.OTIS.2021.7월부터 부과예정</t>
  </si>
  <si>
    <t>2021.7.24.</t>
  </si>
  <si>
    <t>국민은행 001-3929-7518-99-0</t>
  </si>
  <si>
    <t>2021.7.26.</t>
  </si>
  <si>
    <t>401제삼공작소수도요금</t>
  </si>
  <si>
    <t>2021.7.28.</t>
  </si>
  <si>
    <t>2021.7.31.</t>
  </si>
  <si>
    <t>2021.8.1.</t>
  </si>
  <si>
    <t>502클랩셰어.수도요금</t>
  </si>
  <si>
    <t>2021.8.4.</t>
  </si>
  <si>
    <t>2021.8.24.</t>
  </si>
  <si>
    <t>주차비(창원B.최재환.674-37-00919)</t>
  </si>
  <si>
    <t>국민은행 097601-04-284825 최재환(창원B)</t>
  </si>
  <si>
    <t>pnl 인증서 연장갱신</t>
  </si>
  <si>
    <t>2021.8.29.</t>
  </si>
  <si>
    <t>502호.정림FNH 임대보증금.잔금입금</t>
  </si>
  <si>
    <t>502호.정림FNH 계약금입금</t>
  </si>
  <si>
    <t>502호.클랩셰어 임대보증금 반환이체</t>
  </si>
  <si>
    <t>097601-04-274570 클랩셰어</t>
  </si>
  <si>
    <t>2021.8.25.</t>
  </si>
  <si>
    <t>2021.8.26.</t>
  </si>
  <si>
    <t>2021.8.27.</t>
  </si>
  <si>
    <t>2021.8.30.</t>
  </si>
  <si>
    <t>KB국민 가상계좌</t>
  </si>
  <si>
    <t>2021.9.24.</t>
  </si>
  <si>
    <t>2021.9.29.</t>
  </si>
  <si>
    <t>삼화빌딩재산세토지분</t>
  </si>
  <si>
    <t>국민은행전용계좌 407-592554-69386</t>
  </si>
  <si>
    <t>502호.정림FNH 임대료.전기수도요금</t>
  </si>
  <si>
    <t>201MKmath.임대료전기수도요금</t>
  </si>
  <si>
    <t>2021.10.9.</t>
  </si>
  <si>
    <t>2021.9.23.</t>
  </si>
  <si>
    <t>2021.10.24.</t>
  </si>
  <si>
    <t>2021.10.25.</t>
  </si>
  <si>
    <t>2021.10.28.</t>
  </si>
  <si>
    <t>502호.정림FNH 임대료.전기요금</t>
  </si>
  <si>
    <t>2021.10.30.</t>
  </si>
  <si>
    <t>2021.10.31.</t>
  </si>
  <si>
    <t>201MKmath.임대료전기요금</t>
  </si>
  <si>
    <t>2021.11.3.</t>
  </si>
  <si>
    <t>## 차액 22945 (미납)</t>
  </si>
  <si>
    <t>사용량 6099</t>
  </si>
  <si>
    <t>2021.11.25.</t>
  </si>
  <si>
    <t>2021.11.26.</t>
  </si>
  <si>
    <t>2021.11.28.</t>
  </si>
  <si>
    <t>2021.11.29.</t>
  </si>
  <si>
    <t>201MKmath.수도요금</t>
  </si>
  <si>
    <t>2021.12.3.</t>
  </si>
  <si>
    <t>사용량 8734</t>
  </si>
  <si>
    <t>2021.12.21.</t>
  </si>
  <si>
    <t>사용량 13589</t>
  </si>
  <si>
    <t>국민은행 003-3924-6953-38-0</t>
  </si>
  <si>
    <t>2021.12.26.</t>
  </si>
  <si>
    <t>2021.12.28.</t>
  </si>
  <si>
    <t>401제삼공작소임대료.11월수도요금</t>
  </si>
  <si>
    <t>2022.1.9.</t>
  </si>
  <si>
    <t>2022.2.8.</t>
  </si>
  <si>
    <t>#재활용수거4만원이체.(1월분)</t>
  </si>
  <si>
    <t>2022.2.16.</t>
  </si>
  <si>
    <t>건축물축조신고(PLPLab)계약금</t>
  </si>
  <si>
    <t>국민992801-01-399973 김현재(피엘피랩)</t>
  </si>
  <si>
    <t>사용량 14380</t>
  </si>
  <si>
    <t>2022.1.25.</t>
  </si>
  <si>
    <t>402라이언아카데미수도요금</t>
  </si>
  <si>
    <t>2022.1.26.</t>
  </si>
  <si>
    <t>401제삼공작소.수도요금</t>
  </si>
  <si>
    <t>2022.1.29.</t>
  </si>
  <si>
    <t>2022.2.1.</t>
  </si>
  <si>
    <t>2022.2.4.</t>
  </si>
  <si>
    <t>2022.3.3.</t>
  </si>
  <si>
    <t>#재활용수거4만원이체.(2월분)</t>
  </si>
  <si>
    <t>2022.2.24.</t>
  </si>
  <si>
    <t>2022.2.25.</t>
  </si>
  <si>
    <t>2022.2.27.</t>
  </si>
  <si>
    <t>2022.3.1.</t>
  </si>
  <si>
    <t>2022.3.11.</t>
  </si>
  <si>
    <t>#재활용수거4만원이체.3월분</t>
  </si>
  <si>
    <t>사용량 10500</t>
  </si>
  <si>
    <t>2022.4.4.</t>
  </si>
  <si>
    <t>건축물축조신고(PLPLab)잔금</t>
  </si>
  <si>
    <t>부가가치세예납</t>
  </si>
  <si>
    <t>국민은행 0034-92-1420920-8</t>
  </si>
  <si>
    <t>2022.3.24.</t>
  </si>
  <si>
    <t>2022.3.25.</t>
  </si>
  <si>
    <t>2022.3.26.</t>
  </si>
  <si>
    <t>2022.3.28.</t>
  </si>
  <si>
    <t>2022.3.29.</t>
  </si>
  <si>
    <t>2022.3.30.</t>
  </si>
  <si>
    <t>2108646청구분에 대해 191695미납</t>
  </si>
  <si>
    <t>2022.4.5.</t>
  </si>
  <si>
    <t>#재활용수거4만원이체.4월분</t>
  </si>
  <si>
    <t>사용량 6949</t>
  </si>
  <si>
    <t>2022.4.15.</t>
  </si>
  <si>
    <t>주차부스.취득세</t>
  </si>
  <si>
    <t xml:space="preserve">국민4004-92-34094827 </t>
  </si>
  <si>
    <t>2022.5.16.</t>
  </si>
  <si>
    <t>2022.4.12.</t>
  </si>
  <si>
    <t>201MKmath.임대료전기요금.미납분추가</t>
  </si>
  <si>
    <t>2022.4.25.</t>
  </si>
  <si>
    <t>2022.4.26</t>
  </si>
  <si>
    <t>2022.4.28.</t>
  </si>
  <si>
    <t>2022.5. 24.</t>
  </si>
  <si>
    <t>#재활용수거4만원이체.5월분</t>
  </si>
  <si>
    <t>사용량 5699</t>
  </si>
  <si>
    <t>2022.5.23.</t>
  </si>
  <si>
    <t>2022.5.24.</t>
  </si>
  <si>
    <t>2022.5.25.</t>
  </si>
  <si>
    <t>2022.5.30.</t>
  </si>
  <si>
    <t>2022.6.15.</t>
  </si>
  <si>
    <t>사용량 6459</t>
  </si>
  <si>
    <t>#재활용수거4만원이체.6월분</t>
  </si>
  <si>
    <t>2022.6.25.</t>
  </si>
  <si>
    <t>2022.6.27.</t>
  </si>
  <si>
    <t>2022.6.28.</t>
  </si>
  <si>
    <t>2022.7..</t>
  </si>
  <si>
    <t>2022.7.23.</t>
  </si>
  <si>
    <t>사용량 8304</t>
  </si>
  <si>
    <t>강남수도사업소02.3146.4700 (고객번호29055972)</t>
  </si>
  <si>
    <t>#재활용수거4만원이체.7월분</t>
  </si>
  <si>
    <t>2022.7.19.</t>
  </si>
  <si>
    <t>한샘인테리어.광장</t>
  </si>
  <si>
    <t>외환(하나) 630-008541-042 최창규</t>
  </si>
  <si>
    <t>삼화빌딩.재산세.건축물분</t>
  </si>
  <si>
    <t xml:space="preserve">국민408-492738-73544 </t>
  </si>
  <si>
    <t>2022.7.24.</t>
  </si>
  <si>
    <t xml:space="preserve">국민003-5927-8210-38-7 </t>
  </si>
  <si>
    <t>2022.8.8.</t>
  </si>
  <si>
    <t>정화조뚜껑공사*2</t>
  </si>
  <si>
    <t>동아종합보수.정재민 카카오뱅크 3333-06-5274623</t>
  </si>
  <si>
    <t>2022.7.25.</t>
  </si>
  <si>
    <t>2022.7.26.</t>
  </si>
  <si>
    <t>2022.7.27.</t>
  </si>
  <si>
    <t>2022.8.1.</t>
  </si>
  <si>
    <t>라이언아카데미.502호임대보증금.입금</t>
  </si>
  <si>
    <t xml:space="preserve">2022.8.16. </t>
  </si>
  <si>
    <t>정림FNH.임대보증금.반환</t>
  </si>
  <si>
    <t>2022.8.16.</t>
  </si>
  <si>
    <t>502호.정림FNH 임대료.전기수도요금(~8/15)</t>
  </si>
  <si>
    <t>503예원연습실.임대관리비.전기수도요금.7월</t>
  </si>
  <si>
    <t>2022.8..</t>
  </si>
  <si>
    <t>사용량 8750</t>
  </si>
  <si>
    <t>#재활용수거4만원이체.8월분</t>
  </si>
  <si>
    <t>자동이체.소방점검은매년12월.</t>
  </si>
  <si>
    <t>2022.9.15.</t>
  </si>
  <si>
    <t>화재보험</t>
  </si>
  <si>
    <t>가상계좌이체</t>
  </si>
  <si>
    <t>승강기보험</t>
  </si>
  <si>
    <t>2022.8.24.</t>
  </si>
  <si>
    <t>502라이언아카데미임대료.전기</t>
  </si>
  <si>
    <t>401제삼공작소임대료.전기요금.6월분</t>
  </si>
  <si>
    <t>2022.9.13.</t>
  </si>
  <si>
    <t>401제삼공작소임대료.전기요금.7월분</t>
  </si>
  <si>
    <t>401제삼공작소.수도요금.7월분</t>
  </si>
  <si>
    <t>503예원연습실.임대관리비.전기요금.8월</t>
  </si>
  <si>
    <t>2022.9.23.</t>
  </si>
  <si>
    <t>사용량 6922</t>
  </si>
  <si>
    <t>#재활용수거4만원이체.9월분</t>
  </si>
  <si>
    <t>2022.9.24.</t>
  </si>
  <si>
    <t>502라이언아카데미임대료.전기수도</t>
  </si>
  <si>
    <t>2022.9.26.</t>
  </si>
  <si>
    <t>302올고톡임대료.전기수도요금.9월</t>
  </si>
  <si>
    <t>2022.9.29.</t>
  </si>
  <si>
    <t>401제삼공작소임대료.전기요금.8월분</t>
  </si>
  <si>
    <t>2022.10.1.</t>
  </si>
  <si>
    <t>302올고톡임대료.전기요금.8월</t>
  </si>
  <si>
    <t>2022.10.20.</t>
  </si>
  <si>
    <t>503예원연습실.임대관리비.전기요금.9월</t>
  </si>
  <si>
    <t>국민은행 0036-92-5087705-0</t>
  </si>
  <si>
    <t>하나은행 134-844443-85037</t>
  </si>
  <si>
    <t>2022.10.24.</t>
  </si>
  <si>
    <t>사용량 5707</t>
  </si>
  <si>
    <t>#재활용수거4만원이체.10월분</t>
  </si>
  <si>
    <t>2022.10.28.</t>
  </si>
  <si>
    <t>옥상철거비용</t>
  </si>
  <si>
    <t>농협356-1466-0074-43 유지현</t>
  </si>
  <si>
    <t>2022.10.25.</t>
  </si>
  <si>
    <t>2022.10.26,</t>
  </si>
  <si>
    <t>2022.10.30.</t>
  </si>
  <si>
    <t>2022.11.3.</t>
  </si>
  <si>
    <t>2022.11.4.</t>
  </si>
  <si>
    <t>2022.11.21.</t>
  </si>
  <si>
    <t>503예원연습실.임대관리비.전기요금.10월</t>
  </si>
  <si>
    <t>2022.11.23.</t>
  </si>
  <si>
    <t>사용량 5622</t>
  </si>
  <si>
    <t>강남수도사업소02.3146.4700 (고객번호029055972)</t>
  </si>
  <si>
    <t>#재활용수거4만원이체.11월분</t>
  </si>
  <si>
    <t>2022.11.24.</t>
  </si>
  <si>
    <t>2022.12.5.</t>
  </si>
  <si>
    <t>2022.12.6.</t>
  </si>
  <si>
    <t>2022.12.19.</t>
  </si>
  <si>
    <t>503예원연습실.임대관리비.전기수도요금.11월</t>
  </si>
  <si>
    <t>2022.12.23.</t>
  </si>
  <si>
    <t>사용량 7907</t>
  </si>
  <si>
    <t>#재활용수거4만원이체.12월분</t>
  </si>
  <si>
    <t>101호.늘봄약국.장금경.임대보증금 2700+300</t>
  </si>
  <si>
    <t>계약금300 + 금일 2700</t>
  </si>
  <si>
    <t>101호.늘봄약국.정규정.임대보증금 2700+300</t>
  </si>
  <si>
    <t>2022.12.26.</t>
  </si>
  <si>
    <t>2022.12.27.</t>
  </si>
  <si>
    <t>2023.1.1.</t>
  </si>
  <si>
    <t>2023.1.7.</t>
  </si>
  <si>
    <t>101늘봄약국.임대관리비.전기수도요금.정산</t>
  </si>
  <si>
    <t>2022.1.19.</t>
  </si>
  <si>
    <t>사용량 14643</t>
  </si>
  <si>
    <t>#재활용수거4만원이체.1월분</t>
  </si>
  <si>
    <t>국민은행 001-1920-9900-07-7</t>
  </si>
  <si>
    <t>2023.1.30.</t>
  </si>
  <si>
    <t>503예원연습실.임대관리비.전기요금.12월</t>
  </si>
  <si>
    <t>502라이언아카데미임대료.전기.수도</t>
  </si>
  <si>
    <t>2023.1.23.</t>
  </si>
  <si>
    <t>2023.2.7.</t>
  </si>
  <si>
    <t>503예원연습실.임대관리비.전기수도요금.1월</t>
  </si>
  <si>
    <t>사용량 12167</t>
  </si>
  <si>
    <t>#재활용수거4만원이체.2월분</t>
  </si>
  <si>
    <t>2023.2.24.</t>
  </si>
  <si>
    <t>2023.2.27.</t>
  </si>
  <si>
    <t>401제삼공작소임대료.전기요금.9월분</t>
  </si>
  <si>
    <t>401제삼공작소.수도요금.9월분</t>
  </si>
  <si>
    <t>2023.3.1.</t>
  </si>
  <si>
    <t>2023.3.3.</t>
  </si>
  <si>
    <t>강남도기.목동.수리비</t>
  </si>
  <si>
    <t>503예원연습실.임대관리비.전기요금.2월</t>
  </si>
  <si>
    <t>2023.3.23.</t>
  </si>
  <si>
    <t>사용량 8229</t>
  </si>
  <si>
    <t>2023.3.27.</t>
  </si>
  <si>
    <t>전기공사.디자인몬스터</t>
  </si>
  <si>
    <t>농협 356-1466-0074-43 류지현(디자인몬스터)</t>
  </si>
  <si>
    <t>2023.3.29.</t>
  </si>
  <si>
    <t>401제삼공작소임대료.전기요금.10월분</t>
  </si>
  <si>
    <t>401제삼공작소임대료.전기수도요금.11월분</t>
  </si>
  <si>
    <t>2023.4.6.</t>
  </si>
  <si>
    <t>201MKmath.임대료전기요금.부가세미납추가</t>
  </si>
  <si>
    <t>2022.4.24.</t>
  </si>
  <si>
    <t>사용량 6372</t>
  </si>
  <si>
    <t>2023.4.24.</t>
  </si>
  <si>
    <t>부가가치세(by 4/25)</t>
  </si>
  <si>
    <t>국민 0011-92-8773745-7</t>
  </si>
  <si>
    <t>503예원연습실.임대관리비.전기수도요금.3월</t>
  </si>
  <si>
    <t>정화조청소비용(1).5월15일.시행</t>
  </si>
  <si>
    <t>2023.4.25.</t>
  </si>
  <si>
    <t>2023.4.29.</t>
  </si>
  <si>
    <t>2023.5.1.</t>
  </si>
  <si>
    <t>2023.5.4.</t>
  </si>
  <si>
    <t>2023.5.23.</t>
  </si>
  <si>
    <t>사용량 5142</t>
  </si>
  <si>
    <t>503예원연습실.임대관리비.전기요금.4월</t>
  </si>
  <si>
    <t>2023.5.24.</t>
  </si>
  <si>
    <t>2023.5.25.</t>
  </si>
  <si>
    <t>2023.5.26.</t>
  </si>
  <si>
    <t>2023.5.29.</t>
  </si>
  <si>
    <t>2023.5.30.</t>
  </si>
  <si>
    <t>2023.6.8.</t>
  </si>
  <si>
    <t>소방안전관리자.실무교육.등록</t>
  </si>
  <si>
    <t>국민은행 708190-13-038087 이일근</t>
  </si>
  <si>
    <t>2023.6.24.</t>
  </si>
  <si>
    <t>사용량 6077</t>
  </si>
  <si>
    <t>2023.6.20.</t>
  </si>
  <si>
    <t>503예원연습실.임대관리비.전기요금.5월</t>
  </si>
  <si>
    <t>2023.6.26.</t>
  </si>
  <si>
    <t>방화문.보수.태광인테리어</t>
  </si>
  <si>
    <t>계좌이체.농협.1152.12.177405.지정록</t>
  </si>
  <si>
    <t>2023.6.27.</t>
  </si>
  <si>
    <t>2023.6.30.</t>
  </si>
  <si>
    <t>401제삼공작소임대료.전기요금.12월분</t>
  </si>
  <si>
    <t>401제삼공작소임대료.전기요금.1월분</t>
  </si>
  <si>
    <t>401제삼공작소.수도요금.1월분</t>
  </si>
  <si>
    <t>2023.7.3.</t>
  </si>
  <si>
    <t>503예원연습실.임대관리비.전기요금.6월</t>
  </si>
  <si>
    <t>재산세.건물분</t>
  </si>
  <si>
    <t>국민은행 407-592638-65114</t>
  </si>
  <si>
    <t>재산세.건물분.1동(주차관리실?)</t>
  </si>
  <si>
    <t>국민은행 407-592638-65101</t>
  </si>
  <si>
    <t>사용량 7905</t>
  </si>
  <si>
    <t>주차비(창원에이스.이봉일.494-10-02686)</t>
  </si>
  <si>
    <t>우리은행 127-08-100670 이봉일(창원에이스)</t>
  </si>
  <si>
    <t>부가가치세(by 7/25)</t>
  </si>
  <si>
    <t>국민 001-3926-3679-57-5</t>
  </si>
  <si>
    <t>2023.7.25.</t>
  </si>
  <si>
    <t>2023.7.26.</t>
  </si>
  <si>
    <t>2023.7.30.</t>
  </si>
  <si>
    <t>2023.7.31.</t>
  </si>
  <si>
    <t>2023.8.3.</t>
  </si>
  <si>
    <t>2023.8.20.</t>
  </si>
  <si>
    <t>사용량 8995</t>
  </si>
  <si>
    <t>2023.9.23.</t>
  </si>
  <si>
    <t>2023.8.31.</t>
  </si>
  <si>
    <t>2023.9.7.</t>
  </si>
  <si>
    <t>2023.8.25.</t>
  </si>
  <si>
    <t>2023.8.30.</t>
  </si>
  <si>
    <t>2023.9.3.</t>
  </si>
  <si>
    <t>2023.9.8.</t>
  </si>
  <si>
    <t>2023.9.21.</t>
  </si>
  <si>
    <t>사용량 7956</t>
  </si>
  <si>
    <t>강남수도사업소02.3146.4700(고객번호029055972) 1599-3900</t>
  </si>
  <si>
    <t>2023.9.25.</t>
  </si>
  <si>
    <t>국민 405-392405-11262</t>
  </si>
  <si>
    <t>부가가치세(by 10/25)</t>
  </si>
  <si>
    <t>국민 0014-92-4039409-3</t>
  </si>
  <si>
    <t>신한 562-049-55024780</t>
  </si>
  <si>
    <t>2023.9.24.</t>
  </si>
  <si>
    <t>202굿슬립수도요금</t>
  </si>
  <si>
    <t>2023.10.1.</t>
  </si>
  <si>
    <t>2023.10.2.</t>
  </si>
  <si>
    <t>503예원연습실.임대관리비.전기수도요금.9월</t>
  </si>
  <si>
    <t>사용량 5668</t>
  </si>
  <si>
    <t>2023.10.24</t>
  </si>
  <si>
    <t>2023.10.25.</t>
  </si>
  <si>
    <t>2023.10.27.</t>
  </si>
  <si>
    <t>2023.10.30.</t>
  </si>
  <si>
    <t>2023.11.7.</t>
  </si>
  <si>
    <t>401호.임대계약금</t>
  </si>
  <si>
    <t>2023.11.20.</t>
  </si>
  <si>
    <t>401호.임대보증금.잔금</t>
  </si>
  <si>
    <t>사용량 5399</t>
  </si>
  <si>
    <t>강남수도사업소02.3146.4700(고객번호029055972) 1599-3900-3-2-</t>
  </si>
  <si>
    <t>종합소득세예납</t>
  </si>
  <si>
    <t>모바일지로</t>
  </si>
  <si>
    <t>2023.12.</t>
  </si>
  <si>
    <t>삼화빌딩.소방.유지보수공사</t>
  </si>
  <si>
    <t>110+vat11</t>
  </si>
  <si>
    <t>2023.11.24.</t>
  </si>
  <si>
    <t>2023.11.27.</t>
  </si>
  <si>
    <t>2023.11.29.</t>
  </si>
  <si>
    <t>401강남법무부동산.임대료.전기.수도</t>
  </si>
  <si>
    <t>302올고톡임대료.수도요금</t>
  </si>
  <si>
    <t>2023.12.20.</t>
  </si>
  <si>
    <t>사용량 9239</t>
  </si>
  <si>
    <t>승강기안전교육.등록비</t>
  </si>
  <si>
    <t>2023.12.23.</t>
  </si>
  <si>
    <t>2023.12.24.</t>
  </si>
  <si>
    <t>2023.12.26.</t>
  </si>
  <si>
    <t>2023.12.27.</t>
  </si>
  <si>
    <t>2023.12.28.</t>
  </si>
  <si>
    <t>2023.12.29.</t>
  </si>
  <si>
    <t>401강남법무부동산.임대료.전기</t>
  </si>
  <si>
    <t>2024.1.4.</t>
  </si>
  <si>
    <t>2024.1.21.</t>
  </si>
  <si>
    <t>사용량 12854</t>
  </si>
  <si>
    <t>2024.1.23.</t>
  </si>
  <si>
    <t>부가가치세(by 1/25)</t>
  </si>
  <si>
    <t>국민 003-3920-4688-73-2</t>
  </si>
  <si>
    <t>402라이언아카데미</t>
  </si>
  <si>
    <t>502라이언아카데미</t>
  </si>
  <si>
    <t>2024.1.24.</t>
  </si>
  <si>
    <t>202굿슬립</t>
  </si>
  <si>
    <t>102제이랩</t>
  </si>
  <si>
    <t>2024.1.26.</t>
  </si>
  <si>
    <t>302올고톡</t>
  </si>
  <si>
    <t>2024.1.30.</t>
  </si>
  <si>
    <t>B102골프디아삽</t>
  </si>
  <si>
    <t>101늘봄약국</t>
  </si>
  <si>
    <t>401강남법무부동산.1월</t>
  </si>
  <si>
    <t>부가세 257,864 미납</t>
  </si>
  <si>
    <t>201MKmath</t>
  </si>
  <si>
    <t>501다와</t>
  </si>
  <si>
    <t>2024.2.24.</t>
  </si>
  <si>
    <t>503예원연습실.2월</t>
  </si>
  <si>
    <t>2024.2.25.</t>
  </si>
  <si>
    <t>사용량 12092</t>
  </si>
  <si>
    <t>503예원연습실.1월</t>
  </si>
  <si>
    <t>2024.2.28.</t>
  </si>
  <si>
    <t>2024.3.4.</t>
  </si>
  <si>
    <t>사용량 8771</t>
  </si>
  <si>
    <t>2024.3.24.</t>
  </si>
  <si>
    <t>2024.3.25.</t>
  </si>
  <si>
    <t>2024.3.26.</t>
  </si>
  <si>
    <t>401강남법무부동산.3월</t>
  </si>
  <si>
    <t>2024.3.31.</t>
  </si>
  <si>
    <t>2024.4.23.</t>
  </si>
  <si>
    <t>사용량 7003</t>
  </si>
  <si>
    <t>국민 0033-92-7770218-8</t>
  </si>
  <si>
    <t>2024.4.25.</t>
  </si>
  <si>
    <t>503예원연습실.4월</t>
  </si>
  <si>
    <t>2024.4.29.</t>
  </si>
  <si>
    <t>2024.5.1.</t>
  </si>
  <si>
    <t>2024.5.7.</t>
  </si>
  <si>
    <t>503예원연습실.3월</t>
  </si>
  <si>
    <t>401강남법무부동산.4월</t>
  </si>
  <si>
    <t>사용량 5430</t>
  </si>
  <si>
    <t>정화조청소비용(1).5월14일.시행</t>
  </si>
  <si>
    <t>2024.5.24</t>
  </si>
  <si>
    <t>2024.5.25.</t>
  </si>
  <si>
    <t>2024.5.27.</t>
  </si>
  <si>
    <t>2024.5.30.</t>
  </si>
  <si>
    <t>401강남법무부동산.5월</t>
  </si>
  <si>
    <t>2024.6.9.</t>
  </si>
  <si>
    <t>503예원연습실.5월</t>
  </si>
  <si>
    <t>2024.6.24.</t>
  </si>
  <si>
    <t>사용량 6549</t>
  </si>
  <si>
    <t>2024.6.23.</t>
  </si>
  <si>
    <t>2024.6.26.</t>
  </si>
  <si>
    <t>2024.7.1.</t>
  </si>
  <si>
    <t>2024.7.5.</t>
  </si>
  <si>
    <t>503예원연습실.6월</t>
  </si>
  <si>
    <t>전기요금(2024.7.부터.시청료.제외)</t>
  </si>
  <si>
    <t>사용량 8499</t>
  </si>
  <si>
    <t>자동이체.프라임방재.소방점검은매년12월.</t>
  </si>
  <si>
    <t>2024.7.25.</t>
  </si>
  <si>
    <t>국민 003-5925-3777-33-3</t>
  </si>
  <si>
    <t>국민 408-492371-15064</t>
  </si>
  <si>
    <t>2024.7.29.</t>
  </si>
  <si>
    <t>2024.7.30.</t>
  </si>
  <si>
    <t>2024.8.12.</t>
  </si>
  <si>
    <t>503예원연습실.7월</t>
  </si>
  <si>
    <t>층복도(2).계단(5)전등교체.디자인몬스터</t>
  </si>
  <si>
    <t>농협 356-1466-0074-43 유지현(디자인몬스터)</t>
  </si>
  <si>
    <t>2024.8.23.</t>
  </si>
  <si>
    <t>사용량 9786</t>
  </si>
  <si>
    <t>2024.8.이체</t>
  </si>
  <si>
    <t>안전관리비+23년 유도등증설.교체.소방공사</t>
  </si>
  <si>
    <t>2024.8.28.</t>
  </si>
  <si>
    <t xml:space="preserve">가상계좌 국민 242090-78-666008 </t>
  </si>
  <si>
    <t>가상계좌 국민 242090-78-666165</t>
  </si>
  <si>
    <t>2024.8.25.</t>
  </si>
  <si>
    <t>2024.8.26.</t>
  </si>
  <si>
    <t>2024.8.27.</t>
  </si>
  <si>
    <t>2024.8.30.</t>
  </si>
  <si>
    <t>2024.9.1.</t>
  </si>
  <si>
    <t>2024.9.3.</t>
  </si>
  <si>
    <t>503예원연습실.8월</t>
  </si>
  <si>
    <t>2024.9.23.</t>
  </si>
  <si>
    <t>사용량 9965</t>
  </si>
  <si>
    <t>2024.9..</t>
  </si>
  <si>
    <t>국민 406-292414-98595</t>
  </si>
  <si>
    <t>2024.9.25.</t>
  </si>
  <si>
    <t>2024.9.26.</t>
  </si>
  <si>
    <t>2024.9.27.</t>
  </si>
  <si>
    <t>2024.9.28.</t>
  </si>
  <si>
    <t>2024.10.2.</t>
  </si>
  <si>
    <t>2024.10.13.</t>
  </si>
  <si>
    <t>503예원연습실.9월</t>
  </si>
  <si>
    <t>사용량 6190</t>
  </si>
  <si>
    <t>2024.10.31.</t>
  </si>
  <si>
    <t>부가세2기분.예납</t>
  </si>
  <si>
    <t>국민 0036-92-5376047-2</t>
  </si>
  <si>
    <t>하나 134-844686-71537</t>
  </si>
  <si>
    <t>아란디자인공사대금</t>
  </si>
  <si>
    <t xml:space="preserve">신한 110-438-144970 전상현.아란디자인 </t>
  </si>
  <si>
    <t>2024.10.23.</t>
  </si>
  <si>
    <t>(강남부동산.김금미)</t>
  </si>
  <si>
    <t>2024.10.24.</t>
  </si>
  <si>
    <t>2024.10.25.</t>
  </si>
  <si>
    <t>2024.11.3.</t>
  </si>
  <si>
    <t>2024.11.7.</t>
  </si>
  <si>
    <t>2024.11.12.</t>
  </si>
  <si>
    <t>503예원연습실.10월</t>
  </si>
  <si>
    <t>사용량 5609</t>
  </si>
  <si>
    <t>2024.11.26.</t>
  </si>
  <si>
    <t>101호.늘봄약국.배선희약사님.계약금</t>
  </si>
  <si>
    <t>계좌이체입금(입주일.2025.2.8.)</t>
  </si>
  <si>
    <t>2024.11.27.</t>
  </si>
  <si>
    <t>삼광이엔지.김순곤.공사대금.보일러</t>
  </si>
  <si>
    <t>농협351-1314-0721-93김순곤.광장동귀뚜라미보일러</t>
  </si>
  <si>
    <t>2024.11.30.</t>
  </si>
  <si>
    <t>KBS시청료(5개월분)</t>
  </si>
  <si>
    <t>국민은행490190-74-050679 한전(이일근)</t>
  </si>
  <si>
    <t>2024.11.25.</t>
  </si>
  <si>
    <t>2024.12.2.</t>
  </si>
  <si>
    <t>401(강남부동산.김금미)</t>
  </si>
  <si>
    <t>503예원연습실.11월</t>
  </si>
  <si>
    <t>사용량 7783</t>
  </si>
  <si>
    <t>2024.12.24.</t>
  </si>
  <si>
    <t>2024.12.30.</t>
  </si>
  <si>
    <t>2025.1.1.</t>
  </si>
  <si>
    <t>2025.1.7.</t>
  </si>
  <si>
    <t>2025.1.8.</t>
  </si>
  <si>
    <t>401거원홀딩스</t>
  </si>
  <si>
    <t>2025.1.13.</t>
  </si>
  <si>
    <t>503예원연습실.12월</t>
  </si>
  <si>
    <t>사용량 12499</t>
  </si>
  <si>
    <t>국 민  001-1921-8963-84-5</t>
  </si>
  <si>
    <t>2025.1.27.</t>
  </si>
  <si>
    <t>2025.1.30.</t>
  </si>
  <si>
    <t>2025.2.1.</t>
  </si>
  <si>
    <t>2025.2.7.</t>
  </si>
  <si>
    <t>2025.2.8.</t>
  </si>
  <si>
    <t>101늘봄약국.배선희</t>
  </si>
  <si>
    <t>101늘봄약국.장금경</t>
  </si>
  <si>
    <t>2025.2.11.</t>
  </si>
  <si>
    <t>사용량 11404</t>
  </si>
  <si>
    <t>2024.2.22.</t>
  </si>
  <si>
    <t>2025.2.24.</t>
  </si>
  <si>
    <t>2025.2.25.</t>
  </si>
  <si>
    <t>2025.2.26.</t>
  </si>
  <si>
    <t>2025.3.1.</t>
  </si>
  <si>
    <t>2025.3.08.</t>
  </si>
  <si>
    <t>사용량 9223</t>
  </si>
  <si>
    <t>2025.3.24.</t>
  </si>
  <si>
    <t>2025.3.25.</t>
  </si>
  <si>
    <t>2025.3.28.</t>
  </si>
  <si>
    <t>2025.3.29.</t>
  </si>
  <si>
    <t>2025.4.16.</t>
  </si>
  <si>
    <t>2025.4.4.</t>
  </si>
  <si>
    <t>내벽수리.광장2104.김근우</t>
  </si>
  <si>
    <t>우리1002737102892 김근우</t>
  </si>
  <si>
    <t>사용량 6979</t>
  </si>
  <si>
    <t>국 민  001-92-8134881-3</t>
  </si>
  <si>
    <t>2025.5.7.</t>
  </si>
  <si>
    <t>101늘봄약국.보증금1천증액.4천으로</t>
  </si>
  <si>
    <t>정화조청소비용(1).5월12일.시행</t>
  </si>
  <si>
    <t>사용량 4979</t>
  </si>
  <si>
    <t>401호.라이언아카데미.김동석.보증금</t>
  </si>
  <si>
    <t>2025.6.23.</t>
  </si>
  <si>
    <t>사용량 6585</t>
  </si>
  <si>
    <t>사용량 8594</t>
  </si>
  <si>
    <t>2025.7.31.</t>
  </si>
  <si>
    <t>2025.7.23.</t>
  </si>
  <si>
    <t>지로/롯데아멕스카드</t>
  </si>
  <si>
    <t>예현금</t>
  </si>
  <si>
    <t>MMF.ISA+예금+debt</t>
  </si>
  <si>
    <t>fund</t>
  </si>
  <si>
    <t>stockbond</t>
  </si>
  <si>
    <t>Mi</t>
  </si>
  <si>
    <t>Keun</t>
  </si>
  <si>
    <t>insu</t>
  </si>
  <si>
    <t>real E.</t>
  </si>
  <si>
    <t>USD(USA)</t>
  </si>
  <si>
    <t>USD(집) (x1200)</t>
  </si>
  <si>
    <t>USD(KB) 외화정기</t>
  </si>
  <si>
    <t>미향대출</t>
  </si>
  <si>
    <t>국민PNL(코로나대출.sbnc.4/17.2022.4.상환)</t>
  </si>
  <si>
    <t>국민은행 예금(3)/MMT.ISA/-648/sbnc</t>
  </si>
  <si>
    <t>키움증권</t>
  </si>
  <si>
    <t>신한은행 예금(2)/MMF(2)</t>
  </si>
  <si>
    <t>[20000]</t>
  </si>
  <si>
    <t>여행적립</t>
  </si>
  <si>
    <t>200(2017.3)</t>
  </si>
  <si>
    <t>KB(현대)증권</t>
  </si>
  <si>
    <t>씨티은행 예금(2)MMF.EMS.MMDA</t>
  </si>
  <si>
    <t>Wooribank</t>
  </si>
  <si>
    <t>(2021.2.25.)</t>
  </si>
  <si>
    <t>2020.400만추가</t>
  </si>
  <si>
    <t>대신증권(퇴직연금IRP.포함)</t>
  </si>
  <si>
    <t>(2020.9.월60만.증액)</t>
  </si>
  <si>
    <t>고모2종민25</t>
  </si>
  <si>
    <t>2021.3.</t>
  </si>
  <si>
    <t>종민</t>
  </si>
  <si>
    <t>(주식1400)</t>
  </si>
  <si>
    <t>키움증권(박미향).원금.15+10+10=35</t>
  </si>
  <si>
    <t>KEB</t>
  </si>
  <si>
    <t>동양증권(이일근)</t>
  </si>
  <si>
    <t>국민 09769060027077</t>
  </si>
  <si>
    <t>미래에셋증권(이종현)</t>
  </si>
  <si>
    <t>(EB5)</t>
  </si>
  <si>
    <t>[3500]</t>
  </si>
  <si>
    <t>미래에셋증권(이종민)</t>
  </si>
  <si>
    <t>[3000+21000]</t>
  </si>
  <si>
    <t>미래에셋증권(박미향)</t>
  </si>
  <si>
    <t>[80000] 10+10</t>
  </si>
  <si>
    <t>미향현금</t>
  </si>
  <si>
    <t>Emangen.base.stock.33%(66000shares)</t>
  </si>
  <si>
    <t>이만젠.33%.66K</t>
  </si>
  <si>
    <t>M Tower 보증금 - 보류상태</t>
  </si>
  <si>
    <t>(반환일)</t>
  </si>
  <si>
    <t>2019.5.16.</t>
  </si>
  <si>
    <t>((1000))</t>
  </si>
  <si>
    <t>서울시니어스가양 보증금</t>
  </si>
  <si>
    <t>((14539))</t>
  </si>
  <si>
    <t>[14538.6]</t>
  </si>
  <si>
    <t>선수54.84</t>
  </si>
  <si>
    <t>###2024.6.7.삼성생명.홍용길.종신보험.신규.월351만</t>
  </si>
  <si>
    <t>만기10년.2034.</t>
  </si>
  <si>
    <t>대우증권(미향).미래에셋증권.</t>
  </si>
  <si>
    <t>((275?))</t>
  </si>
  <si>
    <t>미지컴</t>
  </si>
  <si>
    <t>ITM상봉동투자</t>
  </si>
  <si>
    <t>(레이트컴30000. 미향일근7500. 경현부모7500)</t>
  </si>
  <si>
    <t>2023.3.상환완료</t>
  </si>
  <si>
    <t>미향.키움.원금</t>
  </si>
  <si>
    <t>오성프라임.이태원2</t>
  </si>
  <si>
    <t>10000들어갔다가 8000받음(=2K) +20210817.2K추가지급(+용산잔여2K.종민4K갈음+지분이전비용)</t>
  </si>
  <si>
    <t>(+2.5%지분정산)</t>
  </si>
  <si>
    <t>농협.sbnc</t>
  </si>
  <si>
    <t>오성프라임.이태원</t>
  </si>
  <si>
    <t>"100+150+20+30+30+120+10+20=480"</t>
  </si>
  <si>
    <t>오성프라임.용산</t>
  </si>
  <si>
    <t>"30+10+63+10-93+25-25"+2.5최홍</t>
  </si>
  <si>
    <t>종민적립(2011.10.~ 400+200)</t>
  </si>
  <si>
    <t>비용/감가 적립(2011.1.~ 월100)</t>
  </si>
  <si>
    <t>2022.8.</t>
  </si>
  <si>
    <t>-&gt;</t>
  </si>
  <si>
    <t>doppler1900</t>
  </si>
  <si>
    <t>118.83(36)/55.22(17)</t>
  </si>
  <si>
    <t>(2025.5.)</t>
  </si>
  <si>
    <t>회사2.9+400(2인.60식) 개인2.6+360 // 매매3.0~3.2</t>
  </si>
  <si>
    <t>health expense(2011.1.~ 월30)</t>
  </si>
  <si>
    <t>EEG160</t>
  </si>
  <si>
    <t>대지권17.25</t>
  </si>
  <si>
    <t>서울시니어강서</t>
  </si>
  <si>
    <t>(2018.3.2.24000-&gt;2022.2.17.+5000)</t>
  </si>
  <si>
    <t>2014.12.차등적립.100</t>
  </si>
  <si>
    <t>NCS104</t>
  </si>
  <si>
    <t>(3444.4m2)</t>
  </si>
  <si>
    <t>(공항대로 315 1005호)</t>
  </si>
  <si>
    <t>2017.승우3000</t>
  </si>
  <si>
    <t>혈압기80</t>
  </si>
  <si>
    <t>임대현황</t>
  </si>
  <si>
    <t>2023.1.1.국토부공시가</t>
  </si>
  <si>
    <t>2022.1.</t>
  </si>
  <si>
    <t>2020.1.</t>
  </si>
  <si>
    <t>2021.1.</t>
  </si>
  <si>
    <t>작년비</t>
  </si>
  <si>
    <t>목동</t>
  </si>
  <si>
    <t>2018.김포전세1300</t>
  </si>
  <si>
    <t>뇌파기2700</t>
  </si>
  <si>
    <t>2019.11.</t>
  </si>
  <si>
    <t>2021.7.5%(+0.34=7.14)</t>
  </si>
  <si>
    <t>7.14억(~2025.7.22.) 8.5억(~2027.7.22.)</t>
  </si>
  <si>
    <t>2019.3.말.증여.감정평가15.2억</t>
  </si>
  <si>
    <t>2019.5.8.김연태.6500.계약금선불지급</t>
  </si>
  <si>
    <t>2009.5.21.증여</t>
  </si>
  <si>
    <t>광장동(박미향)</t>
  </si>
  <si>
    <t>2019.10.변호사.500</t>
  </si>
  <si>
    <t>NCS수리99</t>
  </si>
  <si>
    <t>2020.12.</t>
  </si>
  <si>
    <t>4.00억(~2026.8.2.)</t>
  </si>
  <si>
    <t>임사시작2018.5.19</t>
  </si>
  <si>
    <t>부평(박미향)</t>
  </si>
  <si>
    <t>2019.11.14.자료.1100</t>
  </si>
  <si>
    <t>NCS수리25</t>
  </si>
  <si>
    <t>2019.5.</t>
  </si>
  <si>
    <t>임사등록증2018.5.30.</t>
  </si>
  <si>
    <t>대전 보증금(박인서)</t>
  </si>
  <si>
    <t>2019.11.18.변호.1000</t>
  </si>
  <si>
    <t>TCD전원수리85</t>
  </si>
  <si>
    <t>2019.12.</t>
  </si>
  <si>
    <t xml:space="preserve">신사동.(/m2) </t>
  </si>
  <si>
    <t>12920K</t>
  </si>
  <si>
    <t>10100K</t>
  </si>
  <si>
    <t>임사변경8년2020.7.9.(~2026.5.)</t>
  </si>
  <si>
    <t>목동보증금</t>
  </si>
  <si>
    <t>2020.8.이모병원비500</t>
  </si>
  <si>
    <t>NCS교체3080</t>
  </si>
  <si>
    <t>2025.3.</t>
  </si>
  <si>
    <t>(2023.5.30.)</t>
  </si>
  <si>
    <t>광장동보증금</t>
  </si>
  <si>
    <t>대전월세 2400</t>
  </si>
  <si>
    <t>(2024.8.2.)</t>
  </si>
  <si>
    <t>PNL</t>
  </si>
  <si>
    <t>신사동566-14.15 (논현로159길17)</t>
  </si>
  <si>
    <t>임대수익2.0%</t>
  </si>
  <si>
    <t>자기자본22+2</t>
  </si>
  <si>
    <t>전세보증금</t>
  </si>
  <si>
    <t>~평당1.2억</t>
  </si>
  <si>
    <t>국민은행.대출</t>
  </si>
  <si>
    <t>2022.4.감평150억</t>
  </si>
  <si>
    <t>2020.1.30: 2.56%,4.30:2.12%:2022기업은행</t>
  </si>
  <si>
    <t>/월(1.77)//(&lt;-975/mo:2.56%)</t>
  </si>
  <si>
    <t>7/30:1.71%,10/31:1.77%</t>
  </si>
  <si>
    <t>6억</t>
  </si>
  <si>
    <t xml:space="preserve">미향에게.4억차용(주1.박미연1) </t>
  </si>
  <si>
    <t>감평*1.1=160억.시세</t>
  </si>
  <si>
    <t>공시가.래미안</t>
  </si>
  <si>
    <t>5.3(8.6)</t>
  </si>
  <si>
    <t>전세 목동5.3억 광장3.3억</t>
  </si>
  <si>
    <t>2024.감평180억/198</t>
  </si>
  <si>
    <t>P</t>
  </si>
  <si>
    <t>근</t>
  </si>
  <si>
    <t>premium 2013.11.6.</t>
  </si>
  <si>
    <t>keun</t>
  </si>
  <si>
    <t>증여세.납부일.2006.5.2.</t>
  </si>
  <si>
    <t>잔금(기 납부분) 11/13</t>
  </si>
  <si>
    <t>2017년9월1일 후 성년증여 가능</t>
  </si>
  <si>
    <t>2014.3.17.</t>
  </si>
  <si>
    <t>향</t>
  </si>
  <si>
    <t>2014.7.3.</t>
  </si>
  <si>
    <t>종현증여세납부일 2018.6.18.</t>
  </si>
  <si>
    <t>종민증여세납부일 2019.6.30.</t>
  </si>
  <si>
    <t>종민증여세납부일(고모) 2021.3.4.</t>
  </si>
  <si>
    <t>2016.2.3.</t>
  </si>
  <si>
    <t>박미향.뉴서울cc.회원권.2024.4.취득</t>
  </si>
  <si>
    <t>2011.3.5.</t>
  </si>
  <si>
    <t>박미향.반얀트리.회원권.2024.9.취득</t>
  </si>
  <si>
    <t>2016.3.28.</t>
  </si>
  <si>
    <t>2016.5.11.</t>
  </si>
  <si>
    <t>2016.6.1.복비</t>
  </si>
  <si>
    <t>실제비용</t>
  </si>
  <si>
    <t>(+P)</t>
  </si>
  <si>
    <t>송학복비</t>
  </si>
  <si>
    <t>옵션(1)</t>
  </si>
  <si>
    <t>옵션(2)</t>
  </si>
  <si>
    <t>옵션(3)</t>
  </si>
  <si>
    <t>&lt;잔금&gt;2016.3.28.</t>
  </si>
  <si>
    <t>취득세</t>
  </si>
  <si>
    <t>2020.IFRS4 2단계</t>
  </si>
  <si>
    <t>개시일연기</t>
  </si>
  <si>
    <t>ING 연금보험(2012.2.21.개시) 신한라이프.1588-5580</t>
  </si>
  <si>
    <t>2033.2.21.(70세)</t>
  </si>
  <si>
    <t>3%(3.1)</t>
  </si>
  <si>
    <t>종신부부</t>
  </si>
  <si>
    <t>250만/월</t>
  </si>
  <si>
    <t>(2020.11.)</t>
  </si>
  <si>
    <t>ING 연금보험 (박미향)</t>
  </si>
  <si>
    <t>2029.12.(65세)</t>
  </si>
  <si>
    <t>5%(5)</t>
  </si>
  <si>
    <t>ING (이일근)</t>
  </si>
  <si>
    <t>2019.12.28.(57세개시)</t>
  </si>
  <si>
    <t>월15?(완)</t>
  </si>
  <si>
    <t>종신형부부보증10년정액형</t>
  </si>
  <si>
    <t>(2019.11.신청)</t>
  </si>
  <si>
    <t>199만3천+배당</t>
  </si>
  <si>
    <t>10년이후.매년신청.(국민-3648입금)</t>
  </si>
  <si>
    <t>평생1588-5005/사후배우자50%</t>
  </si>
  <si>
    <t>ING (이일근/이종현)</t>
  </si>
  <si>
    <t>PCA (박미향)</t>
  </si>
  <si>
    <t>완납?</t>
  </si>
  <si>
    <t>Metlife (박미향/이종민)</t>
  </si>
  <si>
    <t>월 155</t>
  </si>
  <si>
    <t>Metlife (이일근)</t>
  </si>
  <si>
    <t>월 30</t>
  </si>
  <si>
    <t>ING 종신 (이일근)</t>
  </si>
  <si>
    <t>60세납</t>
  </si>
  <si>
    <t>월33</t>
  </si>
  <si>
    <t>ING 종신 (박미향)</t>
  </si>
  <si>
    <t>대한생명.한화 (국민2006) 연금 300/년</t>
  </si>
  <si>
    <t>(100추)</t>
  </si>
  <si>
    <t>2006.11.~(10년만기. 17.11개시)</t>
  </si>
  <si>
    <t>2020.11.3.2310306</t>
  </si>
  <si>
    <t>월35</t>
  </si>
  <si>
    <t>((2017.11.))</t>
  </si>
  <si>
    <t>(420/12 = 35/월. 증액)</t>
  </si>
  <si>
    <t>2017.10.의무 (2017.11.까지)</t>
  </si>
  <si>
    <t>납입</t>
  </si>
  <si>
    <t>배당</t>
  </si>
  <si>
    <t xml:space="preserve">한화생UL종신148K+배상 (이종현) </t>
  </si>
  <si>
    <t>2008~</t>
  </si>
  <si>
    <t>월 15</t>
  </si>
  <si>
    <t>55세이후연금수령</t>
  </si>
  <si>
    <t>2017년11월 후</t>
  </si>
  <si>
    <t>200/년</t>
  </si>
  <si>
    <t>세후(11월4일.이후)</t>
  </si>
  <si>
    <t>평생1588-6363</t>
  </si>
  <si>
    <t>한화생 종신+한화손보 배상78K(이종민.일근)</t>
  </si>
  <si>
    <t>2013?~</t>
  </si>
  <si>
    <t>무배당스마트변액CI통합보험58K.한화생.종민</t>
  </si>
  <si>
    <t>세제변경</t>
  </si>
  <si>
    <t>노란우산공제 (이일근)</t>
  </si>
  <si>
    <t>2010.5.~</t>
  </si>
  <si>
    <t>월25-&gt;17</t>
  </si>
  <si>
    <t>(2017.9.)</t>
  </si>
  <si>
    <t>외환은행 변액연금 외(박미향).2025해약</t>
  </si>
  <si>
    <t>미래에셋주식형</t>
  </si>
  <si>
    <t>2007.4.</t>
  </si>
  <si>
    <t>(2016.3.)</t>
  </si>
  <si>
    <t>한화연금보험</t>
  </si>
  <si>
    <t>3000완납</t>
  </si>
  <si>
    <t>(2017.12.)</t>
  </si>
  <si>
    <t>동부연금보험</t>
  </si>
  <si>
    <t>2010.12.15(10년)</t>
  </si>
  <si>
    <t>월18</t>
  </si>
  <si>
    <t>교보생명연금보험(박미향)연금저축21C슈퍼골드연금보험.개인정액</t>
  </si>
  <si>
    <t>교보</t>
  </si>
  <si>
    <t>2000.5.</t>
  </si>
  <si>
    <t>6.5%+</t>
  </si>
  <si>
    <t>월15</t>
  </si>
  <si>
    <t>KDB 연금보험(이일근)</t>
  </si>
  <si>
    <t>2015.9.~</t>
  </si>
  <si>
    <t>월50</t>
  </si>
  <si>
    <t>((2023))</t>
  </si>
  <si>
    <t>대신증권.연금저축(?)보험.연말정산 -&gt; KB.IRP</t>
  </si>
  <si>
    <t>2018~</t>
  </si>
  <si>
    <t>6억5천+3억5천</t>
  </si>
  <si>
    <t>간주임대료=(임대보증금-3억)X60%X정기예금이자율(1.6%)</t>
  </si>
  <si>
    <t>임대소득세율 14%, 경비율 60%</t>
  </si>
  <si>
    <t>월세는 연간 월세 합계, 전세는 간주임대료가 2000만원 이하여야 분리과세 대상이다.</t>
  </si>
  <si>
    <t>사업자번호</t>
  </si>
  <si>
    <t>211-10-21870</t>
  </si>
  <si>
    <t>298-04-00449</t>
  </si>
  <si>
    <t>720-32-00051</t>
  </si>
  <si>
    <t>261-81-02257</t>
  </si>
  <si>
    <t>201-06-71129</t>
  </si>
  <si>
    <t>211-87-84329</t>
  </si>
  <si>
    <t>120-87-43696</t>
  </si>
  <si>
    <t>745-87-00012</t>
  </si>
  <si>
    <t>211-86-76652</t>
  </si>
  <si>
    <t>261-81-03770</t>
  </si>
  <si>
    <t>면적</t>
  </si>
  <si>
    <t>고객번호</t>
  </si>
  <si>
    <t>01-0312-1024</t>
  </si>
  <si>
    <t>검침일</t>
  </si>
  <si>
    <t>B101</t>
  </si>
  <si>
    <t>B102</t>
  </si>
  <si>
    <t>전기계량</t>
  </si>
  <si>
    <t>엘리베이터</t>
  </si>
  <si>
    <t>건물전체</t>
  </si>
  <si>
    <t>청구요금</t>
  </si>
  <si>
    <t>TV</t>
  </si>
  <si>
    <t>지침</t>
  </si>
  <si>
    <t>사용량(청구)</t>
  </si>
  <si>
    <t>홀수달3일</t>
  </si>
  <si>
    <t>수도지침</t>
  </si>
  <si>
    <t>사용량(톤)</t>
  </si>
  <si>
    <t>호수</t>
  </si>
  <si>
    <t>바비스토리</t>
  </si>
  <si>
    <t>롤리우드</t>
  </si>
  <si>
    <t>제이랩</t>
  </si>
  <si>
    <t>(주)디자인삼층</t>
  </si>
  <si>
    <t>B&amp;M커뮤니케이션</t>
  </si>
  <si>
    <t>서울브레인</t>
  </si>
  <si>
    <t>(주)세움아트</t>
  </si>
  <si>
    <t>매스21</t>
  </si>
  <si>
    <t>MKS</t>
  </si>
  <si>
    <t>대한전기</t>
  </si>
  <si>
    <t>테무</t>
  </si>
  <si>
    <t>올고톡</t>
  </si>
  <si>
    <t>매월11일</t>
  </si>
  <si>
    <t>번호2243</t>
  </si>
  <si>
    <t>수도요금납부조회</t>
  </si>
  <si>
    <t>1599..3900</t>
  </si>
  <si>
    <t>고객번호.029055972</t>
  </si>
  <si>
    <t>업장.가중</t>
  </si>
  <si>
    <t>2016년9월분</t>
  </si>
  <si>
    <t>2016.9.2.</t>
  </si>
  <si>
    <t>비스킷</t>
  </si>
  <si>
    <t>SBNC</t>
  </si>
  <si>
    <t>임대료(일할계산)</t>
  </si>
  <si>
    <t>VAT</t>
  </si>
  <si>
    <t>2016.9.26.</t>
  </si>
  <si>
    <t>3개월 분</t>
  </si>
  <si>
    <t>합계</t>
  </si>
  <si>
    <t xml:space="preserve">11-12월분
</t>
  </si>
  <si>
    <t>롤리우드5개월</t>
  </si>
  <si>
    <t>롤리우드.정산</t>
  </si>
  <si>
    <t>세금계산서</t>
  </si>
  <si>
    <t xml:space="preserve">ㅇㅇ
</t>
  </si>
  <si>
    <t>ㅇㅇ</t>
  </si>
  <si>
    <t>2017.1.3.</t>
  </si>
  <si>
    <t>상수계산</t>
  </si>
  <si>
    <t>월평균</t>
  </si>
  <si>
    <t>임대관리</t>
  </si>
  <si>
    <t>2017.3.2.</t>
  </si>
  <si>
    <t>3/1~17</t>
  </si>
  <si>
    <t>전기</t>
  </si>
  <si>
    <t>2016년10월분</t>
  </si>
  <si>
    <t>VAT별도</t>
  </si>
  <si>
    <t>2016.10.24.</t>
  </si>
  <si>
    <t>수도</t>
  </si>
  <si>
    <t>임대료총액</t>
  </si>
  <si>
    <t>2016.11.11.</t>
  </si>
  <si>
    <t>미납연체</t>
  </si>
  <si>
    <t>2016.12.</t>
  </si>
  <si>
    <t>전기요금총액(9,10월)</t>
  </si>
  <si>
    <t>VAT포함</t>
  </si>
  <si>
    <t>201호:</t>
  </si>
  <si>
    <t>6월1~22:</t>
  </si>
  <si>
    <t>임대+전기 총액</t>
  </si>
  <si>
    <t>501호</t>
  </si>
  <si>
    <t>임대료8</t>
  </si>
  <si>
    <t>관리비2</t>
  </si>
  <si>
    <t>층별</t>
  </si>
  <si>
    <t>9.13~10.11.</t>
  </si>
  <si>
    <t>호별</t>
  </si>
  <si>
    <t>9.26~10.11.(15)</t>
  </si>
  <si>
    <t>각 계산서</t>
  </si>
  <si>
    <t>임대료</t>
  </si>
  <si>
    <t>전기료</t>
  </si>
  <si>
    <t>9.13.~10.11.</t>
  </si>
  <si>
    <t>다음달190만원</t>
  </si>
  <si>
    <t>10.11~10.24.(13)</t>
  </si>
  <si>
    <t>2016년11월분</t>
  </si>
  <si>
    <t>10.11~10.24.</t>
  </si>
  <si>
    <t>1개월</t>
  </si>
  <si>
    <t>전기요금총액</t>
  </si>
  <si>
    <t>2개월</t>
  </si>
  <si>
    <t>감액40만</t>
  </si>
  <si>
    <t>elev.호당</t>
  </si>
  <si>
    <t>(elev.추가)</t>
  </si>
  <si>
    <t>수도료(3개월)</t>
  </si>
  <si>
    <t>임대+전기+수도 총액</t>
  </si>
  <si>
    <t>ㅇㅇㅇ</t>
  </si>
  <si>
    <t xml:space="preserve">ㅇㅇㅇ
</t>
  </si>
  <si>
    <t>ooo</t>
  </si>
  <si>
    <t>10.12~11.11</t>
  </si>
  <si>
    <t>3층250+B1.100</t>
  </si>
  <si>
    <t>전기료/수도료</t>
  </si>
  <si>
    <t xml:space="preserve">17.2월부터350만
</t>
  </si>
  <si>
    <t xml:space="preserve">다음달 238.일할
</t>
  </si>
  <si>
    <t>2016년12월분</t>
  </si>
  <si>
    <t>11.12.~12.12.</t>
  </si>
  <si>
    <t>6,7,월</t>
  </si>
  <si>
    <t>oo</t>
  </si>
  <si>
    <t xml:space="preserve">oo
</t>
  </si>
  <si>
    <t>ㅇㅇ.12/31로..</t>
  </si>
  <si>
    <t>o</t>
  </si>
  <si>
    <t xml:space="preserve">부과액
</t>
  </si>
  <si>
    <t>2017년1월분</t>
  </si>
  <si>
    <t>2017.1.12.</t>
  </si>
  <si>
    <t>8,9,월</t>
  </si>
  <si>
    <t>*1만추가</t>
  </si>
  <si>
    <t>12.12~2017.1.12</t>
  </si>
  <si>
    <t>수도료(2개월 12,1)</t>
  </si>
  <si>
    <t>부과액</t>
  </si>
  <si>
    <t xml:space="preserve">o
</t>
  </si>
  <si>
    <t xml:space="preserve">2017.2.10.
</t>
  </si>
  <si>
    <t>2017년2월분</t>
  </si>
  <si>
    <t>12월,1월</t>
  </si>
  <si>
    <t xml:space="preserve">층별
</t>
  </si>
  <si>
    <t>임대료+전기료</t>
  </si>
  <si>
    <t>2017.3.10.</t>
  </si>
  <si>
    <t>부가세합계</t>
  </si>
  <si>
    <t>x</t>
  </si>
  <si>
    <t>디아삽</t>
  </si>
  <si>
    <t>늘봄약국</t>
  </si>
  <si>
    <t>B&amp;M</t>
  </si>
  <si>
    <t>아티스</t>
  </si>
  <si>
    <t>라이언</t>
  </si>
  <si>
    <t>다와</t>
  </si>
  <si>
    <t>베이스</t>
  </si>
  <si>
    <t>랍스터바</t>
  </si>
  <si>
    <t>2017년3월분</t>
  </si>
  <si>
    <t>2017.3.17.저녁</t>
  </si>
  <si>
    <t>사용 360</t>
  </si>
  <si>
    <t>(x177.4)</t>
  </si>
  <si>
    <t>(일할)</t>
  </si>
  <si>
    <t>수도요금(2개월 2,3)</t>
  </si>
  <si>
    <t>총 부과액</t>
  </si>
  <si>
    <t>임대+전기+수도</t>
  </si>
  <si>
    <t>2017.4.12.</t>
  </si>
  <si>
    <t>임대+전기</t>
  </si>
  <si>
    <t>임대전기부가세</t>
  </si>
  <si>
    <t>(유틸리티.이월)</t>
  </si>
  <si>
    <t>"120*11/30"</t>
  </si>
  <si>
    <t>2017년4월분</t>
  </si>
  <si>
    <t>(합산)</t>
  </si>
  <si>
    <t>(x14/31)</t>
  </si>
  <si>
    <t>2017.5.11.</t>
  </si>
  <si>
    <t>2월3월</t>
  </si>
  <si>
    <t>2017.6.12.</t>
  </si>
  <si>
    <t>2017년5월분</t>
  </si>
  <si>
    <t>4월5월</t>
  </si>
  <si>
    <t>수도요금(2개월 4,5)</t>
  </si>
  <si>
    <t>6월7월</t>
  </si>
  <si>
    <t>(공용50/1층)</t>
  </si>
  <si>
    <t>8월9월</t>
  </si>
  <si>
    <t>x-2,3,4,5월</t>
  </si>
  <si>
    <t>7월부터 134만</t>
  </si>
  <si>
    <t>2017년6월분</t>
  </si>
  <si>
    <t>2017.8.11.</t>
  </si>
  <si>
    <t>10월11월</t>
  </si>
  <si>
    <t>12월1월</t>
  </si>
  <si>
    <t>1월2월</t>
  </si>
  <si>
    <t>201호.수도요금</t>
  </si>
  <si>
    <t>8/10~227만원</t>
  </si>
  <si>
    <t>8/5~181만원</t>
  </si>
  <si>
    <t>2017년7월분</t>
  </si>
  <si>
    <t>3월4월</t>
  </si>
  <si>
    <t>2017.10.11.</t>
  </si>
  <si>
    <t>5월6월</t>
  </si>
  <si>
    <t>7월8월</t>
  </si>
  <si>
    <t>o.140만원납부</t>
  </si>
  <si>
    <t>2017.11.10.</t>
  </si>
  <si>
    <t>9월10월</t>
  </si>
  <si>
    <t>일할계산</t>
  </si>
  <si>
    <t>2017년8월분</t>
  </si>
  <si>
    <t>11월12월</t>
  </si>
  <si>
    <t>o.상계.1391260</t>
  </si>
  <si>
    <t>일할(9/12~)</t>
  </si>
  <si>
    <t>2018.1.11.</t>
  </si>
  <si>
    <t>수도요금(2개월 8,9)</t>
  </si>
  <si>
    <t>2018.3.9.</t>
  </si>
  <si>
    <t>2018.4.11.</t>
  </si>
  <si>
    <t>2017년11월분</t>
  </si>
  <si>
    <t>수도요금(2개월 10,11)</t>
  </si>
  <si>
    <t>2018.5.11.</t>
  </si>
  <si>
    <t>11/20~</t>
  </si>
  <si>
    <t>2018.11.29(1)</t>
  </si>
  <si>
    <t>2017년12월분</t>
  </si>
  <si>
    <t>2018.12.30.(2)</t>
  </si>
  <si>
    <t>2018.6.11.</t>
  </si>
  <si>
    <t>2019.1.10.(2)</t>
  </si>
  <si>
    <t>2019.1.30.(3)</t>
  </si>
  <si>
    <t>2019.2.28.(4)</t>
  </si>
  <si>
    <t>2019.3.31.(5)</t>
  </si>
  <si>
    <t>2019.5.31.(6)</t>
  </si>
  <si>
    <t>2018년1월분</t>
  </si>
  <si>
    <t>2020.5.11.(7)</t>
  </si>
  <si>
    <t>2018.8.12.</t>
  </si>
  <si>
    <t>수도요금(2개월 12,1)</t>
  </si>
  <si>
    <t>2018.9.12.</t>
  </si>
  <si>
    <t>2018년2월분</t>
  </si>
  <si>
    <t>임차료.29일까지</t>
  </si>
  <si>
    <t>임차료3/2부터</t>
  </si>
  <si>
    <t>2018년3월분</t>
  </si>
  <si>
    <t>MKmath</t>
  </si>
  <si>
    <t>굿슬립</t>
  </si>
  <si>
    <t>거원홀딩스</t>
  </si>
  <si>
    <t>정림FNH</t>
  </si>
  <si>
    <t>예원연습</t>
  </si>
  <si>
    <t>2018.12.12.</t>
  </si>
  <si>
    <t>전기료착오.반환</t>
  </si>
  <si>
    <t>2018년4월분</t>
  </si>
  <si>
    <t>2019.1.12.</t>
  </si>
  <si>
    <t>2019.2.12.</t>
  </si>
  <si>
    <t>2018년5월분</t>
  </si>
  <si>
    <t>2019.3.12.</t>
  </si>
  <si>
    <t>2018.7.부터186</t>
  </si>
  <si>
    <t>2019.4.12.</t>
  </si>
  <si>
    <t>2018년6월분</t>
  </si>
  <si>
    <t>2019.5.13.</t>
  </si>
  <si>
    <t>2018년7월분</t>
  </si>
  <si>
    <t>2019.6.12.</t>
  </si>
  <si>
    <t>수도요금(2개월 6,7)</t>
  </si>
  <si>
    <t>2019.7.12.</t>
  </si>
  <si>
    <t>10000원 초과납</t>
  </si>
  <si>
    <t>바비상환총액</t>
  </si>
  <si>
    <t>9일/31일</t>
  </si>
  <si>
    <t>2018.9.11.</t>
  </si>
  <si>
    <t>2018년8월분</t>
  </si>
  <si>
    <t>2019.8.12.</t>
  </si>
  <si>
    <t xml:space="preserve"> o</t>
  </si>
  <si>
    <t>80만원.내장공사</t>
  </si>
  <si>
    <t>11일/30일</t>
  </si>
  <si>
    <t>월150만.24일간</t>
  </si>
  <si>
    <t>2018년9월분</t>
  </si>
  <si>
    <t>2019.9.12.</t>
  </si>
  <si>
    <t>2019.10.12</t>
  </si>
  <si>
    <t>o.1460000###</t>
  </si>
  <si>
    <t>관리비20만원</t>
  </si>
  <si>
    <t>임대료13일분+20</t>
  </si>
  <si>
    <t>2018년10월분</t>
  </si>
  <si>
    <t>2019.11.12.</t>
  </si>
  <si>
    <t>2018년11월분</t>
  </si>
  <si>
    <t>2020.1.12.</t>
  </si>
  <si>
    <t>수도요금(2개월10,11)</t>
  </si>
  <si>
    <t>1월부터230</t>
  </si>
  <si>
    <t>2018년12월분</t>
  </si>
  <si>
    <t>2019년1월분</t>
  </si>
  <si>
    <t>2020.4.12.</t>
  </si>
  <si>
    <t>수도요금(2개월12,1)</t>
  </si>
  <si>
    <t>입주전관리비</t>
  </si>
  <si>
    <t>24일부터 155만</t>
  </si>
  <si>
    <t>~12일 (-&gt;302호)</t>
  </si>
  <si>
    <t>13일~ : 54000</t>
  </si>
  <si>
    <t>2019년2월분</t>
  </si>
  <si>
    <t>2020.6.12.</t>
  </si>
  <si>
    <t>2020.7.13.</t>
  </si>
  <si>
    <t>2019년3월분</t>
  </si>
  <si>
    <t>수도요금(2개월2,3)</t>
  </si>
  <si>
    <t>2020.8.12.</t>
  </si>
  <si>
    <t>임대료.5/8부터</t>
  </si>
  <si>
    <t>2019년4월분</t>
  </si>
  <si>
    <t>2020.9.11.</t>
  </si>
  <si>
    <t>전기요금총액(+수도)</t>
  </si>
  <si>
    <t>5/8부터24일간</t>
  </si>
  <si>
    <t>2019년5월분</t>
  </si>
  <si>
    <t>2020.11.12.</t>
  </si>
  <si>
    <t>수도요금(2개월4,5)</t>
  </si>
  <si>
    <t>2020.12.12.</t>
  </si>
  <si>
    <t>2019년6월분</t>
  </si>
  <si>
    <t>2021.1.12.</t>
  </si>
  <si>
    <t>2019년7월분</t>
  </si>
  <si>
    <t>2021.2.15.</t>
  </si>
  <si>
    <t>수도요금(2개월6,7)</t>
  </si>
  <si>
    <t>2021.3.12.</t>
  </si>
  <si>
    <t>2019년8월분</t>
  </si>
  <si>
    <t>2021.4.</t>
  </si>
  <si>
    <t>2021.5.</t>
  </si>
  <si>
    <t>2019년9월분</t>
  </si>
  <si>
    <t>수도요금(2개월8,9)</t>
  </si>
  <si>
    <t>2021.6.</t>
  </si>
  <si>
    <t>2021.7.</t>
  </si>
  <si>
    <t>2019년10월분</t>
  </si>
  <si>
    <t>2021.8.</t>
  </si>
  <si>
    <t>2019년11월분</t>
  </si>
  <si>
    <t>2021.9.</t>
  </si>
  <si>
    <t>2021.10.</t>
  </si>
  <si>
    <t>2019년12월분</t>
  </si>
  <si>
    <t>2021.11.</t>
  </si>
  <si>
    <t>2020년1월분</t>
  </si>
  <si>
    <t>2021.12.</t>
  </si>
  <si>
    <t>2020년2월분</t>
  </si>
  <si>
    <t>2022.2.</t>
  </si>
  <si>
    <t>2022.3.</t>
  </si>
  <si>
    <t>코로나사태.감면사항</t>
  </si>
  <si>
    <t>##20%.3개월</t>
  </si>
  <si>
    <t>##50%.1개월</t>
  </si>
  <si>
    <t>2020년3월분</t>
  </si>
  <si>
    <t>2022.4.</t>
  </si>
  <si>
    <t>2022.5.</t>
  </si>
  <si>
    <t>##20%.3개월(2)</t>
  </si>
  <si>
    <t>4/21.내부공사</t>
  </si>
  <si>
    <t>##20%.2개월(1)</t>
  </si>
  <si>
    <t>2020년4월분</t>
  </si>
  <si>
    <t>25평.평당1만원</t>
  </si>
  <si>
    <t>##20%.3개월(3)</t>
  </si>
  <si>
    <t>5/20~31</t>
  </si>
  <si>
    <t>##20%.2개월(2)</t>
  </si>
  <si>
    <t>5/1~19</t>
  </si>
  <si>
    <t>2020년5월분</t>
  </si>
  <si>
    <t>2022.7.</t>
  </si>
  <si>
    <t>2020년6월분</t>
  </si>
  <si>
    <t>2022.9.</t>
  </si>
  <si>
    <t>2022.10.</t>
  </si>
  <si>
    <t>2020년7월분</t>
  </si>
  <si>
    <t>수도요금(2개월6,7월)</t>
  </si>
  <si>
    <t>2022.11.</t>
  </si>
  <si>
    <t>2020년8월분</t>
  </si>
  <si>
    <t>2022.12.</t>
  </si>
  <si>
    <t>2023.1.</t>
  </si>
  <si>
    <t>o(1295000)</t>
  </si>
  <si>
    <t>2020년9월분</t>
  </si>
  <si>
    <t>2023.2.</t>
  </si>
  <si>
    <t>수도요금(2개월8,9월)</t>
  </si>
  <si>
    <t>2023.3.</t>
  </si>
  <si>
    <t>2020년10월분</t>
  </si>
  <si>
    <t>2023.4.</t>
  </si>
  <si>
    <t>2020년11월분</t>
  </si>
  <si>
    <t>2023.5.</t>
  </si>
  <si>
    <t>수도요금(2개월10,11월)</t>
  </si>
  <si>
    <t>2023.6.</t>
  </si>
  <si>
    <t>2020년12월분</t>
  </si>
  <si>
    <t>2023.7.</t>
  </si>
  <si>
    <t>법인2개</t>
  </si>
  <si>
    <t>2023.8.</t>
  </si>
  <si>
    <t>법인변경</t>
  </si>
  <si>
    <t>오랜지전당</t>
  </si>
  <si>
    <t>2021년1월분</t>
  </si>
  <si>
    <t>수도요금(2개월12,1월)</t>
  </si>
  <si>
    <t>2023.9.</t>
  </si>
  <si>
    <t>오렌지전당</t>
  </si>
  <si>
    <t>2023.10.</t>
  </si>
  <si>
    <t>2021년2월분</t>
  </si>
  <si>
    <t>2023.11.</t>
  </si>
  <si>
    <t>o1300000</t>
  </si>
  <si>
    <t>2021년3월분</t>
  </si>
  <si>
    <t>20일부터</t>
  </si>
  <si>
    <t>수도요금(2개월2,3월)</t>
  </si>
  <si>
    <t>2024.1.</t>
  </si>
  <si>
    <t>21.4~22.3.half</t>
  </si>
  <si>
    <t>2021년4월분</t>
  </si>
  <si>
    <t>2024.2.</t>
  </si>
  <si>
    <t>2021년5월분</t>
  </si>
  <si>
    <t>2024.3.</t>
  </si>
  <si>
    <t>수도요금(2개월4,5월)</t>
  </si>
  <si>
    <t>2024.4.</t>
  </si>
  <si>
    <t>126-&gt;123</t>
  </si>
  <si>
    <t>2021년6월분</t>
  </si>
  <si>
    <t>2024.5.</t>
  </si>
  <si>
    <t>2024.6.</t>
  </si>
  <si>
    <t>99800원 빼고 발행</t>
  </si>
  <si>
    <t>"123-3*16=75"</t>
  </si>
  <si>
    <t>2021년7월분</t>
  </si>
  <si>
    <t>2024.7.</t>
  </si>
  <si>
    <t>2024.8.</t>
  </si>
  <si>
    <t>2021년8월분</t>
  </si>
  <si>
    <t>2024.9.</t>
  </si>
  <si>
    <t>2021년9월분</t>
  </si>
  <si>
    <t>2024.10.</t>
  </si>
  <si>
    <t>2024.11.</t>
  </si>
  <si>
    <t>2021년10월분</t>
  </si>
  <si>
    <t>2024.12.</t>
  </si>
  <si>
    <t>(o)22945미납</t>
  </si>
  <si>
    <t>다와:분할</t>
  </si>
  <si>
    <t>2025.1.</t>
  </si>
  <si>
    <t>2021년11월분</t>
  </si>
  <si>
    <t>2025.2.</t>
  </si>
  <si>
    <t>o(수도요금미납)</t>
  </si>
  <si>
    <t>2021년12월분</t>
  </si>
  <si>
    <t>2025.4.</t>
  </si>
  <si>
    <t>(수도료11593)o</t>
  </si>
  <si>
    <t>2022년1월분</t>
  </si>
  <si>
    <t>2025.5.</t>
  </si>
  <si>
    <t>2025.6.</t>
  </si>
  <si>
    <t>2022년2월분</t>
  </si>
  <si>
    <t>2025.7.</t>
  </si>
  <si>
    <t>2022년3월분</t>
  </si>
  <si>
    <t>(미납)-&gt; 납부</t>
  </si>
  <si>
    <t>21.4.return200</t>
  </si>
  <si>
    <t>"199"</t>
  </si>
  <si>
    <t>2022년4월분</t>
  </si>
  <si>
    <t>2022년5월분</t>
  </si>
  <si>
    <t>8월부터120</t>
  </si>
  <si>
    <t>2022년6월분</t>
  </si>
  <si>
    <t>7월말.215</t>
  </si>
  <si>
    <t>9월부터.135</t>
  </si>
  <si>
    <t>8월1일부터120</t>
  </si>
  <si>
    <t>8/15까지.정림</t>
  </si>
  <si>
    <t>2022년7월분</t>
  </si>
  <si>
    <t>9/7부터 157만</t>
  </si>
  <si>
    <t>8/16부터.Lion</t>
  </si>
  <si>
    <t>2022년8월분</t>
  </si>
  <si>
    <t>2022년9월분</t>
  </si>
  <si>
    <t>2022년10월분</t>
  </si>
  <si>
    <t>2022년11월분</t>
  </si>
  <si>
    <t>2022년12월분</t>
  </si>
  <si>
    <t>신임차인금액</t>
  </si>
  <si>
    <t>2023년1월분</t>
  </si>
  <si>
    <t>2023년2월분</t>
  </si>
  <si>
    <t>2023년3월분</t>
  </si>
  <si>
    <t>2023년4월분</t>
  </si>
  <si>
    <t>2023년5월분</t>
  </si>
  <si>
    <t>2023년6월분</t>
  </si>
  <si>
    <t>2023년7월분</t>
  </si>
  <si>
    <t>9/20부터 199만</t>
  </si>
  <si>
    <t>2023년8월분</t>
  </si>
  <si>
    <t>2023년9월분</t>
  </si>
  <si>
    <t>2023년10월분</t>
  </si>
  <si>
    <t>(11/1~19)o</t>
  </si>
  <si>
    <t>2023년11월분</t>
  </si>
  <si>
    <t>2023년12월분</t>
  </si>
  <si>
    <t>2024.2.25.189만</t>
  </si>
  <si>
    <t>2024년1월분</t>
  </si>
  <si>
    <t>부가세미납</t>
  </si>
  <si>
    <t>2024년2월분</t>
  </si>
  <si>
    <t>전체미납</t>
  </si>
  <si>
    <t>2024년3월분</t>
  </si>
  <si>
    <t>2024.5.7.283만</t>
  </si>
  <si>
    <t>2024년4월분</t>
  </si>
  <si>
    <t>2024년5월분</t>
  </si>
  <si>
    <t>2024년6월분</t>
  </si>
  <si>
    <t>2024년7월분</t>
  </si>
  <si>
    <t>2024.9.7.160만</t>
  </si>
  <si>
    <t>2024년8월분</t>
  </si>
  <si>
    <t>2024년9월분</t>
  </si>
  <si>
    <t>o(제이랩.과납)</t>
  </si>
  <si>
    <t>차액</t>
  </si>
  <si>
    <t>2024년10월분</t>
  </si>
  <si>
    <t>o(제이랩.차감)</t>
  </si>
  <si>
    <t>2024년11월분</t>
  </si>
  <si>
    <t>1/24~.162만원</t>
  </si>
  <si>
    <t>2024년12월분</t>
  </si>
  <si>
    <t>2025년1월분</t>
  </si>
  <si>
    <t>2/9~28부과</t>
  </si>
  <si>
    <t>2025년2월분</t>
  </si>
  <si>
    <t>3/4부터 208만</t>
  </si>
  <si>
    <t>4/1~ 208만원</t>
  </si>
  <si>
    <t>4/1~ 141만원</t>
  </si>
  <si>
    <t>2025년3월분</t>
  </si>
  <si>
    <t>재계약반영</t>
  </si>
  <si>
    <t>5/7~ 294만원</t>
  </si>
  <si>
    <t>2025년4월분</t>
  </si>
  <si>
    <t>2025년5월분</t>
  </si>
  <si>
    <t>2025년6월분</t>
  </si>
  <si>
    <t>라이언.프리~8</t>
  </si>
  <si>
    <t>2025년7월분</t>
  </si>
  <si>
    <t>연체액(~25.6)</t>
  </si>
  <si>
    <t>디아삽DeASAP</t>
  </si>
  <si>
    <t>굿슬립신경과</t>
  </si>
  <si>
    <t>라이언아카데미</t>
  </si>
  <si>
    <t>예원연습실</t>
  </si>
  <si>
    <t>2025.2.8.정산</t>
  </si>
  <si>
    <t>2018.9.11.정산</t>
  </si>
  <si>
    <t>201호.디자인삼층</t>
  </si>
  <si>
    <t>임대관리총액</t>
  </si>
  <si>
    <t>3/24.이전</t>
  </si>
  <si>
    <t>3/2.입주</t>
  </si>
  <si>
    <t>2018.9.</t>
  </si>
  <si>
    <t>D317,</t>
  </si>
  <si>
    <t>2018.8.</t>
  </si>
  <si>
    <t xml:space="preserve">D304, </t>
  </si>
  <si>
    <t>(주)클랩셰어</t>
  </si>
  <si>
    <t>2018.7.</t>
  </si>
  <si>
    <t>D290,</t>
  </si>
  <si>
    <t>2018.6.</t>
  </si>
  <si>
    <t xml:space="preserve"> D277, </t>
  </si>
  <si>
    <t>임대료(22/30)</t>
  </si>
  <si>
    <t>2018.5.</t>
  </si>
  <si>
    <t>D263,</t>
  </si>
  <si>
    <t>2018.4.</t>
  </si>
  <si>
    <t xml:space="preserve"> D250,</t>
  </si>
  <si>
    <t>2018.3.</t>
  </si>
  <si>
    <t>D236,</t>
  </si>
  <si>
    <t>매스21.제삼공작소</t>
  </si>
  <si>
    <t>20.3.부터 16개월 48만원 환급 필요 (21.7.)</t>
  </si>
  <si>
    <t>2018.2.</t>
  </si>
  <si>
    <t>D223,</t>
  </si>
  <si>
    <t>20/3/2부터123</t>
  </si>
  <si>
    <t>2018.1.</t>
  </si>
  <si>
    <t xml:space="preserve"> D204,</t>
  </si>
  <si>
    <t>버터밀크정산</t>
  </si>
  <si>
    <t>2023.11.20.정산</t>
  </si>
  <si>
    <t>2월</t>
  </si>
  <si>
    <t>2017.12.</t>
  </si>
  <si>
    <t>D192,</t>
  </si>
  <si>
    <t>(전기요금.0.5)</t>
  </si>
  <si>
    <t>(11/1~19)</t>
  </si>
  <si>
    <t>3월(2일까지)</t>
  </si>
  <si>
    <t>2017.11.</t>
  </si>
  <si>
    <t>D177,</t>
  </si>
  <si>
    <t>(수도요금.0.25)</t>
  </si>
  <si>
    <t>D165,</t>
  </si>
  <si>
    <t>2017.9.</t>
  </si>
  <si>
    <t>D150,</t>
  </si>
  <si>
    <t>D138,</t>
  </si>
  <si>
    <t>D123,</t>
  </si>
  <si>
    <t>8/1~15정림정산</t>
  </si>
  <si>
    <t>9월정산11/30일</t>
  </si>
  <si>
    <t>2023.1.8.정산</t>
  </si>
  <si>
    <t>수도요금(15일)</t>
  </si>
  <si>
    <t>강남부동산법무법인연체내역</t>
  </si>
  <si>
    <t>납입내역</t>
  </si>
  <si>
    <t>2024.1.부가세</t>
  </si>
  <si>
    <t>2022.4.8.제이랩 요청</t>
  </si>
  <si>
    <t>(2개월 전기요금감면)</t>
  </si>
  <si>
    <t>원상복구비용</t>
  </si>
  <si>
    <t>(473~957만원)</t>
  </si>
  <si>
    <t>최종.미납액</t>
  </si>
  <si>
    <t>보증금2천.차액</t>
  </si>
  <si>
    <t>000-00-00000</t>
  </si>
  <si>
    <t>501호 50%씩</t>
  </si>
  <si>
    <t>상호</t>
  </si>
  <si>
    <t>MK math</t>
  </si>
  <si>
    <t>서울브레인신경과</t>
  </si>
  <si>
    <t>청구서.이메일로</t>
  </si>
  <si>
    <t>(서비스/골프레슨)</t>
  </si>
  <si>
    <t>(소매/의약품의료기기)</t>
  </si>
  <si>
    <t>원계약.주차1대</t>
  </si>
  <si>
    <t>교육서비스업/수학교습소</t>
  </si>
  <si>
    <t>보건업/신경과의원</t>
  </si>
  <si>
    <t>서비스업/강의</t>
  </si>
  <si>
    <t>교육서비스업/기타교육지원서비스업</t>
  </si>
  <si>
    <t>정보통신업/미디어컨텐츠창작업</t>
  </si>
  <si>
    <t>제조/귀금속세공</t>
  </si>
  <si>
    <t>서비스업/유학알선</t>
  </si>
  <si>
    <t>서비스업/연습실대여</t>
  </si>
  <si>
    <t>Sum</t>
  </si>
  <si>
    <t>(주)레이트컴</t>
  </si>
  <si>
    <t>디아삽골프스튜디오</t>
  </si>
  <si>
    <t>엠케이매쓰수학교습소</t>
  </si>
  <si>
    <t>굿슬립신경과의원</t>
  </si>
  <si>
    <t xml:space="preserve">SBNC
</t>
  </si>
  <si>
    <t>주식회사올고톡</t>
  </si>
  <si>
    <t>라이온컨설팅</t>
  </si>
  <si>
    <t>라이온아카데미</t>
  </si>
  <si>
    <t>741-40-01329</t>
  </si>
  <si>
    <t>414-03-65182</t>
  </si>
  <si>
    <t>180-93-01592</t>
  </si>
  <si>
    <t>210-95-57334</t>
  </si>
  <si>
    <t>620-86-01656</t>
  </si>
  <si>
    <t>716-79-00566</t>
  </si>
  <si>
    <t>853-20-02133</t>
  </si>
  <si>
    <t>211-07-59191</t>
  </si>
  <si>
    <t>148-39-01219</t>
  </si>
  <si>
    <t>759-44-00601</t>
  </si>
  <si>
    <t>대출</t>
  </si>
  <si>
    <t>2018.9. 2yrs</t>
  </si>
  <si>
    <t>사업자명</t>
  </si>
  <si>
    <t>허문석</t>
  </si>
  <si>
    <t>배선희</t>
  </si>
  <si>
    <t>전서연</t>
  </si>
  <si>
    <t>유민기</t>
  </si>
  <si>
    <t>김주한</t>
  </si>
  <si>
    <t>이찬호(Mickey Lee)</t>
  </si>
  <si>
    <t>김동석</t>
  </si>
  <si>
    <t>소병일</t>
  </si>
  <si>
    <t>정보람</t>
  </si>
  <si>
    <t>한숙자</t>
  </si>
  <si>
    <t>자기자본</t>
  </si>
  <si>
    <t>이메일</t>
  </si>
  <si>
    <t>gjqnstjr1004@naver.com</t>
  </si>
  <si>
    <t>springhp3@naver.com</t>
  </si>
  <si>
    <t>wjstjdus422@naver.com</t>
  </si>
  <si>
    <t>minkiwait@naver.com</t>
  </si>
  <si>
    <t>goodsleepclinic@naver.com</t>
  </si>
  <si>
    <t>ugiwhahak@naver.com</t>
  </si>
  <si>
    <t>dustin@lionacademy.org</t>
  </si>
  <si>
    <t>dawa58@hanmail.net</t>
  </si>
  <si>
    <t>rosebenji565.13@gmail.com</t>
  </si>
  <si>
    <t>자기자본이익률</t>
  </si>
  <si>
    <t>전화</t>
  </si>
  <si>
    <t>010-3274-3214</t>
  </si>
  <si>
    <t>010-4462-6955</t>
  </si>
  <si>
    <t>010-3573-0422</t>
  </si>
  <si>
    <t>010-4250-9353</t>
  </si>
  <si>
    <t>010-9290-2201</t>
  </si>
  <si>
    <t>010-7755-4567</t>
  </si>
  <si>
    <t>계약기간</t>
  </si>
  <si>
    <t>2020.5.22.~22.5.21</t>
  </si>
  <si>
    <t>2025.3.4.~27.3.3.</t>
  </si>
  <si>
    <t>2025.5.7.~27.5.6.</t>
  </si>
  <si>
    <t>2025.1.24.~26.1.23.</t>
  </si>
  <si>
    <t>2024.2.26~2026.2.25.</t>
  </si>
  <si>
    <t>2024.4.1.~26.3.31.</t>
  </si>
  <si>
    <t>2017.2월부터</t>
  </si>
  <si>
    <t>2025.6.1.~2026.9.30.</t>
  </si>
  <si>
    <t>2025.7.1.~28.3.31.</t>
  </si>
  <si>
    <t>2025.4.1.~27.3.31.</t>
  </si>
  <si>
    <t>2024.9.7.~26.9.6.</t>
  </si>
  <si>
    <t>2024.8.1.~2026.7.31.</t>
  </si>
  <si>
    <t>보증금</t>
  </si>
  <si>
    <t>월임대료</t>
  </si>
  <si>
    <t>장애인편의시설 바닥면적 500m2</t>
  </si>
  <si>
    <t>2025.2.8.배선희약사</t>
  </si>
  <si>
    <t>2019.1.24.부터 월 155만원 (160에서 -5 조정) -&gt; 2025.1.계약시.162만원으로.인상예정</t>
  </si>
  <si>
    <t>2021.4~2022.3. 1년간 월100만원으로 한시적 감면 (2년 동안 1년에 월10만원씩 인상 합의)</t>
  </si>
  <si>
    <t xml:space="preserve">실측21평.69.3m (/81.7m) 전용률 84.8%
</t>
  </si>
  <si>
    <t>2020.6.1.이후.올고톡5년계약 1년차.월210.2년차.월215.3년차이후220. -&gt; (2022.7) 7월말부터 215만원합의</t>
  </si>
  <si>
    <t>8월말까지.렌트프리.원상복구의무는 존속</t>
  </si>
  <si>
    <t>(50%씩 발행. 2020.9.~ 압구정전당포오렌지대부 211-90-97372 소병일</t>
  </si>
  <si>
    <t>&lt;8월15일까지 정림&gt; &lt;9월1일부터.라이언아카데미.135 / 8월관리비9만원 + 전기수도요금&gt;</t>
  </si>
  <si>
    <t>평당가격</t>
  </si>
  <si>
    <t>jamie9259@naver.com</t>
  </si>
  <si>
    <t>((공식면적))</t>
  </si>
  <si>
    <t>층별면적(m2)</t>
  </si>
  <si>
    <t>1월(3)</t>
  </si>
  <si>
    <t>(평)</t>
  </si>
  <si>
    <t>102.제이랩(2025)</t>
  </si>
  <si>
    <t>계약서면적</t>
  </si>
  <si>
    <t>301.SBNC</t>
  </si>
  <si>
    <t>각층 합계</t>
  </si>
  <si>
    <t>B101.SBNC</t>
  </si>
  <si>
    <t>요약서면적(m2)</t>
  </si>
  <si>
    <t>201.MKmath(2026).</t>
  </si>
  <si>
    <t>3월</t>
  </si>
  <si>
    <t>202굿슬립(2026.3.)</t>
  </si>
  <si>
    <t>요약서면적(평)</t>
  </si>
  <si>
    <t>502라이언(2025.3)</t>
  </si>
  <si>
    <t xml:space="preserve">전용률85%
</t>
  </si>
  <si>
    <t>402.라이온아카데미(2025.3.)</t>
  </si>
  <si>
    <t xml:space="preserve">전용률85%(m2)
</t>
  </si>
  <si>
    <t>5월</t>
  </si>
  <si>
    <t>101.약국(~2025.5)</t>
  </si>
  <si>
    <t xml:space="preserve">전용률70%(m2)
</t>
  </si>
  <si>
    <t>302.올고톡(2025.5.)</t>
  </si>
  <si>
    <t>7월</t>
  </si>
  <si>
    <t>503.예원연습실(2026.7.)</t>
  </si>
  <si>
    <t>메디컬코리아서비스</t>
  </si>
  <si>
    <t>대한전기이엔지</t>
  </si>
  <si>
    <t>9월</t>
  </si>
  <si>
    <t>B102.디아삽(~2027.3.)</t>
  </si>
  <si>
    <t xml:space="preserve">501.다와(~2026.9.) </t>
  </si>
  <si>
    <t>정소라</t>
  </si>
  <si>
    <t>유태욱</t>
  </si>
  <si>
    <t>강선녀</t>
  </si>
  <si>
    <t>배혜숙</t>
  </si>
  <si>
    <t>신현규</t>
  </si>
  <si>
    <t>박보원</t>
  </si>
  <si>
    <t>김재중</t>
  </si>
  <si>
    <t>이성남</t>
  </si>
  <si>
    <t>김근진</t>
  </si>
  <si>
    <t>11월</t>
  </si>
  <si>
    <t>401.강남부동산.(2025.11.)</t>
  </si>
  <si>
    <t>Bomb--007@hanmail.net</t>
  </si>
  <si>
    <t>ytu0574@naver.com</t>
  </si>
  <si>
    <t>design3f@naver.com</t>
  </si>
  <si>
    <t>green430@naver.com</t>
  </si>
  <si>
    <t>boyeon906@naver.com</t>
  </si>
  <si>
    <t>kang.sangyong@gmail.com</t>
  </si>
  <si>
    <t>james@globalmks.com</t>
  </si>
  <si>
    <t>daehan-70@daum.net</t>
  </si>
  <si>
    <t>info@temuic.com</t>
  </si>
  <si>
    <t>12월(31)</t>
  </si>
  <si>
    <t>010-5201-8357</t>
  </si>
  <si>
    <t>010-6420-2611</t>
  </si>
  <si>
    <t>010-8953-0234</t>
  </si>
  <si>
    <t>010-2590-2141</t>
  </si>
  <si>
    <t>010-4874-8402</t>
  </si>
  <si>
    <t>010-9101-1300</t>
  </si>
  <si>
    <t>010-6730-0394</t>
  </si>
  <si>
    <t>010-5223-4431</t>
  </si>
  <si>
    <t>010-7531-1053</t>
  </si>
  <si>
    <t>2017.9.12.~18.9.11.</t>
  </si>
  <si>
    <t>2016.9.12.~17.8.31.</t>
  </si>
  <si>
    <t>2016.9.12.~17.7.15.</t>
  </si>
  <si>
    <t>2017.11.30.~19.12.31.</t>
  </si>
  <si>
    <t>2017.8.10.~18.8.9.</t>
  </si>
  <si>
    <t>2019.1.4.~20.1.3.</t>
  </si>
  <si>
    <t>2017.8.5.~18.8.4.</t>
  </si>
  <si>
    <t>2016.9.12.~18.3.29.</t>
  </si>
  <si>
    <t>2017.6.25.~18.6.24.</t>
  </si>
  <si>
    <t>168(190)</t>
  </si>
  <si>
    <t>227(240)</t>
  </si>
  <si>
    <t>창원B.최재환</t>
  </si>
  <si>
    <t>674-37-00919</t>
  </si>
  <si>
    <t>국민097601-04-284825 최재환</t>
  </si>
  <si>
    <t>디아삽(De ASAP)</t>
  </si>
  <si>
    <t>(주)제삼공작소건축사사무소</t>
  </si>
  <si>
    <t>창원에이스이봉일</t>
  </si>
  <si>
    <t>494-10-02686</t>
  </si>
  <si>
    <t>우리127-08-100670 이봉일</t>
  </si>
  <si>
    <t>803-41-00474</t>
  </si>
  <si>
    <t>버터밀크비스킷</t>
  </si>
  <si>
    <t>메종드에이치</t>
  </si>
  <si>
    <t>211-88-33583</t>
  </si>
  <si>
    <t>298-32-00082</t>
  </si>
  <si>
    <t>최재혁.최민채</t>
  </si>
  <si>
    <t>644-15-00560</t>
  </si>
  <si>
    <t>605-36-36525</t>
  </si>
  <si>
    <t>이종욱 -&gt; 박보원(2021.5.)</t>
  </si>
  <si>
    <t>212-26-24003</t>
  </si>
  <si>
    <t>김재항</t>
  </si>
  <si>
    <t>Komi58@naver.com</t>
  </si>
  <si>
    <t>권용기</t>
  </si>
  <si>
    <t>박준형</t>
  </si>
  <si>
    <t>jwlee@lab3.co.kr -&gt; kang_sangyong@daum.net</t>
  </si>
  <si>
    <t>dnkjhlast@naver.com</t>
  </si>
  <si>
    <t>010-9259-4332</t>
  </si>
  <si>
    <t>Ykwon01@yahoo.com</t>
  </si>
  <si>
    <t>junhp2005@naver.com</t>
  </si>
  <si>
    <t>010-8254-6542</t>
  </si>
  <si>
    <t>2024.9.20.~25.9.19.</t>
  </si>
  <si>
    <t>010-9603-3964</t>
  </si>
  <si>
    <t>010-3665-7543</t>
  </si>
  <si>
    <t>2023.1.1.~23.12.31.</t>
  </si>
  <si>
    <t>정보통신업/인터넷서비스</t>
  </si>
  <si>
    <t>2018.3.18.~19.3.17.</t>
  </si>
  <si>
    <t>2018.7.1.~2019.6.30.</t>
  </si>
  <si>
    <t>2019.2.13.~2020.2.12.</t>
  </si>
  <si>
    <t>2022.4.1.~24.3.31.</t>
  </si>
  <si>
    <t>주)클랩셰어</t>
  </si>
  <si>
    <t>2016.11.26. 다음 계약 1/4부터 238만원으로 인상 합의-&gt; 재계약 - 2018.1.같은 조건 연장 -&gt; 2019.1.4. 230으로 조정-&gt; 2020.1.4. 230유지</t>
  </si>
  <si>
    <t>656-81-01683</t>
  </si>
  <si>
    <t xml:space="preserve">2019.2.13.부터 메종드에이치 (박준형) 2000/ 월220만원 </t>
  </si>
  <si>
    <t>리리베리(도소매/의류)</t>
  </si>
  <si>
    <t>clapshare5@gmail.com</t>
  </si>
  <si>
    <t xml:space="preserve">(2019.4.15.) 8.5 x 6.0 = 51 , 계약서 면적 70m2에 대하여 전용률 73%. </t>
  </si>
  <si>
    <t>101-14-44730</t>
  </si>
  <si>
    <t>010-5513-0519</t>
  </si>
  <si>
    <t>정보통신업/프로그램기획제작</t>
  </si>
  <si>
    <t>주)정림FNH</t>
  </si>
  <si>
    <t>539-45-00455</t>
  </si>
  <si>
    <t>(주)거원홀딩스</t>
  </si>
  <si>
    <t>406-81-64818</t>
  </si>
  <si>
    <t>정규정</t>
  </si>
  <si>
    <t>361-81-03390</t>
  </si>
  <si>
    <t>성준화</t>
  </si>
  <si>
    <t>4leafgreen@naver.com</t>
  </si>
  <si>
    <t>정재용</t>
  </si>
  <si>
    <t>4674sjh@naver.com</t>
  </si>
  <si>
    <t>010-9005-6068</t>
  </si>
  <si>
    <t>Kgm2139@gmail.com</t>
  </si>
  <si>
    <t>2019.4.15.~24.5.7.</t>
  </si>
  <si>
    <t>010-9488-8833</t>
  </si>
  <si>
    <t>부동산업/컨설팅</t>
  </si>
  <si>
    <t>(주)강남법무부동산금융연구소</t>
  </si>
  <si>
    <t>240-86-02861</t>
  </si>
  <si>
    <t>김금미</t>
  </si>
  <si>
    <t>서지숙 sarx@naver.com</t>
  </si>
  <si>
    <t>2023.11.20.~25.11.19.</t>
  </si>
  <si>
    <t>올고톡 (orgotalk)</t>
  </si>
  <si>
    <t>보증금(만원)</t>
  </si>
  <si>
    <t>월임대료(만원)</t>
  </si>
  <si>
    <t>디아삽(DeASAP)(골프)</t>
  </si>
  <si>
    <t>제이랩(미용)</t>
  </si>
  <si>
    <t>MKmath(교습소)</t>
  </si>
  <si>
    <t>올고톡(교습소)</t>
  </si>
  <si>
    <t>강남부동산</t>
  </si>
  <si>
    <t>2년.고정</t>
  </si>
  <si>
    <t>다와(전당)</t>
  </si>
  <si>
    <t>예원연습실(음악)</t>
  </si>
  <si>
    <t>현재</t>
  </si>
  <si>
    <t>1.산곡동 병원을 큰아들에게 매도 시 자금출처와 월세 지급의 문제</t>
  </si>
  <si>
    <t>2.아들들이 사용하는 엄마 신용카드 건</t>
  </si>
  <si>
    <t>3.광장동 아파트를 장기임대사업자로서 세금 혜택 받고 매매할 수 있는 시점</t>
  </si>
  <si>
    <t>4.큰아들이 미국영주권 없을 때 자기 자산을 미국으로 이체하는 효율적인 방법</t>
  </si>
  <si>
    <t>미래</t>
  </si>
  <si>
    <t>1.목동아파트 50% 큰아들에게 증여 적절 시점, 혹은 작은아들에게 매도? 혹은 아내에게 증여 5년 후 매도?</t>
  </si>
  <si>
    <t>2.신사동 건물을 매도한다면 적절 시점</t>
  </si>
  <si>
    <t>3.신사동 건물 매도하여 현금화하는 것과 최종 상속이나 증여로 넘기는 것 장단점</t>
  </si>
  <si>
    <t>4.목동아파트 재건축 이전에 매매하는 것과 재건축 이후까지 보유하는 것 장단점</t>
  </si>
  <si>
    <t>5.광장동 매도, 잠원동 50%+50%, 목동 50%+50%, 방안의 문제점 없는지</t>
  </si>
  <si>
    <t>5.큰아들이 미국영주권 취득 후 자기 자산을 미국으로 이체하는 효율적인 방법</t>
  </si>
  <si>
    <t>OneDrive</t>
  </si>
  <si>
    <t>계산서파일</t>
  </si>
  <si>
    <t>B101.공사비.계약금</t>
  </si>
  <si>
    <t>B101.계약금/중도금/잔금26000000</t>
  </si>
  <si>
    <t>계산서는 "연수건업이엔씨" (5115000원.수기.한장)</t>
  </si>
  <si>
    <t>2019신고.감가상각비명세서.소방</t>
  </si>
  <si>
    <t>2019신고.감가상각비명세서.창문340</t>
  </si>
  <si>
    <t>(목동) SC제일 378-20-350415 유지현</t>
  </si>
  <si>
    <t>그린종합건축.이정우.기업.010-6709-2230 (704만원.한장.전자)</t>
  </si>
  <si>
    <t>DAK elevator</t>
  </si>
  <si>
    <t>오티스승강기납품대금.잔금(2700+303)</t>
  </si>
  <si>
    <t>오티스엘리베이터</t>
  </si>
  <si>
    <t>수리및방수</t>
  </si>
  <si>
    <t>소요액</t>
  </si>
  <si>
    <t>준비액</t>
  </si>
  <si>
    <t>&lt;3%&gt;</t>
  </si>
  <si>
    <t>평</t>
  </si>
  <si>
    <t>층</t>
  </si>
  <si>
    <t>월세</t>
  </si>
  <si>
    <t>평당(70%전용?)</t>
  </si>
  <si>
    <t>계약평(100%)</t>
  </si>
  <si>
    <t>대출액</t>
  </si>
  <si>
    <t>이자율</t>
  </si>
  <si>
    <t>이자비용</t>
  </si>
  <si>
    <t>세전수익</t>
  </si>
  <si>
    <t>세후수익(35%)</t>
  </si>
  <si>
    <t>비교익1.5%</t>
  </si>
  <si>
    <t>실익(yr)</t>
  </si>
  <si>
    <t>비교익5%</t>
  </si>
  <si>
    <t>비교익3%</t>
  </si>
  <si>
    <t>자본수익률(세후)</t>
  </si>
  <si>
    <t>자본수익률(세전)</t>
  </si>
  <si>
    <t>매매가</t>
  </si>
  <si>
    <t>담보신용대출</t>
  </si>
  <si>
    <t>68(195)</t>
  </si>
  <si>
    <t>다방</t>
  </si>
  <si>
    <t>B1</t>
  </si>
  <si>
    <t>바비</t>
  </si>
  <si>
    <t>2016.3.1.재계약예정. 3000/230</t>
  </si>
  <si>
    <t>전세보증금1</t>
  </si>
  <si>
    <t>15(54.4)</t>
  </si>
  <si>
    <t>골프</t>
  </si>
  <si>
    <t>전세보증금2</t>
  </si>
  <si>
    <t>21(81.2)</t>
  </si>
  <si>
    <t>점포</t>
  </si>
  <si>
    <t>1층</t>
  </si>
  <si>
    <t>BLVD</t>
  </si>
  <si>
    <t>제세금(4.6%)</t>
  </si>
  <si>
    <t>KB</t>
  </si>
  <si>
    <t>복비(0.45%)</t>
  </si>
  <si>
    <t>신한</t>
  </si>
  <si>
    <t>37(107.2)</t>
  </si>
  <si>
    <t>2층</t>
  </si>
  <si>
    <t>2015.11.30.월세30인상</t>
  </si>
  <si>
    <t>대신</t>
  </si>
  <si>
    <t>26(74.5)</t>
  </si>
  <si>
    <t>키움</t>
  </si>
  <si>
    <t>의원</t>
  </si>
  <si>
    <t>3층</t>
  </si>
  <si>
    <t>SEUM.ART</t>
  </si>
  <si>
    <t>29(81.7)</t>
  </si>
  <si>
    <t>라이프엔진</t>
  </si>
  <si>
    <t>미향현금보관</t>
  </si>
  <si>
    <t>20(73.9)</t>
  </si>
  <si>
    <t>사무실</t>
  </si>
  <si>
    <t>4층</t>
  </si>
  <si>
    <t>와이즈커머스</t>
  </si>
  <si>
    <t>미향대용</t>
  </si>
  <si>
    <t>미향40000</t>
  </si>
  <si>
    <t>26(99)</t>
  </si>
  <si>
    <t>주.원장님</t>
  </si>
  <si>
    <t>2016.11.5.경</t>
  </si>
  <si>
    <t>17(50.49)</t>
  </si>
  <si>
    <t>5층</t>
  </si>
  <si>
    <t>현황</t>
  </si>
  <si>
    <t>15(44.4)</t>
  </si>
  <si>
    <t>위니크</t>
  </si>
  <si>
    <t>20(58.1)</t>
  </si>
  <si>
    <t>#사무실119창고34</t>
  </si>
  <si>
    <t>지불액</t>
  </si>
  <si>
    <t>제비용</t>
  </si>
  <si>
    <t>계약금</t>
  </si>
  <si>
    <t>잔금85000</t>
  </si>
  <si>
    <t>1층약국임대료</t>
  </si>
  <si>
    <t>확보</t>
  </si>
  <si>
    <t>메디팜.15/평</t>
  </si>
  <si>
    <t>잔고</t>
  </si>
  <si>
    <t>맞은편.38/평</t>
  </si>
  <si>
    <t>x1.05</t>
  </si>
  <si>
    <t>미소.18/평(계약)</t>
  </si>
  <si>
    <t>박미연.</t>
  </si>
  <si>
    <t>m2</t>
  </si>
  <si>
    <t>총연면적</t>
  </si>
  <si>
    <t>복비0.495%</t>
  </si>
  <si>
    <t>건폐율49.32</t>
  </si>
  <si>
    <t>건축면적</t>
  </si>
  <si>
    <t>용적률222.92</t>
  </si>
  <si>
    <t>지상면적</t>
  </si>
  <si>
    <t>관리비용10%</t>
  </si>
  <si>
    <t>주차 자주식7대</t>
  </si>
  <si>
    <t>재산세등.년0.25%(65억x0.7x0.0025=11,375,000)</t>
  </si>
  <si>
    <t>승용.엘리.1대</t>
  </si>
  <si>
    <t>준공1990.12.21</t>
  </si>
  <si>
    <t>철근콘크리트조</t>
  </si>
  <si>
    <t>한전.계약용량.62kw</t>
  </si>
  <si>
    <t>개별냉난방</t>
  </si>
  <si>
    <t xml:space="preserve">계약용량 * 15시간/일 * 30일 =  </t>
  </si>
  <si>
    <t>대지</t>
  </si>
  <si>
    <t xml:space="preserve">계약용량 *450 = </t>
  </si>
  <si>
    <t>62*450 = 27900 kw/mo</t>
  </si>
  <si>
    <t>네오스</t>
  </si>
  <si>
    <t>계약면적</t>
  </si>
  <si>
    <t>실사용</t>
  </si>
  <si>
    <t>최소필요(2/3)</t>
  </si>
  <si>
    <t>x1.1</t>
  </si>
  <si>
    <t>삼화</t>
  </si>
  <si>
    <t>총연면적(평)</t>
  </si>
  <si>
    <t>상층임대료.평</t>
  </si>
  <si>
    <t>실평당</t>
  </si>
  <si>
    <t>250억</t>
  </si>
  <si>
    <t>추정가</t>
  </si>
  <si>
    <t>65억</t>
  </si>
  <si>
    <t>대지평당지가</t>
  </si>
  <si>
    <t>x1.2</t>
  </si>
  <si>
    <t>년임대료</t>
  </si>
  <si>
    <t>보증금21500</t>
  </si>
  <si>
    <t>준비서류</t>
  </si>
  <si>
    <t>Mom</t>
  </si>
  <si>
    <t>Dad</t>
  </si>
  <si>
    <t>원화</t>
  </si>
  <si>
    <t>종현</t>
  </si>
  <si>
    <t>아버지</t>
  </si>
  <si>
    <t>USD</t>
  </si>
  <si>
    <t>미국비자사본 - F1</t>
  </si>
  <si>
    <t>과거5년간 영문 소득금액증명원(아버지, 어머니)</t>
  </si>
  <si>
    <t>가족관계증명서</t>
  </si>
  <si>
    <t>투자금출처 관련 은행거래내역(아버지,어머니)</t>
  </si>
  <si>
    <t>주민등록등본</t>
  </si>
  <si>
    <t>아버지 영문 대학교 졸업증명서</t>
  </si>
  <si>
    <t>tax</t>
  </si>
  <si>
    <t>범죄경력,수사경력회보서(영문,외국입국체류허가용과 수사자료표 내용 확인용(실효된 형 등 포함)</t>
  </si>
  <si>
    <t>아버지 이력서</t>
  </si>
  <si>
    <t>은행거래내역(원화, 외화 계좌)</t>
  </si>
  <si>
    <t>가족사진</t>
  </si>
  <si>
    <t>증여세 신고서류</t>
  </si>
  <si>
    <t>에스크로 계좌 거래내역서</t>
  </si>
  <si>
    <t>송금확인서</t>
  </si>
  <si>
    <t>자금출처확인서(세무서)</t>
  </si>
  <si>
    <t>6/4 환율종가</t>
  </si>
  <si>
    <t>6/5 환율종가 1070.7</t>
  </si>
  <si>
    <t>2012.8.10.기준</t>
  </si>
  <si>
    <t>박미향 1900</t>
  </si>
  <si>
    <t>씨티은행</t>
  </si>
  <si>
    <t>현대증권</t>
  </si>
  <si>
    <t>대신증권</t>
  </si>
  <si>
    <t>동양증권(김두용)</t>
  </si>
  <si>
    <t>박미향 87900</t>
  </si>
  <si>
    <t>대우증권(박+이)</t>
  </si>
  <si>
    <t>박미향 275</t>
  </si>
  <si>
    <t>004 이일근 고객님 정산</t>
  </si>
  <si>
    <t>005 이종현 고객님 정산</t>
  </si>
  <si>
    <t>006 이종민 고객님 정산</t>
  </si>
  <si>
    <t>(*)정산일자 : 2010.04.26</t>
  </si>
  <si>
    <t>(*)성과수수료 및 선취수수료 : 별도입금</t>
  </si>
  <si>
    <t>일임재산 1</t>
  </si>
  <si>
    <t>일임재산 2</t>
  </si>
  <si>
    <t>계약일자</t>
  </si>
  <si>
    <t>정산일자</t>
  </si>
  <si>
    <t>운용일자</t>
  </si>
  <si>
    <t>365일</t>
  </si>
  <si>
    <t>92일</t>
  </si>
  <si>
    <t>계약금액</t>
  </si>
  <si>
    <t>132,116,547원</t>
  </si>
  <si>
    <t>100,000,000원</t>
  </si>
  <si>
    <t>82,224,368원</t>
  </si>
  <si>
    <t>68,775,466원</t>
  </si>
  <si>
    <t>평가금액</t>
  </si>
  <si>
    <t>229,078,517원</t>
  </si>
  <si>
    <t>114,536,248원</t>
  </si>
  <si>
    <t>139,992,845원</t>
  </si>
  <si>
    <t>116,892,376원</t>
  </si>
  <si>
    <t>총수익률</t>
  </si>
  <si>
    <t>수익금</t>
  </si>
  <si>
    <t>96,961,970원</t>
  </si>
  <si>
    <t>14,536,248원</t>
  </si>
  <si>
    <t>57,768,477원</t>
  </si>
  <si>
    <t>48,116,910원</t>
  </si>
  <si>
    <t>기준수익률</t>
  </si>
  <si>
    <t>기준수익금</t>
  </si>
  <si>
    <t>6,605,827원</t>
  </si>
  <si>
    <t>1,260,274원</t>
  </si>
  <si>
    <t>4,111,218원</t>
  </si>
  <si>
    <t>3,438,773원</t>
  </si>
  <si>
    <t>초과수익금</t>
  </si>
  <si>
    <t>90,356,143원</t>
  </si>
  <si>
    <t>13,275,974원</t>
  </si>
  <si>
    <t>53,657,259원</t>
  </si>
  <si>
    <t>44,678,137원</t>
  </si>
  <si>
    <t>성과수수료</t>
  </si>
  <si>
    <t>18,071,229원</t>
  </si>
  <si>
    <t>2,655,195원</t>
  </si>
  <si>
    <t>10,731,452원</t>
  </si>
  <si>
    <t>8,935,627원</t>
  </si>
  <si>
    <t>총수익금</t>
  </si>
  <si>
    <t>111,498,218원</t>
  </si>
  <si>
    <t>고객 순수익금</t>
  </si>
  <si>
    <t>90,771,795원</t>
  </si>
  <si>
    <t>47,037,025원</t>
  </si>
  <si>
    <t>39,181,283원</t>
  </si>
  <si>
    <t>(*) 별도입금</t>
  </si>
  <si>
    <t>(2) 선취수수료 지급방법에 따른  계약금액</t>
  </si>
  <si>
    <t>계약금액(2010.04.27)</t>
  </si>
  <si>
    <t>343,614,765원</t>
  </si>
  <si>
    <t>선취수수료</t>
  </si>
  <si>
    <t>과거거래내역 - 선택한 계좌번호의 6개월이상된 거래내역을 조회한 목록으로 거래일시/거래구분/적요/찾으신 금액/맡기신 금액/잔액으로 구성되어 있습니다.</t>
  </si>
  <si>
    <t>거래일시|거래구분|적요|찾으신금액|맡기신금액|잔액</t>
  </si>
  <si>
    <t>2014-03-17 09:24:30|전자금융지급　　　　|잠원래미안|20,000,000| |10,033,417</t>
  </si>
  <si>
    <t>N년후</t>
  </si>
  <si>
    <t>4% 정기 세전</t>
  </si>
  <si>
    <t>세후</t>
  </si>
  <si>
    <t>5년 납입</t>
  </si>
  <si>
    <t>7년납입</t>
  </si>
  <si>
    <t>4% 연금보험(사업비20%)</t>
  </si>
  <si>
    <t>4.7% 연금보험(사업비20%)</t>
  </si>
  <si>
    <t>##보험유지수수료?</t>
  </si>
  <si>
    <t>이종현</t>
  </si>
  <si>
    <t>이종민</t>
  </si>
  <si>
    <t>과세표준</t>
  </si>
  <si>
    <t>증여세율</t>
  </si>
  <si>
    <t>누진공제</t>
  </si>
  <si>
    <t>2억5천만원 증여</t>
  </si>
  <si>
    <t>증여세납부일</t>
  </si>
  <si>
    <t>2006.5.2.</t>
  </si>
  <si>
    <t>2019.6.20.(8.27)</t>
  </si>
  <si>
    <t>1억원 이하</t>
  </si>
  <si>
    <t>세액</t>
  </si>
  <si>
    <t>5억원 이하</t>
  </si>
  <si>
    <t>1천만원</t>
  </si>
  <si>
    <t>1인에게 증여시 세액</t>
  </si>
  <si>
    <t>2인에게 1억2500씩</t>
  </si>
  <si>
    <t>10억원 이하</t>
  </si>
  <si>
    <t>6천만원</t>
  </si>
  <si>
    <t>30억원 이하</t>
  </si>
  <si>
    <t>1억6천만원</t>
  </si>
  <si>
    <t>30억원 초과</t>
  </si>
  <si>
    <t>4억6천만원</t>
  </si>
  <si>
    <t>증여재산가액</t>
  </si>
  <si>
    <t>공제.직계존비속</t>
  </si>
  <si>
    <t>감정평가수수료</t>
  </si>
  <si>
    <t>세율</t>
  </si>
  <si>
    <t>산출세액</t>
  </si>
  <si>
    <t>자진신고세액감면</t>
  </si>
  <si>
    <t>납부할세액</t>
  </si>
  <si>
    <t>유효증여액</t>
  </si>
  <si>
    <t>10년 내 유효 4억 증여시 증여세</t>
  </si>
  <si>
    <t>10년 내 유효 5억 증여시 증여세</t>
  </si>
  <si>
    <t>10년 내 유효 9억 증여시 증여세</t>
  </si>
  <si>
    <t>10년 내 10억 증여시 증여세</t>
  </si>
  <si>
    <t>10년 내 12억 증여시 증여세</t>
  </si>
  <si>
    <t>10년 후 유효 4억 증여시 증여세</t>
  </si>
  <si>
    <t>10년 후 유효 5억 증여시 증여세</t>
  </si>
  <si>
    <t>10년 후 유효 9억 증여시 증여세</t>
  </si>
  <si>
    <t>10년 후 10억 증여시 증여세</t>
  </si>
  <si>
    <t>10년 후 12억 증여시 증여세</t>
  </si>
  <si>
    <t>증여세 차이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</si>
</sst>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월"/>
    <numFmt numFmtId="165" formatCode="d,m월"/>
  </numFmts>
  <fonts count="25">
    <font>
      <sz val="10.0"/>
      <color rgb="FF000000"/>
      <name val="Arial"/>
    </font>
    <font/>
    <font>
      <u/>
      <color rgb="FF0000FF"/>
    </font>
    <font>
      <u/>
      <color rgb="FF0000FF"/>
    </font>
    <font>
      <color rgb="FF000000"/>
      <name val="Verdana"/>
    </font>
    <font>
      <color rgb="FF000000"/>
      <name val="Arial"/>
    </font>
    <font>
      <name val="Arial"/>
    </font>
    <font>
      <sz val="7.0"/>
    </font>
    <font>
      <color rgb="FF000000"/>
      <name val="'Arial'"/>
    </font>
    <font>
      <sz val="9.0"/>
    </font>
    <font>
      <sz val="11.0"/>
      <color rgb="FF1155CC"/>
      <name val="Arial"/>
    </font>
    <font>
      <color rgb="FFFF0000"/>
    </font>
    <font>
      <color rgb="FFFF00FF"/>
    </font>
    <font>
      <b/>
      <sz val="9.0"/>
      <color rgb="FF3C3E40"/>
      <name val="Tahoma"/>
    </font>
    <font>
      <sz val="9.0"/>
      <color rgb="FF3C3E40"/>
      <name val="Tahoma"/>
    </font>
    <font>
      <sz val="11.0"/>
      <color rgb="FF1155CC"/>
      <name val="Inconsolata"/>
    </font>
    <font>
      <sz val="11.0"/>
      <color rgb="FF000000"/>
      <name val="Inconsolata"/>
    </font>
    <font>
      <sz val="8.0"/>
    </font>
    <font>
      <b/>
    </font>
    <font>
      <sz val="10.0"/>
      <color rgb="FF1155CC"/>
      <name val="Inconsolata"/>
    </font>
    <font>
      <sz val="10.0"/>
      <color rgb="FF1155CC"/>
      <name val="Arial"/>
    </font>
    <font>
      <color rgb="FF222222"/>
      <name val="Gulim"/>
    </font>
    <font>
      <sz val="24.0"/>
    </font>
    <font>
      <color rgb="FF000000"/>
    </font>
    <font>
      <sz val="10.0"/>
      <color rgb="FF000000"/>
    </font>
  </fonts>
  <fills count="2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1" fillId="4" fontId="1" numFmtId="0" xfId="0" applyAlignment="1" applyBorder="1" applyFill="1" applyFont="1">
      <alignment readingOrder="0" shrinkToFit="0" wrapText="1"/>
    </xf>
    <xf borderId="4" fillId="4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5" fontId="5" numFmtId="0" xfId="0" applyAlignment="1" applyFont="1">
      <alignment horizontal="left" readingOrder="0" shrinkToFit="0" wrapText="1"/>
    </xf>
    <xf borderId="0" fillId="2" fontId="1" numFmtId="0" xfId="0" applyAlignment="1" applyFont="1">
      <alignment shrinkToFit="0" wrapText="1"/>
    </xf>
    <xf borderId="0" fillId="7" fontId="1" numFmtId="0" xfId="0" applyAlignment="1" applyFill="1" applyFont="1">
      <alignment readingOrder="0"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ill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9" fontId="1" numFmtId="0" xfId="0" applyAlignment="1" applyFill="1" applyFont="1">
      <alignment readingOrder="0" shrinkToFit="0" wrapText="1"/>
    </xf>
    <xf borderId="0" fillId="9" fontId="1" numFmtId="0" xfId="0" applyAlignment="1" applyFont="1">
      <alignment shrinkToFit="0" wrapText="1"/>
    </xf>
    <xf borderId="10" fillId="0" fontId="1" numFmtId="0" xfId="0" applyAlignment="1" applyBorder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shrinkToFit="0" vertical="bottom" wrapText="1"/>
    </xf>
    <xf borderId="10" fillId="0" fontId="6" numFmtId="0" xfId="0" applyAlignment="1" applyBorder="1" applyFont="1">
      <alignment horizontal="right" readingOrder="0" shrinkToFit="0" vertical="bottom" wrapText="1"/>
    </xf>
    <xf borderId="0" fillId="3" fontId="1" numFmtId="0" xfId="0" applyAlignment="1" applyFont="1">
      <alignment shrinkToFit="0" wrapText="1"/>
    </xf>
    <xf borderId="0" fillId="5" fontId="6" numFmtId="0" xfId="0" applyAlignment="1" applyFont="1">
      <alignment readingOrder="0" shrinkToFit="0" vertical="bottom" wrapText="1"/>
    </xf>
    <xf borderId="0" fillId="5" fontId="6" numFmtId="0" xfId="0" applyAlignment="1" applyFont="1">
      <alignment shrinkToFit="0" vertical="bottom" wrapText="1"/>
    </xf>
    <xf borderId="0" fillId="5" fontId="6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7" fillId="0" fontId="6" numFmtId="0" xfId="0" applyAlignment="1" applyBorder="1" applyFont="1">
      <alignment horizontal="right"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4" fontId="6" numFmtId="0" xfId="0" applyAlignment="1" applyFont="1">
      <alignment horizontal="right"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10" fontId="1" numFmtId="0" xfId="0" applyAlignment="1" applyFill="1" applyFont="1">
      <alignment readingOrder="0" shrinkToFit="0" wrapText="1"/>
    </xf>
    <xf borderId="0" fillId="10" fontId="1" numFmtId="0" xfId="0" applyAlignment="1" applyFont="1">
      <alignment shrinkToFit="0" wrapText="1"/>
    </xf>
    <xf borderId="0" fillId="8" fontId="1" numFmtId="0" xfId="0" applyAlignment="1" applyFont="1">
      <alignment readingOrder="0" shrinkToFit="0" wrapText="1"/>
    </xf>
    <xf borderId="0" fillId="5" fontId="5" numFmtId="0" xfId="0" applyAlignment="1" applyFont="1">
      <alignment shrinkToFit="0" vertical="bottom" wrapText="1"/>
    </xf>
    <xf borderId="0" fillId="11" fontId="1" numFmtId="0" xfId="0" applyAlignment="1" applyFill="1" applyFont="1">
      <alignment readingOrder="0" shrinkToFit="0" wrapText="1"/>
    </xf>
    <xf borderId="0" fillId="11" fontId="7" numFmtId="0" xfId="0" applyAlignment="1" applyFont="1">
      <alignment readingOrder="0" shrinkToFit="0" wrapText="1"/>
    </xf>
    <xf borderId="0" fillId="11" fontId="1" numFmtId="0" xfId="0" applyAlignment="1" applyFont="1">
      <alignment shrinkToFit="0" wrapText="1"/>
    </xf>
    <xf borderId="7" fillId="3" fontId="1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7" fillId="3" fontId="1" numFmtId="0" xfId="0" applyAlignment="1" applyBorder="1" applyFont="1">
      <alignment shrinkToFit="0" wrapText="1"/>
    </xf>
    <xf borderId="0" fillId="12" fontId="6" numFmtId="0" xfId="0" applyAlignment="1" applyFill="1" applyFont="1">
      <alignment horizontal="right" readingOrder="0" shrinkToFit="0" vertical="bottom" wrapText="1"/>
    </xf>
    <xf borderId="0" fillId="6" fontId="1" numFmtId="0" xfId="0" applyAlignment="1" applyFont="1">
      <alignment shrinkToFit="0" wrapText="1"/>
    </xf>
    <xf borderId="0" fillId="3" fontId="6" numFmtId="0" xfId="0" applyAlignment="1" applyFont="1">
      <alignment horizontal="right" readingOrder="0" shrinkToFit="0" vertical="bottom" wrapText="1"/>
    </xf>
    <xf borderId="7" fillId="0" fontId="6" numFmtId="0" xfId="0" applyAlignment="1" applyBorder="1" applyFont="1">
      <alignment horizontal="right" shrinkToFit="0" vertical="bottom" wrapText="1"/>
    </xf>
    <xf borderId="7" fillId="5" fontId="6" numFmtId="0" xfId="0" applyAlignment="1" applyBorder="1" applyFont="1">
      <alignment horizontal="right" readingOrder="0" shrinkToFit="0" vertical="bottom" wrapText="1"/>
    </xf>
    <xf borderId="0" fillId="13" fontId="1" numFmtId="0" xfId="0" applyAlignment="1" applyFill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7" fillId="2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shrinkToFit="0" wrapText="1"/>
    </xf>
    <xf borderId="7" fillId="7" fontId="1" numFmtId="0" xfId="0" applyAlignment="1" applyBorder="1" applyFont="1">
      <alignment readingOrder="0" shrinkToFit="0" wrapText="1"/>
    </xf>
    <xf borderId="0" fillId="4" fontId="1" numFmtId="0" xfId="0" applyAlignment="1" applyFont="1">
      <alignment shrinkToFit="0" wrapText="1"/>
    </xf>
    <xf borderId="0" fillId="4" fontId="6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4" fontId="6" numFmtId="0" xfId="0" applyAlignment="1" applyFont="1">
      <alignment horizontal="right" shrinkToFit="0" vertical="bottom" wrapText="1"/>
    </xf>
    <xf borderId="14" fillId="0" fontId="6" numFmtId="0" xfId="0" applyAlignment="1" applyBorder="1" applyFont="1">
      <alignment shrinkToFit="0" vertical="bottom" wrapText="1"/>
    </xf>
    <xf borderId="11" fillId="0" fontId="6" numFmtId="0" xfId="0" applyAlignment="1" applyBorder="1" applyFont="1">
      <alignment shrinkToFit="0" vertical="bottom" wrapText="1"/>
    </xf>
    <xf borderId="9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12" fillId="0" fontId="6" numFmtId="0" xfId="0" applyAlignment="1" applyBorder="1" applyFont="1">
      <alignment shrinkToFit="0" vertical="bottom" wrapText="1"/>
    </xf>
    <xf borderId="10" fillId="0" fontId="6" numFmtId="0" xfId="0" applyAlignment="1" applyBorder="1" applyFont="1">
      <alignment horizontal="right" shrinkToFit="0" vertical="bottom" wrapText="1"/>
    </xf>
    <xf borderId="0" fillId="14" fontId="1" numFmtId="0" xfId="0" applyAlignment="1" applyFill="1" applyFont="1">
      <alignment readingOrder="0" shrinkToFit="0" wrapText="1"/>
    </xf>
    <xf borderId="0" fillId="14" fontId="1" numFmtId="0" xfId="0" applyAlignment="1" applyFont="1">
      <alignment shrinkToFit="0" wrapText="1"/>
    </xf>
    <xf borderId="0" fillId="15" fontId="1" numFmtId="0" xfId="0" applyAlignment="1" applyFill="1" applyFont="1">
      <alignment readingOrder="0" shrinkToFit="0" wrapText="1"/>
    </xf>
    <xf borderId="0" fillId="16" fontId="1" numFmtId="0" xfId="0" applyAlignment="1" applyFill="1" applyFont="1">
      <alignment readingOrder="0" shrinkToFit="0" wrapText="1"/>
    </xf>
    <xf borderId="0" fillId="16" fontId="1" numFmtId="0" xfId="0" applyAlignment="1" applyFont="1">
      <alignment shrinkToFit="0" wrapText="1"/>
    </xf>
    <xf borderId="7" fillId="16" fontId="1" numFmtId="0" xfId="0" applyAlignment="1" applyBorder="1" applyFont="1">
      <alignment readingOrder="0" shrinkToFit="0" wrapText="1"/>
    </xf>
    <xf borderId="0" fillId="8" fontId="6" numFmtId="0" xfId="0" applyAlignment="1" applyFont="1">
      <alignment readingOrder="0" shrinkToFit="0" vertical="bottom" wrapText="1"/>
    </xf>
    <xf borderId="0" fillId="5" fontId="0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5" fontId="6" numFmtId="0" xfId="0" applyAlignment="1" applyFont="1">
      <alignment readingOrder="0" shrinkToFit="0" wrapText="1"/>
    </xf>
    <xf borderId="7" fillId="5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wrapText="1"/>
    </xf>
    <xf borderId="7" fillId="4" fontId="6" numFmtId="0" xfId="0" applyAlignment="1" applyBorder="1" applyFont="1">
      <alignment readingOrder="0" shrinkToFit="0" wrapText="1"/>
    </xf>
    <xf borderId="7" fillId="4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shrinkToFit="0" wrapText="1"/>
    </xf>
    <xf borderId="0" fillId="8" fontId="6" numFmtId="0" xfId="0" applyAlignment="1" applyFont="1">
      <alignment readingOrder="0" shrinkToFit="0" wrapText="1"/>
    </xf>
    <xf borderId="7" fillId="8" fontId="1" numFmtId="0" xfId="0" applyAlignment="1" applyBorder="1" applyFont="1">
      <alignment readingOrder="0" shrinkToFit="0" wrapText="1"/>
    </xf>
    <xf borderId="7" fillId="11" fontId="1" numFmtId="0" xfId="0" applyAlignment="1" applyBorder="1" applyFont="1">
      <alignment readingOrder="0" shrinkToFit="0" wrapText="1"/>
    </xf>
    <xf borderId="0" fillId="14" fontId="6" numFmtId="0" xfId="0" applyAlignment="1" applyFont="1">
      <alignment readingOrder="0" shrinkToFit="0" wrapText="1"/>
    </xf>
    <xf borderId="0" fillId="17" fontId="1" numFmtId="0" xfId="0" applyAlignment="1" applyFill="1" applyFont="1">
      <alignment readingOrder="0" shrinkToFit="0" wrapText="1"/>
    </xf>
    <xf borderId="7" fillId="9" fontId="1" numFmtId="0" xfId="0" applyAlignment="1" applyBorder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7" fillId="4" fontId="1" numFmtId="0" xfId="0" applyAlignment="1" applyBorder="1" applyFont="1">
      <alignment readingOrder="0" shrinkToFit="0" wrapText="1"/>
    </xf>
    <xf borderId="0" fillId="18" fontId="1" numFmtId="0" xfId="0" applyAlignment="1" applyFill="1" applyFont="1">
      <alignment readingOrder="0" shrinkToFit="0" wrapText="1"/>
    </xf>
    <xf borderId="0" fillId="18" fontId="1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0" fillId="6" fontId="9" numFmtId="0" xfId="0" applyAlignment="1" applyFont="1">
      <alignment readingOrder="0" shrinkToFit="0" wrapText="1"/>
    </xf>
    <xf borderId="13" fillId="0" fontId="1" numFmtId="0" xfId="0" applyAlignment="1" applyBorder="1" applyFont="1">
      <alignment readingOrder="0" shrinkToFit="0" wrapText="1"/>
    </xf>
    <xf borderId="7" fillId="5" fontId="10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11" fontId="1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2" numFmtId="0" xfId="0" applyAlignment="1" applyFont="1">
      <alignment readingOrder="0" shrinkToFit="0" wrapText="1"/>
    </xf>
    <xf borderId="7" fillId="0" fontId="13" numFmtId="0" xfId="0" applyAlignment="1" applyBorder="1" applyFont="1">
      <alignment readingOrder="0" shrinkToFit="0" wrapText="1"/>
    </xf>
    <xf borderId="7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7" fillId="0" fontId="1" numFmtId="3" xfId="0" applyAlignment="1" applyBorder="1" applyFont="1" applyNumberFormat="1">
      <alignment readingOrder="0" shrinkToFit="0" wrapText="1"/>
    </xf>
    <xf borderId="0" fillId="19" fontId="1" numFmtId="0" xfId="0" applyAlignment="1" applyFill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wrapText="1"/>
    </xf>
    <xf borderId="0" fillId="20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0" fillId="21" fontId="1" numFmtId="0" xfId="0" applyAlignment="1" applyFill="1" applyFont="1">
      <alignment shrinkToFit="0" wrapText="1"/>
    </xf>
    <xf borderId="14" fillId="0" fontId="1" numFmtId="0" xfId="0" applyAlignment="1" applyBorder="1" applyFont="1">
      <alignment readingOrder="0" shrinkToFit="0" wrapText="1"/>
    </xf>
    <xf borderId="0" fillId="5" fontId="15" numFmtId="0" xfId="0" applyAlignment="1" applyFont="1">
      <alignment shrinkToFit="0" wrapText="1"/>
    </xf>
    <xf borderId="0" fillId="5" fontId="16" numFmtId="0" xfId="0" applyAlignment="1" applyFont="1">
      <alignment shrinkToFit="0" wrapText="1"/>
    </xf>
    <xf borderId="14" fillId="0" fontId="1" numFmtId="0" xfId="0" applyAlignment="1" applyBorder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19" fontId="1" numFmtId="0" xfId="0" applyAlignment="1" applyBorder="1" applyFont="1">
      <alignment shrinkToFit="0" wrapText="1"/>
    </xf>
    <xf borderId="0" fillId="22" fontId="1" numFmtId="0" xfId="0" applyAlignment="1" applyFill="1" applyFont="1">
      <alignment shrinkToFit="0" wrapText="1"/>
    </xf>
    <xf borderId="7" fillId="5" fontId="1" numFmtId="0" xfId="0" applyAlignment="1" applyBorder="1" applyFont="1">
      <alignment shrinkToFit="0" wrapText="1"/>
    </xf>
    <xf borderId="7" fillId="23" fontId="1" numFmtId="0" xfId="0" applyAlignment="1" applyBorder="1" applyFill="1" applyFont="1">
      <alignment shrinkToFit="0" wrapText="1"/>
    </xf>
    <xf borderId="14" fillId="5" fontId="1" numFmtId="0" xfId="0" applyAlignment="1" applyBorder="1" applyFont="1">
      <alignment shrinkToFit="0" wrapText="1"/>
    </xf>
    <xf borderId="7" fillId="21" fontId="1" numFmtId="0" xfId="0" applyAlignment="1" applyBorder="1" applyFont="1">
      <alignment shrinkToFit="0" wrapText="1"/>
    </xf>
    <xf borderId="7" fillId="20" fontId="1" numFmtId="0" xfId="0" applyAlignment="1" applyBorder="1" applyFont="1">
      <alignment shrinkToFit="0" wrapText="1"/>
    </xf>
    <xf borderId="7" fillId="22" fontId="1" numFmtId="0" xfId="0" applyAlignment="1" applyBorder="1" applyFont="1">
      <alignment shrinkToFit="0" wrapText="1"/>
    </xf>
    <xf borderId="0" fillId="23" fontId="1" numFmtId="0" xfId="0" applyAlignment="1" applyFont="1">
      <alignment shrinkToFit="0" wrapText="1"/>
    </xf>
    <xf borderId="14" fillId="5" fontId="1" numFmtId="0" xfId="0" applyAlignment="1" applyBorder="1" applyFont="1">
      <alignment readingOrder="0" shrinkToFit="0" wrapText="1"/>
    </xf>
    <xf borderId="7" fillId="10" fontId="1" numFmtId="0" xfId="0" applyAlignment="1" applyBorder="1" applyFont="1">
      <alignment shrinkToFit="0" wrapText="1"/>
    </xf>
    <xf borderId="7" fillId="7" fontId="1" numFmtId="0" xfId="0" applyAlignment="1" applyBorder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24" fontId="1" numFmtId="0" xfId="0" applyAlignment="1" applyFill="1" applyFont="1">
      <alignment readingOrder="0" shrinkToFit="0" wrapText="1"/>
    </xf>
    <xf borderId="0" fillId="5" fontId="19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7" fillId="10" fontId="1" numFmtId="0" xfId="0" applyAlignment="1" applyBorder="1" applyFont="1">
      <alignment shrinkToFit="0" wrapText="1"/>
    </xf>
    <xf borderId="0" fillId="5" fontId="20" numFmtId="0" xfId="0" applyAlignment="1" applyFont="1">
      <alignment shrinkToFit="0" wrapText="1"/>
    </xf>
    <xf borderId="0" fillId="10" fontId="6" numFmtId="0" xfId="0" applyAlignment="1" applyFont="1">
      <alignment shrinkToFit="0" wrapText="1"/>
    </xf>
    <xf borderId="7" fillId="21" fontId="6" numFmtId="0" xfId="0" applyAlignment="1" applyBorder="1" applyFont="1">
      <alignment shrinkToFit="0" wrapText="1"/>
    </xf>
    <xf borderId="7" fillId="5" fontId="6" numFmtId="0" xfId="0" applyAlignment="1" applyBorder="1" applyFont="1">
      <alignment shrinkToFit="0" wrapText="1"/>
    </xf>
    <xf borderId="7" fillId="23" fontId="6" numFmtId="0" xfId="0" applyAlignment="1" applyBorder="1" applyFont="1">
      <alignment shrinkToFit="0" wrapText="1"/>
    </xf>
    <xf borderId="14" fillId="5" fontId="6" numFmtId="0" xfId="0" applyAlignment="1" applyBorder="1" applyFont="1">
      <alignment shrinkToFit="0" wrapText="1"/>
    </xf>
    <xf borderId="14" fillId="0" fontId="6" numFmtId="0" xfId="0" applyAlignment="1" applyBorder="1" applyFont="1">
      <alignment readingOrder="0" shrinkToFit="0" wrapText="1"/>
    </xf>
    <xf borderId="14" fillId="0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7" fillId="4" fontId="1" numFmtId="0" xfId="0" applyAlignment="1" applyBorder="1" applyFont="1">
      <alignment shrinkToFit="0" wrapText="1"/>
    </xf>
    <xf borderId="7" fillId="16" fontId="1" numFmtId="0" xfId="0" applyAlignment="1" applyBorder="1" applyFont="1">
      <alignment shrinkToFit="0" wrapText="1"/>
    </xf>
    <xf borderId="1" fillId="5" fontId="1" numFmtId="0" xfId="0" applyAlignment="1" applyBorder="1" applyFont="1">
      <alignment shrinkToFit="0" wrapText="1"/>
    </xf>
    <xf borderId="3" fillId="5" fontId="1" numFmtId="0" xfId="0" applyAlignment="1" applyBorder="1" applyFont="1">
      <alignment shrinkToFit="0" wrapText="1"/>
    </xf>
    <xf borderId="7" fillId="8" fontId="1" numFmtId="0" xfId="0" applyAlignment="1" applyBorder="1" applyFont="1">
      <alignment readingOrder="0" shrinkToFit="0" wrapText="1"/>
    </xf>
    <xf borderId="0" fillId="5" fontId="6" numFmtId="0" xfId="0" applyAlignment="1" applyFont="1">
      <alignment shrinkToFit="0" wrapText="1"/>
    </xf>
    <xf borderId="14" fillId="2" fontId="6" numFmtId="0" xfId="0" applyAlignment="1" applyBorder="1" applyFont="1">
      <alignment readingOrder="0" shrinkToFit="0" wrapText="1"/>
    </xf>
    <xf borderId="0" fillId="7" fontId="1" numFmtId="0" xfId="0" applyAlignment="1" applyFont="1">
      <alignment shrinkToFit="0" wrapText="1"/>
    </xf>
    <xf borderId="1" fillId="2" fontId="1" numFmtId="0" xfId="0" applyAlignment="1" applyBorder="1" applyFont="1">
      <alignment shrinkToFit="0" wrapText="1"/>
    </xf>
    <xf borderId="3" fillId="4" fontId="1" numFmtId="0" xfId="0" applyAlignment="1" applyBorder="1" applyFont="1">
      <alignment shrinkToFit="0" wrapText="1"/>
    </xf>
    <xf borderId="0" fillId="2" fontId="9" numFmtId="0" xfId="0" applyAlignment="1" applyFont="1">
      <alignment readingOrder="0" shrinkToFit="0" wrapText="1"/>
    </xf>
    <xf borderId="0" fillId="24" fontId="1" numFmtId="0" xfId="0" applyAlignment="1" applyFont="1">
      <alignment shrinkToFit="0" wrapText="1"/>
    </xf>
    <xf borderId="3" fillId="24" fontId="1" numFmtId="0" xfId="0" applyAlignment="1" applyBorder="1" applyFont="1">
      <alignment shrinkToFit="0" wrapText="1"/>
    </xf>
    <xf borderId="7" fillId="24" fontId="1" numFmtId="0" xfId="0" applyAlignment="1" applyBorder="1" applyFont="1">
      <alignment shrinkToFit="0" wrapText="1"/>
    </xf>
    <xf borderId="0" fillId="5" fontId="6" numFmtId="0" xfId="0" applyAlignment="1" applyFon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5" fontId="6" numFmtId="0" xfId="0" applyAlignment="1" applyFont="1">
      <alignment horizontal="right" shrinkToFit="0" vertical="bottom" wrapText="1"/>
    </xf>
    <xf borderId="0" fillId="9" fontId="6" numFmtId="0" xfId="0" applyAlignment="1" applyFont="1">
      <alignment horizontal="right" readingOrder="0" shrinkToFit="0" vertical="bottom" wrapText="1"/>
    </xf>
    <xf borderId="0" fillId="9" fontId="6" numFmtId="0" xfId="0" applyAlignment="1" applyFont="1">
      <alignment horizontal="right" shrinkToFit="0" vertical="bottom" wrapText="1"/>
    </xf>
    <xf borderId="7" fillId="9" fontId="1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readingOrder="0" shrinkToFit="0" wrapText="1"/>
    </xf>
    <xf borderId="11" fillId="7" fontId="1" numFmtId="0" xfId="0" applyAlignment="1" applyBorder="1" applyFont="1">
      <alignment shrinkToFit="0" wrapText="1"/>
    </xf>
    <xf borderId="7" fillId="25" fontId="1" numFmtId="0" xfId="0" applyAlignment="1" applyBorder="1" applyFill="1" applyFont="1">
      <alignment readingOrder="0" shrinkToFit="0" wrapText="1"/>
    </xf>
    <xf borderId="7" fillId="25" fontId="1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7" fillId="8" fontId="1" numFmtId="0" xfId="0" applyAlignment="1" applyBorder="1" applyFont="1">
      <alignment shrinkToFit="0" wrapText="1"/>
    </xf>
    <xf borderId="7" fillId="15" fontId="1" numFmtId="0" xfId="0" applyAlignment="1" applyBorder="1" applyFont="1">
      <alignment readingOrder="0" shrinkToFit="0" wrapText="1"/>
    </xf>
    <xf borderId="7" fillId="15" fontId="1" numFmtId="0" xfId="0" applyAlignment="1" applyBorder="1" applyFont="1">
      <alignment shrinkToFit="0" wrapText="1"/>
    </xf>
    <xf borderId="0" fillId="5" fontId="21" numFmtId="0" xfId="0" applyAlignment="1" applyFont="1">
      <alignment readingOrder="0" shrinkToFit="0" wrapText="1"/>
    </xf>
    <xf borderId="0" fillId="17" fontId="1" numFmtId="0" xfId="0" applyAlignment="1" applyFont="1">
      <alignment shrinkToFit="0" wrapText="1"/>
    </xf>
    <xf borderId="10" fillId="24" fontId="1" numFmtId="0" xfId="0" applyAlignment="1" applyBorder="1" applyFont="1">
      <alignment readingOrder="0" shrinkToFit="0" wrapText="1"/>
    </xf>
    <xf borderId="10" fillId="5" fontId="1" numFmtId="0" xfId="0" applyAlignment="1" applyBorder="1" applyFont="1">
      <alignment readingOrder="0" shrinkToFit="0" wrapText="1"/>
    </xf>
    <xf borderId="10" fillId="7" fontId="1" numFmtId="0" xfId="0" applyAlignment="1" applyBorder="1" applyFont="1">
      <alignment readingOrder="0" shrinkToFit="0" wrapText="1"/>
    </xf>
    <xf borderId="10" fillId="5" fontId="21" numFmtId="0" xfId="0" applyAlignment="1" applyBorder="1" applyFont="1">
      <alignment readingOrder="0" shrinkToFit="0" wrapText="1"/>
    </xf>
    <xf borderId="10" fillId="2" fontId="1" numFmtId="0" xfId="0" applyAlignment="1" applyBorder="1" applyFont="1">
      <alignment readingOrder="0" shrinkToFit="0" wrapText="1"/>
    </xf>
    <xf borderId="0" fillId="0" fontId="22" numFmtId="0" xfId="0" applyAlignment="1" applyFont="1">
      <alignment shrinkToFit="0" wrapText="1"/>
    </xf>
    <xf borderId="7" fillId="0" fontId="22" numFmtId="0" xfId="0" applyAlignment="1" applyBorder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3" fontId="22" numFmtId="0" xfId="0" applyAlignment="1" applyFont="1">
      <alignment readingOrder="0" shrinkToFit="0" wrapText="1"/>
    </xf>
    <xf borderId="0" fillId="3" fontId="22" numFmtId="0" xfId="0" applyAlignment="1" applyFont="1">
      <alignment shrinkToFit="0" wrapText="1"/>
    </xf>
    <xf borderId="7" fillId="3" fontId="22" numFmtId="0" xfId="0" applyAlignment="1" applyBorder="1" applyFont="1">
      <alignment readingOrder="0" shrinkToFit="0" wrapText="1"/>
    </xf>
    <xf borderId="7" fillId="3" fontId="22" numFmtId="0" xfId="0" applyAlignment="1" applyBorder="1" applyFont="1">
      <alignment shrinkToFit="0" wrapText="1"/>
    </xf>
    <xf borderId="0" fillId="26" fontId="1" numFmtId="0" xfId="0" applyAlignment="1" applyFill="1" applyFont="1">
      <alignment readingOrder="0" shrinkToFit="0" wrapText="1"/>
    </xf>
    <xf borderId="0" fillId="21" fontId="1" numFmtId="0" xfId="0" applyAlignment="1" applyFont="1">
      <alignment readingOrder="0" shrinkToFit="0" wrapText="1"/>
    </xf>
    <xf borderId="0" fillId="4" fontId="23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7" fontId="24" numFmtId="0" xfId="0" applyAlignment="1" applyFont="1">
      <alignment shrinkToFit="0" wrapText="1"/>
    </xf>
    <xf borderId="11" fillId="3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hop.co.kr" TargetMode="External"/><Relationship Id="rId2" Type="http://schemas.openxmlformats.org/officeDocument/2006/relationships/hyperlink" Target="http://shop.co.kr" TargetMode="External"/><Relationship Id="rId3" Type="http://schemas.openxmlformats.org/officeDocument/2006/relationships/hyperlink" Target="http://shop.co.kr" TargetMode="External"/><Relationship Id="rId4" Type="http://schemas.openxmlformats.org/officeDocument/2006/relationships/hyperlink" Target="http://shop.co.kr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homplus.co.kr" TargetMode="External"/><Relationship Id="rId6" Type="http://schemas.openxmlformats.org/officeDocument/2006/relationships/hyperlink" Target="http://shop.co.kr" TargetMode="External"/><Relationship Id="rId7" Type="http://schemas.openxmlformats.org/officeDocument/2006/relationships/hyperlink" Target="http://www.shop.co.kr" TargetMode="External"/><Relationship Id="rId8" Type="http://schemas.openxmlformats.org/officeDocument/2006/relationships/hyperlink" Target="http://shop.co.k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5.13"/>
    <col customWidth="1" min="2" max="2" width="43.63"/>
    <col customWidth="1" min="3" max="3" width="18.88"/>
    <col customWidth="1" min="4" max="21" width="15.13"/>
  </cols>
  <sheetData>
    <row r="1">
      <c r="A1" s="1" t="s">
        <v>0</v>
      </c>
    </row>
    <row r="2">
      <c r="A2" s="1" t="s">
        <v>1</v>
      </c>
      <c r="D2" s="1" t="s">
        <v>2</v>
      </c>
    </row>
    <row r="3">
      <c r="A3" s="1" t="s">
        <v>3</v>
      </c>
      <c r="B3" s="1" t="s">
        <v>4</v>
      </c>
    </row>
    <row r="4">
      <c r="A4" s="1" t="s">
        <v>5</v>
      </c>
    </row>
    <row r="5">
      <c r="A5" s="1" t="s">
        <v>6</v>
      </c>
    </row>
    <row r="6">
      <c r="A6" s="1" t="s">
        <v>7</v>
      </c>
    </row>
    <row r="7">
      <c r="A7" s="1" t="s">
        <v>8</v>
      </c>
      <c r="B7" s="1" t="s">
        <v>9</v>
      </c>
    </row>
    <row r="8">
      <c r="A8" s="1" t="s">
        <v>10</v>
      </c>
    </row>
    <row r="9">
      <c r="A9" s="1" t="s">
        <v>11</v>
      </c>
      <c r="B9" s="1" t="s">
        <v>12</v>
      </c>
    </row>
    <row r="10">
      <c r="A10" s="1" t="s">
        <v>13</v>
      </c>
      <c r="B10" s="1" t="s">
        <v>14</v>
      </c>
    </row>
    <row r="11">
      <c r="A11" s="1" t="s">
        <v>15</v>
      </c>
      <c r="B11" s="1" t="s">
        <v>16</v>
      </c>
    </row>
    <row r="12">
      <c r="A12" s="1" t="s">
        <v>17</v>
      </c>
      <c r="B12" s="1" t="s">
        <v>18</v>
      </c>
    </row>
    <row r="13">
      <c r="A13" s="1" t="s">
        <v>19</v>
      </c>
      <c r="B13" s="1" t="s">
        <v>20</v>
      </c>
    </row>
    <row r="14">
      <c r="A14" s="1" t="s">
        <v>21</v>
      </c>
      <c r="B14" s="1" t="s">
        <v>22</v>
      </c>
    </row>
    <row r="15">
      <c r="A15" s="1" t="s">
        <v>23</v>
      </c>
    </row>
    <row r="16">
      <c r="A16" s="1" t="s">
        <v>24</v>
      </c>
    </row>
    <row r="17">
      <c r="A17" s="1" t="s">
        <v>25</v>
      </c>
      <c r="D17" s="1" t="s">
        <v>2</v>
      </c>
    </row>
    <row r="18">
      <c r="A18" s="1" t="s">
        <v>26</v>
      </c>
    </row>
    <row r="19">
      <c r="A19" s="1" t="s">
        <v>27</v>
      </c>
    </row>
    <row r="20">
      <c r="A20" s="1" t="s">
        <v>28</v>
      </c>
      <c r="B20" s="2" t="s">
        <v>29</v>
      </c>
      <c r="C20" s="1" t="s">
        <v>30</v>
      </c>
    </row>
    <row r="21">
      <c r="A21" s="1" t="s">
        <v>31</v>
      </c>
    </row>
    <row r="22">
      <c r="A22" s="1" t="s">
        <v>32</v>
      </c>
      <c r="B22" s="1" t="s">
        <v>33</v>
      </c>
    </row>
    <row r="23">
      <c r="A23" s="1" t="s">
        <v>34</v>
      </c>
    </row>
    <row r="24">
      <c r="A24" s="1" t="s">
        <v>35</v>
      </c>
      <c r="B24" s="1" t="s">
        <v>36</v>
      </c>
    </row>
    <row r="25">
      <c r="A25" s="1" t="s">
        <v>37</v>
      </c>
    </row>
    <row r="26">
      <c r="A26" s="1" t="s">
        <v>38</v>
      </c>
    </row>
    <row r="27">
      <c r="A27" s="1" t="s">
        <v>39</v>
      </c>
      <c r="B27" s="1" t="s">
        <v>40</v>
      </c>
    </row>
    <row r="28">
      <c r="A28" s="1" t="s">
        <v>41</v>
      </c>
      <c r="B28" s="1" t="s">
        <v>42</v>
      </c>
    </row>
    <row r="29">
      <c r="A29" s="1" t="s">
        <v>43</v>
      </c>
    </row>
    <row r="30">
      <c r="A30" s="1" t="s">
        <v>44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2" max="2" width="38.0"/>
    <col customWidth="1" min="5" max="5" width="49.13"/>
    <col customWidth="1" min="6" max="6" width="27.88"/>
    <col customWidth="1" min="7" max="7" width="26.38"/>
  </cols>
  <sheetData>
    <row r="1">
      <c r="C1" s="23" t="s">
        <v>6235</v>
      </c>
    </row>
    <row r="2">
      <c r="C2" s="23" t="s">
        <v>6236</v>
      </c>
    </row>
    <row r="3">
      <c r="A3" s="1" t="s">
        <v>3720</v>
      </c>
      <c r="B3" s="1" t="s">
        <v>3854</v>
      </c>
      <c r="D3" s="1">
        <v>325000.0</v>
      </c>
      <c r="E3" s="1" t="s">
        <v>3855</v>
      </c>
    </row>
    <row r="4">
      <c r="B4" s="1" t="s">
        <v>3856</v>
      </c>
      <c r="D4" s="1">
        <v>775180.0</v>
      </c>
      <c r="E4" s="1" t="s">
        <v>3857</v>
      </c>
    </row>
    <row r="5">
      <c r="B5" s="1" t="s">
        <v>3859</v>
      </c>
      <c r="D5" s="1">
        <v>3509070.0</v>
      </c>
      <c r="E5" s="1" t="s">
        <v>3860</v>
      </c>
    </row>
    <row r="6">
      <c r="B6" s="1" t="s">
        <v>3861</v>
      </c>
      <c r="C6" s="78"/>
      <c r="D6" s="1">
        <v>2.99E8</v>
      </c>
      <c r="E6" s="1" t="s">
        <v>3860</v>
      </c>
    </row>
    <row r="7">
      <c r="A7" s="1" t="s">
        <v>3862</v>
      </c>
      <c r="B7" s="1" t="s">
        <v>3863</v>
      </c>
      <c r="D7" s="1">
        <v>783130.0</v>
      </c>
      <c r="E7" s="1" t="s">
        <v>3860</v>
      </c>
    </row>
    <row r="8">
      <c r="B8" s="1" t="s">
        <v>3864</v>
      </c>
      <c r="C8" s="78"/>
      <c r="D8" s="1">
        <v>3.575E7</v>
      </c>
      <c r="E8" s="1" t="s">
        <v>3865</v>
      </c>
    </row>
    <row r="9">
      <c r="A9" s="1"/>
      <c r="B9" s="1"/>
      <c r="D9" s="1"/>
      <c r="E9" s="1"/>
    </row>
    <row r="10">
      <c r="A10" s="1" t="s">
        <v>3866</v>
      </c>
      <c r="B10" s="1" t="s">
        <v>3867</v>
      </c>
      <c r="D10" s="1">
        <v>327600.0</v>
      </c>
      <c r="E10" s="1" t="s">
        <v>1632</v>
      </c>
    </row>
    <row r="11">
      <c r="A11" s="1" t="s">
        <v>1889</v>
      </c>
      <c r="B11" s="1" t="s">
        <v>3938</v>
      </c>
      <c r="C11" s="78"/>
      <c r="D11" s="1">
        <v>1.155E7</v>
      </c>
      <c r="E11" s="1" t="s">
        <v>3917</v>
      </c>
    </row>
    <row r="12">
      <c r="A12" s="1" t="s">
        <v>1891</v>
      </c>
      <c r="B12" s="1" t="s">
        <v>3941</v>
      </c>
      <c r="C12" s="78"/>
      <c r="D12" s="5">
        <v>1.98E7</v>
      </c>
      <c r="E12" s="1" t="s">
        <v>1897</v>
      </c>
      <c r="F12" s="21" t="s">
        <v>3942</v>
      </c>
      <c r="G12" s="21" t="s">
        <v>1897</v>
      </c>
    </row>
    <row r="13">
      <c r="B13" s="1" t="s">
        <v>6237</v>
      </c>
      <c r="C13" s="78"/>
      <c r="D13" s="5">
        <v>8580000.0</v>
      </c>
      <c r="E13" s="1" t="s">
        <v>1897</v>
      </c>
      <c r="F13" s="21">
        <v>1.8E7</v>
      </c>
      <c r="G13" s="18">
        <v>1.98E7</v>
      </c>
    </row>
    <row r="14">
      <c r="A14" s="1" t="s">
        <v>1901</v>
      </c>
      <c r="B14" s="23" t="s">
        <v>3953</v>
      </c>
      <c r="C14" s="171"/>
      <c r="D14" s="74">
        <v>2.64E7</v>
      </c>
      <c r="E14" s="1" t="s">
        <v>1897</v>
      </c>
      <c r="F14" s="21">
        <v>2.4E7</v>
      </c>
      <c r="G14" s="18">
        <v>2.6400000000000004E7</v>
      </c>
    </row>
    <row r="15">
      <c r="A15" s="1" t="s">
        <v>1907</v>
      </c>
      <c r="B15" s="23" t="s">
        <v>3953</v>
      </c>
      <c r="C15" s="171"/>
      <c r="D15" s="74">
        <v>1.144E7</v>
      </c>
      <c r="E15" s="1" t="s">
        <v>1897</v>
      </c>
      <c r="F15" s="21">
        <v>1.8E7</v>
      </c>
      <c r="G15" s="18">
        <v>1.98E7</v>
      </c>
      <c r="H15" s="18">
        <v>1.771E7</v>
      </c>
    </row>
    <row r="16">
      <c r="A16" s="1" t="s">
        <v>1931</v>
      </c>
      <c r="B16" s="23" t="s">
        <v>3970</v>
      </c>
      <c r="C16" s="102"/>
      <c r="D16" s="74">
        <v>8580000.0</v>
      </c>
      <c r="E16" s="23" t="s">
        <v>1897</v>
      </c>
      <c r="F16" s="18">
        <v>6.0E7</v>
      </c>
      <c r="G16" s="18">
        <v>6.600000000000001E7</v>
      </c>
    </row>
    <row r="17">
      <c r="B17" s="23" t="s">
        <v>3970</v>
      </c>
      <c r="C17" s="102"/>
      <c r="D17" s="74">
        <v>1.771E7</v>
      </c>
      <c r="E17" s="23" t="s">
        <v>3971</v>
      </c>
      <c r="F17" s="23" t="s">
        <v>6238</v>
      </c>
      <c r="G17" s="18"/>
    </row>
    <row r="18">
      <c r="A18" s="1" t="s">
        <v>1965</v>
      </c>
      <c r="B18" s="1" t="s">
        <v>3997</v>
      </c>
      <c r="C18" s="78"/>
      <c r="D18" s="1">
        <v>4950000.0</v>
      </c>
      <c r="E18" s="1" t="s">
        <v>3917</v>
      </c>
      <c r="F18" s="21">
        <v>7800000.0</v>
      </c>
      <c r="G18" s="18">
        <v>8580000.0</v>
      </c>
    </row>
    <row r="19">
      <c r="B19" s="1" t="s">
        <v>3998</v>
      </c>
      <c r="C19" s="78"/>
      <c r="D19" s="1">
        <v>1650000.0</v>
      </c>
      <c r="E19" s="1" t="s">
        <v>3917</v>
      </c>
      <c r="F19" s="21">
        <v>1.04E7</v>
      </c>
      <c r="G19" s="18">
        <v>1.144E7</v>
      </c>
    </row>
    <row r="20">
      <c r="A20" s="1" t="s">
        <v>1996</v>
      </c>
      <c r="B20" s="1" t="s">
        <v>4044</v>
      </c>
      <c r="C20" s="78"/>
      <c r="D20" s="1">
        <v>5610000.0</v>
      </c>
      <c r="E20" s="1" t="s">
        <v>4045</v>
      </c>
      <c r="F20" s="21">
        <v>7800000.0</v>
      </c>
      <c r="G20" s="18">
        <v>8580000.0</v>
      </c>
    </row>
    <row r="21">
      <c r="A21" s="1" t="s">
        <v>2036</v>
      </c>
      <c r="B21" s="217" t="s">
        <v>4086</v>
      </c>
      <c r="C21" s="78"/>
      <c r="D21" s="1">
        <v>2353190.0</v>
      </c>
      <c r="E21" s="1" t="s">
        <v>4087</v>
      </c>
      <c r="F21" s="76">
        <v>2.6E7</v>
      </c>
      <c r="G21" s="76">
        <v>2.8600000000000004E7</v>
      </c>
    </row>
    <row r="22">
      <c r="A22" s="1" t="s">
        <v>4115</v>
      </c>
      <c r="B22" s="1" t="s">
        <v>4116</v>
      </c>
      <c r="D22" s="1">
        <v>291700.0</v>
      </c>
      <c r="E22" s="1" t="s">
        <v>4117</v>
      </c>
      <c r="F22" s="103"/>
      <c r="G22" s="103"/>
    </row>
    <row r="23">
      <c r="B23" s="217" t="s">
        <v>4118</v>
      </c>
      <c r="D23" s="1">
        <v>1.053517E7</v>
      </c>
      <c r="E23" s="1" t="s">
        <v>4119</v>
      </c>
    </row>
    <row r="24">
      <c r="A24" s="1" t="s">
        <v>4120</v>
      </c>
      <c r="B24" s="218" t="s">
        <v>4121</v>
      </c>
      <c r="C24" s="78"/>
      <c r="D24">
        <f t="shared" ref="D24:D25" si="1">2325000*1.1</f>
        <v>2557500</v>
      </c>
      <c r="E24" s="1" t="s">
        <v>4122</v>
      </c>
    </row>
    <row r="25">
      <c r="A25" s="1" t="s">
        <v>2069</v>
      </c>
      <c r="B25" s="218" t="s">
        <v>4121</v>
      </c>
      <c r="C25" s="78"/>
      <c r="D25">
        <f t="shared" si="1"/>
        <v>2557500</v>
      </c>
      <c r="E25" s="1" t="s">
        <v>6239</v>
      </c>
    </row>
    <row r="26">
      <c r="A26" s="1" t="s">
        <v>2159</v>
      </c>
      <c r="B26" s="1" t="s">
        <v>4165</v>
      </c>
      <c r="C26" s="78"/>
      <c r="D26" s="1">
        <v>220000.0</v>
      </c>
      <c r="E26" s="1" t="s">
        <v>4166</v>
      </c>
    </row>
    <row r="27">
      <c r="A27" s="1" t="s">
        <v>3747</v>
      </c>
      <c r="B27" s="1" t="s">
        <v>4170</v>
      </c>
      <c r="D27" s="23">
        <v>1056000.0</v>
      </c>
      <c r="E27" s="23" t="s">
        <v>4171</v>
      </c>
      <c r="F27" s="1" t="s">
        <v>6240</v>
      </c>
    </row>
    <row r="28">
      <c r="A28" s="1" t="s">
        <v>4176</v>
      </c>
      <c r="B28" s="1" t="s">
        <v>4179</v>
      </c>
      <c r="C28" s="78"/>
      <c r="D28" s="1">
        <v>330000.0</v>
      </c>
      <c r="E28" s="1" t="s">
        <v>4180</v>
      </c>
    </row>
    <row r="29">
      <c r="A29" s="1" t="s">
        <v>2170</v>
      </c>
      <c r="B29" s="1" t="s">
        <v>4187</v>
      </c>
      <c r="C29" s="34"/>
      <c r="D29" s="23">
        <v>3740000.0</v>
      </c>
      <c r="E29" s="23" t="s">
        <v>4171</v>
      </c>
      <c r="F29" s="1" t="s">
        <v>6241</v>
      </c>
    </row>
    <row r="30">
      <c r="A30" s="1" t="s">
        <v>2183</v>
      </c>
      <c r="B30" s="1" t="s">
        <v>4197</v>
      </c>
      <c r="D30" s="1">
        <v>250000.0</v>
      </c>
      <c r="E30" s="1" t="s">
        <v>4198</v>
      </c>
    </row>
    <row r="31">
      <c r="B31" s="1" t="s">
        <v>4199</v>
      </c>
      <c r="C31" s="78"/>
      <c r="D31" s="1">
        <v>2640000.0</v>
      </c>
      <c r="E31" s="1" t="s">
        <v>4200</v>
      </c>
    </row>
    <row r="32">
      <c r="A32" s="1" t="s">
        <v>3749</v>
      </c>
      <c r="B32" s="1" t="s">
        <v>4204</v>
      </c>
      <c r="C32" s="78"/>
      <c r="D32" s="1">
        <v>3960000.0</v>
      </c>
      <c r="E32" s="1" t="s">
        <v>4205</v>
      </c>
    </row>
    <row r="33">
      <c r="A33" s="1" t="s">
        <v>4216</v>
      </c>
      <c r="B33" s="1" t="s">
        <v>4217</v>
      </c>
      <c r="C33" s="78"/>
      <c r="D33" s="1">
        <v>3476000.0</v>
      </c>
      <c r="E33" s="1" t="s">
        <v>4218</v>
      </c>
    </row>
    <row r="34">
      <c r="A34" s="1" t="s">
        <v>4234</v>
      </c>
      <c r="B34" s="1" t="s">
        <v>4235</v>
      </c>
      <c r="C34" s="78"/>
      <c r="D34" s="1">
        <v>979000.0</v>
      </c>
      <c r="E34" s="1" t="s">
        <v>6242</v>
      </c>
    </row>
    <row r="35">
      <c r="A35" s="1" t="s">
        <v>2275</v>
      </c>
      <c r="B35" s="218" t="s">
        <v>4280</v>
      </c>
      <c r="C35" s="78"/>
      <c r="D35" s="1">
        <v>4400000.0</v>
      </c>
      <c r="E35" s="1" t="s">
        <v>4281</v>
      </c>
    </row>
    <row r="36">
      <c r="A36" s="1" t="s">
        <v>2282</v>
      </c>
      <c r="B36" s="218" t="s">
        <v>4291</v>
      </c>
      <c r="C36" s="78"/>
      <c r="D36" s="1">
        <v>2640000.0</v>
      </c>
      <c r="E36" s="1" t="s">
        <v>6243</v>
      </c>
    </row>
    <row r="37">
      <c r="A37" s="1" t="s">
        <v>2354</v>
      </c>
      <c r="B37" s="1" t="s">
        <v>4339</v>
      </c>
      <c r="C37" s="78"/>
      <c r="D37" s="1">
        <v>6864000.0</v>
      </c>
      <c r="E37" s="1" t="s">
        <v>4340</v>
      </c>
    </row>
    <row r="38">
      <c r="A38" s="1" t="s">
        <v>4359</v>
      </c>
      <c r="B38" s="1" t="s">
        <v>4360</v>
      </c>
      <c r="C38" s="78"/>
      <c r="D38" s="1">
        <v>846000.0</v>
      </c>
      <c r="E38" s="1" t="s">
        <v>4361</v>
      </c>
    </row>
    <row r="39">
      <c r="A39" s="1" t="s">
        <v>2385</v>
      </c>
      <c r="B39" s="1" t="s">
        <v>4363</v>
      </c>
      <c r="C39" s="78"/>
      <c r="D39" s="1">
        <v>165000.0</v>
      </c>
      <c r="E39" s="1" t="s">
        <v>6244</v>
      </c>
    </row>
    <row r="40">
      <c r="A40" s="1" t="s">
        <v>4414</v>
      </c>
      <c r="B40" s="1" t="s">
        <v>4415</v>
      </c>
      <c r="C40" s="36"/>
      <c r="D40" s="1">
        <v>539000.0</v>
      </c>
      <c r="E40" s="1" t="s">
        <v>4416</v>
      </c>
    </row>
    <row r="41">
      <c r="A41" s="1" t="s">
        <v>2477</v>
      </c>
      <c r="B41" s="218" t="s">
        <v>4429</v>
      </c>
      <c r="C41" s="36"/>
      <c r="D41" s="1">
        <v>1622500.0</v>
      </c>
      <c r="E41" s="1" t="s">
        <v>4430</v>
      </c>
    </row>
    <row r="42">
      <c r="A42" s="1" t="s">
        <v>4474</v>
      </c>
      <c r="B42" s="1" t="s">
        <v>4475</v>
      </c>
      <c r="C42" s="219"/>
      <c r="D42" s="1">
        <v>1100000.0</v>
      </c>
      <c r="E42" s="1" t="s">
        <v>4476</v>
      </c>
    </row>
    <row r="43">
      <c r="A43" s="1" t="s">
        <v>2623</v>
      </c>
      <c r="B43" s="218" t="s">
        <v>4522</v>
      </c>
      <c r="C43" s="78"/>
      <c r="D43" s="1">
        <v>990000.0</v>
      </c>
      <c r="E43" s="1" t="s">
        <v>4430</v>
      </c>
    </row>
    <row r="44">
      <c r="A44" s="1" t="s">
        <v>4523</v>
      </c>
      <c r="B44" s="218" t="s">
        <v>4524</v>
      </c>
      <c r="C44" s="80"/>
      <c r="D44" s="49">
        <v>990000.0</v>
      </c>
      <c r="E44" s="40" t="s">
        <v>4430</v>
      </c>
      <c r="F44" s="136">
        <f>SUM(D24:D25,D35:D36,D41,D43:D44)</f>
        <v>15757500</v>
      </c>
    </row>
    <row r="45">
      <c r="A45" s="1" t="s">
        <v>4532</v>
      </c>
      <c r="B45" s="1" t="s">
        <v>4533</v>
      </c>
      <c r="C45" s="78"/>
      <c r="D45" s="1">
        <v>1.287E7</v>
      </c>
      <c r="E45" s="1" t="s">
        <v>4534</v>
      </c>
    </row>
    <row r="46">
      <c r="A46" s="1" t="s">
        <v>4551</v>
      </c>
      <c r="B46" s="1" t="s">
        <v>4552</v>
      </c>
      <c r="C46" s="78"/>
      <c r="D46" s="1">
        <v>3080000.0</v>
      </c>
      <c r="E46" s="1" t="s">
        <v>4553</v>
      </c>
    </row>
    <row r="47">
      <c r="A47" s="1" t="s">
        <v>4657</v>
      </c>
      <c r="B47" s="1" t="s">
        <v>6245</v>
      </c>
      <c r="C47" s="36"/>
      <c r="D47" s="1">
        <v>3.003E7</v>
      </c>
      <c r="E47" s="1" t="s">
        <v>6246</v>
      </c>
    </row>
    <row r="48">
      <c r="A48" s="30" t="s">
        <v>4663</v>
      </c>
      <c r="B48" s="30" t="s">
        <v>4664</v>
      </c>
      <c r="C48" s="31"/>
      <c r="D48" s="30">
        <v>1830000.0</v>
      </c>
      <c r="E48" s="30" t="s">
        <v>4665</v>
      </c>
    </row>
    <row r="49">
      <c r="A49" s="31"/>
      <c r="B49" s="30" t="s">
        <v>4673</v>
      </c>
      <c r="C49" s="31"/>
      <c r="D49" s="30">
        <v>3050000.0</v>
      </c>
      <c r="E49" s="30" t="s">
        <v>4665</v>
      </c>
    </row>
    <row r="50">
      <c r="A50" s="31"/>
      <c r="B50" s="30" t="s">
        <v>4674</v>
      </c>
      <c r="C50" s="31"/>
      <c r="D50" s="30">
        <v>1220000.0</v>
      </c>
      <c r="E50" s="30" t="s">
        <v>4665</v>
      </c>
    </row>
    <row r="51">
      <c r="A51" s="31"/>
      <c r="B51" s="30" t="s">
        <v>4228</v>
      </c>
      <c r="C51" s="31"/>
      <c r="D51" s="30">
        <v>610000.0</v>
      </c>
      <c r="E51" s="30" t="s">
        <v>4675</v>
      </c>
    </row>
    <row r="52">
      <c r="A52" s="30" t="s">
        <v>4741</v>
      </c>
      <c r="B52" s="30" t="s">
        <v>4742</v>
      </c>
      <c r="C52" s="31"/>
      <c r="D52" s="30">
        <v>1000000.0</v>
      </c>
      <c r="E52" s="30" t="s">
        <v>4743</v>
      </c>
    </row>
    <row r="53">
      <c r="A53" s="1" t="s">
        <v>2926</v>
      </c>
      <c r="B53" s="30" t="s">
        <v>4742</v>
      </c>
      <c r="D53" s="30">
        <v>100000.0</v>
      </c>
      <c r="E53" s="30" t="s">
        <v>4743</v>
      </c>
    </row>
    <row r="54">
      <c r="A54" s="30" t="s">
        <v>4761</v>
      </c>
      <c r="B54" s="30" t="s">
        <v>4762</v>
      </c>
      <c r="C54" s="31"/>
      <c r="D54" s="30">
        <v>1100000.0</v>
      </c>
      <c r="E54" s="30" t="s">
        <v>4743</v>
      </c>
    </row>
    <row r="55">
      <c r="A55" s="1" t="s">
        <v>4775</v>
      </c>
      <c r="B55" s="1" t="s">
        <v>4776</v>
      </c>
      <c r="D55" s="23">
        <v>42530.0</v>
      </c>
      <c r="E55" s="1" t="s">
        <v>4777</v>
      </c>
    </row>
    <row r="56">
      <c r="A56" s="1" t="s">
        <v>4802</v>
      </c>
      <c r="B56" s="1" t="s">
        <v>4803</v>
      </c>
      <c r="D56" s="1">
        <v>385000.0</v>
      </c>
      <c r="E56" s="1" t="s">
        <v>4804</v>
      </c>
    </row>
    <row r="58">
      <c r="A58" s="1" t="s">
        <v>3421</v>
      </c>
      <c r="B58" s="1" t="s">
        <v>5119</v>
      </c>
      <c r="D58" s="1">
        <v>2.2E7</v>
      </c>
      <c r="E58" s="1" t="s">
        <v>5120</v>
      </c>
      <c r="F58" s="1" t="s">
        <v>6247</v>
      </c>
    </row>
    <row r="75">
      <c r="D75" s="18">
        <f>SUM(D10:D62)</f>
        <v>249017690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5"/>
    <col customWidth="1" min="2" max="2" width="8.63"/>
    <col customWidth="1" min="3" max="3" width="2.5"/>
    <col customWidth="1" min="4" max="4" width="7.13"/>
    <col customWidth="1" min="5" max="5" width="11.25"/>
    <col customWidth="1" min="6" max="6" width="8.63"/>
    <col customWidth="1" min="7" max="7" width="11.38"/>
    <col customWidth="1" min="8" max="8" width="10.5"/>
    <col customWidth="1" min="10" max="10" width="15.13"/>
    <col customWidth="1" min="12" max="12" width="7.88"/>
    <col customWidth="1" min="13" max="13" width="5.25"/>
    <col customWidth="1" min="14" max="14" width="25.88"/>
    <col customWidth="1" min="18" max="18" width="7.63"/>
    <col customWidth="1" min="19" max="19" width="6.88"/>
    <col customWidth="1" min="20" max="20" width="7.25"/>
    <col customWidth="1" min="21" max="21" width="8.5"/>
    <col customWidth="1" min="22" max="22" width="7.75"/>
    <col customWidth="1" min="23" max="23" width="8.0"/>
    <col customWidth="1" min="24" max="24" width="12.13"/>
    <col customWidth="1" min="25" max="30" width="10.0"/>
    <col customWidth="1" min="31" max="38" width="14.0"/>
  </cols>
  <sheetData>
    <row r="3">
      <c r="B3" s="1" t="s">
        <v>6248</v>
      </c>
      <c r="C3" s="1"/>
      <c r="E3" s="1"/>
      <c r="F3" s="1" t="s">
        <v>6249</v>
      </c>
      <c r="K3" s="1" t="s">
        <v>5279</v>
      </c>
      <c r="U3" s="1">
        <v>20347.0</v>
      </c>
    </row>
    <row r="4">
      <c r="B4">
        <f>SUM(B5:B37)</f>
        <v>1981825</v>
      </c>
      <c r="D4">
        <f>B4-F4</f>
        <v>-28348.0303</v>
      </c>
      <c r="F4">
        <f>SUM(F5:F37)</f>
        <v>2010173.03</v>
      </c>
      <c r="G4" s="1" t="s">
        <v>6250</v>
      </c>
      <c r="H4" s="1" t="s">
        <v>6251</v>
      </c>
      <c r="J4" s="1" t="s">
        <v>6252</v>
      </c>
      <c r="K4" s="1" t="s">
        <v>5983</v>
      </c>
      <c r="L4" s="1" t="s">
        <v>6062</v>
      </c>
      <c r="M4" s="1" t="s">
        <v>6253</v>
      </c>
      <c r="O4" s="1" t="s">
        <v>6254</v>
      </c>
      <c r="P4" s="1" t="s">
        <v>6255</v>
      </c>
      <c r="R4" s="1" t="s">
        <v>6256</v>
      </c>
      <c r="S4" s="1" t="s">
        <v>6257</v>
      </c>
      <c r="T4" s="1" t="s">
        <v>6030</v>
      </c>
      <c r="U4" s="1" t="s">
        <v>54</v>
      </c>
      <c r="V4" s="1" t="s">
        <v>6258</v>
      </c>
      <c r="W4" s="1" t="s">
        <v>6259</v>
      </c>
      <c r="X4" s="1" t="s">
        <v>6260</v>
      </c>
      <c r="Y4" s="1" t="s">
        <v>6261</v>
      </c>
      <c r="Z4" s="1" t="s">
        <v>6262</v>
      </c>
      <c r="AA4" s="1" t="s">
        <v>6263</v>
      </c>
      <c r="AB4" s="1" t="s">
        <v>6262</v>
      </c>
      <c r="AC4" s="1" t="s">
        <v>6264</v>
      </c>
      <c r="AD4" s="1" t="s">
        <v>6262</v>
      </c>
      <c r="AE4" s="1" t="s">
        <v>6265</v>
      </c>
      <c r="AF4" s="1" t="s">
        <v>6266</v>
      </c>
      <c r="AG4" s="1"/>
      <c r="AH4" s="1"/>
      <c r="AI4" s="1"/>
      <c r="AJ4" s="1"/>
      <c r="AK4" s="1"/>
      <c r="AL4" s="1"/>
    </row>
    <row r="5">
      <c r="A5" s="1" t="s">
        <v>6267</v>
      </c>
      <c r="B5" s="1">
        <v>650000.0</v>
      </c>
      <c r="E5" s="1" t="s">
        <v>6268</v>
      </c>
      <c r="F5" s="1">
        <v>480000.0</v>
      </c>
      <c r="G5">
        <f>F5*0.03</f>
        <v>14400</v>
      </c>
      <c r="H5" s="1" t="s">
        <v>6269</v>
      </c>
      <c r="I5" s="1" t="s">
        <v>6270</v>
      </c>
      <c r="J5" s="1" t="s">
        <v>6271</v>
      </c>
      <c r="K5" s="1" t="s">
        <v>6272</v>
      </c>
      <c r="L5" s="1">
        <v>0.0</v>
      </c>
      <c r="M5" s="1">
        <v>160.0</v>
      </c>
      <c r="N5" s="1" t="s">
        <v>6273</v>
      </c>
      <c r="O5">
        <f>M5/(I6*0.7)</f>
        <v>3.023673993</v>
      </c>
      <c r="P5">
        <f>O5*0.7</f>
        <v>2.116571795</v>
      </c>
      <c r="R5" s="1">
        <v>340000.0</v>
      </c>
      <c r="S5" s="1">
        <v>2.9</v>
      </c>
      <c r="T5" s="1">
        <v>320000.0</v>
      </c>
      <c r="U5" s="1">
        <v>20347.0</v>
      </c>
      <c r="V5">
        <f t="shared" ref="V5:V17" si="1">R5*S5/100</f>
        <v>9860</v>
      </c>
      <c r="W5">
        <f t="shared" ref="W5:W17" si="2">U5-V5</f>
        <v>10487</v>
      </c>
      <c r="X5">
        <f t="shared" ref="X5:X17" si="3">W5*0.65</f>
        <v>6816.55</v>
      </c>
      <c r="Y5">
        <f t="shared" ref="Y5:Y16" si="4">T5*0.015</f>
        <v>4800</v>
      </c>
      <c r="Z5">
        <f t="shared" ref="Z5:Z16" si="5">X5-Y5</f>
        <v>2016.55</v>
      </c>
      <c r="AA5">
        <f t="shared" ref="AA5:AA16" si="6">T5*0.05</f>
        <v>16000</v>
      </c>
      <c r="AB5">
        <f t="shared" ref="AB5:AB16" si="7">X5-AA5</f>
        <v>-9183.45</v>
      </c>
      <c r="AC5">
        <f t="shared" ref="AC5:AC16" si="8">T5*0.03</f>
        <v>9600</v>
      </c>
      <c r="AD5">
        <f t="shared" ref="AD5:AD16" si="9">X5-AC5</f>
        <v>-2783.45</v>
      </c>
      <c r="AE5">
        <f t="shared" ref="AE5:AE17" si="10">X5*100/T5</f>
        <v>2.130171875</v>
      </c>
      <c r="AF5">
        <f t="shared" ref="AF5:AF17" si="11">W5*100/T5</f>
        <v>3.2771875</v>
      </c>
    </row>
    <row r="6">
      <c r="A6" s="1" t="s">
        <v>6062</v>
      </c>
      <c r="B6" s="1">
        <v>-21000.0</v>
      </c>
      <c r="E6" s="1" t="s">
        <v>6274</v>
      </c>
      <c r="F6" s="1">
        <v>53000.0</v>
      </c>
      <c r="H6" s="1" t="s">
        <v>6275</v>
      </c>
      <c r="I6">
        <f>J6/3.3</f>
        <v>75.59393939</v>
      </c>
      <c r="J6" s="1">
        <v>249.46</v>
      </c>
      <c r="K6" s="1" t="s">
        <v>6276</v>
      </c>
      <c r="L6" s="1">
        <v>1000.0</v>
      </c>
      <c r="M6" s="1">
        <v>80.0</v>
      </c>
      <c r="R6" s="1">
        <v>340000.0</v>
      </c>
      <c r="S6" s="1">
        <v>3.0</v>
      </c>
      <c r="T6" s="1">
        <v>320000.0</v>
      </c>
      <c r="U6" s="1">
        <v>20347.0</v>
      </c>
      <c r="V6">
        <f t="shared" si="1"/>
        <v>10200</v>
      </c>
      <c r="W6">
        <f t="shared" si="2"/>
        <v>10147</v>
      </c>
      <c r="X6">
        <f t="shared" si="3"/>
        <v>6595.55</v>
      </c>
      <c r="Y6">
        <f t="shared" si="4"/>
        <v>4800</v>
      </c>
      <c r="Z6">
        <f t="shared" si="5"/>
        <v>1795.55</v>
      </c>
      <c r="AA6">
        <f t="shared" si="6"/>
        <v>16000</v>
      </c>
      <c r="AB6">
        <f t="shared" si="7"/>
        <v>-9404.45</v>
      </c>
      <c r="AC6">
        <f t="shared" si="8"/>
        <v>9600</v>
      </c>
      <c r="AD6">
        <f t="shared" si="9"/>
        <v>-3004.45</v>
      </c>
      <c r="AE6">
        <f t="shared" si="10"/>
        <v>2.061109375</v>
      </c>
      <c r="AF6">
        <f t="shared" si="11"/>
        <v>3.1709375</v>
      </c>
    </row>
    <row r="7">
      <c r="E7" s="1" t="s">
        <v>6277</v>
      </c>
      <c r="F7" s="23">
        <v>30000.0</v>
      </c>
      <c r="H7" s="1" t="s">
        <v>6278</v>
      </c>
      <c r="I7" s="1" t="s">
        <v>6279</v>
      </c>
      <c r="J7" s="1" t="s">
        <v>6280</v>
      </c>
      <c r="K7" s="1" t="s">
        <v>6281</v>
      </c>
      <c r="L7" s="1">
        <v>2000.0</v>
      </c>
      <c r="M7" s="1">
        <v>230.0</v>
      </c>
      <c r="O7">
        <f>(M7+M8)/(I8*0.7)</f>
        <v>11.32055556</v>
      </c>
      <c r="P7">
        <f>O7*0.7</f>
        <v>7.924388892</v>
      </c>
      <c r="R7" s="1">
        <v>400000.0</v>
      </c>
      <c r="S7" s="1">
        <v>3.0</v>
      </c>
      <c r="T7" s="1">
        <v>260000.0</v>
      </c>
      <c r="U7" s="1">
        <v>20347.0</v>
      </c>
      <c r="V7">
        <f t="shared" si="1"/>
        <v>12000</v>
      </c>
      <c r="W7">
        <f t="shared" si="2"/>
        <v>8347</v>
      </c>
      <c r="X7">
        <f t="shared" si="3"/>
        <v>5425.55</v>
      </c>
      <c r="Y7">
        <f t="shared" si="4"/>
        <v>3900</v>
      </c>
      <c r="Z7">
        <f t="shared" si="5"/>
        <v>1525.55</v>
      </c>
      <c r="AA7">
        <f t="shared" si="6"/>
        <v>13000</v>
      </c>
      <c r="AB7">
        <f t="shared" si="7"/>
        <v>-7574.45</v>
      </c>
      <c r="AC7">
        <f t="shared" si="8"/>
        <v>7800</v>
      </c>
      <c r="AD7">
        <f t="shared" si="9"/>
        <v>-2374.45</v>
      </c>
      <c r="AE7">
        <f t="shared" si="10"/>
        <v>2.08675</v>
      </c>
      <c r="AF7">
        <f t="shared" si="11"/>
        <v>3.210384615</v>
      </c>
    </row>
    <row r="8">
      <c r="A8" s="1" t="s">
        <v>6282</v>
      </c>
      <c r="B8" s="1">
        <v>29900.0</v>
      </c>
      <c r="E8" s="1" t="s">
        <v>6283</v>
      </c>
      <c r="F8" s="117">
        <v>13000.0</v>
      </c>
      <c r="G8">
        <f>SUM(F8:F12)</f>
        <v>57000</v>
      </c>
      <c r="H8" s="1" t="s">
        <v>6278</v>
      </c>
      <c r="I8">
        <f>J8/3.3</f>
        <v>49.21515152</v>
      </c>
      <c r="J8" s="1">
        <v>162.41</v>
      </c>
      <c r="K8" s="1"/>
      <c r="L8" s="1">
        <v>2000.0</v>
      </c>
      <c r="M8" s="1">
        <v>160.0</v>
      </c>
      <c r="R8" s="1">
        <v>400000.0</v>
      </c>
      <c r="S8" s="1">
        <v>3.2</v>
      </c>
      <c r="T8" s="1">
        <v>260000.0</v>
      </c>
      <c r="U8" s="1">
        <v>20347.0</v>
      </c>
      <c r="V8">
        <f t="shared" si="1"/>
        <v>12800</v>
      </c>
      <c r="W8">
        <f t="shared" si="2"/>
        <v>7547</v>
      </c>
      <c r="X8">
        <f t="shared" si="3"/>
        <v>4905.55</v>
      </c>
      <c r="Y8">
        <f t="shared" si="4"/>
        <v>3900</v>
      </c>
      <c r="Z8">
        <f t="shared" si="5"/>
        <v>1005.55</v>
      </c>
      <c r="AA8">
        <f t="shared" si="6"/>
        <v>13000</v>
      </c>
      <c r="AB8">
        <f t="shared" si="7"/>
        <v>-8094.45</v>
      </c>
      <c r="AC8">
        <f t="shared" si="8"/>
        <v>7800</v>
      </c>
      <c r="AD8">
        <f t="shared" si="9"/>
        <v>-2894.45</v>
      </c>
      <c r="AE8">
        <f t="shared" si="10"/>
        <v>1.88675</v>
      </c>
      <c r="AF8">
        <f t="shared" si="11"/>
        <v>2.902692308</v>
      </c>
    </row>
    <row r="9">
      <c r="A9" s="1" t="s">
        <v>6284</v>
      </c>
      <c r="B9" s="1">
        <v>2925.0</v>
      </c>
      <c r="E9" s="1" t="s">
        <v>6285</v>
      </c>
      <c r="F9" s="37">
        <v>1000.0</v>
      </c>
      <c r="H9" s="1" t="s">
        <v>6286</v>
      </c>
      <c r="I9" s="1" t="s">
        <v>6279</v>
      </c>
      <c r="J9" s="1" t="s">
        <v>6287</v>
      </c>
      <c r="K9" s="1" t="s">
        <v>5586</v>
      </c>
      <c r="L9" s="1">
        <v>3000.0</v>
      </c>
      <c r="M9" s="1">
        <v>180.0</v>
      </c>
      <c r="N9" s="1" t="s">
        <v>6288</v>
      </c>
      <c r="O9">
        <f>(M9+M10)/(I10*0.7)</f>
        <v>9.334705776</v>
      </c>
      <c r="P9">
        <f>O9*0.7</f>
        <v>6.534294043</v>
      </c>
      <c r="R9" s="1">
        <v>400000.0</v>
      </c>
      <c r="S9" s="1">
        <v>3.4</v>
      </c>
      <c r="T9" s="1">
        <v>260000.0</v>
      </c>
      <c r="U9" s="1">
        <v>20347.0</v>
      </c>
      <c r="V9">
        <f t="shared" si="1"/>
        <v>13600</v>
      </c>
      <c r="W9">
        <f t="shared" si="2"/>
        <v>6747</v>
      </c>
      <c r="X9">
        <f t="shared" si="3"/>
        <v>4385.55</v>
      </c>
      <c r="Y9">
        <f t="shared" si="4"/>
        <v>3900</v>
      </c>
      <c r="Z9">
        <f t="shared" si="5"/>
        <v>485.55</v>
      </c>
      <c r="AA9">
        <f t="shared" si="6"/>
        <v>13000</v>
      </c>
      <c r="AB9">
        <f t="shared" si="7"/>
        <v>-8614.45</v>
      </c>
      <c r="AC9">
        <f t="shared" si="8"/>
        <v>7800</v>
      </c>
      <c r="AD9">
        <f t="shared" si="9"/>
        <v>-3414.45</v>
      </c>
      <c r="AE9">
        <f t="shared" si="10"/>
        <v>1.68675</v>
      </c>
      <c r="AF9">
        <f t="shared" si="11"/>
        <v>2.595</v>
      </c>
    </row>
    <row r="10">
      <c r="E10" s="1" t="s">
        <v>6289</v>
      </c>
      <c r="F10" s="37">
        <v>25000.0</v>
      </c>
      <c r="H10" s="1" t="s">
        <v>6290</v>
      </c>
      <c r="I10">
        <f>J10/3.3</f>
        <v>55.09393939</v>
      </c>
      <c r="J10" s="70">
        <v>181.81</v>
      </c>
      <c r="K10" s="1"/>
      <c r="L10" s="1">
        <v>1000.0</v>
      </c>
      <c r="M10" s="1">
        <v>180.0</v>
      </c>
      <c r="R10" s="1">
        <v>450000.0</v>
      </c>
      <c r="S10" s="1">
        <v>3.0</v>
      </c>
      <c r="T10" s="1">
        <v>210000.0</v>
      </c>
      <c r="U10" s="1">
        <v>20347.0</v>
      </c>
      <c r="V10">
        <f t="shared" si="1"/>
        <v>13500</v>
      </c>
      <c r="W10">
        <f t="shared" si="2"/>
        <v>6847</v>
      </c>
      <c r="X10">
        <f t="shared" si="3"/>
        <v>4450.55</v>
      </c>
      <c r="Y10">
        <f t="shared" si="4"/>
        <v>3150</v>
      </c>
      <c r="Z10">
        <f t="shared" si="5"/>
        <v>1300.55</v>
      </c>
      <c r="AA10">
        <f t="shared" si="6"/>
        <v>10500</v>
      </c>
      <c r="AB10">
        <f t="shared" si="7"/>
        <v>-6049.45</v>
      </c>
      <c r="AC10">
        <f t="shared" si="8"/>
        <v>6300</v>
      </c>
      <c r="AD10">
        <f t="shared" si="9"/>
        <v>-1849.45</v>
      </c>
      <c r="AE10">
        <f t="shared" si="10"/>
        <v>2.119309524</v>
      </c>
      <c r="AF10">
        <f t="shared" si="11"/>
        <v>3.26047619</v>
      </c>
    </row>
    <row r="11">
      <c r="E11" s="1" t="s">
        <v>6291</v>
      </c>
      <c r="F11" s="37">
        <v>14000.0</v>
      </c>
      <c r="H11" s="1" t="s">
        <v>6286</v>
      </c>
      <c r="I11" s="1" t="s">
        <v>6292</v>
      </c>
      <c r="J11" s="1" t="s">
        <v>6293</v>
      </c>
      <c r="K11" s="1" t="s">
        <v>6294</v>
      </c>
      <c r="L11" s="1">
        <v>2000.0</v>
      </c>
      <c r="M11" s="1">
        <v>220.0</v>
      </c>
      <c r="O11">
        <f>(M11+M12)/(I12*0.7)</f>
        <v>10.27536014</v>
      </c>
      <c r="P11">
        <f>O11*0.7</f>
        <v>7.192752101</v>
      </c>
      <c r="R11" s="1">
        <v>450000.0</v>
      </c>
      <c r="S11" s="1">
        <v>3.2</v>
      </c>
      <c r="T11" s="1">
        <v>210000.0</v>
      </c>
      <c r="U11" s="1">
        <v>20347.0</v>
      </c>
      <c r="V11">
        <f t="shared" si="1"/>
        <v>14400</v>
      </c>
      <c r="W11">
        <f t="shared" si="2"/>
        <v>5947</v>
      </c>
      <c r="X11">
        <f t="shared" si="3"/>
        <v>3865.55</v>
      </c>
      <c r="Y11">
        <f t="shared" si="4"/>
        <v>3150</v>
      </c>
      <c r="Z11">
        <f t="shared" si="5"/>
        <v>715.55</v>
      </c>
      <c r="AA11">
        <f t="shared" si="6"/>
        <v>10500</v>
      </c>
      <c r="AB11">
        <f t="shared" si="7"/>
        <v>-6634.45</v>
      </c>
      <c r="AC11">
        <f t="shared" si="8"/>
        <v>6300</v>
      </c>
      <c r="AD11">
        <f t="shared" si="9"/>
        <v>-2434.45</v>
      </c>
      <c r="AE11">
        <f t="shared" si="10"/>
        <v>1.840738095</v>
      </c>
      <c r="AF11">
        <f t="shared" si="11"/>
        <v>2.831904762</v>
      </c>
    </row>
    <row r="12">
      <c r="E12" s="1" t="s">
        <v>1031</v>
      </c>
      <c r="F12" s="75">
        <v>4000.0</v>
      </c>
      <c r="H12" s="1" t="s">
        <v>6295</v>
      </c>
      <c r="I12">
        <f>J12/3.3</f>
        <v>57.6969697</v>
      </c>
      <c r="J12" s="1">
        <v>190.4</v>
      </c>
      <c r="K12" s="1" t="s">
        <v>6296</v>
      </c>
      <c r="L12" s="1">
        <v>2000.0</v>
      </c>
      <c r="M12" s="1">
        <v>195.0</v>
      </c>
      <c r="R12" s="1">
        <v>450000.0</v>
      </c>
      <c r="S12" s="1">
        <v>3.4</v>
      </c>
      <c r="T12" s="1">
        <v>210000.0</v>
      </c>
      <c r="U12" s="1">
        <v>20347.0</v>
      </c>
      <c r="V12">
        <f t="shared" si="1"/>
        <v>15300</v>
      </c>
      <c r="W12">
        <f t="shared" si="2"/>
        <v>5047</v>
      </c>
      <c r="X12">
        <f t="shared" si="3"/>
        <v>3280.55</v>
      </c>
      <c r="Y12">
        <f t="shared" si="4"/>
        <v>3150</v>
      </c>
      <c r="Z12">
        <f t="shared" si="5"/>
        <v>130.55</v>
      </c>
      <c r="AA12">
        <f t="shared" si="6"/>
        <v>10500</v>
      </c>
      <c r="AB12">
        <f t="shared" si="7"/>
        <v>-7219.45</v>
      </c>
      <c r="AC12">
        <f t="shared" si="8"/>
        <v>6300</v>
      </c>
      <c r="AD12">
        <f t="shared" si="9"/>
        <v>-3019.45</v>
      </c>
      <c r="AE12">
        <f t="shared" si="10"/>
        <v>1.562166667</v>
      </c>
      <c r="AF12">
        <f t="shared" si="11"/>
        <v>2.403333333</v>
      </c>
    </row>
    <row r="13">
      <c r="E13" s="1" t="s">
        <v>6297</v>
      </c>
      <c r="F13" s="23">
        <v>20000.0</v>
      </c>
      <c r="H13" s="1" t="s">
        <v>6298</v>
      </c>
      <c r="I13" s="1" t="s">
        <v>6299</v>
      </c>
      <c r="J13" s="1" t="s">
        <v>6300</v>
      </c>
      <c r="K13" s="1" t="s">
        <v>6301</v>
      </c>
      <c r="L13" s="1">
        <v>2000.0</v>
      </c>
      <c r="M13" s="1">
        <v>230.0</v>
      </c>
      <c r="O13">
        <f>(M13+M14)/(I14*0.7)</f>
        <v>10.90134285</v>
      </c>
      <c r="P13">
        <f>O13*0.7</f>
        <v>7.630939993</v>
      </c>
      <c r="R13" s="23">
        <v>500000.0</v>
      </c>
      <c r="S13" s="23">
        <v>3.0</v>
      </c>
      <c r="T13" s="23">
        <v>160000.0</v>
      </c>
      <c r="U13" s="23">
        <v>20347.0</v>
      </c>
      <c r="V13" s="18">
        <f t="shared" si="1"/>
        <v>15000</v>
      </c>
      <c r="W13" s="18">
        <f t="shared" si="2"/>
        <v>5347</v>
      </c>
      <c r="X13" s="18">
        <f t="shared" si="3"/>
        <v>3475.55</v>
      </c>
      <c r="Y13" s="18">
        <f t="shared" si="4"/>
        <v>2400</v>
      </c>
      <c r="Z13" s="18">
        <f t="shared" si="5"/>
        <v>1075.55</v>
      </c>
      <c r="AA13" s="18">
        <f t="shared" si="6"/>
        <v>8000</v>
      </c>
      <c r="AB13" s="18">
        <f t="shared" si="7"/>
        <v>-4524.45</v>
      </c>
      <c r="AC13" s="18">
        <f t="shared" si="8"/>
        <v>4800</v>
      </c>
      <c r="AD13" s="18">
        <f t="shared" si="9"/>
        <v>-1324.45</v>
      </c>
      <c r="AE13" s="18">
        <f t="shared" si="10"/>
        <v>2.17221875</v>
      </c>
      <c r="AF13" s="18">
        <f t="shared" si="11"/>
        <v>3.341875</v>
      </c>
    </row>
    <row r="14">
      <c r="E14" s="1" t="s">
        <v>6302</v>
      </c>
      <c r="F14" s="23">
        <v>10000.0</v>
      </c>
      <c r="G14" s="1" t="s">
        <v>6303</v>
      </c>
      <c r="H14" s="1" t="s">
        <v>6304</v>
      </c>
      <c r="I14">
        <f>J14/3.3</f>
        <v>52.41818182</v>
      </c>
      <c r="J14" s="1">
        <v>172.98</v>
      </c>
      <c r="K14" s="1"/>
      <c r="L14" s="1">
        <v>1500.0</v>
      </c>
      <c r="M14" s="1">
        <v>170.0</v>
      </c>
      <c r="R14" s="23">
        <v>500000.0</v>
      </c>
      <c r="S14" s="23">
        <v>3.2</v>
      </c>
      <c r="T14" s="23">
        <v>160000.0</v>
      </c>
      <c r="U14" s="23">
        <v>20347.0</v>
      </c>
      <c r="V14" s="18">
        <f t="shared" si="1"/>
        <v>16000</v>
      </c>
      <c r="W14" s="18">
        <f t="shared" si="2"/>
        <v>4347</v>
      </c>
      <c r="X14" s="18">
        <f t="shared" si="3"/>
        <v>2825.55</v>
      </c>
      <c r="Y14" s="18">
        <f t="shared" si="4"/>
        <v>2400</v>
      </c>
      <c r="Z14" s="18">
        <f t="shared" si="5"/>
        <v>425.55</v>
      </c>
      <c r="AA14" s="18">
        <f t="shared" si="6"/>
        <v>8000</v>
      </c>
      <c r="AB14" s="18">
        <f t="shared" si="7"/>
        <v>-5174.45</v>
      </c>
      <c r="AC14" s="18">
        <f t="shared" si="8"/>
        <v>4800</v>
      </c>
      <c r="AD14" s="18">
        <f t="shared" si="9"/>
        <v>-1974.45</v>
      </c>
      <c r="AE14" s="18">
        <f t="shared" si="10"/>
        <v>1.76596875</v>
      </c>
      <c r="AF14" s="18">
        <f t="shared" si="11"/>
        <v>2.716875</v>
      </c>
    </row>
    <row r="15">
      <c r="E15" s="1" t="s">
        <v>6305</v>
      </c>
      <c r="F15" s="1">
        <v>20000.0</v>
      </c>
      <c r="G15" s="1" t="s">
        <v>6306</v>
      </c>
      <c r="H15" s="1" t="s">
        <v>6307</v>
      </c>
      <c r="I15" s="1" t="s">
        <v>6299</v>
      </c>
      <c r="J15" s="1" t="s">
        <v>6308</v>
      </c>
      <c r="K15" s="1" t="s">
        <v>5485</v>
      </c>
      <c r="L15" s="1">
        <v>2000.0</v>
      </c>
      <c r="M15" s="1">
        <v>173.0</v>
      </c>
      <c r="O15">
        <f>(M15+M16+M17)/(I16*0.7)</f>
        <v>13.34173669</v>
      </c>
      <c r="P15">
        <f>O15*0.7</f>
        <v>9.339215686</v>
      </c>
      <c r="R15" s="23">
        <v>500000.0</v>
      </c>
      <c r="S15" s="23">
        <v>3.4</v>
      </c>
      <c r="T15" s="23">
        <v>160000.0</v>
      </c>
      <c r="U15" s="23">
        <v>20347.0</v>
      </c>
      <c r="V15" s="18">
        <f t="shared" si="1"/>
        <v>17000</v>
      </c>
      <c r="W15" s="18">
        <f t="shared" si="2"/>
        <v>3347</v>
      </c>
      <c r="X15" s="18">
        <f t="shared" si="3"/>
        <v>2175.55</v>
      </c>
      <c r="Y15" s="18">
        <f t="shared" si="4"/>
        <v>2400</v>
      </c>
      <c r="Z15" s="18">
        <f t="shared" si="5"/>
        <v>-224.45</v>
      </c>
      <c r="AA15" s="18">
        <f t="shared" si="6"/>
        <v>8000</v>
      </c>
      <c r="AB15" s="18">
        <f t="shared" si="7"/>
        <v>-5824.45</v>
      </c>
      <c r="AC15" s="18">
        <f t="shared" si="8"/>
        <v>4800</v>
      </c>
      <c r="AD15" s="18">
        <f t="shared" si="9"/>
        <v>-2624.45</v>
      </c>
      <c r="AE15" s="18">
        <f t="shared" si="10"/>
        <v>1.35971875</v>
      </c>
      <c r="AF15" s="18">
        <f t="shared" si="11"/>
        <v>2.091875</v>
      </c>
    </row>
    <row r="16">
      <c r="A16" s="1" t="s">
        <v>6309</v>
      </c>
      <c r="H16" s="1" t="s">
        <v>6310</v>
      </c>
      <c r="I16">
        <f>J16/3.3</f>
        <v>46.36363636</v>
      </c>
      <c r="J16" s="1">
        <v>153.0</v>
      </c>
      <c r="K16" s="1" t="s">
        <v>6311</v>
      </c>
      <c r="L16" s="1">
        <v>1000.0</v>
      </c>
      <c r="M16" s="1">
        <v>130.0</v>
      </c>
      <c r="R16" s="23">
        <v>500000.0</v>
      </c>
      <c r="S16" s="23">
        <v>3.5</v>
      </c>
      <c r="T16" s="23">
        <v>160000.0</v>
      </c>
      <c r="U16" s="23">
        <v>20347.0</v>
      </c>
      <c r="V16" s="18">
        <f t="shared" si="1"/>
        <v>17500</v>
      </c>
      <c r="W16" s="18">
        <f t="shared" si="2"/>
        <v>2847</v>
      </c>
      <c r="X16" s="18">
        <f t="shared" si="3"/>
        <v>1850.55</v>
      </c>
      <c r="Y16" s="18">
        <f t="shared" si="4"/>
        <v>2400</v>
      </c>
      <c r="Z16" s="18">
        <f t="shared" si="5"/>
        <v>-549.45</v>
      </c>
      <c r="AA16" s="18">
        <f t="shared" si="6"/>
        <v>8000</v>
      </c>
      <c r="AB16" s="18">
        <f t="shared" si="7"/>
        <v>-6149.45</v>
      </c>
      <c r="AC16" s="18">
        <f t="shared" si="8"/>
        <v>4800</v>
      </c>
      <c r="AD16" s="18">
        <f t="shared" si="9"/>
        <v>-2949.45</v>
      </c>
      <c r="AE16" s="18">
        <f t="shared" si="10"/>
        <v>1.15659375</v>
      </c>
      <c r="AF16" s="18">
        <f t="shared" si="11"/>
        <v>1.779375</v>
      </c>
    </row>
    <row r="17">
      <c r="A17" s="220"/>
      <c r="B17" s="8">
        <f>SUM(B18:B23)</f>
        <v>660000</v>
      </c>
      <c r="C17" s="8"/>
      <c r="D17" s="8"/>
      <c r="E17" s="8">
        <f>SUM(F18:F20)</f>
        <v>650000</v>
      </c>
      <c r="F17" s="221">
        <f>SUM(F18:F23)</f>
        <v>670000</v>
      </c>
      <c r="H17" s="1" t="s">
        <v>6312</v>
      </c>
      <c r="J17" s="1" t="s">
        <v>6313</v>
      </c>
      <c r="K17" s="1" t="s">
        <v>5486</v>
      </c>
      <c r="L17" s="1">
        <v>1500.0</v>
      </c>
      <c r="M17" s="1">
        <v>130.0</v>
      </c>
      <c r="R17" s="23">
        <v>500000.0</v>
      </c>
      <c r="S17" s="23">
        <v>4.0</v>
      </c>
      <c r="T17" s="23">
        <v>160000.0</v>
      </c>
      <c r="U17" s="23">
        <v>20347.0</v>
      </c>
      <c r="V17" s="18">
        <f t="shared" si="1"/>
        <v>20000</v>
      </c>
      <c r="W17" s="18">
        <f t="shared" si="2"/>
        <v>347</v>
      </c>
      <c r="X17" s="18">
        <f t="shared" si="3"/>
        <v>225.55</v>
      </c>
      <c r="Y17" s="18"/>
      <c r="Z17" s="18"/>
      <c r="AA17" s="18"/>
      <c r="AB17" s="18"/>
      <c r="AC17" s="18"/>
      <c r="AD17" s="18"/>
      <c r="AE17" s="18">
        <f t="shared" si="10"/>
        <v>0.14096875</v>
      </c>
      <c r="AF17" s="18">
        <f t="shared" si="11"/>
        <v>0.216875</v>
      </c>
    </row>
    <row r="18">
      <c r="A18" s="17" t="s">
        <v>6314</v>
      </c>
      <c r="B18" s="1">
        <v>630000.0</v>
      </c>
      <c r="E18" s="1" t="s">
        <v>6017</v>
      </c>
      <c r="F18" s="222">
        <v>480000.0</v>
      </c>
    </row>
    <row r="19">
      <c r="A19" s="17" t="s">
        <v>6315</v>
      </c>
      <c r="B19" s="1">
        <v>30000.0</v>
      </c>
      <c r="E19" s="1" t="s">
        <v>6316</v>
      </c>
      <c r="F19" s="222">
        <v>65000.0</v>
      </c>
      <c r="G19" s="1" t="s">
        <v>6317</v>
      </c>
      <c r="O19" s="1" t="s">
        <v>6318</v>
      </c>
    </row>
    <row r="20">
      <c r="A20" s="73"/>
      <c r="E20" s="1" t="s">
        <v>6319</v>
      </c>
      <c r="F20" s="222">
        <v>105000.0</v>
      </c>
      <c r="G20" s="1"/>
      <c r="O20" s="1" t="s">
        <v>6320</v>
      </c>
    </row>
    <row r="21">
      <c r="A21" s="73"/>
      <c r="E21" s="1" t="s">
        <v>6321</v>
      </c>
      <c r="F21" s="222"/>
      <c r="O21" s="1" t="s">
        <v>6322</v>
      </c>
      <c r="U21" s="1" t="s">
        <v>6323</v>
      </c>
    </row>
    <row r="22">
      <c r="A22" s="73"/>
      <c r="E22" s="1" t="s">
        <v>6305</v>
      </c>
      <c r="F22" s="222">
        <v>10000.0</v>
      </c>
      <c r="O22" s="1" t="s">
        <v>6324</v>
      </c>
      <c r="R22" s="1" t="s">
        <v>6256</v>
      </c>
      <c r="S22" s="1" t="s">
        <v>6257</v>
      </c>
      <c r="T22" s="1" t="s">
        <v>6030</v>
      </c>
      <c r="U22" s="1" t="s">
        <v>54</v>
      </c>
      <c r="V22" s="1" t="s">
        <v>6258</v>
      </c>
      <c r="W22" s="1" t="s">
        <v>6259</v>
      </c>
      <c r="X22" s="1" t="s">
        <v>6260</v>
      </c>
      <c r="Y22" s="1" t="s">
        <v>6261</v>
      </c>
      <c r="Z22" s="1" t="s">
        <v>6262</v>
      </c>
      <c r="AA22" s="1" t="s">
        <v>6263</v>
      </c>
      <c r="AB22" s="1" t="s">
        <v>6262</v>
      </c>
      <c r="AC22" s="1" t="s">
        <v>6264</v>
      </c>
      <c r="AD22" s="1" t="s">
        <v>6262</v>
      </c>
      <c r="AE22" s="1" t="s">
        <v>6265</v>
      </c>
      <c r="AF22" s="1" t="s">
        <v>6266</v>
      </c>
      <c r="AG22" s="1"/>
      <c r="AH22" s="1"/>
      <c r="AI22" s="1"/>
      <c r="AJ22" s="1"/>
      <c r="AK22" s="1"/>
      <c r="AL22" s="1"/>
    </row>
    <row r="23">
      <c r="A23" s="19"/>
      <c r="B23" s="100"/>
      <c r="C23" s="100"/>
      <c r="D23" s="100"/>
      <c r="E23" s="137" t="s">
        <v>6325</v>
      </c>
      <c r="F23" s="223">
        <v>10000.0</v>
      </c>
      <c r="J23" s="1" t="s">
        <v>6326</v>
      </c>
      <c r="K23" s="1" t="s">
        <v>6251</v>
      </c>
      <c r="R23" s="1">
        <v>340000.0</v>
      </c>
      <c r="S23" s="1">
        <v>2.9</v>
      </c>
      <c r="T23" s="1">
        <v>320000.0</v>
      </c>
      <c r="U23" s="1">
        <f t="shared" ref="U23:U33" si="13">U5*1.05</f>
        <v>21364.35</v>
      </c>
      <c r="V23">
        <f t="shared" ref="V23:V33" si="14">R23*S23/100</f>
        <v>9860</v>
      </c>
      <c r="W23">
        <f t="shared" ref="W23:W33" si="15">U23-V23</f>
        <v>11504.35</v>
      </c>
      <c r="X23">
        <f t="shared" ref="X23:X33" si="16">W23*0.65</f>
        <v>7477.8275</v>
      </c>
      <c r="Y23">
        <f t="shared" ref="Y23:Y33" si="17">T23*0.015</f>
        <v>4800</v>
      </c>
      <c r="Z23">
        <f t="shared" ref="Z23:Z33" si="18">X23-Y23</f>
        <v>2677.8275</v>
      </c>
      <c r="AA23">
        <f t="shared" ref="AA23:AA33" si="19">T23*0.05</f>
        <v>16000</v>
      </c>
      <c r="AB23">
        <f t="shared" ref="AB23:AB33" si="20">X23-AA23</f>
        <v>-8522.1725</v>
      </c>
      <c r="AC23">
        <f t="shared" ref="AC23:AC33" si="21">T23*0.03</f>
        <v>9600</v>
      </c>
      <c r="AD23">
        <f t="shared" ref="AD23:AD33" si="22">X23-AC23</f>
        <v>-2122.1725</v>
      </c>
      <c r="AE23">
        <f t="shared" ref="AE23:AE33" si="23">X23*100/T23</f>
        <v>2.336821094</v>
      </c>
      <c r="AF23">
        <f t="shared" ref="AF23:AF33" si="24">W23*100/T23</f>
        <v>3.595109375</v>
      </c>
    </row>
    <row r="24">
      <c r="I24" s="1" t="s">
        <v>6327</v>
      </c>
      <c r="J24">
        <f>SUM(J6,J8,J10,J12,J14,J16)</f>
        <v>1110.06</v>
      </c>
      <c r="K24">
        <f> J24/3.3</f>
        <v>336.3818182</v>
      </c>
      <c r="L24">
        <f t="shared" ref="L24:M24" si="12">SUM(L5:L17)</f>
        <v>21000</v>
      </c>
      <c r="M24">
        <f t="shared" si="12"/>
        <v>2238</v>
      </c>
      <c r="R24" s="1">
        <v>340000.0</v>
      </c>
      <c r="S24" s="1">
        <v>3.0</v>
      </c>
      <c r="T24" s="1">
        <v>320000.0</v>
      </c>
      <c r="U24" s="1">
        <f t="shared" si="13"/>
        <v>21364.35</v>
      </c>
      <c r="V24">
        <f t="shared" si="14"/>
        <v>10200</v>
      </c>
      <c r="W24">
        <f t="shared" si="15"/>
        <v>11164.35</v>
      </c>
      <c r="X24">
        <f t="shared" si="16"/>
        <v>7256.8275</v>
      </c>
      <c r="Y24">
        <f t="shared" si="17"/>
        <v>4800</v>
      </c>
      <c r="Z24">
        <f t="shared" si="18"/>
        <v>2456.8275</v>
      </c>
      <c r="AA24">
        <f t="shared" si="19"/>
        <v>16000</v>
      </c>
      <c r="AB24">
        <f t="shared" si="20"/>
        <v>-8743.1725</v>
      </c>
      <c r="AC24">
        <f t="shared" si="21"/>
        <v>9600</v>
      </c>
      <c r="AD24">
        <f t="shared" si="22"/>
        <v>-2343.1725</v>
      </c>
      <c r="AE24">
        <f t="shared" si="23"/>
        <v>2.267758594</v>
      </c>
      <c r="AF24">
        <f t="shared" si="24"/>
        <v>3.488859375</v>
      </c>
    </row>
    <row r="25">
      <c r="A25" s="1" t="s">
        <v>6328</v>
      </c>
      <c r="G25" s="1" t="s">
        <v>6329</v>
      </c>
      <c r="H25" s="1"/>
      <c r="I25" s="1" t="s">
        <v>6330</v>
      </c>
      <c r="J25">
        <f t="shared" ref="J25:J26" si="25">K25*3.3</f>
        <v>190.047</v>
      </c>
      <c r="K25" s="1">
        <v>57.59</v>
      </c>
      <c r="M25">
        <f>M24*12</f>
        <v>26856</v>
      </c>
      <c r="R25" s="1">
        <v>400000.0</v>
      </c>
      <c r="S25" s="1">
        <v>3.0</v>
      </c>
      <c r="T25" s="1">
        <v>260000.0</v>
      </c>
      <c r="U25" s="1">
        <f t="shared" si="13"/>
        <v>21364.35</v>
      </c>
      <c r="V25">
        <f t="shared" si="14"/>
        <v>12000</v>
      </c>
      <c r="W25">
        <f t="shared" si="15"/>
        <v>9364.35</v>
      </c>
      <c r="X25">
        <f t="shared" si="16"/>
        <v>6086.8275</v>
      </c>
      <c r="Y25">
        <f t="shared" si="17"/>
        <v>3900</v>
      </c>
      <c r="Z25">
        <f t="shared" si="18"/>
        <v>2186.8275</v>
      </c>
      <c r="AA25">
        <f t="shared" si="19"/>
        <v>13000</v>
      </c>
      <c r="AB25">
        <f t="shared" si="20"/>
        <v>-6913.1725</v>
      </c>
      <c r="AC25">
        <f t="shared" si="21"/>
        <v>7800</v>
      </c>
      <c r="AD25">
        <f t="shared" si="22"/>
        <v>-1713.1725</v>
      </c>
      <c r="AE25">
        <f t="shared" si="23"/>
        <v>2.3410875</v>
      </c>
      <c r="AF25">
        <f t="shared" si="24"/>
        <v>3.601673077</v>
      </c>
    </row>
    <row r="26">
      <c r="A26" s="1">
        <v>3217.5</v>
      </c>
      <c r="G26" s="1" t="s">
        <v>6331</v>
      </c>
      <c r="H26" s="1"/>
      <c r="I26" s="1" t="s">
        <v>6332</v>
      </c>
      <c r="J26">
        <f t="shared" si="25"/>
        <v>859.089</v>
      </c>
      <c r="K26" s="1">
        <v>260.33</v>
      </c>
      <c r="M26">
        <f>M25*0.9</f>
        <v>24170.4</v>
      </c>
      <c r="N26" s="1" t="s">
        <v>6333</v>
      </c>
      <c r="R26" s="1">
        <v>400000.0</v>
      </c>
      <c r="S26" s="1">
        <v>3.2</v>
      </c>
      <c r="T26" s="1">
        <v>260000.0</v>
      </c>
      <c r="U26" s="1">
        <f t="shared" si="13"/>
        <v>21364.35</v>
      </c>
      <c r="V26">
        <f t="shared" si="14"/>
        <v>12800</v>
      </c>
      <c r="W26">
        <f t="shared" si="15"/>
        <v>8564.35</v>
      </c>
      <c r="X26">
        <f t="shared" si="16"/>
        <v>5566.8275</v>
      </c>
      <c r="Y26">
        <f t="shared" si="17"/>
        <v>3900</v>
      </c>
      <c r="Z26">
        <f t="shared" si="18"/>
        <v>1666.8275</v>
      </c>
      <c r="AA26">
        <f t="shared" si="19"/>
        <v>13000</v>
      </c>
      <c r="AB26">
        <f t="shared" si="20"/>
        <v>-7433.1725</v>
      </c>
      <c r="AC26">
        <f t="shared" si="21"/>
        <v>7800</v>
      </c>
      <c r="AD26">
        <f t="shared" si="22"/>
        <v>-2233.1725</v>
      </c>
      <c r="AE26">
        <f t="shared" si="23"/>
        <v>2.1410875</v>
      </c>
      <c r="AF26">
        <f t="shared" si="24"/>
        <v>3.293980769</v>
      </c>
    </row>
    <row r="27">
      <c r="I27" s="1" t="s">
        <v>6334</v>
      </c>
      <c r="L27" s="1">
        <f>650000*0.7*0.0025</f>
        <v>1137.5</v>
      </c>
      <c r="M27">
        <f>M26-L27</f>
        <v>23032.9</v>
      </c>
      <c r="N27" s="1" t="s">
        <v>6335</v>
      </c>
      <c r="R27" s="1">
        <v>400000.0</v>
      </c>
      <c r="S27" s="1">
        <v>3.4</v>
      </c>
      <c r="T27" s="1">
        <v>260000.0</v>
      </c>
      <c r="U27" s="1">
        <f t="shared" si="13"/>
        <v>21364.35</v>
      </c>
      <c r="V27">
        <f t="shared" si="14"/>
        <v>13600</v>
      </c>
      <c r="W27">
        <f t="shared" si="15"/>
        <v>7764.35</v>
      </c>
      <c r="X27">
        <f t="shared" si="16"/>
        <v>5046.8275</v>
      </c>
      <c r="Y27">
        <f t="shared" si="17"/>
        <v>3900</v>
      </c>
      <c r="Z27">
        <f t="shared" si="18"/>
        <v>1146.8275</v>
      </c>
      <c r="AA27">
        <f t="shared" si="19"/>
        <v>13000</v>
      </c>
      <c r="AB27">
        <f t="shared" si="20"/>
        <v>-7953.1725</v>
      </c>
      <c r="AC27">
        <f t="shared" si="21"/>
        <v>7800</v>
      </c>
      <c r="AD27">
        <f t="shared" si="22"/>
        <v>-2753.1725</v>
      </c>
      <c r="AE27">
        <f t="shared" si="23"/>
        <v>1.9410875</v>
      </c>
      <c r="AF27">
        <f t="shared" si="24"/>
        <v>2.986288462</v>
      </c>
    </row>
    <row r="28">
      <c r="I28" s="1" t="s">
        <v>6336</v>
      </c>
      <c r="M28">
        <f>M27-1200</f>
        <v>21832.9</v>
      </c>
      <c r="R28" s="1">
        <v>450000.0</v>
      </c>
      <c r="S28" s="1">
        <v>3.0</v>
      </c>
      <c r="T28" s="1">
        <v>210000.0</v>
      </c>
      <c r="U28" s="1">
        <f t="shared" si="13"/>
        <v>21364.35</v>
      </c>
      <c r="V28">
        <f t="shared" si="14"/>
        <v>13500</v>
      </c>
      <c r="W28">
        <f t="shared" si="15"/>
        <v>7864.35</v>
      </c>
      <c r="X28">
        <f t="shared" si="16"/>
        <v>5111.8275</v>
      </c>
      <c r="Y28">
        <f t="shared" si="17"/>
        <v>3150</v>
      </c>
      <c r="Z28">
        <f t="shared" si="18"/>
        <v>1961.8275</v>
      </c>
      <c r="AA28">
        <f t="shared" si="19"/>
        <v>10500</v>
      </c>
      <c r="AB28">
        <f t="shared" si="20"/>
        <v>-5388.1725</v>
      </c>
      <c r="AC28">
        <f t="shared" si="21"/>
        <v>6300</v>
      </c>
      <c r="AD28">
        <f t="shared" si="22"/>
        <v>-1188.1725</v>
      </c>
      <c r="AE28">
        <f t="shared" si="23"/>
        <v>2.434203571</v>
      </c>
      <c r="AF28">
        <f t="shared" si="24"/>
        <v>3.744928571</v>
      </c>
    </row>
    <row r="29">
      <c r="I29" s="1" t="s">
        <v>6337</v>
      </c>
      <c r="N29" s="1"/>
      <c r="R29" s="1">
        <v>450000.0</v>
      </c>
      <c r="S29" s="1">
        <v>3.2</v>
      </c>
      <c r="T29" s="1">
        <v>210000.0</v>
      </c>
      <c r="U29" s="1">
        <f t="shared" si="13"/>
        <v>21364.35</v>
      </c>
      <c r="V29">
        <f t="shared" si="14"/>
        <v>14400</v>
      </c>
      <c r="W29">
        <f t="shared" si="15"/>
        <v>6964.35</v>
      </c>
      <c r="X29">
        <f t="shared" si="16"/>
        <v>4526.8275</v>
      </c>
      <c r="Y29">
        <f t="shared" si="17"/>
        <v>3150</v>
      </c>
      <c r="Z29">
        <f t="shared" si="18"/>
        <v>1376.8275</v>
      </c>
      <c r="AA29">
        <f t="shared" si="19"/>
        <v>10500</v>
      </c>
      <c r="AB29">
        <f t="shared" si="20"/>
        <v>-5973.1725</v>
      </c>
      <c r="AC29">
        <f t="shared" si="21"/>
        <v>6300</v>
      </c>
      <c r="AD29">
        <f t="shared" si="22"/>
        <v>-1773.1725</v>
      </c>
      <c r="AE29">
        <f t="shared" si="23"/>
        <v>2.155632143</v>
      </c>
      <c r="AF29">
        <f t="shared" si="24"/>
        <v>3.316357143</v>
      </c>
    </row>
    <row r="30">
      <c r="I30" s="1" t="s">
        <v>6338</v>
      </c>
      <c r="N30" s="23" t="s">
        <v>6339</v>
      </c>
      <c r="R30" s="1">
        <v>450000.0</v>
      </c>
      <c r="S30" s="1">
        <v>3.4</v>
      </c>
      <c r="T30" s="1">
        <v>210000.0</v>
      </c>
      <c r="U30" s="1">
        <f t="shared" si="13"/>
        <v>21364.35</v>
      </c>
      <c r="V30">
        <f t="shared" si="14"/>
        <v>15300</v>
      </c>
      <c r="W30">
        <f t="shared" si="15"/>
        <v>6064.35</v>
      </c>
      <c r="X30">
        <f t="shared" si="16"/>
        <v>3941.8275</v>
      </c>
      <c r="Y30">
        <f t="shared" si="17"/>
        <v>3150</v>
      </c>
      <c r="Z30">
        <f t="shared" si="18"/>
        <v>791.8275</v>
      </c>
      <c r="AA30">
        <f t="shared" si="19"/>
        <v>10500</v>
      </c>
      <c r="AB30">
        <f t="shared" si="20"/>
        <v>-6558.1725</v>
      </c>
      <c r="AC30">
        <f t="shared" si="21"/>
        <v>6300</v>
      </c>
      <c r="AD30">
        <f t="shared" si="22"/>
        <v>-2358.1725</v>
      </c>
      <c r="AE30">
        <f t="shared" si="23"/>
        <v>1.877060714</v>
      </c>
      <c r="AF30">
        <f t="shared" si="24"/>
        <v>2.887785714</v>
      </c>
    </row>
    <row r="31">
      <c r="I31" s="1" t="s">
        <v>6340</v>
      </c>
      <c r="N31" s="23" t="s">
        <v>6341</v>
      </c>
      <c r="R31" s="52">
        <v>500000.0</v>
      </c>
      <c r="S31" s="11">
        <v>3.0</v>
      </c>
      <c r="T31" s="11">
        <v>160000.0</v>
      </c>
      <c r="U31" s="11">
        <f t="shared" si="13"/>
        <v>21364.35</v>
      </c>
      <c r="V31" s="8">
        <f t="shared" si="14"/>
        <v>15000</v>
      </c>
      <c r="W31" s="8">
        <f t="shared" si="15"/>
        <v>6364.35</v>
      </c>
      <c r="X31" s="8">
        <f t="shared" si="16"/>
        <v>4136.8275</v>
      </c>
      <c r="Y31" s="8">
        <f t="shared" si="17"/>
        <v>2400</v>
      </c>
      <c r="Z31" s="8">
        <f t="shared" si="18"/>
        <v>1736.8275</v>
      </c>
      <c r="AA31" s="8">
        <f t="shared" si="19"/>
        <v>8000</v>
      </c>
      <c r="AB31" s="8">
        <f t="shared" si="20"/>
        <v>-3863.1725</v>
      </c>
      <c r="AC31" s="8">
        <f t="shared" si="21"/>
        <v>4800</v>
      </c>
      <c r="AD31" s="8">
        <f t="shared" si="22"/>
        <v>-663.1725</v>
      </c>
      <c r="AE31" s="8">
        <f t="shared" si="23"/>
        <v>2.585517188</v>
      </c>
      <c r="AF31" s="221">
        <f t="shared" si="24"/>
        <v>3.97771875</v>
      </c>
    </row>
    <row r="32">
      <c r="I32" s="1" t="s">
        <v>6342</v>
      </c>
      <c r="J32" s="1">
        <v>388.3</v>
      </c>
      <c r="K32">
        <f> J32/3.3</f>
        <v>117.6666667</v>
      </c>
      <c r="N32" s="23" t="s">
        <v>6343</v>
      </c>
      <c r="R32" s="1">
        <v>500000.0</v>
      </c>
      <c r="S32" s="1">
        <v>3.2</v>
      </c>
      <c r="T32" s="1">
        <v>160000.0</v>
      </c>
      <c r="U32" s="1">
        <f t="shared" si="13"/>
        <v>21364.35</v>
      </c>
      <c r="V32">
        <f t="shared" si="14"/>
        <v>16000</v>
      </c>
      <c r="W32">
        <f t="shared" si="15"/>
        <v>5364.35</v>
      </c>
      <c r="X32">
        <f t="shared" si="16"/>
        <v>3486.8275</v>
      </c>
      <c r="Y32">
        <f t="shared" si="17"/>
        <v>2400</v>
      </c>
      <c r="Z32">
        <f t="shared" si="18"/>
        <v>1086.8275</v>
      </c>
      <c r="AA32">
        <f t="shared" si="19"/>
        <v>8000</v>
      </c>
      <c r="AB32">
        <f t="shared" si="20"/>
        <v>-4513.1725</v>
      </c>
      <c r="AC32">
        <f t="shared" si="21"/>
        <v>4800</v>
      </c>
      <c r="AD32">
        <f t="shared" si="22"/>
        <v>-1313.1725</v>
      </c>
      <c r="AE32">
        <f t="shared" si="23"/>
        <v>2.179267188</v>
      </c>
      <c r="AF32">
        <f t="shared" si="24"/>
        <v>3.35271875</v>
      </c>
    </row>
    <row r="33">
      <c r="N33" s="23" t="s">
        <v>6344</v>
      </c>
      <c r="R33" s="1">
        <v>500000.0</v>
      </c>
      <c r="S33" s="1">
        <v>3.4</v>
      </c>
      <c r="T33" s="1">
        <v>160000.0</v>
      </c>
      <c r="U33" s="1">
        <f t="shared" si="13"/>
        <v>21364.35</v>
      </c>
      <c r="V33">
        <f t="shared" si="14"/>
        <v>17000</v>
      </c>
      <c r="W33">
        <f t="shared" si="15"/>
        <v>4364.35</v>
      </c>
      <c r="X33">
        <f t="shared" si="16"/>
        <v>2836.8275</v>
      </c>
      <c r="Y33">
        <f t="shared" si="17"/>
        <v>2400</v>
      </c>
      <c r="Z33">
        <f t="shared" si="18"/>
        <v>436.8275</v>
      </c>
      <c r="AA33">
        <f t="shared" si="19"/>
        <v>8000</v>
      </c>
      <c r="AB33">
        <f t="shared" si="20"/>
        <v>-5163.1725</v>
      </c>
      <c r="AC33">
        <f t="shared" si="21"/>
        <v>4800</v>
      </c>
      <c r="AD33">
        <f t="shared" si="22"/>
        <v>-1963.1725</v>
      </c>
      <c r="AE33">
        <f t="shared" si="23"/>
        <v>1.773017188</v>
      </c>
      <c r="AF33">
        <f t="shared" si="24"/>
        <v>2.72771875</v>
      </c>
    </row>
    <row r="35">
      <c r="F35" s="15" t="s">
        <v>6251</v>
      </c>
      <c r="G35" s="130" t="s">
        <v>6345</v>
      </c>
      <c r="H35" s="16" t="s">
        <v>6326</v>
      </c>
    </row>
    <row r="36">
      <c r="F36" s="73">
        <f t="shared" ref="F36:F38" si="26">H36/3.3</f>
        <v>107.8787879</v>
      </c>
      <c r="G36" s="1" t="s">
        <v>6346</v>
      </c>
      <c r="H36" s="222">
        <v>356.0</v>
      </c>
    </row>
    <row r="37">
      <c r="F37" s="73">
        <f t="shared" si="26"/>
        <v>65.15151515</v>
      </c>
      <c r="G37" s="1" t="s">
        <v>6347</v>
      </c>
      <c r="H37" s="222">
        <v>215.0</v>
      </c>
    </row>
    <row r="38">
      <c r="F38" s="19">
        <f t="shared" si="26"/>
        <v>43.63636364</v>
      </c>
      <c r="G38" s="137" t="s">
        <v>6348</v>
      </c>
      <c r="H38" s="223">
        <v>144.0</v>
      </c>
      <c r="U38" s="1" t="s">
        <v>6349</v>
      </c>
    </row>
    <row r="39">
      <c r="R39" s="1" t="s">
        <v>6256</v>
      </c>
      <c r="S39" s="1" t="s">
        <v>6257</v>
      </c>
      <c r="T39" s="1" t="s">
        <v>6030</v>
      </c>
      <c r="U39" s="1" t="s">
        <v>54</v>
      </c>
      <c r="V39" s="1" t="s">
        <v>6258</v>
      </c>
      <c r="W39" s="1" t="s">
        <v>6259</v>
      </c>
      <c r="X39" s="1" t="s">
        <v>6260</v>
      </c>
      <c r="Y39" s="1" t="s">
        <v>6261</v>
      </c>
      <c r="Z39" s="1" t="s">
        <v>6262</v>
      </c>
      <c r="AA39" s="1" t="s">
        <v>6263</v>
      </c>
      <c r="AB39" s="1" t="s">
        <v>6262</v>
      </c>
      <c r="AC39" s="1" t="s">
        <v>6264</v>
      </c>
      <c r="AD39" s="1" t="s">
        <v>6262</v>
      </c>
      <c r="AE39" s="1" t="s">
        <v>6265</v>
      </c>
      <c r="AF39" s="1" t="s">
        <v>6266</v>
      </c>
    </row>
    <row r="40">
      <c r="R40" s="1">
        <v>340000.0</v>
      </c>
      <c r="S40" s="1">
        <v>2.9</v>
      </c>
      <c r="T40" s="1">
        <v>320000.0</v>
      </c>
      <c r="U40" s="1">
        <f t="shared" ref="U40:U50" si="27">U5*1.1</f>
        <v>22381.7</v>
      </c>
      <c r="V40">
        <f t="shared" ref="V40:V50" si="28">R40*S40/100</f>
        <v>9860</v>
      </c>
      <c r="W40">
        <f t="shared" ref="W40:W50" si="29">U40-V40</f>
        <v>12521.7</v>
      </c>
      <c r="X40">
        <f t="shared" ref="X40:X50" si="30">W40*0.65</f>
        <v>8139.105</v>
      </c>
      <c r="Y40">
        <f t="shared" ref="Y40:Y50" si="31">T40*0.015</f>
        <v>4800</v>
      </c>
      <c r="Z40">
        <f t="shared" ref="Z40:Z50" si="32">X40-Y40</f>
        <v>3339.105</v>
      </c>
      <c r="AA40">
        <f t="shared" ref="AA40:AA50" si="33">T40*0.05</f>
        <v>16000</v>
      </c>
      <c r="AB40">
        <f t="shared" ref="AB40:AB50" si="34">X40-AA40</f>
        <v>-7860.895</v>
      </c>
      <c r="AC40">
        <f t="shared" ref="AC40:AC50" si="35">T40*0.03</f>
        <v>9600</v>
      </c>
      <c r="AD40">
        <f t="shared" ref="AD40:AD50" si="36">X40-AC40</f>
        <v>-1460.895</v>
      </c>
      <c r="AE40">
        <f t="shared" ref="AE40:AE50" si="37">X40*100/T40</f>
        <v>2.543470313</v>
      </c>
      <c r="AF40">
        <f t="shared" ref="AF40:AF50" si="38">W40*100/T40</f>
        <v>3.91303125</v>
      </c>
    </row>
    <row r="41">
      <c r="R41" s="1">
        <v>340000.0</v>
      </c>
      <c r="S41" s="1">
        <v>3.0</v>
      </c>
      <c r="T41" s="1">
        <v>320000.0</v>
      </c>
      <c r="U41" s="1">
        <f t="shared" si="27"/>
        <v>22381.7</v>
      </c>
      <c r="V41">
        <f t="shared" si="28"/>
        <v>10200</v>
      </c>
      <c r="W41">
        <f t="shared" si="29"/>
        <v>12181.7</v>
      </c>
      <c r="X41">
        <f t="shared" si="30"/>
        <v>7918.105</v>
      </c>
      <c r="Y41">
        <f t="shared" si="31"/>
        <v>4800</v>
      </c>
      <c r="Z41">
        <f t="shared" si="32"/>
        <v>3118.105</v>
      </c>
      <c r="AA41">
        <f t="shared" si="33"/>
        <v>16000</v>
      </c>
      <c r="AB41">
        <f t="shared" si="34"/>
        <v>-8081.895</v>
      </c>
      <c r="AC41">
        <f t="shared" si="35"/>
        <v>9600</v>
      </c>
      <c r="AD41">
        <f t="shared" si="36"/>
        <v>-1681.895</v>
      </c>
      <c r="AE41">
        <f t="shared" si="37"/>
        <v>2.474407813</v>
      </c>
      <c r="AF41">
        <f t="shared" si="38"/>
        <v>3.80678125</v>
      </c>
    </row>
    <row r="42">
      <c r="F42" s="1" t="s">
        <v>6345</v>
      </c>
      <c r="H42" s="1" t="s">
        <v>6350</v>
      </c>
      <c r="R42" s="1">
        <v>400000.0</v>
      </c>
      <c r="S42" s="1">
        <v>3.0</v>
      </c>
      <c r="T42" s="1">
        <v>260000.0</v>
      </c>
      <c r="U42" s="1">
        <f t="shared" si="27"/>
        <v>22381.7</v>
      </c>
      <c r="V42">
        <f t="shared" si="28"/>
        <v>12000</v>
      </c>
      <c r="W42">
        <f t="shared" si="29"/>
        <v>10381.7</v>
      </c>
      <c r="X42">
        <f t="shared" si="30"/>
        <v>6748.105</v>
      </c>
      <c r="Y42">
        <f t="shared" si="31"/>
        <v>3900</v>
      </c>
      <c r="Z42">
        <f t="shared" si="32"/>
        <v>2848.105</v>
      </c>
      <c r="AA42">
        <f t="shared" si="33"/>
        <v>13000</v>
      </c>
      <c r="AB42">
        <f t="shared" si="34"/>
        <v>-6251.895</v>
      </c>
      <c r="AC42">
        <f t="shared" si="35"/>
        <v>7800</v>
      </c>
      <c r="AD42">
        <f t="shared" si="36"/>
        <v>-1051.895</v>
      </c>
      <c r="AE42">
        <f t="shared" si="37"/>
        <v>2.595425</v>
      </c>
      <c r="AF42">
        <f t="shared" si="38"/>
        <v>3.992961538</v>
      </c>
    </row>
    <row r="43">
      <c r="F43" s="1">
        <v>600.0</v>
      </c>
      <c r="G43" s="1" t="s">
        <v>6351</v>
      </c>
      <c r="H43" s="1">
        <v>336.0</v>
      </c>
      <c r="R43" s="1">
        <v>400000.0</v>
      </c>
      <c r="S43" s="1">
        <v>3.2</v>
      </c>
      <c r="T43" s="1">
        <v>260000.0</v>
      </c>
      <c r="U43" s="1">
        <f t="shared" si="27"/>
        <v>22381.7</v>
      </c>
      <c r="V43">
        <f t="shared" si="28"/>
        <v>12800</v>
      </c>
      <c r="W43">
        <f t="shared" si="29"/>
        <v>9581.7</v>
      </c>
      <c r="X43">
        <f t="shared" si="30"/>
        <v>6228.105</v>
      </c>
      <c r="Y43">
        <f t="shared" si="31"/>
        <v>3900</v>
      </c>
      <c r="Z43">
        <f t="shared" si="32"/>
        <v>2328.105</v>
      </c>
      <c r="AA43">
        <f t="shared" si="33"/>
        <v>13000</v>
      </c>
      <c r="AB43">
        <f t="shared" si="34"/>
        <v>-6771.895</v>
      </c>
      <c r="AC43">
        <f t="shared" si="35"/>
        <v>7800</v>
      </c>
      <c r="AD43">
        <f t="shared" si="36"/>
        <v>-1571.895</v>
      </c>
      <c r="AE43">
        <f t="shared" si="37"/>
        <v>2.395425</v>
      </c>
      <c r="AF43">
        <f t="shared" si="38"/>
        <v>3.685269231</v>
      </c>
    </row>
    <row r="44">
      <c r="F44" s="1">
        <v>80.0</v>
      </c>
      <c r="G44" s="1" t="s">
        <v>6330</v>
      </c>
      <c r="H44" s="1">
        <v>57.0</v>
      </c>
      <c r="R44" s="1">
        <v>400000.0</v>
      </c>
      <c r="S44" s="1">
        <v>3.4</v>
      </c>
      <c r="T44" s="1">
        <v>260000.0</v>
      </c>
      <c r="U44" s="1">
        <f t="shared" si="27"/>
        <v>22381.7</v>
      </c>
      <c r="V44">
        <f t="shared" si="28"/>
        <v>13600</v>
      </c>
      <c r="W44">
        <f t="shared" si="29"/>
        <v>8781.7</v>
      </c>
      <c r="X44">
        <f t="shared" si="30"/>
        <v>5708.105</v>
      </c>
      <c r="Y44">
        <f t="shared" si="31"/>
        <v>3900</v>
      </c>
      <c r="Z44">
        <f t="shared" si="32"/>
        <v>1808.105</v>
      </c>
      <c r="AA44">
        <f t="shared" si="33"/>
        <v>13000</v>
      </c>
      <c r="AB44">
        <f t="shared" si="34"/>
        <v>-7291.895</v>
      </c>
      <c r="AC44">
        <f t="shared" si="35"/>
        <v>7800</v>
      </c>
      <c r="AD44">
        <f t="shared" si="36"/>
        <v>-2091.895</v>
      </c>
      <c r="AE44">
        <f t="shared" si="37"/>
        <v>2.195425</v>
      </c>
      <c r="AF44">
        <f t="shared" si="38"/>
        <v>3.377576923</v>
      </c>
    </row>
    <row r="45">
      <c r="F45" s="1">
        <v>500.0</v>
      </c>
      <c r="G45" s="1" t="s">
        <v>6332</v>
      </c>
      <c r="H45" s="1">
        <v>260.0</v>
      </c>
      <c r="R45" s="1">
        <v>450000.0</v>
      </c>
      <c r="S45" s="1">
        <v>3.0</v>
      </c>
      <c r="T45" s="1">
        <v>210000.0</v>
      </c>
      <c r="U45" s="1">
        <f t="shared" si="27"/>
        <v>22381.7</v>
      </c>
      <c r="V45">
        <f t="shared" si="28"/>
        <v>13500</v>
      </c>
      <c r="W45">
        <f t="shared" si="29"/>
        <v>8881.7</v>
      </c>
      <c r="X45">
        <f t="shared" si="30"/>
        <v>5773.105</v>
      </c>
      <c r="Y45">
        <f t="shared" si="31"/>
        <v>3150</v>
      </c>
      <c r="Z45">
        <f t="shared" si="32"/>
        <v>2623.105</v>
      </c>
      <c r="AA45">
        <f t="shared" si="33"/>
        <v>10500</v>
      </c>
      <c r="AB45">
        <f t="shared" si="34"/>
        <v>-4726.895</v>
      </c>
      <c r="AC45">
        <f t="shared" si="35"/>
        <v>6300</v>
      </c>
      <c r="AD45">
        <f t="shared" si="36"/>
        <v>-526.895</v>
      </c>
      <c r="AE45">
        <f t="shared" si="37"/>
        <v>2.749097619</v>
      </c>
      <c r="AF45">
        <f t="shared" si="38"/>
        <v>4.229380952</v>
      </c>
    </row>
    <row r="46">
      <c r="F46" s="1">
        <v>250.0</v>
      </c>
      <c r="G46" s="1" t="s">
        <v>6342</v>
      </c>
      <c r="H46" s="1">
        <v>118.0</v>
      </c>
      <c r="R46" s="1">
        <v>450000.0</v>
      </c>
      <c r="S46" s="1">
        <v>3.2</v>
      </c>
      <c r="T46" s="1">
        <v>210000.0</v>
      </c>
      <c r="U46" s="1">
        <f t="shared" si="27"/>
        <v>22381.7</v>
      </c>
      <c r="V46">
        <f t="shared" si="28"/>
        <v>14400</v>
      </c>
      <c r="W46">
        <f t="shared" si="29"/>
        <v>7981.7</v>
      </c>
      <c r="X46">
        <f t="shared" si="30"/>
        <v>5188.105</v>
      </c>
      <c r="Y46">
        <f t="shared" si="31"/>
        <v>3150</v>
      </c>
      <c r="Z46">
        <f t="shared" si="32"/>
        <v>2038.105</v>
      </c>
      <c r="AA46">
        <f t="shared" si="33"/>
        <v>10500</v>
      </c>
      <c r="AB46">
        <f t="shared" si="34"/>
        <v>-5311.895</v>
      </c>
      <c r="AC46">
        <f t="shared" si="35"/>
        <v>6300</v>
      </c>
      <c r="AD46">
        <f t="shared" si="36"/>
        <v>-1111.895</v>
      </c>
      <c r="AE46">
        <f t="shared" si="37"/>
        <v>2.47052619</v>
      </c>
      <c r="AF46">
        <f t="shared" si="38"/>
        <v>3.800809524</v>
      </c>
    </row>
    <row r="47">
      <c r="F47" s="1">
        <v>10.0</v>
      </c>
      <c r="G47" s="1" t="s">
        <v>6352</v>
      </c>
      <c r="H47" s="1">
        <v>6.0</v>
      </c>
      <c r="R47" s="1">
        <v>450000.0</v>
      </c>
      <c r="S47" s="1">
        <v>3.4</v>
      </c>
      <c r="T47" s="1">
        <v>210000.0</v>
      </c>
      <c r="U47" s="1">
        <f t="shared" si="27"/>
        <v>22381.7</v>
      </c>
      <c r="V47">
        <f t="shared" si="28"/>
        <v>15300</v>
      </c>
      <c r="W47">
        <f t="shared" si="29"/>
        <v>7081.7</v>
      </c>
      <c r="X47">
        <f t="shared" si="30"/>
        <v>4603.105</v>
      </c>
      <c r="Y47">
        <f t="shared" si="31"/>
        <v>3150</v>
      </c>
      <c r="Z47">
        <f t="shared" si="32"/>
        <v>1453.105</v>
      </c>
      <c r="AA47">
        <f t="shared" si="33"/>
        <v>10500</v>
      </c>
      <c r="AB47">
        <f t="shared" si="34"/>
        <v>-5896.895</v>
      </c>
      <c r="AC47">
        <f t="shared" si="35"/>
        <v>6300</v>
      </c>
      <c r="AD47">
        <f t="shared" si="36"/>
        <v>-1696.895</v>
      </c>
      <c r="AE47">
        <f t="shared" si="37"/>
        <v>2.191954762</v>
      </c>
      <c r="AF47">
        <f t="shared" si="38"/>
        <v>3.372238095</v>
      </c>
    </row>
    <row r="48">
      <c r="F48" s="1">
        <v>17.0</v>
      </c>
      <c r="G48" s="1" t="s">
        <v>6353</v>
      </c>
      <c r="H48" s="1">
        <v>7.0</v>
      </c>
      <c r="R48" s="52">
        <v>500000.0</v>
      </c>
      <c r="S48" s="11">
        <v>3.0</v>
      </c>
      <c r="T48" s="11">
        <v>160000.0</v>
      </c>
      <c r="U48" s="11">
        <f t="shared" si="27"/>
        <v>22381.7</v>
      </c>
      <c r="V48" s="8">
        <f t="shared" si="28"/>
        <v>15000</v>
      </c>
      <c r="W48" s="8">
        <f t="shared" si="29"/>
        <v>7381.7</v>
      </c>
      <c r="X48" s="8">
        <f t="shared" si="30"/>
        <v>4798.105</v>
      </c>
      <c r="Y48" s="8">
        <f t="shared" si="31"/>
        <v>2400</v>
      </c>
      <c r="Z48" s="8">
        <f t="shared" si="32"/>
        <v>2398.105</v>
      </c>
      <c r="AA48" s="8">
        <f t="shared" si="33"/>
        <v>8000</v>
      </c>
      <c r="AB48" s="8">
        <f t="shared" si="34"/>
        <v>-3201.895</v>
      </c>
      <c r="AC48" s="8">
        <f t="shared" si="35"/>
        <v>4800</v>
      </c>
      <c r="AD48" s="8">
        <f t="shared" si="36"/>
        <v>-1.895</v>
      </c>
      <c r="AE48" s="8">
        <f t="shared" si="37"/>
        <v>2.998815625</v>
      </c>
      <c r="AF48" s="221">
        <f t="shared" si="38"/>
        <v>4.6135625</v>
      </c>
    </row>
    <row r="49">
      <c r="R49" s="1">
        <v>500000.0</v>
      </c>
      <c r="S49" s="1">
        <v>3.2</v>
      </c>
      <c r="T49" s="1">
        <v>160000.0</v>
      </c>
      <c r="U49" s="1">
        <f t="shared" si="27"/>
        <v>22381.7</v>
      </c>
      <c r="V49">
        <f t="shared" si="28"/>
        <v>16000</v>
      </c>
      <c r="W49">
        <f t="shared" si="29"/>
        <v>6381.7</v>
      </c>
      <c r="X49">
        <f t="shared" si="30"/>
        <v>4148.105</v>
      </c>
      <c r="Y49">
        <f t="shared" si="31"/>
        <v>2400</v>
      </c>
      <c r="Z49">
        <f t="shared" si="32"/>
        <v>1748.105</v>
      </c>
      <c r="AA49">
        <f t="shared" si="33"/>
        <v>8000</v>
      </c>
      <c r="AB49">
        <f t="shared" si="34"/>
        <v>-3851.895</v>
      </c>
      <c r="AC49">
        <f t="shared" si="35"/>
        <v>4800</v>
      </c>
      <c r="AD49">
        <f t="shared" si="36"/>
        <v>-651.895</v>
      </c>
      <c r="AE49">
        <f t="shared" si="37"/>
        <v>2.592565625</v>
      </c>
      <c r="AF49">
        <f t="shared" si="38"/>
        <v>3.9885625</v>
      </c>
    </row>
    <row r="50">
      <c r="R50" s="1">
        <v>500000.0</v>
      </c>
      <c r="S50" s="1">
        <v>3.4</v>
      </c>
      <c r="T50" s="1">
        <v>160000.0</v>
      </c>
      <c r="U50" s="1">
        <f t="shared" si="27"/>
        <v>22381.7</v>
      </c>
      <c r="V50">
        <f t="shared" si="28"/>
        <v>17000</v>
      </c>
      <c r="W50">
        <f t="shared" si="29"/>
        <v>5381.7</v>
      </c>
      <c r="X50">
        <f t="shared" si="30"/>
        <v>3498.105</v>
      </c>
      <c r="Y50">
        <f t="shared" si="31"/>
        <v>2400</v>
      </c>
      <c r="Z50">
        <f t="shared" si="32"/>
        <v>1098.105</v>
      </c>
      <c r="AA50">
        <f t="shared" si="33"/>
        <v>8000</v>
      </c>
      <c r="AB50">
        <f t="shared" si="34"/>
        <v>-4501.895</v>
      </c>
      <c r="AC50">
        <f t="shared" si="35"/>
        <v>4800</v>
      </c>
      <c r="AD50">
        <f t="shared" si="36"/>
        <v>-1301.895</v>
      </c>
      <c r="AE50">
        <f t="shared" si="37"/>
        <v>2.186315625</v>
      </c>
      <c r="AF50">
        <f t="shared" si="38"/>
        <v>3.3635625</v>
      </c>
    </row>
    <row r="51">
      <c r="F51" s="1" t="s">
        <v>6354</v>
      </c>
      <c r="G51" s="1" t="s">
        <v>6355</v>
      </c>
      <c r="H51" s="1" t="s">
        <v>6356</v>
      </c>
    </row>
    <row r="52">
      <c r="F52" s="1">
        <v>10000.0</v>
      </c>
      <c r="G52" s="1" t="s">
        <v>6357</v>
      </c>
      <c r="H52" s="1">
        <v>5508.0</v>
      </c>
    </row>
    <row r="56">
      <c r="U56" s="1" t="s">
        <v>6358</v>
      </c>
    </row>
    <row r="57">
      <c r="R57" s="1" t="s">
        <v>6256</v>
      </c>
      <c r="S57" s="1" t="s">
        <v>6257</v>
      </c>
      <c r="T57" s="1" t="s">
        <v>6030</v>
      </c>
      <c r="U57" s="1" t="s">
        <v>54</v>
      </c>
      <c r="V57" s="1" t="s">
        <v>6258</v>
      </c>
      <c r="W57" s="1" t="s">
        <v>6259</v>
      </c>
      <c r="X57" s="1" t="s">
        <v>6260</v>
      </c>
      <c r="Y57" s="1" t="s">
        <v>6261</v>
      </c>
      <c r="Z57" s="1" t="s">
        <v>6262</v>
      </c>
      <c r="AA57" s="1" t="s">
        <v>6263</v>
      </c>
      <c r="AB57" s="1" t="s">
        <v>6262</v>
      </c>
      <c r="AC57" s="1" t="s">
        <v>6264</v>
      </c>
      <c r="AD57" s="1" t="s">
        <v>6262</v>
      </c>
      <c r="AE57" s="1" t="s">
        <v>6265</v>
      </c>
      <c r="AF57" s="1" t="s">
        <v>6266</v>
      </c>
    </row>
    <row r="58">
      <c r="R58" s="1">
        <v>340000.0</v>
      </c>
      <c r="S58" s="1">
        <v>2.9</v>
      </c>
      <c r="T58" s="1">
        <v>320000.0</v>
      </c>
      <c r="U58" s="1">
        <f t="shared" ref="U58:U68" si="39">U5*1.2</f>
        <v>24416.4</v>
      </c>
      <c r="V58">
        <f t="shared" ref="V58:V68" si="40">R58*S58/100</f>
        <v>9860</v>
      </c>
      <c r="W58">
        <f t="shared" ref="W58:W68" si="41">U58-V58</f>
        <v>14556.4</v>
      </c>
      <c r="X58">
        <f t="shared" ref="X58:X68" si="42">W58*0.65</f>
        <v>9461.66</v>
      </c>
      <c r="Y58">
        <f t="shared" ref="Y58:Y68" si="43">T58*0.015</f>
        <v>4800</v>
      </c>
      <c r="Z58">
        <f t="shared" ref="Z58:Z68" si="44">X58-Y58</f>
        <v>4661.66</v>
      </c>
      <c r="AA58">
        <f t="shared" ref="AA58:AA68" si="45">T58*0.05</f>
        <v>16000</v>
      </c>
      <c r="AB58">
        <f t="shared" ref="AB58:AB68" si="46">X58-AA58</f>
        <v>-6538.34</v>
      </c>
      <c r="AC58">
        <f t="shared" ref="AC58:AC68" si="47">T58*0.03</f>
        <v>9600</v>
      </c>
      <c r="AD58">
        <f t="shared" ref="AD58:AD68" si="48">X58-AC58</f>
        <v>-138.34</v>
      </c>
      <c r="AE58">
        <f t="shared" ref="AE58:AE68" si="49">X58*100/T58</f>
        <v>2.95676875</v>
      </c>
      <c r="AF58">
        <f t="shared" ref="AF58:AF68" si="50">W58*100/T58</f>
        <v>4.548875</v>
      </c>
    </row>
    <row r="59">
      <c r="R59" s="1">
        <v>340000.0</v>
      </c>
      <c r="S59" s="1">
        <v>3.0</v>
      </c>
      <c r="T59" s="1">
        <v>320000.0</v>
      </c>
      <c r="U59" s="1">
        <f t="shared" si="39"/>
        <v>24416.4</v>
      </c>
      <c r="V59">
        <f t="shared" si="40"/>
        <v>10200</v>
      </c>
      <c r="W59">
        <f t="shared" si="41"/>
        <v>14216.4</v>
      </c>
      <c r="X59">
        <f t="shared" si="42"/>
        <v>9240.66</v>
      </c>
      <c r="Y59">
        <f t="shared" si="43"/>
        <v>4800</v>
      </c>
      <c r="Z59">
        <f t="shared" si="44"/>
        <v>4440.66</v>
      </c>
      <c r="AA59">
        <f t="shared" si="45"/>
        <v>16000</v>
      </c>
      <c r="AB59">
        <f t="shared" si="46"/>
        <v>-6759.34</v>
      </c>
      <c r="AC59">
        <f t="shared" si="47"/>
        <v>9600</v>
      </c>
      <c r="AD59">
        <f t="shared" si="48"/>
        <v>-359.34</v>
      </c>
      <c r="AE59">
        <f t="shared" si="49"/>
        <v>2.88770625</v>
      </c>
      <c r="AF59">
        <f t="shared" si="50"/>
        <v>4.442625</v>
      </c>
    </row>
    <row r="60">
      <c r="R60" s="1">
        <v>400000.0</v>
      </c>
      <c r="S60" s="1">
        <v>3.0</v>
      </c>
      <c r="T60" s="1">
        <v>260000.0</v>
      </c>
      <c r="U60" s="1">
        <f t="shared" si="39"/>
        <v>24416.4</v>
      </c>
      <c r="V60">
        <f t="shared" si="40"/>
        <v>12000</v>
      </c>
      <c r="W60">
        <f t="shared" si="41"/>
        <v>12416.4</v>
      </c>
      <c r="X60">
        <f t="shared" si="42"/>
        <v>8070.66</v>
      </c>
      <c r="Y60">
        <f t="shared" si="43"/>
        <v>3900</v>
      </c>
      <c r="Z60">
        <f t="shared" si="44"/>
        <v>4170.66</v>
      </c>
      <c r="AA60">
        <f t="shared" si="45"/>
        <v>13000</v>
      </c>
      <c r="AB60">
        <f t="shared" si="46"/>
        <v>-4929.34</v>
      </c>
      <c r="AC60">
        <f t="shared" si="47"/>
        <v>7800</v>
      </c>
      <c r="AD60">
        <f t="shared" si="48"/>
        <v>270.66</v>
      </c>
      <c r="AE60">
        <f t="shared" si="49"/>
        <v>3.1041</v>
      </c>
      <c r="AF60">
        <f t="shared" si="50"/>
        <v>4.775538462</v>
      </c>
    </row>
    <row r="61">
      <c r="R61" s="1">
        <v>400000.0</v>
      </c>
      <c r="S61" s="1">
        <v>3.2</v>
      </c>
      <c r="T61" s="1">
        <v>260000.0</v>
      </c>
      <c r="U61" s="1">
        <f t="shared" si="39"/>
        <v>24416.4</v>
      </c>
      <c r="V61">
        <f t="shared" si="40"/>
        <v>12800</v>
      </c>
      <c r="W61">
        <f t="shared" si="41"/>
        <v>11616.4</v>
      </c>
      <c r="X61">
        <f t="shared" si="42"/>
        <v>7550.66</v>
      </c>
      <c r="Y61">
        <f t="shared" si="43"/>
        <v>3900</v>
      </c>
      <c r="Z61">
        <f t="shared" si="44"/>
        <v>3650.66</v>
      </c>
      <c r="AA61">
        <f t="shared" si="45"/>
        <v>13000</v>
      </c>
      <c r="AB61">
        <f t="shared" si="46"/>
        <v>-5449.34</v>
      </c>
      <c r="AC61">
        <f t="shared" si="47"/>
        <v>7800</v>
      </c>
      <c r="AD61">
        <f t="shared" si="48"/>
        <v>-249.34</v>
      </c>
      <c r="AE61">
        <f t="shared" si="49"/>
        <v>2.9041</v>
      </c>
      <c r="AF61">
        <f t="shared" si="50"/>
        <v>4.467846154</v>
      </c>
    </row>
    <row r="62">
      <c r="R62" s="1">
        <v>400000.0</v>
      </c>
      <c r="S62" s="1">
        <v>3.4</v>
      </c>
      <c r="T62" s="1">
        <v>260000.0</v>
      </c>
      <c r="U62" s="1">
        <f t="shared" si="39"/>
        <v>24416.4</v>
      </c>
      <c r="V62">
        <f t="shared" si="40"/>
        <v>13600</v>
      </c>
      <c r="W62">
        <f t="shared" si="41"/>
        <v>10816.4</v>
      </c>
      <c r="X62">
        <f t="shared" si="42"/>
        <v>7030.66</v>
      </c>
      <c r="Y62">
        <f t="shared" si="43"/>
        <v>3900</v>
      </c>
      <c r="Z62">
        <f t="shared" si="44"/>
        <v>3130.66</v>
      </c>
      <c r="AA62">
        <f t="shared" si="45"/>
        <v>13000</v>
      </c>
      <c r="AB62">
        <f t="shared" si="46"/>
        <v>-5969.34</v>
      </c>
      <c r="AC62">
        <f t="shared" si="47"/>
        <v>7800</v>
      </c>
      <c r="AD62">
        <f t="shared" si="48"/>
        <v>-769.34</v>
      </c>
      <c r="AE62">
        <f t="shared" si="49"/>
        <v>2.7041</v>
      </c>
      <c r="AF62">
        <f t="shared" si="50"/>
        <v>4.160153846</v>
      </c>
    </row>
    <row r="63">
      <c r="R63" s="1">
        <v>450000.0</v>
      </c>
      <c r="S63" s="1">
        <v>3.0</v>
      </c>
      <c r="T63" s="1">
        <v>210000.0</v>
      </c>
      <c r="U63" s="1">
        <f t="shared" si="39"/>
        <v>24416.4</v>
      </c>
      <c r="V63">
        <f t="shared" si="40"/>
        <v>13500</v>
      </c>
      <c r="W63">
        <f t="shared" si="41"/>
        <v>10916.4</v>
      </c>
      <c r="X63">
        <f t="shared" si="42"/>
        <v>7095.66</v>
      </c>
      <c r="Y63">
        <f t="shared" si="43"/>
        <v>3150</v>
      </c>
      <c r="Z63">
        <f t="shared" si="44"/>
        <v>3945.66</v>
      </c>
      <c r="AA63">
        <f t="shared" si="45"/>
        <v>10500</v>
      </c>
      <c r="AB63">
        <f t="shared" si="46"/>
        <v>-3404.34</v>
      </c>
      <c r="AC63">
        <f t="shared" si="47"/>
        <v>6300</v>
      </c>
      <c r="AD63">
        <f t="shared" si="48"/>
        <v>795.66</v>
      </c>
      <c r="AE63">
        <f t="shared" si="49"/>
        <v>3.378885714</v>
      </c>
      <c r="AF63">
        <f t="shared" si="50"/>
        <v>5.198285714</v>
      </c>
    </row>
    <row r="64">
      <c r="R64" s="1">
        <v>450000.0</v>
      </c>
      <c r="S64" s="1">
        <v>3.2</v>
      </c>
      <c r="T64" s="1">
        <v>210000.0</v>
      </c>
      <c r="U64" s="1">
        <f t="shared" si="39"/>
        <v>24416.4</v>
      </c>
      <c r="V64">
        <f t="shared" si="40"/>
        <v>14400</v>
      </c>
      <c r="W64">
        <f t="shared" si="41"/>
        <v>10016.4</v>
      </c>
      <c r="X64">
        <f t="shared" si="42"/>
        <v>6510.66</v>
      </c>
      <c r="Y64">
        <f t="shared" si="43"/>
        <v>3150</v>
      </c>
      <c r="Z64">
        <f t="shared" si="44"/>
        <v>3360.66</v>
      </c>
      <c r="AA64">
        <f t="shared" si="45"/>
        <v>10500</v>
      </c>
      <c r="AB64">
        <f t="shared" si="46"/>
        <v>-3989.34</v>
      </c>
      <c r="AC64">
        <f t="shared" si="47"/>
        <v>6300</v>
      </c>
      <c r="AD64">
        <f t="shared" si="48"/>
        <v>210.66</v>
      </c>
      <c r="AE64">
        <f t="shared" si="49"/>
        <v>3.100314286</v>
      </c>
      <c r="AF64">
        <f t="shared" si="50"/>
        <v>4.769714286</v>
      </c>
    </row>
    <row r="65">
      <c r="R65" s="1">
        <v>450000.0</v>
      </c>
      <c r="S65" s="1">
        <v>3.4</v>
      </c>
      <c r="T65" s="1">
        <v>210000.0</v>
      </c>
      <c r="U65" s="1">
        <f t="shared" si="39"/>
        <v>24416.4</v>
      </c>
      <c r="V65">
        <f t="shared" si="40"/>
        <v>15300</v>
      </c>
      <c r="W65">
        <f t="shared" si="41"/>
        <v>9116.4</v>
      </c>
      <c r="X65">
        <f t="shared" si="42"/>
        <v>5925.66</v>
      </c>
      <c r="Y65">
        <f t="shared" si="43"/>
        <v>3150</v>
      </c>
      <c r="Z65">
        <f t="shared" si="44"/>
        <v>2775.66</v>
      </c>
      <c r="AA65">
        <f t="shared" si="45"/>
        <v>10500</v>
      </c>
      <c r="AB65">
        <f t="shared" si="46"/>
        <v>-4574.34</v>
      </c>
      <c r="AC65">
        <f t="shared" si="47"/>
        <v>6300</v>
      </c>
      <c r="AD65">
        <f t="shared" si="48"/>
        <v>-374.34</v>
      </c>
      <c r="AE65">
        <f t="shared" si="49"/>
        <v>2.821742857</v>
      </c>
      <c r="AF65">
        <f t="shared" si="50"/>
        <v>4.341142857</v>
      </c>
    </row>
    <row r="66">
      <c r="R66" s="52">
        <v>500000.0</v>
      </c>
      <c r="S66" s="11">
        <v>3.0</v>
      </c>
      <c r="T66" s="11">
        <v>160000.0</v>
      </c>
      <c r="U66" s="11">
        <f t="shared" si="39"/>
        <v>24416.4</v>
      </c>
      <c r="V66" s="8">
        <f t="shared" si="40"/>
        <v>15000</v>
      </c>
      <c r="W66" s="8">
        <f t="shared" si="41"/>
        <v>9416.4</v>
      </c>
      <c r="X66" s="8">
        <f t="shared" si="42"/>
        <v>6120.66</v>
      </c>
      <c r="Y66" s="8">
        <f t="shared" si="43"/>
        <v>2400</v>
      </c>
      <c r="Z66" s="8">
        <f t="shared" si="44"/>
        <v>3720.66</v>
      </c>
      <c r="AA66" s="8">
        <f t="shared" si="45"/>
        <v>8000</v>
      </c>
      <c r="AB66" s="8">
        <f t="shared" si="46"/>
        <v>-1879.34</v>
      </c>
      <c r="AC66" s="8">
        <f t="shared" si="47"/>
        <v>4800</v>
      </c>
      <c r="AD66" s="8">
        <f t="shared" si="48"/>
        <v>1320.66</v>
      </c>
      <c r="AE66" s="8">
        <f t="shared" si="49"/>
        <v>3.8254125</v>
      </c>
      <c r="AF66" s="221">
        <f t="shared" si="50"/>
        <v>5.88525</v>
      </c>
    </row>
    <row r="67">
      <c r="R67" s="1">
        <v>500000.0</v>
      </c>
      <c r="S67" s="1">
        <v>3.2</v>
      </c>
      <c r="T67" s="1">
        <v>160000.0</v>
      </c>
      <c r="U67" s="1">
        <f t="shared" si="39"/>
        <v>24416.4</v>
      </c>
      <c r="V67">
        <f t="shared" si="40"/>
        <v>16000</v>
      </c>
      <c r="W67">
        <f t="shared" si="41"/>
        <v>8416.4</v>
      </c>
      <c r="X67">
        <f t="shared" si="42"/>
        <v>5470.66</v>
      </c>
      <c r="Y67">
        <f t="shared" si="43"/>
        <v>2400</v>
      </c>
      <c r="Z67">
        <f t="shared" si="44"/>
        <v>3070.66</v>
      </c>
      <c r="AA67">
        <f t="shared" si="45"/>
        <v>8000</v>
      </c>
      <c r="AB67">
        <f t="shared" si="46"/>
        <v>-2529.34</v>
      </c>
      <c r="AC67">
        <f t="shared" si="47"/>
        <v>4800</v>
      </c>
      <c r="AD67">
        <f t="shared" si="48"/>
        <v>670.66</v>
      </c>
      <c r="AE67">
        <f t="shared" si="49"/>
        <v>3.4191625</v>
      </c>
      <c r="AF67">
        <f t="shared" si="50"/>
        <v>5.26025</v>
      </c>
    </row>
    <row r="68">
      <c r="R68" s="1">
        <v>500000.0</v>
      </c>
      <c r="S68" s="1">
        <v>3.4</v>
      </c>
      <c r="T68" s="1">
        <v>160000.0</v>
      </c>
      <c r="U68" s="1">
        <f t="shared" si="39"/>
        <v>24416.4</v>
      </c>
      <c r="V68">
        <f t="shared" si="40"/>
        <v>17000</v>
      </c>
      <c r="W68">
        <f t="shared" si="41"/>
        <v>7416.4</v>
      </c>
      <c r="X68">
        <f t="shared" si="42"/>
        <v>4820.66</v>
      </c>
      <c r="Y68">
        <f t="shared" si="43"/>
        <v>2400</v>
      </c>
      <c r="Z68">
        <f t="shared" si="44"/>
        <v>2420.66</v>
      </c>
      <c r="AA68">
        <f t="shared" si="45"/>
        <v>8000</v>
      </c>
      <c r="AB68">
        <f t="shared" si="46"/>
        <v>-3179.34</v>
      </c>
      <c r="AC68">
        <f t="shared" si="47"/>
        <v>4800</v>
      </c>
      <c r="AD68">
        <f t="shared" si="48"/>
        <v>20.66</v>
      </c>
      <c r="AE68">
        <f t="shared" si="49"/>
        <v>3.0129125</v>
      </c>
      <c r="AF68">
        <f t="shared" si="50"/>
        <v>4.63525</v>
      </c>
    </row>
    <row r="70">
      <c r="R70" s="23">
        <v>340000.0</v>
      </c>
      <c r="S70" s="23">
        <v>0.0255</v>
      </c>
      <c r="T70" s="18">
        <f t="shared" ref="T70:T71" si="51">R70*S70</f>
        <v>8670</v>
      </c>
      <c r="X70" s="23">
        <v>70000.0</v>
      </c>
      <c r="Y70" s="23">
        <v>0.0421</v>
      </c>
      <c r="Z70" s="18">
        <f t="shared" ref="Z70:Z72" si="52">X70*Y70</f>
        <v>2947</v>
      </c>
    </row>
    <row r="71">
      <c r="R71" s="23">
        <v>140000.0</v>
      </c>
      <c r="S71" s="23">
        <v>0.0395</v>
      </c>
      <c r="T71" s="18">
        <f t="shared" si="51"/>
        <v>5530</v>
      </c>
      <c r="X71" s="23">
        <v>340000.0</v>
      </c>
      <c r="Y71" s="23">
        <v>0.0258</v>
      </c>
      <c r="Z71" s="18">
        <f t="shared" si="52"/>
        <v>8772</v>
      </c>
    </row>
    <row r="72">
      <c r="R72" s="18">
        <f>SUM(R70:R71)</f>
        <v>480000</v>
      </c>
      <c r="S72" s="18">
        <f>T72/R72</f>
        <v>0.02958333333</v>
      </c>
      <c r="T72" s="18">
        <f>SUM(T70:T71)</f>
        <v>14200</v>
      </c>
      <c r="X72" s="23">
        <v>70000.0</v>
      </c>
      <c r="Y72" s="23">
        <v>0.0378</v>
      </c>
      <c r="Z72" s="18">
        <f t="shared" si="52"/>
        <v>2646</v>
      </c>
    </row>
    <row r="73">
      <c r="X73" s="18">
        <f>SUM(X70:X72)</f>
        <v>480000</v>
      </c>
      <c r="Y73" s="18">
        <f>Z73/X73</f>
        <v>0.02992708333</v>
      </c>
      <c r="Z73" s="18">
        <f>SUM(Z70:Z72)</f>
        <v>14365</v>
      </c>
    </row>
    <row r="74">
      <c r="U74" s="1">
        <v>23032.0</v>
      </c>
    </row>
    <row r="75">
      <c r="M75" s="1" t="s">
        <v>6253</v>
      </c>
      <c r="N75" s="1" t="s">
        <v>6359</v>
      </c>
      <c r="O75" s="1" t="s">
        <v>6360</v>
      </c>
      <c r="R75" s="1" t="s">
        <v>6256</v>
      </c>
      <c r="S75" s="1" t="s">
        <v>6257</v>
      </c>
      <c r="T75" s="1" t="s">
        <v>6030</v>
      </c>
      <c r="U75" s="1" t="s">
        <v>54</v>
      </c>
      <c r="V75" s="1" t="s">
        <v>6258</v>
      </c>
      <c r="W75" s="1" t="s">
        <v>6259</v>
      </c>
      <c r="X75" s="1" t="s">
        <v>6260</v>
      </c>
      <c r="Y75" s="1" t="s">
        <v>6261</v>
      </c>
      <c r="Z75" s="1" t="s">
        <v>6262</v>
      </c>
      <c r="AA75" s="1" t="s">
        <v>6263</v>
      </c>
      <c r="AB75" s="1" t="s">
        <v>6262</v>
      </c>
      <c r="AC75" s="1" t="s">
        <v>6264</v>
      </c>
      <c r="AD75" s="1" t="s">
        <v>6262</v>
      </c>
      <c r="AE75" s="1" t="s">
        <v>6265</v>
      </c>
      <c r="AF75" s="1" t="s">
        <v>6266</v>
      </c>
    </row>
    <row r="76">
      <c r="K76" s="1">
        <v>630000.0</v>
      </c>
      <c r="L76">
        <f t="shared" ref="L76:L79" si="53">N76*100/630000</f>
        <v>4.262857143</v>
      </c>
      <c r="M76" s="1">
        <v>2238.0</v>
      </c>
      <c r="N76" s="1">
        <f>M76*12</f>
        <v>26856</v>
      </c>
      <c r="O76" s="1">
        <v>630000.0</v>
      </c>
      <c r="P76" s="1"/>
      <c r="Q76" s="1">
        <v>1.0</v>
      </c>
      <c r="R76" s="1">
        <v>480000.0</v>
      </c>
      <c r="S76" s="1">
        <v>3.0</v>
      </c>
      <c r="T76" s="1">
        <v>180000.0</v>
      </c>
      <c r="U76" s="1">
        <v>23032.0</v>
      </c>
      <c r="V76">
        <f t="shared" ref="V76:V79" si="55">R76*S76/100</f>
        <v>14400</v>
      </c>
      <c r="W76">
        <f t="shared" ref="W76:W79" si="56">U76-V76</f>
        <v>8632</v>
      </c>
      <c r="X76">
        <f t="shared" ref="X76:X79" si="57">W76*0.65</f>
        <v>5610.8</v>
      </c>
      <c r="Y76">
        <f t="shared" ref="Y76:Y79" si="58">T76*0.015</f>
        <v>2700</v>
      </c>
      <c r="Z76">
        <f t="shared" ref="Z76:Z79" si="59">X76-Y76</f>
        <v>2910.8</v>
      </c>
      <c r="AA76">
        <f t="shared" ref="AA76:AA79" si="60">T76*0.05</f>
        <v>9000</v>
      </c>
      <c r="AB76">
        <f t="shared" ref="AB76:AB79" si="61">X76-AA76</f>
        <v>-3389.2</v>
      </c>
      <c r="AC76">
        <f t="shared" ref="AC76:AC79" si="62">T76*0.03</f>
        <v>5400</v>
      </c>
      <c r="AD76">
        <f t="shared" ref="AD76:AD79" si="63">X76-AC76</f>
        <v>210.8</v>
      </c>
      <c r="AE76">
        <f t="shared" ref="AE76:AE79" si="64">X76*100/T76</f>
        <v>3.117111111</v>
      </c>
      <c r="AF76">
        <f t="shared" ref="AF76:AF79" si="65">W76*100/T76</f>
        <v>4.795555556</v>
      </c>
    </row>
    <row r="77">
      <c r="K77">
        <f>630000*L77/L76</f>
        <v>661500</v>
      </c>
      <c r="L77">
        <f t="shared" si="53"/>
        <v>4.476</v>
      </c>
      <c r="M77">
        <f t="shared" ref="M77:N77" si="54">M76*1.05</f>
        <v>2349.9</v>
      </c>
      <c r="N77">
        <f t="shared" si="54"/>
        <v>28198.8</v>
      </c>
      <c r="O77" s="1">
        <v>630000.0</v>
      </c>
      <c r="P77" s="1"/>
      <c r="Q77" s="1">
        <v>1.05</v>
      </c>
      <c r="R77" s="1">
        <v>480000.0</v>
      </c>
      <c r="S77" s="1">
        <v>3.0</v>
      </c>
      <c r="T77" s="1">
        <v>180000.0</v>
      </c>
      <c r="U77" s="1">
        <f>U76*1.05</f>
        <v>24183.6</v>
      </c>
      <c r="V77">
        <f t="shared" si="55"/>
        <v>14400</v>
      </c>
      <c r="W77">
        <f t="shared" si="56"/>
        <v>9783.6</v>
      </c>
      <c r="X77">
        <f t="shared" si="57"/>
        <v>6359.34</v>
      </c>
      <c r="Y77">
        <f t="shared" si="58"/>
        <v>2700</v>
      </c>
      <c r="Z77">
        <f t="shared" si="59"/>
        <v>3659.34</v>
      </c>
      <c r="AA77">
        <f t="shared" si="60"/>
        <v>9000</v>
      </c>
      <c r="AB77">
        <f t="shared" si="61"/>
        <v>-2640.66</v>
      </c>
      <c r="AC77">
        <f t="shared" si="62"/>
        <v>5400</v>
      </c>
      <c r="AD77">
        <f t="shared" si="63"/>
        <v>959.34</v>
      </c>
      <c r="AE77">
        <f t="shared" si="64"/>
        <v>3.532966667</v>
      </c>
      <c r="AF77">
        <f t="shared" si="65"/>
        <v>5.435333333</v>
      </c>
    </row>
    <row r="78">
      <c r="K78">
        <f>630000*L78/L76</f>
        <v>693000</v>
      </c>
      <c r="L78">
        <f t="shared" si="53"/>
        <v>4.689142857</v>
      </c>
      <c r="M78">
        <f t="shared" ref="M78:N78" si="66">M76*1.1</f>
        <v>2461.8</v>
      </c>
      <c r="N78">
        <f t="shared" si="66"/>
        <v>29541.6</v>
      </c>
      <c r="O78" s="1">
        <v>630000.0</v>
      </c>
      <c r="P78" s="1"/>
      <c r="Q78" s="1">
        <v>1.1</v>
      </c>
      <c r="R78" s="1">
        <v>480000.0</v>
      </c>
      <c r="S78" s="1">
        <v>3.0</v>
      </c>
      <c r="T78" s="1">
        <v>180000.0</v>
      </c>
      <c r="U78" s="1">
        <f>U76*1.1</f>
        <v>25335.2</v>
      </c>
      <c r="V78">
        <f t="shared" si="55"/>
        <v>14400</v>
      </c>
      <c r="W78">
        <f t="shared" si="56"/>
        <v>10935.2</v>
      </c>
      <c r="X78">
        <f t="shared" si="57"/>
        <v>7107.88</v>
      </c>
      <c r="Y78">
        <f t="shared" si="58"/>
        <v>2700</v>
      </c>
      <c r="Z78">
        <f t="shared" si="59"/>
        <v>4407.88</v>
      </c>
      <c r="AA78">
        <f t="shared" si="60"/>
        <v>9000</v>
      </c>
      <c r="AB78">
        <f t="shared" si="61"/>
        <v>-1892.12</v>
      </c>
      <c r="AC78">
        <f t="shared" si="62"/>
        <v>5400</v>
      </c>
      <c r="AD78">
        <f t="shared" si="63"/>
        <v>1707.88</v>
      </c>
      <c r="AE78">
        <f t="shared" si="64"/>
        <v>3.948822222</v>
      </c>
      <c r="AF78">
        <f t="shared" si="65"/>
        <v>6.075111111</v>
      </c>
    </row>
    <row r="79">
      <c r="K79">
        <f>630000*L79/L76</f>
        <v>756000</v>
      </c>
      <c r="L79">
        <f t="shared" si="53"/>
        <v>5.115428571</v>
      </c>
      <c r="M79">
        <f t="shared" ref="M79:N79" si="67">M76*1.2</f>
        <v>2685.6</v>
      </c>
      <c r="N79">
        <f t="shared" si="67"/>
        <v>32227.2</v>
      </c>
      <c r="O79" s="1">
        <v>630000.0</v>
      </c>
      <c r="P79" s="1"/>
      <c r="Q79" s="1">
        <v>1.2</v>
      </c>
      <c r="R79" s="1">
        <v>480000.0</v>
      </c>
      <c r="S79" s="1">
        <v>3.0</v>
      </c>
      <c r="T79" s="1">
        <v>180000.0</v>
      </c>
      <c r="U79" s="1">
        <f>U76*1.2</f>
        <v>27638.4</v>
      </c>
      <c r="V79">
        <f t="shared" si="55"/>
        <v>14400</v>
      </c>
      <c r="W79">
        <f t="shared" si="56"/>
        <v>13238.4</v>
      </c>
      <c r="X79">
        <f t="shared" si="57"/>
        <v>8604.96</v>
      </c>
      <c r="Y79">
        <f t="shared" si="58"/>
        <v>2700</v>
      </c>
      <c r="Z79">
        <f t="shared" si="59"/>
        <v>5904.96</v>
      </c>
      <c r="AA79">
        <f t="shared" si="60"/>
        <v>9000</v>
      </c>
      <c r="AB79">
        <f t="shared" si="61"/>
        <v>-395.04</v>
      </c>
      <c r="AC79">
        <f t="shared" si="62"/>
        <v>5400</v>
      </c>
      <c r="AD79">
        <f t="shared" si="63"/>
        <v>3204.96</v>
      </c>
      <c r="AE79">
        <f t="shared" si="64"/>
        <v>4.780533333</v>
      </c>
      <c r="AF79">
        <f t="shared" si="65"/>
        <v>7.354666667</v>
      </c>
    </row>
    <row r="80">
      <c r="R80" s="1"/>
      <c r="S80" s="1"/>
      <c r="T80" s="1"/>
      <c r="U80" s="1"/>
    </row>
    <row r="81">
      <c r="R81" s="1"/>
      <c r="S81" s="1"/>
      <c r="T81" s="1"/>
      <c r="U81" s="1"/>
    </row>
    <row r="82">
      <c r="Q82" s="1">
        <v>1.0</v>
      </c>
      <c r="R82" s="1">
        <v>480000.0</v>
      </c>
      <c r="S82" s="1">
        <v>3.5</v>
      </c>
      <c r="T82" s="1">
        <v>180000.0</v>
      </c>
      <c r="U82" s="1">
        <v>23032.0</v>
      </c>
      <c r="V82">
        <f t="shared" ref="V82:V84" si="68">R82*S82/100</f>
        <v>16800</v>
      </c>
      <c r="W82">
        <f t="shared" ref="W82:W84" si="69">U82-V82</f>
        <v>6232</v>
      </c>
      <c r="X82">
        <f t="shared" ref="X82:X84" si="70">W82*0.65</f>
        <v>4050.8</v>
      </c>
      <c r="Y82">
        <f t="shared" ref="Y82:Y84" si="71">T82*0.015</f>
        <v>2700</v>
      </c>
      <c r="Z82">
        <f t="shared" ref="Z82:Z84" si="72">X82-Y82</f>
        <v>1350.8</v>
      </c>
      <c r="AA82">
        <f t="shared" ref="AA82:AA84" si="73">T82*0.05</f>
        <v>9000</v>
      </c>
      <c r="AB82">
        <f t="shared" ref="AB82:AB84" si="74">X82-AA82</f>
        <v>-4949.2</v>
      </c>
      <c r="AC82">
        <f t="shared" ref="AC82:AC84" si="75">T82*0.03</f>
        <v>5400</v>
      </c>
      <c r="AD82">
        <f t="shared" ref="AD82:AD84" si="76">X82-AC82</f>
        <v>-1349.2</v>
      </c>
      <c r="AE82">
        <f t="shared" ref="AE82:AE84" si="77">X82*100/T82</f>
        <v>2.250444444</v>
      </c>
      <c r="AF82">
        <f t="shared" ref="AF82:AF84" si="78">W82*100/T82</f>
        <v>3.462222222</v>
      </c>
    </row>
    <row r="83">
      <c r="Q83" s="1">
        <v>1.0</v>
      </c>
      <c r="R83" s="1">
        <v>480000.0</v>
      </c>
      <c r="S83" s="1">
        <v>4.0</v>
      </c>
      <c r="T83" s="1">
        <v>180000.0</v>
      </c>
      <c r="U83" s="1">
        <v>23032.0</v>
      </c>
      <c r="V83">
        <f t="shared" si="68"/>
        <v>19200</v>
      </c>
      <c r="W83">
        <f t="shared" si="69"/>
        <v>3832</v>
      </c>
      <c r="X83">
        <f t="shared" si="70"/>
        <v>2490.8</v>
      </c>
      <c r="Y83">
        <f t="shared" si="71"/>
        <v>2700</v>
      </c>
      <c r="Z83">
        <f t="shared" si="72"/>
        <v>-209.2</v>
      </c>
      <c r="AA83">
        <f t="shared" si="73"/>
        <v>9000</v>
      </c>
      <c r="AB83">
        <f t="shared" si="74"/>
        <v>-6509.2</v>
      </c>
      <c r="AC83">
        <f t="shared" si="75"/>
        <v>5400</v>
      </c>
      <c r="AD83">
        <f t="shared" si="76"/>
        <v>-2909.2</v>
      </c>
      <c r="AE83">
        <f t="shared" si="77"/>
        <v>1.383777778</v>
      </c>
      <c r="AF83">
        <f t="shared" si="78"/>
        <v>2.128888889</v>
      </c>
    </row>
    <row r="84">
      <c r="Q84" s="1">
        <v>1.0</v>
      </c>
      <c r="R84" s="1">
        <v>480000.0</v>
      </c>
      <c r="S84" s="1">
        <v>4.1</v>
      </c>
      <c r="T84" s="1">
        <v>180000.0</v>
      </c>
      <c r="U84" s="1">
        <v>23032.0</v>
      </c>
      <c r="V84">
        <f t="shared" si="68"/>
        <v>19680</v>
      </c>
      <c r="W84">
        <f t="shared" si="69"/>
        <v>3352</v>
      </c>
      <c r="X84">
        <f t="shared" si="70"/>
        <v>2178.8</v>
      </c>
      <c r="Y84">
        <f t="shared" si="71"/>
        <v>2700</v>
      </c>
      <c r="Z84">
        <f t="shared" si="72"/>
        <v>-521.2</v>
      </c>
      <c r="AA84">
        <f t="shared" si="73"/>
        <v>9000</v>
      </c>
      <c r="AB84">
        <f t="shared" si="74"/>
        <v>-6821.2</v>
      </c>
      <c r="AC84">
        <f t="shared" si="75"/>
        <v>5400</v>
      </c>
      <c r="AD84">
        <f t="shared" si="76"/>
        <v>-3221.2</v>
      </c>
      <c r="AE84">
        <f t="shared" si="77"/>
        <v>1.210444444</v>
      </c>
      <c r="AF84">
        <f t="shared" si="78"/>
        <v>1.862222222</v>
      </c>
    </row>
    <row r="85">
      <c r="R85" s="1"/>
      <c r="S85" s="1"/>
      <c r="T85" s="1"/>
      <c r="U85" s="1"/>
    </row>
    <row r="87">
      <c r="Q87" s="1">
        <v>1.05</v>
      </c>
      <c r="R87" s="1">
        <v>480000.0</v>
      </c>
      <c r="S87" s="1">
        <v>3.5</v>
      </c>
      <c r="T87" s="1">
        <v>180000.0</v>
      </c>
      <c r="U87" s="1">
        <f t="shared" ref="U87:U89" si="79">U82*1.05</f>
        <v>24183.6</v>
      </c>
      <c r="V87">
        <f t="shared" ref="V87:V89" si="80">R87*S87/100</f>
        <v>16800</v>
      </c>
      <c r="W87">
        <f t="shared" ref="W87:W89" si="81">U87-V87</f>
        <v>7383.6</v>
      </c>
      <c r="X87">
        <f t="shared" ref="X87:X89" si="82">W87*0.65</f>
        <v>4799.34</v>
      </c>
      <c r="Y87">
        <f t="shared" ref="Y87:Y89" si="83">T87*0.015</f>
        <v>2700</v>
      </c>
      <c r="Z87">
        <f t="shared" ref="Z87:Z89" si="84">X87-Y87</f>
        <v>2099.34</v>
      </c>
      <c r="AA87">
        <f t="shared" ref="AA87:AA89" si="85">T87*0.05</f>
        <v>9000</v>
      </c>
      <c r="AB87">
        <f t="shared" ref="AB87:AB89" si="86">X87-AA87</f>
        <v>-4200.66</v>
      </c>
      <c r="AC87">
        <f t="shared" ref="AC87:AC89" si="87">T87*0.03</f>
        <v>5400</v>
      </c>
      <c r="AD87">
        <f t="shared" ref="AD87:AD89" si="88">X87-AC87</f>
        <v>-600.66</v>
      </c>
      <c r="AE87">
        <f t="shared" ref="AE87:AE89" si="89">X87*100/T87</f>
        <v>2.6663</v>
      </c>
      <c r="AF87">
        <f t="shared" ref="AF87:AF89" si="90">W87*100/T87</f>
        <v>4.102</v>
      </c>
    </row>
    <row r="88">
      <c r="Q88" s="1">
        <v>1.05</v>
      </c>
      <c r="R88" s="1">
        <v>480000.0</v>
      </c>
      <c r="S88" s="1">
        <v>4.0</v>
      </c>
      <c r="T88" s="1">
        <v>180000.0</v>
      </c>
      <c r="U88" s="1">
        <f t="shared" si="79"/>
        <v>24183.6</v>
      </c>
      <c r="V88">
        <f t="shared" si="80"/>
        <v>19200</v>
      </c>
      <c r="W88">
        <f t="shared" si="81"/>
        <v>4983.6</v>
      </c>
      <c r="X88">
        <f t="shared" si="82"/>
        <v>3239.34</v>
      </c>
      <c r="Y88">
        <f t="shared" si="83"/>
        <v>2700</v>
      </c>
      <c r="Z88">
        <f t="shared" si="84"/>
        <v>539.34</v>
      </c>
      <c r="AA88">
        <f t="shared" si="85"/>
        <v>9000</v>
      </c>
      <c r="AB88">
        <f t="shared" si="86"/>
        <v>-5760.66</v>
      </c>
      <c r="AC88">
        <f t="shared" si="87"/>
        <v>5400</v>
      </c>
      <c r="AD88">
        <f t="shared" si="88"/>
        <v>-2160.66</v>
      </c>
      <c r="AE88">
        <f t="shared" si="89"/>
        <v>1.799633333</v>
      </c>
      <c r="AF88">
        <f t="shared" si="90"/>
        <v>2.768666667</v>
      </c>
    </row>
    <row r="89">
      <c r="Q89" s="1">
        <v>1.05</v>
      </c>
      <c r="R89" s="1">
        <v>480000.0</v>
      </c>
      <c r="S89" s="1">
        <v>4.3</v>
      </c>
      <c r="T89" s="1">
        <v>180000.0</v>
      </c>
      <c r="U89" s="1">
        <f t="shared" si="79"/>
        <v>24183.6</v>
      </c>
      <c r="V89">
        <f t="shared" si="80"/>
        <v>20640</v>
      </c>
      <c r="W89">
        <f t="shared" si="81"/>
        <v>3543.6</v>
      </c>
      <c r="X89">
        <f t="shared" si="82"/>
        <v>2303.34</v>
      </c>
      <c r="Y89">
        <f t="shared" si="83"/>
        <v>2700</v>
      </c>
      <c r="Z89">
        <f t="shared" si="84"/>
        <v>-396.66</v>
      </c>
      <c r="AA89">
        <f t="shared" si="85"/>
        <v>9000</v>
      </c>
      <c r="AB89">
        <f t="shared" si="86"/>
        <v>-6696.66</v>
      </c>
      <c r="AC89">
        <f t="shared" si="87"/>
        <v>5400</v>
      </c>
      <c r="AD89">
        <f t="shared" si="88"/>
        <v>-3096.66</v>
      </c>
      <c r="AE89">
        <f t="shared" si="89"/>
        <v>1.279633333</v>
      </c>
      <c r="AF89">
        <f t="shared" si="90"/>
        <v>1.968666667</v>
      </c>
    </row>
    <row r="92">
      <c r="Q92" s="1">
        <v>1.1</v>
      </c>
      <c r="R92" s="1">
        <v>480000.0</v>
      </c>
      <c r="S92" s="1">
        <v>3.5</v>
      </c>
      <c r="T92" s="1">
        <v>180000.0</v>
      </c>
      <c r="U92" s="1">
        <f t="shared" ref="U92:U94" si="91">U82*1.1</f>
        <v>25335.2</v>
      </c>
      <c r="V92">
        <f t="shared" ref="V92:V94" si="92">R92*S92/100</f>
        <v>16800</v>
      </c>
      <c r="W92">
        <f t="shared" ref="W92:W94" si="93">U92-V92</f>
        <v>8535.2</v>
      </c>
      <c r="X92">
        <f t="shared" ref="X92:X94" si="94">W92*0.65</f>
        <v>5547.88</v>
      </c>
      <c r="Y92">
        <f t="shared" ref="Y92:Y94" si="95">T92*0.015</f>
        <v>2700</v>
      </c>
      <c r="Z92">
        <f t="shared" ref="Z92:Z94" si="96">X92-Y92</f>
        <v>2847.88</v>
      </c>
      <c r="AA92">
        <f t="shared" ref="AA92:AA94" si="97">T92*0.05</f>
        <v>9000</v>
      </c>
      <c r="AB92">
        <f t="shared" ref="AB92:AB94" si="98">X92-AA92</f>
        <v>-3452.12</v>
      </c>
      <c r="AC92">
        <f t="shared" ref="AC92:AC94" si="99">T92*0.03</f>
        <v>5400</v>
      </c>
      <c r="AD92">
        <f t="shared" ref="AD92:AD94" si="100">X92-AC92</f>
        <v>147.88</v>
      </c>
      <c r="AE92">
        <f t="shared" ref="AE92:AE94" si="101">X92*100/T92</f>
        <v>3.082155556</v>
      </c>
      <c r="AF92">
        <f t="shared" ref="AF92:AF94" si="102">W92*100/T92</f>
        <v>4.741777778</v>
      </c>
    </row>
    <row r="93">
      <c r="Q93" s="1">
        <v>1.1</v>
      </c>
      <c r="R93" s="1">
        <v>480000.0</v>
      </c>
      <c r="S93" s="1">
        <v>4.0</v>
      </c>
      <c r="T93" s="1">
        <v>180000.0</v>
      </c>
      <c r="U93" s="1">
        <f t="shared" si="91"/>
        <v>25335.2</v>
      </c>
      <c r="V93">
        <f t="shared" si="92"/>
        <v>19200</v>
      </c>
      <c r="W93">
        <f t="shared" si="93"/>
        <v>6135.2</v>
      </c>
      <c r="X93">
        <f t="shared" si="94"/>
        <v>3987.88</v>
      </c>
      <c r="Y93">
        <f t="shared" si="95"/>
        <v>2700</v>
      </c>
      <c r="Z93">
        <f t="shared" si="96"/>
        <v>1287.88</v>
      </c>
      <c r="AA93">
        <f t="shared" si="97"/>
        <v>9000</v>
      </c>
      <c r="AB93">
        <f t="shared" si="98"/>
        <v>-5012.12</v>
      </c>
      <c r="AC93">
        <f t="shared" si="99"/>
        <v>5400</v>
      </c>
      <c r="AD93">
        <f t="shared" si="100"/>
        <v>-1412.12</v>
      </c>
      <c r="AE93">
        <f t="shared" si="101"/>
        <v>2.215488889</v>
      </c>
      <c r="AF93">
        <f t="shared" si="102"/>
        <v>3.408444444</v>
      </c>
    </row>
    <row r="94">
      <c r="Q94" s="1">
        <v>1.1</v>
      </c>
      <c r="R94" s="1">
        <v>480000.0</v>
      </c>
      <c r="S94" s="1">
        <v>4.5</v>
      </c>
      <c r="T94" s="1">
        <v>180000.0</v>
      </c>
      <c r="U94" s="1">
        <f t="shared" si="91"/>
        <v>25335.2</v>
      </c>
      <c r="V94">
        <f t="shared" si="92"/>
        <v>21600</v>
      </c>
      <c r="W94">
        <f t="shared" si="93"/>
        <v>3735.2</v>
      </c>
      <c r="X94">
        <f t="shared" si="94"/>
        <v>2427.88</v>
      </c>
      <c r="Y94">
        <f t="shared" si="95"/>
        <v>2700</v>
      </c>
      <c r="Z94">
        <f t="shared" si="96"/>
        <v>-272.12</v>
      </c>
      <c r="AA94">
        <f t="shared" si="97"/>
        <v>9000</v>
      </c>
      <c r="AB94">
        <f t="shared" si="98"/>
        <v>-6572.12</v>
      </c>
      <c r="AC94">
        <f t="shared" si="99"/>
        <v>5400</v>
      </c>
      <c r="AD94">
        <f t="shared" si="100"/>
        <v>-2972.12</v>
      </c>
      <c r="AE94">
        <f t="shared" si="101"/>
        <v>1.348822222</v>
      </c>
      <c r="AF94">
        <f t="shared" si="102"/>
        <v>2.075111111</v>
      </c>
    </row>
    <row r="97">
      <c r="Q97" s="1">
        <v>1.2</v>
      </c>
      <c r="R97" s="1">
        <v>480000.0</v>
      </c>
      <c r="S97" s="1">
        <v>3.5</v>
      </c>
      <c r="T97" s="1">
        <v>180000.0</v>
      </c>
      <c r="U97" s="1">
        <f t="shared" ref="U97:U99" si="103">U82*1.2</f>
        <v>27638.4</v>
      </c>
      <c r="V97">
        <f t="shared" ref="V97:V99" si="104">R97*S97/100</f>
        <v>16800</v>
      </c>
      <c r="W97">
        <f t="shared" ref="W97:W99" si="105">U97-V97</f>
        <v>10838.4</v>
      </c>
      <c r="X97">
        <f t="shared" ref="X97:X99" si="106">W97*0.65</f>
        <v>7044.96</v>
      </c>
      <c r="Y97">
        <f t="shared" ref="Y97:Y99" si="107">T97*0.015</f>
        <v>2700</v>
      </c>
      <c r="Z97">
        <f t="shared" ref="Z97:Z99" si="108">X97-Y97</f>
        <v>4344.96</v>
      </c>
      <c r="AA97">
        <f t="shared" ref="AA97:AA99" si="109">T97*0.05</f>
        <v>9000</v>
      </c>
      <c r="AB97">
        <f t="shared" ref="AB97:AB99" si="110">X97-AA97</f>
        <v>-1955.04</v>
      </c>
      <c r="AC97">
        <f t="shared" ref="AC97:AC99" si="111">T97*0.03</f>
        <v>5400</v>
      </c>
      <c r="AD97">
        <f t="shared" ref="AD97:AD99" si="112">X97-AC97</f>
        <v>1644.96</v>
      </c>
      <c r="AE97">
        <f t="shared" ref="AE97:AE99" si="113">X97*100/T97</f>
        <v>3.913866667</v>
      </c>
      <c r="AF97">
        <f t="shared" ref="AF97:AF99" si="114">W97*100/T97</f>
        <v>6.021333333</v>
      </c>
    </row>
    <row r="98">
      <c r="Q98" s="1">
        <v>1.2</v>
      </c>
      <c r="R98" s="1">
        <v>480000.0</v>
      </c>
      <c r="S98" s="1">
        <v>4.0</v>
      </c>
      <c r="T98" s="1">
        <v>180000.0</v>
      </c>
      <c r="U98" s="1">
        <f t="shared" si="103"/>
        <v>27638.4</v>
      </c>
      <c r="V98">
        <f t="shared" si="104"/>
        <v>19200</v>
      </c>
      <c r="W98">
        <f t="shared" si="105"/>
        <v>8438.4</v>
      </c>
      <c r="X98">
        <f t="shared" si="106"/>
        <v>5484.96</v>
      </c>
      <c r="Y98">
        <f t="shared" si="107"/>
        <v>2700</v>
      </c>
      <c r="Z98">
        <f t="shared" si="108"/>
        <v>2784.96</v>
      </c>
      <c r="AA98">
        <f t="shared" si="109"/>
        <v>9000</v>
      </c>
      <c r="AB98">
        <f t="shared" si="110"/>
        <v>-3515.04</v>
      </c>
      <c r="AC98">
        <f t="shared" si="111"/>
        <v>5400</v>
      </c>
      <c r="AD98">
        <f t="shared" si="112"/>
        <v>84.96</v>
      </c>
      <c r="AE98">
        <f t="shared" si="113"/>
        <v>3.0472</v>
      </c>
      <c r="AF98">
        <f t="shared" si="114"/>
        <v>4.688</v>
      </c>
    </row>
    <row r="99">
      <c r="Q99" s="1">
        <v>1.2</v>
      </c>
      <c r="R99" s="1">
        <v>480000.0</v>
      </c>
      <c r="S99" s="1">
        <v>4.9</v>
      </c>
      <c r="T99" s="1">
        <v>180000.0</v>
      </c>
      <c r="U99" s="1">
        <f t="shared" si="103"/>
        <v>27638.4</v>
      </c>
      <c r="V99">
        <f t="shared" si="104"/>
        <v>23520</v>
      </c>
      <c r="W99">
        <f t="shared" si="105"/>
        <v>4118.4</v>
      </c>
      <c r="X99">
        <f t="shared" si="106"/>
        <v>2676.96</v>
      </c>
      <c r="Y99">
        <f t="shared" si="107"/>
        <v>2700</v>
      </c>
      <c r="Z99">
        <f t="shared" si="108"/>
        <v>-23.04</v>
      </c>
      <c r="AA99">
        <f t="shared" si="109"/>
        <v>9000</v>
      </c>
      <c r="AB99">
        <f t="shared" si="110"/>
        <v>-6323.04</v>
      </c>
      <c r="AC99">
        <f t="shared" si="111"/>
        <v>5400</v>
      </c>
      <c r="AD99">
        <f t="shared" si="112"/>
        <v>-2723.04</v>
      </c>
      <c r="AE99">
        <f t="shared" si="113"/>
        <v>1.4872</v>
      </c>
      <c r="AF99">
        <f t="shared" si="114"/>
        <v>2.288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6" max="6" width="16.75"/>
    <col customWidth="1" min="9" max="9" width="36.75"/>
    <col customWidth="1" min="11" max="11" width="39.88"/>
  </cols>
  <sheetData>
    <row r="2">
      <c r="I2" s="1" t="s">
        <v>6361</v>
      </c>
    </row>
    <row r="3">
      <c r="B3" s="1" t="s">
        <v>6362</v>
      </c>
      <c r="C3" s="1" t="s">
        <v>6363</v>
      </c>
      <c r="D3" s="1">
        <v>1080.0</v>
      </c>
    </row>
    <row r="4">
      <c r="A4" s="1" t="s">
        <v>6364</v>
      </c>
      <c r="B4" s="1">
        <v>8.0E7</v>
      </c>
      <c r="C4" s="1">
        <v>9.0E7</v>
      </c>
      <c r="D4">
        <f t="shared" ref="D4:D5" si="1">SUM(B4:C4)</f>
        <v>170000000</v>
      </c>
      <c r="I4" s="1" t="s">
        <v>6365</v>
      </c>
      <c r="K4" s="1" t="s">
        <v>6366</v>
      </c>
    </row>
    <row r="5">
      <c r="A5" s="1" t="s">
        <v>6367</v>
      </c>
      <c r="B5" s="1">
        <v>370000.0</v>
      </c>
      <c r="C5" s="1">
        <v>190000.0</v>
      </c>
      <c r="D5">
        <f t="shared" si="1"/>
        <v>560000</v>
      </c>
      <c r="I5" s="1" t="s">
        <v>6368</v>
      </c>
      <c r="K5" s="23" t="s">
        <v>6369</v>
      </c>
    </row>
    <row r="6">
      <c r="B6">
        <f t="shared" ref="B6:D6" si="2">B4+B5*1080</f>
        <v>479600000</v>
      </c>
      <c r="C6">
        <f t="shared" si="2"/>
        <v>295200000</v>
      </c>
      <c r="D6">
        <f t="shared" si="2"/>
        <v>774800000</v>
      </c>
      <c r="I6" s="1" t="s">
        <v>6370</v>
      </c>
      <c r="K6" s="1" t="s">
        <v>6371</v>
      </c>
    </row>
    <row r="7">
      <c r="I7" s="1" t="s">
        <v>6372</v>
      </c>
      <c r="K7" s="23" t="s">
        <v>6373</v>
      </c>
    </row>
    <row r="8">
      <c r="D8">
        <f>(D6*0.3-60000000)*0.95</f>
        <v>163818000</v>
      </c>
      <c r="E8" s="1" t="s">
        <v>6374</v>
      </c>
      <c r="I8" s="1" t="s">
        <v>6375</v>
      </c>
      <c r="K8" s="1" t="s">
        <v>6376</v>
      </c>
    </row>
    <row r="9">
      <c r="I9" s="1" t="s">
        <v>6377</v>
      </c>
      <c r="K9" s="1" t="s">
        <v>6378</v>
      </c>
    </row>
    <row r="10">
      <c r="I10" s="1" t="s">
        <v>6379</v>
      </c>
    </row>
    <row r="11">
      <c r="B11" s="1" t="s">
        <v>6362</v>
      </c>
      <c r="C11" s="1" t="s">
        <v>6363</v>
      </c>
      <c r="D11" s="1">
        <v>1070.0</v>
      </c>
    </row>
    <row r="12">
      <c r="B12" s="1">
        <v>8.0E7</v>
      </c>
      <c r="C12" s="1">
        <v>9.0E7</v>
      </c>
      <c r="D12">
        <f t="shared" ref="D12:D13" si="3">SUM(B12:C12)</f>
        <v>170000000</v>
      </c>
      <c r="I12" s="1" t="s">
        <v>6380</v>
      </c>
    </row>
    <row r="13">
      <c r="B13" s="1">
        <v>370000.0</v>
      </c>
      <c r="C13" s="1">
        <v>190000.0</v>
      </c>
      <c r="D13">
        <f t="shared" si="3"/>
        <v>560000</v>
      </c>
      <c r="I13" s="1" t="s">
        <v>6381</v>
      </c>
    </row>
    <row r="14">
      <c r="B14">
        <f>B12+B13*D11</f>
        <v>475900000</v>
      </c>
      <c r="C14">
        <f>C12+C13*D11</f>
        <v>293300000</v>
      </c>
      <c r="D14">
        <f>D12+D13*D11</f>
        <v>769200000</v>
      </c>
    </row>
    <row r="15">
      <c r="I15" s="1" t="s">
        <v>6382</v>
      </c>
    </row>
    <row r="16">
      <c r="D16">
        <f>(D14*0.3-60000000)*0.95</f>
        <v>162222000</v>
      </c>
      <c r="E16" s="1" t="s">
        <v>6374</v>
      </c>
    </row>
    <row r="19">
      <c r="B19" s="1" t="s">
        <v>6362</v>
      </c>
      <c r="C19" s="1" t="s">
        <v>6363</v>
      </c>
      <c r="D19" s="1">
        <v>1071.9</v>
      </c>
      <c r="E19" s="1" t="s">
        <v>6383</v>
      </c>
      <c r="F19" s="1" t="s">
        <v>6384</v>
      </c>
    </row>
    <row r="20">
      <c r="B20" s="1">
        <v>8.0E7</v>
      </c>
      <c r="C20" s="1">
        <v>9.0E7</v>
      </c>
      <c r="D20">
        <f t="shared" ref="D20:D21" si="4">SUM(B20:C20)</f>
        <v>170000000</v>
      </c>
    </row>
    <row r="21">
      <c r="B21" s="1">
        <v>370000.0</v>
      </c>
      <c r="C21" s="1">
        <v>190000.0</v>
      </c>
      <c r="D21">
        <f t="shared" si="4"/>
        <v>560000</v>
      </c>
    </row>
    <row r="22">
      <c r="B22">
        <f>B20+B21*D19</f>
        <v>476603000</v>
      </c>
      <c r="C22">
        <f>C20+C21*D19</f>
        <v>293661000</v>
      </c>
      <c r="D22">
        <f>D20+D21*D19</f>
        <v>770264000</v>
      </c>
    </row>
    <row r="24">
      <c r="D24">
        <f>(D22*0.3-60000000)*0.95</f>
        <v>162525240</v>
      </c>
      <c r="E24" s="1" t="s">
        <v>6374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5.13"/>
    <col customWidth="1" min="3" max="3" width="18.5"/>
    <col customWidth="1" min="4" max="20" width="15.13"/>
  </cols>
  <sheetData>
    <row r="1">
      <c r="A1" s="3" t="s">
        <v>6385</v>
      </c>
    </row>
    <row r="2">
      <c r="A2" s="3" t="s">
        <v>4101</v>
      </c>
      <c r="B2" s="3">
        <v>60170.0</v>
      </c>
    </row>
    <row r="3">
      <c r="A3" s="3" t="s">
        <v>827</v>
      </c>
      <c r="B3" s="3">
        <v>26400.0</v>
      </c>
    </row>
    <row r="4">
      <c r="A4" s="3" t="s">
        <v>5205</v>
      </c>
      <c r="B4" s="3">
        <v>12250.0</v>
      </c>
      <c r="C4" s="3" t="s">
        <v>6386</v>
      </c>
    </row>
    <row r="5">
      <c r="A5" s="3" t="s">
        <v>6387</v>
      </c>
      <c r="B5" s="3">
        <v>1000.0</v>
      </c>
    </row>
    <row r="6">
      <c r="A6" s="3" t="s">
        <v>6388</v>
      </c>
      <c r="B6" s="3">
        <v>810.0</v>
      </c>
    </row>
    <row r="7">
      <c r="A7" s="3" t="s">
        <v>6389</v>
      </c>
      <c r="B7" s="3">
        <v>14410.0</v>
      </c>
    </row>
    <row r="8">
      <c r="A8" s="3" t="s">
        <v>6390</v>
      </c>
      <c r="B8" s="3">
        <v>0.0</v>
      </c>
      <c r="C8" s="3" t="s">
        <v>6391</v>
      </c>
    </row>
    <row r="9">
      <c r="A9" s="3" t="s">
        <v>6392</v>
      </c>
      <c r="B9" s="3">
        <v>330.0</v>
      </c>
      <c r="C9" s="3" t="s">
        <v>6393</v>
      </c>
    </row>
    <row r="10">
      <c r="A10" s="3" t="s">
        <v>1031</v>
      </c>
      <c r="B10" s="3">
        <v>4000.0</v>
      </c>
    </row>
    <row r="12">
      <c r="A12" s="3" t="s">
        <v>5502</v>
      </c>
      <c r="B12">
        <f>SUM(B2:B11)</f>
        <v>119370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2">
      <c r="A2" s="3" t="s">
        <v>6394</v>
      </c>
      <c r="E2" s="3" t="s">
        <v>6395</v>
      </c>
      <c r="I2" s="3" t="s">
        <v>6396</v>
      </c>
    </row>
    <row r="4">
      <c r="A4" s="3" t="s">
        <v>6397</v>
      </c>
      <c r="E4" s="3" t="s">
        <v>6397</v>
      </c>
      <c r="I4" s="3" t="s">
        <v>6397</v>
      </c>
    </row>
    <row r="5">
      <c r="A5" s="3" t="s">
        <v>6398</v>
      </c>
      <c r="E5" s="3" t="s">
        <v>6398</v>
      </c>
      <c r="I5" s="3" t="s">
        <v>6398</v>
      </c>
    </row>
    <row r="7">
      <c r="B7" s="3" t="s">
        <v>6399</v>
      </c>
      <c r="C7" s="3" t="s">
        <v>6400</v>
      </c>
      <c r="F7" s="3" t="s">
        <v>6399</v>
      </c>
      <c r="J7" s="3" t="s">
        <v>6399</v>
      </c>
    </row>
    <row r="8">
      <c r="A8" s="3" t="s">
        <v>6401</v>
      </c>
      <c r="B8" s="224">
        <v>39930.0</v>
      </c>
      <c r="C8" s="224">
        <v>40203.0</v>
      </c>
      <c r="E8" s="3" t="s">
        <v>6401</v>
      </c>
      <c r="F8" s="224">
        <v>39930.0</v>
      </c>
      <c r="I8" s="3" t="s">
        <v>6401</v>
      </c>
      <c r="J8" s="224">
        <v>39930.0</v>
      </c>
    </row>
    <row r="9">
      <c r="A9" s="3" t="s">
        <v>6402</v>
      </c>
      <c r="B9" s="224">
        <v>40294.0</v>
      </c>
      <c r="C9" s="224">
        <v>40294.0</v>
      </c>
      <c r="E9" s="3" t="s">
        <v>6402</v>
      </c>
      <c r="F9" s="224">
        <v>40294.0</v>
      </c>
      <c r="I9" s="3" t="s">
        <v>6402</v>
      </c>
      <c r="J9" s="224">
        <v>40294.0</v>
      </c>
    </row>
    <row r="10">
      <c r="A10" s="3" t="s">
        <v>6403</v>
      </c>
      <c r="B10" s="3" t="s">
        <v>6404</v>
      </c>
      <c r="C10" s="3" t="s">
        <v>6405</v>
      </c>
      <c r="E10" s="3" t="s">
        <v>6403</v>
      </c>
      <c r="F10" s="3" t="s">
        <v>6404</v>
      </c>
      <c r="I10" s="3" t="s">
        <v>6403</v>
      </c>
      <c r="J10" s="3" t="s">
        <v>6404</v>
      </c>
    </row>
    <row r="11">
      <c r="A11" s="3" t="s">
        <v>6406</v>
      </c>
      <c r="B11" s="3" t="s">
        <v>6407</v>
      </c>
      <c r="C11" s="3" t="s">
        <v>6408</v>
      </c>
      <c r="E11" s="3" t="s">
        <v>6406</v>
      </c>
      <c r="F11" s="3" t="s">
        <v>6409</v>
      </c>
      <c r="I11" s="3" t="s">
        <v>6406</v>
      </c>
      <c r="J11" s="3" t="s">
        <v>6410</v>
      </c>
    </row>
    <row r="12">
      <c r="A12" s="3" t="s">
        <v>6411</v>
      </c>
      <c r="B12" s="3" t="s">
        <v>6412</v>
      </c>
      <c r="C12" s="3" t="s">
        <v>6413</v>
      </c>
      <c r="E12" s="3" t="s">
        <v>6411</v>
      </c>
      <c r="F12" s="3" t="s">
        <v>6414</v>
      </c>
      <c r="I12" s="3" t="s">
        <v>6411</v>
      </c>
      <c r="J12" s="3" t="s">
        <v>6415</v>
      </c>
    </row>
    <row r="13">
      <c r="A13" s="3" t="s">
        <v>6416</v>
      </c>
      <c r="B13" s="225">
        <v>0.7339</v>
      </c>
      <c r="C13" s="225">
        <v>0.1454</v>
      </c>
      <c r="E13" s="3" t="s">
        <v>6416</v>
      </c>
      <c r="F13" s="225">
        <v>0.7026</v>
      </c>
      <c r="I13" s="3" t="s">
        <v>6416</v>
      </c>
      <c r="J13" s="225">
        <v>0.6996</v>
      </c>
    </row>
    <row r="14">
      <c r="A14" s="3" t="s">
        <v>6417</v>
      </c>
      <c r="B14" s="3" t="s">
        <v>6418</v>
      </c>
      <c r="C14" s="3" t="s">
        <v>6419</v>
      </c>
      <c r="E14" s="3" t="s">
        <v>6417</v>
      </c>
      <c r="F14" s="3" t="s">
        <v>6420</v>
      </c>
      <c r="I14" s="3" t="s">
        <v>6417</v>
      </c>
      <c r="J14" s="3" t="s">
        <v>6421</v>
      </c>
    </row>
    <row r="15">
      <c r="A15" s="3" t="s">
        <v>6422</v>
      </c>
      <c r="B15" s="225">
        <v>0.05</v>
      </c>
      <c r="C15" s="225">
        <v>0.0126</v>
      </c>
      <c r="E15" s="3" t="s">
        <v>6422</v>
      </c>
      <c r="F15" s="225">
        <v>0.05</v>
      </c>
      <c r="I15" s="3" t="s">
        <v>6422</v>
      </c>
      <c r="J15" s="225">
        <v>0.05</v>
      </c>
    </row>
    <row r="16">
      <c r="A16" s="3" t="s">
        <v>6423</v>
      </c>
      <c r="B16" s="3" t="s">
        <v>6424</v>
      </c>
      <c r="C16" s="3" t="s">
        <v>6425</v>
      </c>
      <c r="E16" s="3" t="s">
        <v>6423</v>
      </c>
      <c r="F16" s="3" t="s">
        <v>6426</v>
      </c>
      <c r="I16" s="3" t="s">
        <v>6423</v>
      </c>
      <c r="J16" s="3" t="s">
        <v>6427</v>
      </c>
    </row>
    <row r="17">
      <c r="A17" s="3" t="s">
        <v>6428</v>
      </c>
      <c r="B17" s="3" t="s">
        <v>6429</v>
      </c>
      <c r="C17" s="3" t="s">
        <v>6430</v>
      </c>
      <c r="E17" s="3" t="s">
        <v>6428</v>
      </c>
      <c r="F17" s="3" t="s">
        <v>6431</v>
      </c>
      <c r="I17" s="3" t="s">
        <v>6428</v>
      </c>
      <c r="J17" s="3" t="s">
        <v>6432</v>
      </c>
    </row>
    <row r="18">
      <c r="A18" s="3" t="s">
        <v>6433</v>
      </c>
      <c r="B18" s="3" t="s">
        <v>6434</v>
      </c>
      <c r="C18" s="3" t="s">
        <v>6435</v>
      </c>
      <c r="E18" s="3" t="s">
        <v>6433</v>
      </c>
      <c r="F18" s="3" t="s">
        <v>6436</v>
      </c>
      <c r="I18" s="3" t="s">
        <v>6433</v>
      </c>
      <c r="J18" s="3" t="s">
        <v>6437</v>
      </c>
    </row>
    <row r="19">
      <c r="A19" s="3" t="s">
        <v>6438</v>
      </c>
      <c r="B19" s="3" t="s">
        <v>6439</v>
      </c>
      <c r="E19" s="3" t="s">
        <v>6438</v>
      </c>
      <c r="F19" s="3" t="s">
        <v>6420</v>
      </c>
      <c r="I19" s="3" t="s">
        <v>6438</v>
      </c>
      <c r="J19" s="3" t="s">
        <v>6421</v>
      </c>
    </row>
    <row r="20">
      <c r="A20" s="3" t="s">
        <v>6440</v>
      </c>
      <c r="B20" s="3" t="s">
        <v>6441</v>
      </c>
      <c r="E20" s="3" t="s">
        <v>6440</v>
      </c>
      <c r="F20" s="3" t="s">
        <v>6442</v>
      </c>
      <c r="I20" s="3" t="s">
        <v>6440</v>
      </c>
      <c r="J20" s="3" t="s">
        <v>6443</v>
      </c>
    </row>
    <row r="21">
      <c r="A21" s="3" t="s">
        <v>6433</v>
      </c>
      <c r="B21" s="3">
        <v>2.0726423E7</v>
      </c>
      <c r="E21" s="3" t="s">
        <v>6433</v>
      </c>
      <c r="F21" s="3">
        <v>1.0731452E7</v>
      </c>
      <c r="G21" s="3" t="s">
        <v>6444</v>
      </c>
      <c r="I21" s="3" t="s">
        <v>6433</v>
      </c>
      <c r="J21" s="3">
        <v>8935627.0</v>
      </c>
      <c r="K21" s="3" t="s">
        <v>6444</v>
      </c>
    </row>
    <row r="23">
      <c r="A23" s="3" t="s">
        <v>6445</v>
      </c>
      <c r="E23" s="3" t="s">
        <v>6445</v>
      </c>
      <c r="I23" s="3" t="s">
        <v>6445</v>
      </c>
    </row>
    <row r="24">
      <c r="A24" s="3" t="s">
        <v>6446</v>
      </c>
      <c r="B24" s="3" t="s">
        <v>6447</v>
      </c>
      <c r="E24" s="3" t="s">
        <v>6446</v>
      </c>
      <c r="F24" s="3" t="s">
        <v>6414</v>
      </c>
      <c r="I24" s="3" t="s">
        <v>6446</v>
      </c>
      <c r="J24" s="3" t="s">
        <v>6415</v>
      </c>
    </row>
    <row r="25">
      <c r="A25" s="3" t="s">
        <v>6448</v>
      </c>
      <c r="B25" s="3">
        <v>3436148.0</v>
      </c>
      <c r="C25">
        <f>SUM(B21,B25)</f>
        <v>24162571</v>
      </c>
      <c r="E25" s="3" t="s">
        <v>6448</v>
      </c>
      <c r="F25" s="3">
        <v>1399928.0</v>
      </c>
      <c r="G25">
        <f>SUM(F21,F25)</f>
        <v>12131380</v>
      </c>
      <c r="I25" s="3" t="s">
        <v>6448</v>
      </c>
      <c r="J25" s="3">
        <v>1168924.0</v>
      </c>
      <c r="K25">
        <f>SUM(J21,J25)</f>
        <v>10104551</v>
      </c>
    </row>
    <row r="26">
      <c r="I26">
        <f>SUM(G25,K25)</f>
        <v>22235931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2">
      <c r="B2" s="1" t="s">
        <v>6449</v>
      </c>
    </row>
    <row r="3">
      <c r="B3" s="1" t="s">
        <v>6450</v>
      </c>
    </row>
    <row r="5">
      <c r="B5" s="1" t="s">
        <v>6451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.38"/>
    <col customWidth="1" min="2" max="2" width="5.88"/>
    <col customWidth="1" min="3" max="3" width="11.63"/>
    <col customWidth="1" min="4" max="4" width="7.38"/>
    <col customWidth="1" min="5" max="5" width="5.0"/>
    <col customWidth="1" min="6" max="6" width="8.25"/>
    <col customWidth="1" min="7" max="7" width="6.75"/>
    <col customWidth="1" min="8" max="8" width="21.0"/>
    <col customWidth="1" min="9" max="9" width="4.63"/>
    <col customWidth="1" min="10" max="10" width="7.88"/>
    <col customWidth="1" min="11" max="11" width="6.88"/>
    <col customWidth="1" min="12" max="12" width="21.25"/>
    <col customWidth="1" min="13" max="13" width="5.13"/>
    <col customWidth="1" min="14" max="14" width="7.63"/>
    <col customWidth="1" min="15" max="15" width="7.13"/>
    <col customWidth="1" min="16" max="23" width="13.38"/>
  </cols>
  <sheetData>
    <row r="1">
      <c r="A1" s="3">
        <v>120.0</v>
      </c>
      <c r="B1" s="3" t="s">
        <v>6452</v>
      </c>
      <c r="C1" s="3" t="s">
        <v>6453</v>
      </c>
      <c r="D1" s="3" t="s">
        <v>6454</v>
      </c>
      <c r="F1" s="3" t="s">
        <v>6455</v>
      </c>
      <c r="G1" s="3" t="s">
        <v>6456</v>
      </c>
      <c r="H1" s="3" t="s">
        <v>6457</v>
      </c>
      <c r="J1" s="3" t="s">
        <v>6455</v>
      </c>
      <c r="K1" s="3" t="s">
        <v>6456</v>
      </c>
      <c r="L1" s="3" t="s">
        <v>6458</v>
      </c>
      <c r="N1" s="3" t="s">
        <v>6455</v>
      </c>
      <c r="O1" s="3" t="s">
        <v>6456</v>
      </c>
    </row>
    <row r="2">
      <c r="B2" s="3">
        <v>1.0</v>
      </c>
      <c r="C2">
        <f>A1*(1+0.04)</f>
        <v>124.8</v>
      </c>
      <c r="D2">
        <f>A1*(1+0.04*0.84)</f>
        <v>124.032</v>
      </c>
      <c r="F2">
        <f>A1*1.035</f>
        <v>124.2</v>
      </c>
      <c r="H2">
        <f>A1*0.8*(1+0.04)</f>
        <v>99.84</v>
      </c>
      <c r="L2">
        <f>A1*0.8*(1+0.047)</f>
        <v>100.512</v>
      </c>
    </row>
    <row r="3">
      <c r="B3" s="3">
        <v>2.0</v>
      </c>
      <c r="C3">
        <f t="shared" ref="C3:C31" si="1">D2*(1+0.04)</f>
        <v>128.99328</v>
      </c>
      <c r="D3">
        <f t="shared" ref="D3:D31" si="2">D2*(1+0.04*0.84)</f>
        <v>128.1994752</v>
      </c>
      <c r="H3">
        <f t="shared" ref="H3:H31" si="3">H2*(1+0.04)</f>
        <v>103.8336</v>
      </c>
      <c r="L3">
        <f t="shared" ref="L3:L31" si="4">L2*(1+0.047)</f>
        <v>105.236064</v>
      </c>
    </row>
    <row r="4">
      <c r="B4" s="3">
        <v>3.0</v>
      </c>
      <c r="C4">
        <f t="shared" si="1"/>
        <v>133.3274542</v>
      </c>
      <c r="D4">
        <f t="shared" si="2"/>
        <v>132.5069776</v>
      </c>
      <c r="H4">
        <f t="shared" si="3"/>
        <v>107.986944</v>
      </c>
      <c r="L4">
        <f t="shared" si="4"/>
        <v>110.182159</v>
      </c>
    </row>
    <row r="5">
      <c r="B5" s="3">
        <v>4.0</v>
      </c>
      <c r="C5">
        <f t="shared" si="1"/>
        <v>137.8072567</v>
      </c>
      <c r="D5">
        <f t="shared" si="2"/>
        <v>136.959212</v>
      </c>
      <c r="H5">
        <f t="shared" si="3"/>
        <v>112.3064218</v>
      </c>
      <c r="L5">
        <f t="shared" si="4"/>
        <v>115.3607205</v>
      </c>
    </row>
    <row r="6">
      <c r="B6" s="3">
        <v>5.0</v>
      </c>
      <c r="C6">
        <f t="shared" si="1"/>
        <v>142.4375805</v>
      </c>
      <c r="D6">
        <f t="shared" si="2"/>
        <v>141.5610415</v>
      </c>
      <c r="E6">
        <f>SUM(D2:D6)</f>
        <v>663.2587063</v>
      </c>
      <c r="F6">
        <f>SUM(D2:D6)</f>
        <v>663.2587063</v>
      </c>
      <c r="H6">
        <f t="shared" si="3"/>
        <v>116.7986786</v>
      </c>
      <c r="I6">
        <f>SUM(H2:H6)</f>
        <v>540.7656444</v>
      </c>
      <c r="J6">
        <f>SUM(H2:H6)</f>
        <v>540.7656444</v>
      </c>
      <c r="L6">
        <f t="shared" si="4"/>
        <v>120.7826743</v>
      </c>
      <c r="M6">
        <f>SUM(L2:L6)</f>
        <v>552.0736178</v>
      </c>
      <c r="N6">
        <f>SUM(L2:L6)</f>
        <v>552.0736178</v>
      </c>
    </row>
    <row r="7">
      <c r="B7" s="3">
        <v>6.0</v>
      </c>
      <c r="C7">
        <f t="shared" si="1"/>
        <v>147.2234832</v>
      </c>
      <c r="D7">
        <f t="shared" si="2"/>
        <v>146.3174925</v>
      </c>
      <c r="F7">
        <f t="shared" ref="F7:F31" si="5">F6*(1+0.04*0.84)</f>
        <v>685.5441988</v>
      </c>
      <c r="H7">
        <f t="shared" si="3"/>
        <v>121.4706258</v>
      </c>
      <c r="J7">
        <f t="shared" ref="J7:J31" si="6">J6*(1+0.04)</f>
        <v>562.3962702</v>
      </c>
      <c r="L7">
        <f t="shared" si="4"/>
        <v>126.45946</v>
      </c>
      <c r="N7">
        <f t="shared" ref="N7:N31" si="7">N6*(1+0.047)</f>
        <v>578.0210779</v>
      </c>
    </row>
    <row r="8">
      <c r="B8" s="3">
        <v>7.0</v>
      </c>
      <c r="C8">
        <f t="shared" si="1"/>
        <v>152.1701922</v>
      </c>
      <c r="D8">
        <f t="shared" si="2"/>
        <v>151.2337603</v>
      </c>
      <c r="E8">
        <f>SUM(D2:D8)</f>
        <v>960.8099591</v>
      </c>
      <c r="F8">
        <f t="shared" si="5"/>
        <v>708.5784839</v>
      </c>
      <c r="G8">
        <f>SUM(D2:D8)</f>
        <v>960.8099591</v>
      </c>
      <c r="H8">
        <f t="shared" si="3"/>
        <v>126.3294508</v>
      </c>
      <c r="I8">
        <f>SUM(H2:H8)</f>
        <v>788.565721</v>
      </c>
      <c r="J8">
        <f t="shared" si="6"/>
        <v>584.892121</v>
      </c>
      <c r="K8">
        <f>SUM(H2:H8)</f>
        <v>788.565721</v>
      </c>
      <c r="L8">
        <f t="shared" si="4"/>
        <v>132.4030547</v>
      </c>
      <c r="M8">
        <f>SUM(L2:L8)</f>
        <v>810.9361325</v>
      </c>
      <c r="N8">
        <f t="shared" si="7"/>
        <v>605.1880685</v>
      </c>
      <c r="O8">
        <f>SUM(L2:L8)</f>
        <v>810.9361325</v>
      </c>
    </row>
    <row r="9">
      <c r="B9" s="3">
        <v>8.0</v>
      </c>
      <c r="C9">
        <f t="shared" si="1"/>
        <v>157.2831107</v>
      </c>
      <c r="D9">
        <f t="shared" si="2"/>
        <v>156.3152146</v>
      </c>
      <c r="F9">
        <f t="shared" si="5"/>
        <v>732.386721</v>
      </c>
      <c r="G9">
        <f t="shared" ref="G9:G31" si="8">G8*(1+0.04*0.84)</f>
        <v>993.0931738</v>
      </c>
      <c r="H9">
        <f t="shared" si="3"/>
        <v>131.3826288</v>
      </c>
      <c r="J9">
        <f t="shared" si="6"/>
        <v>608.2878058</v>
      </c>
      <c r="K9">
        <f t="shared" ref="K9:K31" si="9">K8*(1+0.04)</f>
        <v>820.1083498</v>
      </c>
      <c r="L9">
        <f t="shared" si="4"/>
        <v>138.6259982</v>
      </c>
      <c r="N9">
        <f t="shared" si="7"/>
        <v>633.6319078</v>
      </c>
      <c r="O9">
        <f t="shared" ref="O9:O31" si="10">O8*(1+0.047)</f>
        <v>849.0501308</v>
      </c>
    </row>
    <row r="10">
      <c r="B10" s="3">
        <v>9.0</v>
      </c>
      <c r="C10">
        <f t="shared" si="1"/>
        <v>162.5678232</v>
      </c>
      <c r="D10">
        <f t="shared" si="2"/>
        <v>161.5674058</v>
      </c>
      <c r="E10">
        <f>SUM(D2:D10)</f>
        <v>1278.69258</v>
      </c>
      <c r="F10">
        <f t="shared" si="5"/>
        <v>756.9949148</v>
      </c>
      <c r="G10">
        <f t="shared" si="8"/>
        <v>1026.461104</v>
      </c>
      <c r="H10">
        <f t="shared" si="3"/>
        <v>136.637934</v>
      </c>
      <c r="I10">
        <f>SUM(H2:H10)</f>
        <v>1056.586284</v>
      </c>
      <c r="J10">
        <f t="shared" si="6"/>
        <v>632.619318</v>
      </c>
      <c r="K10">
        <f t="shared" si="9"/>
        <v>852.9126838</v>
      </c>
      <c r="L10">
        <f t="shared" si="4"/>
        <v>145.1414201</v>
      </c>
      <c r="M10">
        <f>SUM(L2:L10)</f>
        <v>1094.703551</v>
      </c>
      <c r="N10">
        <f t="shared" si="7"/>
        <v>663.4126074</v>
      </c>
      <c r="O10">
        <f t="shared" si="10"/>
        <v>888.9554869</v>
      </c>
    </row>
    <row r="11">
      <c r="B11" s="3">
        <v>10.0</v>
      </c>
      <c r="C11">
        <f t="shared" si="1"/>
        <v>168.0301021</v>
      </c>
      <c r="D11">
        <f t="shared" si="2"/>
        <v>166.9960707</v>
      </c>
      <c r="E11">
        <f>SUM(D2:D11)</f>
        <v>1445.68865</v>
      </c>
      <c r="F11">
        <f t="shared" si="5"/>
        <v>782.429944</v>
      </c>
      <c r="G11">
        <f t="shared" si="8"/>
        <v>1060.950198</v>
      </c>
      <c r="H11">
        <f t="shared" si="3"/>
        <v>142.1034514</v>
      </c>
      <c r="I11">
        <f>SUM(H2:H11)</f>
        <v>1198.689735</v>
      </c>
      <c r="J11">
        <f t="shared" si="6"/>
        <v>657.9240908</v>
      </c>
      <c r="K11">
        <f t="shared" si="9"/>
        <v>887.0291912</v>
      </c>
      <c r="L11">
        <f t="shared" si="4"/>
        <v>151.9630669</v>
      </c>
      <c r="M11">
        <f>SUM(L2:L11)</f>
        <v>1246.666618</v>
      </c>
      <c r="N11">
        <f t="shared" si="7"/>
        <v>694.593</v>
      </c>
      <c r="O11">
        <f t="shared" si="10"/>
        <v>930.7363948</v>
      </c>
    </row>
    <row r="12">
      <c r="B12" s="3">
        <v>11.0</v>
      </c>
      <c r="C12">
        <f t="shared" si="1"/>
        <v>173.6759135</v>
      </c>
      <c r="D12">
        <f t="shared" si="2"/>
        <v>172.6071386</v>
      </c>
      <c r="F12">
        <f t="shared" si="5"/>
        <v>808.7195901</v>
      </c>
      <c r="G12">
        <f t="shared" si="8"/>
        <v>1096.598124</v>
      </c>
      <c r="H12">
        <f t="shared" si="3"/>
        <v>147.7875894</v>
      </c>
      <c r="J12">
        <f t="shared" si="6"/>
        <v>684.2410544</v>
      </c>
      <c r="K12">
        <f t="shared" si="9"/>
        <v>922.5103588</v>
      </c>
      <c r="L12">
        <f t="shared" si="4"/>
        <v>159.105331</v>
      </c>
      <c r="N12">
        <f t="shared" si="7"/>
        <v>727.238871</v>
      </c>
      <c r="O12">
        <f t="shared" si="10"/>
        <v>974.4810053</v>
      </c>
    </row>
    <row r="13">
      <c r="B13" s="3">
        <v>12.0</v>
      </c>
      <c r="C13">
        <f t="shared" si="1"/>
        <v>179.5114242</v>
      </c>
      <c r="D13">
        <f t="shared" si="2"/>
        <v>178.4067385</v>
      </c>
      <c r="F13">
        <f t="shared" si="5"/>
        <v>835.8925683</v>
      </c>
      <c r="G13">
        <f t="shared" si="8"/>
        <v>1133.443821</v>
      </c>
      <c r="H13">
        <f t="shared" si="3"/>
        <v>153.699093</v>
      </c>
      <c r="J13">
        <f t="shared" si="6"/>
        <v>711.6106966</v>
      </c>
      <c r="K13">
        <f t="shared" si="9"/>
        <v>959.4107732</v>
      </c>
      <c r="L13">
        <f t="shared" si="4"/>
        <v>166.5832816</v>
      </c>
      <c r="N13">
        <f t="shared" si="7"/>
        <v>761.4190979</v>
      </c>
      <c r="O13">
        <f t="shared" si="10"/>
        <v>1020.281613</v>
      </c>
    </row>
    <row r="14">
      <c r="B14" s="3">
        <v>13.0</v>
      </c>
      <c r="C14">
        <f t="shared" si="1"/>
        <v>185.543008</v>
      </c>
      <c r="D14">
        <f t="shared" si="2"/>
        <v>184.4012049</v>
      </c>
      <c r="F14">
        <f t="shared" si="5"/>
        <v>863.9785586</v>
      </c>
      <c r="G14">
        <f t="shared" si="8"/>
        <v>1171.527533</v>
      </c>
      <c r="H14">
        <f t="shared" si="3"/>
        <v>159.8470567</v>
      </c>
      <c r="J14">
        <f t="shared" si="6"/>
        <v>740.0751244</v>
      </c>
      <c r="K14">
        <f t="shared" si="9"/>
        <v>997.7872041</v>
      </c>
      <c r="L14">
        <f t="shared" si="4"/>
        <v>174.4126958</v>
      </c>
      <c r="N14">
        <f t="shared" si="7"/>
        <v>797.2057955</v>
      </c>
      <c r="O14">
        <f t="shared" si="10"/>
        <v>1068.234848</v>
      </c>
    </row>
    <row r="15">
      <c r="B15" s="3">
        <v>14.0</v>
      </c>
      <c r="C15">
        <f t="shared" si="1"/>
        <v>191.7772531</v>
      </c>
      <c r="D15">
        <f t="shared" si="2"/>
        <v>190.5970854</v>
      </c>
      <c r="F15">
        <f t="shared" si="5"/>
        <v>893.0082382</v>
      </c>
      <c r="G15">
        <f t="shared" si="8"/>
        <v>1210.890859</v>
      </c>
      <c r="H15">
        <f t="shared" si="3"/>
        <v>166.240939</v>
      </c>
      <c r="J15">
        <f t="shared" si="6"/>
        <v>769.6781294</v>
      </c>
      <c r="K15">
        <f t="shared" si="9"/>
        <v>1037.698692</v>
      </c>
      <c r="L15">
        <f t="shared" si="4"/>
        <v>182.6100925</v>
      </c>
      <c r="N15">
        <f t="shared" si="7"/>
        <v>834.6744679</v>
      </c>
      <c r="O15">
        <f t="shared" si="10"/>
        <v>1118.441886</v>
      </c>
    </row>
    <row r="16">
      <c r="B16" s="3">
        <v>15.0</v>
      </c>
      <c r="C16">
        <f t="shared" si="1"/>
        <v>198.2209688</v>
      </c>
      <c r="D16">
        <f t="shared" si="2"/>
        <v>197.0011475</v>
      </c>
      <c r="E16">
        <f>SUM(D2:D16)</f>
        <v>2368.701965</v>
      </c>
      <c r="F16">
        <f t="shared" si="5"/>
        <v>923.013315</v>
      </c>
      <c r="G16">
        <f t="shared" si="8"/>
        <v>1251.576791</v>
      </c>
      <c r="H16">
        <f t="shared" si="3"/>
        <v>172.8905765</v>
      </c>
      <c r="I16">
        <f>SUM(H2:H16)</f>
        <v>1999.15499</v>
      </c>
      <c r="J16">
        <f t="shared" si="6"/>
        <v>800.4652546</v>
      </c>
      <c r="K16">
        <f t="shared" si="9"/>
        <v>1079.20664</v>
      </c>
      <c r="L16">
        <f t="shared" si="4"/>
        <v>191.1927669</v>
      </c>
      <c r="M16">
        <f>SUM(L2:L16)</f>
        <v>2120.570786</v>
      </c>
      <c r="N16">
        <f t="shared" si="7"/>
        <v>873.9041679</v>
      </c>
      <c r="O16">
        <f t="shared" si="10"/>
        <v>1171.008655</v>
      </c>
    </row>
    <row r="17">
      <c r="B17" s="3">
        <v>16.0</v>
      </c>
      <c r="C17">
        <f t="shared" si="1"/>
        <v>204.8811934</v>
      </c>
      <c r="D17">
        <f t="shared" si="2"/>
        <v>203.620386</v>
      </c>
      <c r="F17">
        <f t="shared" si="5"/>
        <v>954.0265623</v>
      </c>
      <c r="G17">
        <f t="shared" si="8"/>
        <v>1293.629772</v>
      </c>
      <c r="H17">
        <f t="shared" si="3"/>
        <v>179.8061996</v>
      </c>
      <c r="J17">
        <f t="shared" si="6"/>
        <v>832.4838648</v>
      </c>
      <c r="K17">
        <f t="shared" si="9"/>
        <v>1122.374906</v>
      </c>
      <c r="L17">
        <f t="shared" si="4"/>
        <v>200.1788269</v>
      </c>
      <c r="N17">
        <f t="shared" si="7"/>
        <v>914.9776638</v>
      </c>
      <c r="O17">
        <f t="shared" si="10"/>
        <v>1226.046062</v>
      </c>
    </row>
    <row r="18">
      <c r="B18" s="3">
        <v>17.0</v>
      </c>
      <c r="C18">
        <f t="shared" si="1"/>
        <v>211.7652015</v>
      </c>
      <c r="D18">
        <f t="shared" si="2"/>
        <v>210.462031</v>
      </c>
      <c r="F18">
        <f t="shared" si="5"/>
        <v>986.0818548</v>
      </c>
      <c r="G18">
        <f t="shared" si="8"/>
        <v>1337.095732</v>
      </c>
      <c r="H18">
        <f t="shared" si="3"/>
        <v>186.9984476</v>
      </c>
      <c r="J18">
        <f t="shared" si="6"/>
        <v>865.7832194</v>
      </c>
      <c r="K18">
        <f t="shared" si="9"/>
        <v>1167.269902</v>
      </c>
      <c r="L18">
        <f t="shared" si="4"/>
        <v>209.5872318</v>
      </c>
      <c r="N18">
        <f t="shared" si="7"/>
        <v>957.981614</v>
      </c>
      <c r="O18">
        <f t="shared" si="10"/>
        <v>1283.670227</v>
      </c>
    </row>
    <row r="19">
      <c r="B19" s="3">
        <v>18.0</v>
      </c>
      <c r="C19">
        <f t="shared" si="1"/>
        <v>218.8805122</v>
      </c>
      <c r="D19">
        <f t="shared" si="2"/>
        <v>217.5335552</v>
      </c>
      <c r="F19">
        <f t="shared" si="5"/>
        <v>1019.214205</v>
      </c>
      <c r="G19">
        <f t="shared" si="8"/>
        <v>1382.022149</v>
      </c>
      <c r="H19">
        <f t="shared" si="3"/>
        <v>194.4783855</v>
      </c>
      <c r="J19">
        <f t="shared" si="6"/>
        <v>900.4145481</v>
      </c>
      <c r="K19">
        <f t="shared" si="9"/>
        <v>1213.960698</v>
      </c>
      <c r="L19">
        <f t="shared" si="4"/>
        <v>219.4378317</v>
      </c>
      <c r="N19">
        <f t="shared" si="7"/>
        <v>1003.00675</v>
      </c>
      <c r="O19">
        <f t="shared" si="10"/>
        <v>1344.002727</v>
      </c>
    </row>
    <row r="20">
      <c r="B20" s="3">
        <v>19.0</v>
      </c>
      <c r="C20">
        <f t="shared" si="1"/>
        <v>226.2348975</v>
      </c>
      <c r="D20">
        <f t="shared" si="2"/>
        <v>224.8426827</v>
      </c>
      <c r="F20">
        <f t="shared" si="5"/>
        <v>1053.459802</v>
      </c>
      <c r="G20">
        <f t="shared" si="8"/>
        <v>1428.458093</v>
      </c>
      <c r="H20">
        <f t="shared" si="3"/>
        <v>202.2575209</v>
      </c>
      <c r="J20">
        <f t="shared" si="6"/>
        <v>936.4311301</v>
      </c>
      <c r="K20">
        <f t="shared" si="9"/>
        <v>1262.519126</v>
      </c>
      <c r="L20">
        <f t="shared" si="4"/>
        <v>229.7514098</v>
      </c>
      <c r="N20">
        <f t="shared" si="7"/>
        <v>1050.148067</v>
      </c>
      <c r="O20">
        <f t="shared" si="10"/>
        <v>1407.170855</v>
      </c>
    </row>
    <row r="21">
      <c r="B21" s="3">
        <v>20.0</v>
      </c>
      <c r="C21">
        <f t="shared" si="1"/>
        <v>233.83639</v>
      </c>
      <c r="D21">
        <f t="shared" si="2"/>
        <v>232.3973968</v>
      </c>
      <c r="E21">
        <f>SUM(D2:D21)</f>
        <v>3457.558017</v>
      </c>
      <c r="F21">
        <f t="shared" si="5"/>
        <v>1088.856052</v>
      </c>
      <c r="G21">
        <f t="shared" si="8"/>
        <v>1476.454285</v>
      </c>
      <c r="H21">
        <f t="shared" si="3"/>
        <v>210.3478217</v>
      </c>
      <c r="I21">
        <f>SUM(H2:H21)</f>
        <v>2973.043365</v>
      </c>
      <c r="J21">
        <f t="shared" si="6"/>
        <v>973.8883753</v>
      </c>
      <c r="K21">
        <f t="shared" si="9"/>
        <v>1313.019891</v>
      </c>
      <c r="L21">
        <f t="shared" si="4"/>
        <v>240.549726</v>
      </c>
      <c r="M21">
        <f>SUM(L2:L21)</f>
        <v>3220.075812</v>
      </c>
      <c r="N21">
        <f t="shared" si="7"/>
        <v>1099.505026</v>
      </c>
      <c r="O21">
        <f t="shared" si="10"/>
        <v>1473.307886</v>
      </c>
    </row>
    <row r="22">
      <c r="B22" s="3">
        <v>21.0</v>
      </c>
      <c r="C22">
        <f t="shared" si="1"/>
        <v>241.6932927</v>
      </c>
      <c r="D22">
        <f t="shared" si="2"/>
        <v>240.2059494</v>
      </c>
      <c r="F22">
        <f t="shared" si="5"/>
        <v>1125.441615</v>
      </c>
      <c r="G22">
        <f t="shared" si="8"/>
        <v>1526.063149</v>
      </c>
      <c r="H22">
        <f t="shared" si="3"/>
        <v>218.7617346</v>
      </c>
      <c r="J22">
        <f t="shared" si="6"/>
        <v>1012.84391</v>
      </c>
      <c r="K22">
        <f t="shared" si="9"/>
        <v>1365.540686</v>
      </c>
      <c r="L22">
        <f t="shared" si="4"/>
        <v>251.8555632</v>
      </c>
      <c r="N22">
        <f t="shared" si="7"/>
        <v>1151.181762</v>
      </c>
      <c r="O22">
        <f t="shared" si="10"/>
        <v>1542.553356</v>
      </c>
    </row>
    <row r="23">
      <c r="B23" s="3">
        <v>22.0</v>
      </c>
      <c r="C23">
        <f t="shared" si="1"/>
        <v>249.8141873</v>
      </c>
      <c r="D23">
        <f t="shared" si="2"/>
        <v>248.2768693</v>
      </c>
      <c r="F23">
        <f t="shared" si="5"/>
        <v>1163.256453</v>
      </c>
      <c r="G23">
        <f t="shared" si="8"/>
        <v>1577.33887</v>
      </c>
      <c r="H23">
        <f t="shared" si="3"/>
        <v>227.512204</v>
      </c>
      <c r="J23">
        <f t="shared" si="6"/>
        <v>1053.357667</v>
      </c>
      <c r="K23">
        <f t="shared" si="9"/>
        <v>1420.162314</v>
      </c>
      <c r="L23">
        <f t="shared" si="4"/>
        <v>263.6927746</v>
      </c>
      <c r="N23">
        <f t="shared" si="7"/>
        <v>1205.287305</v>
      </c>
      <c r="O23">
        <f t="shared" si="10"/>
        <v>1615.053364</v>
      </c>
    </row>
    <row r="24">
      <c r="B24" s="3">
        <v>23.0</v>
      </c>
      <c r="C24">
        <f t="shared" si="1"/>
        <v>258.207944</v>
      </c>
      <c r="D24">
        <f t="shared" si="2"/>
        <v>256.6189721</v>
      </c>
      <c r="F24">
        <f t="shared" si="5"/>
        <v>1202.34187</v>
      </c>
      <c r="G24">
        <f t="shared" si="8"/>
        <v>1630.337457</v>
      </c>
      <c r="H24">
        <f t="shared" si="3"/>
        <v>236.6126921</v>
      </c>
      <c r="J24">
        <f t="shared" si="6"/>
        <v>1095.491973</v>
      </c>
      <c r="K24">
        <f t="shared" si="9"/>
        <v>1476.968806</v>
      </c>
      <c r="L24">
        <f t="shared" si="4"/>
        <v>276.086335</v>
      </c>
      <c r="N24">
        <f t="shared" si="7"/>
        <v>1261.935809</v>
      </c>
      <c r="O24">
        <f t="shared" si="10"/>
        <v>1690.960872</v>
      </c>
    </row>
    <row r="25">
      <c r="B25" s="3">
        <v>24.0</v>
      </c>
      <c r="C25">
        <f t="shared" si="1"/>
        <v>266.883731</v>
      </c>
      <c r="D25">
        <f t="shared" si="2"/>
        <v>265.2413695</v>
      </c>
      <c r="F25">
        <f t="shared" si="5"/>
        <v>1242.740557</v>
      </c>
      <c r="G25">
        <f t="shared" si="8"/>
        <v>1685.116795</v>
      </c>
      <c r="H25">
        <f t="shared" si="3"/>
        <v>246.0771998</v>
      </c>
      <c r="J25">
        <f t="shared" si="6"/>
        <v>1139.311652</v>
      </c>
      <c r="K25">
        <f t="shared" si="9"/>
        <v>1536.047559</v>
      </c>
      <c r="L25">
        <f t="shared" si="4"/>
        <v>289.0623928</v>
      </c>
      <c r="N25">
        <f t="shared" si="7"/>
        <v>1321.246792</v>
      </c>
      <c r="O25">
        <f t="shared" si="10"/>
        <v>1770.436033</v>
      </c>
    </row>
    <row r="26">
      <c r="B26" s="3">
        <v>25.0</v>
      </c>
      <c r="C26">
        <f t="shared" si="1"/>
        <v>275.8510243</v>
      </c>
      <c r="D26">
        <f t="shared" si="2"/>
        <v>274.1534796</v>
      </c>
      <c r="E26">
        <f>SUM(D2:D26)</f>
        <v>4742.054657</v>
      </c>
      <c r="F26">
        <f t="shared" si="5"/>
        <v>1284.49664</v>
      </c>
      <c r="G26">
        <f t="shared" si="8"/>
        <v>1741.736719</v>
      </c>
      <c r="H26">
        <f t="shared" si="3"/>
        <v>255.9202878</v>
      </c>
      <c r="I26">
        <f>SUM(H2:H26)</f>
        <v>4157.927483</v>
      </c>
      <c r="J26">
        <f t="shared" si="6"/>
        <v>1184.884118</v>
      </c>
      <c r="K26">
        <f t="shared" si="9"/>
        <v>1597.489461</v>
      </c>
      <c r="L26">
        <f t="shared" si="4"/>
        <v>302.6483252</v>
      </c>
      <c r="M26">
        <f>SUM(L2:L26)</f>
        <v>4603.421203</v>
      </c>
      <c r="N26">
        <f t="shared" si="7"/>
        <v>1383.345391</v>
      </c>
      <c r="O26">
        <f t="shared" si="10"/>
        <v>1853.646527</v>
      </c>
    </row>
    <row r="27">
      <c r="B27" s="3">
        <v>26.0</v>
      </c>
      <c r="C27">
        <f t="shared" si="1"/>
        <v>285.1196187</v>
      </c>
      <c r="D27">
        <f t="shared" si="2"/>
        <v>283.3650365</v>
      </c>
      <c r="E27">
        <f>SUM(D2:D27)</f>
        <v>5025.419693</v>
      </c>
      <c r="F27">
        <f t="shared" si="5"/>
        <v>1327.655727</v>
      </c>
      <c r="G27">
        <f t="shared" si="8"/>
        <v>1800.259073</v>
      </c>
      <c r="H27">
        <f t="shared" si="3"/>
        <v>266.1570993</v>
      </c>
      <c r="I27">
        <f>SUM(H2:H27)</f>
        <v>4424.084583</v>
      </c>
      <c r="J27">
        <f t="shared" si="6"/>
        <v>1232.279483</v>
      </c>
      <c r="K27">
        <f t="shared" si="9"/>
        <v>1661.389039</v>
      </c>
      <c r="L27">
        <f t="shared" si="4"/>
        <v>316.8727965</v>
      </c>
      <c r="M27">
        <f>SUM(L2:L27)</f>
        <v>4920.293999</v>
      </c>
      <c r="N27">
        <f t="shared" si="7"/>
        <v>1448.362624</v>
      </c>
      <c r="O27">
        <f t="shared" si="10"/>
        <v>1940.767913</v>
      </c>
    </row>
    <row r="28">
      <c r="B28" s="3">
        <v>27.0</v>
      </c>
      <c r="C28">
        <f t="shared" si="1"/>
        <v>294.6996379</v>
      </c>
      <c r="D28">
        <f t="shared" si="2"/>
        <v>292.8861017</v>
      </c>
      <c r="E28">
        <f>SUM(D2:D28)</f>
        <v>5318.305795</v>
      </c>
      <c r="F28">
        <f t="shared" si="5"/>
        <v>1372.264959</v>
      </c>
      <c r="G28">
        <f t="shared" si="8"/>
        <v>1860.747778</v>
      </c>
      <c r="H28">
        <f t="shared" si="3"/>
        <v>276.8033833</v>
      </c>
      <c r="I28">
        <f>SUM(H2:H28)</f>
        <v>4700.887966</v>
      </c>
      <c r="J28">
        <f t="shared" si="6"/>
        <v>1281.570662</v>
      </c>
      <c r="K28">
        <f t="shared" si="9"/>
        <v>1727.844601</v>
      </c>
      <c r="L28">
        <f t="shared" si="4"/>
        <v>331.765818</v>
      </c>
      <c r="M28">
        <f>SUM(L2:L28)</f>
        <v>5252.059817</v>
      </c>
      <c r="N28">
        <f t="shared" si="7"/>
        <v>1516.435668</v>
      </c>
      <c r="O28">
        <f t="shared" si="10"/>
        <v>2031.984005</v>
      </c>
    </row>
    <row r="29">
      <c r="B29" s="3">
        <v>28.0</v>
      </c>
      <c r="C29">
        <f t="shared" si="1"/>
        <v>304.6015458</v>
      </c>
      <c r="D29">
        <f t="shared" si="2"/>
        <v>302.7270747</v>
      </c>
      <c r="E29">
        <f>SUM(D2:D29)</f>
        <v>5621.03287</v>
      </c>
      <c r="F29">
        <f t="shared" si="5"/>
        <v>1418.373062</v>
      </c>
      <c r="G29">
        <f t="shared" si="8"/>
        <v>1923.268903</v>
      </c>
      <c r="H29">
        <f t="shared" si="3"/>
        <v>287.8755186</v>
      </c>
      <c r="I29">
        <f>SUM(H2:H29)</f>
        <v>4988.763485</v>
      </c>
      <c r="J29">
        <f t="shared" si="6"/>
        <v>1332.833489</v>
      </c>
      <c r="K29">
        <f t="shared" si="9"/>
        <v>1796.958385</v>
      </c>
      <c r="L29">
        <f t="shared" si="4"/>
        <v>347.3588114</v>
      </c>
      <c r="M29">
        <f>SUM(L2:L29)</f>
        <v>5599.418629</v>
      </c>
      <c r="N29">
        <f t="shared" si="7"/>
        <v>1587.708144</v>
      </c>
      <c r="O29">
        <f t="shared" si="10"/>
        <v>2127.487254</v>
      </c>
    </row>
    <row r="30">
      <c r="B30" s="3">
        <v>29.0</v>
      </c>
      <c r="C30">
        <f t="shared" si="1"/>
        <v>314.8361577</v>
      </c>
      <c r="D30" s="100">
        <f t="shared" si="2"/>
        <v>312.8987044</v>
      </c>
      <c r="E30">
        <f>SUM(D2:D30)</f>
        <v>5933.931574</v>
      </c>
      <c r="F30">
        <f t="shared" si="5"/>
        <v>1466.030397</v>
      </c>
      <c r="G30">
        <f t="shared" si="8"/>
        <v>1987.890738</v>
      </c>
      <c r="H30" s="100">
        <f t="shared" si="3"/>
        <v>299.3905394</v>
      </c>
      <c r="I30">
        <f>SUM(H2:H30)</f>
        <v>5288.154024</v>
      </c>
      <c r="J30">
        <f t="shared" si="6"/>
        <v>1386.146828</v>
      </c>
      <c r="K30">
        <f t="shared" si="9"/>
        <v>1868.83672</v>
      </c>
      <c r="L30" s="100">
        <f t="shared" si="4"/>
        <v>363.6846755</v>
      </c>
      <c r="M30">
        <f>SUM(L2:L30)</f>
        <v>5963.103304</v>
      </c>
      <c r="N30">
        <f t="shared" si="7"/>
        <v>1662.330427</v>
      </c>
      <c r="O30">
        <f t="shared" si="10"/>
        <v>2227.479155</v>
      </c>
    </row>
    <row r="31">
      <c r="B31" s="3">
        <v>30.0</v>
      </c>
      <c r="C31" s="72">
        <f t="shared" si="1"/>
        <v>325.4146526</v>
      </c>
      <c r="D31" s="220">
        <f t="shared" si="2"/>
        <v>323.4121009</v>
      </c>
      <c r="E31" s="29">
        <f>SUM(D2:D31)</f>
        <v>6257.343675</v>
      </c>
      <c r="F31" s="226">
        <f t="shared" si="5"/>
        <v>1515.289018</v>
      </c>
      <c r="G31" s="227">
        <f t="shared" si="8"/>
        <v>2054.683867</v>
      </c>
      <c r="H31" s="18">
        <f t="shared" si="3"/>
        <v>311.366161</v>
      </c>
      <c r="I31" s="228">
        <f>SUM(H2:H31)</f>
        <v>5599.520185</v>
      </c>
      <c r="J31" s="31">
        <f t="shared" si="6"/>
        <v>1441.592702</v>
      </c>
      <c r="K31" s="227">
        <f t="shared" si="9"/>
        <v>1943.590189</v>
      </c>
      <c r="L31" s="18">
        <f t="shared" si="4"/>
        <v>380.7778553</v>
      </c>
      <c r="M31" s="228">
        <f>SUM(L2:L31)</f>
        <v>6343.881159</v>
      </c>
      <c r="N31" s="31">
        <f t="shared" si="7"/>
        <v>1740.459957</v>
      </c>
      <c r="O31" s="44">
        <f t="shared" si="10"/>
        <v>2332.170675</v>
      </c>
    </row>
    <row r="32">
      <c r="D32" s="103"/>
      <c r="H32" s="103"/>
      <c r="L32" s="103"/>
    </row>
    <row r="33">
      <c r="H33" s="3" t="s">
        <v>6459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0"/>
    <col customWidth="1" min="2" max="26" width="15.0"/>
  </cols>
  <sheetData>
    <row r="1">
      <c r="B1" s="1" t="s">
        <v>6460</v>
      </c>
      <c r="C1" s="1" t="s">
        <v>6461</v>
      </c>
      <c r="D1" s="1" t="s">
        <v>6460</v>
      </c>
      <c r="E1" s="1" t="s">
        <v>6461</v>
      </c>
      <c r="G1" s="1" t="s">
        <v>6462</v>
      </c>
      <c r="H1" s="1" t="s">
        <v>6463</v>
      </c>
      <c r="I1" s="1" t="s">
        <v>6464</v>
      </c>
      <c r="K1" s="1" t="s">
        <v>6465</v>
      </c>
    </row>
    <row r="2">
      <c r="A2" s="1" t="s">
        <v>6466</v>
      </c>
      <c r="B2" s="1" t="s">
        <v>6467</v>
      </c>
      <c r="C2" s="1" t="s">
        <v>6467</v>
      </c>
      <c r="D2" s="1" t="s">
        <v>2203</v>
      </c>
      <c r="E2" s="1" t="s">
        <v>6468</v>
      </c>
      <c r="G2" s="1" t="s">
        <v>6469</v>
      </c>
      <c r="H2" s="121">
        <v>0.1</v>
      </c>
    </row>
    <row r="3">
      <c r="A3" s="1" t="s">
        <v>6470</v>
      </c>
      <c r="B3" s="1">
        <v>1350000.0</v>
      </c>
      <c r="C3" s="1">
        <v>1350000.0</v>
      </c>
      <c r="D3">
        <f t="shared" ref="D3:E3" si="1">SUM(D4:D5)</f>
        <v>152245570</v>
      </c>
      <c r="E3">
        <f t="shared" si="1"/>
        <v>214970600</v>
      </c>
      <c r="G3" s="1" t="s">
        <v>6471</v>
      </c>
      <c r="H3" s="121">
        <v>0.2</v>
      </c>
      <c r="I3" s="1" t="s">
        <v>6472</v>
      </c>
      <c r="K3" s="1" t="s">
        <v>6473</v>
      </c>
      <c r="L3" s="1" t="s">
        <v>6474</v>
      </c>
    </row>
    <row r="4">
      <c r="D4" s="1">
        <v>7.18428E7</v>
      </c>
      <c r="E4" s="1">
        <v>1.074906E8</v>
      </c>
      <c r="G4" s="1" t="s">
        <v>6475</v>
      </c>
      <c r="H4" s="121">
        <v>0.3</v>
      </c>
      <c r="I4" s="1" t="s">
        <v>6476</v>
      </c>
      <c r="K4">
        <f>240000000*0.2-10000000</f>
        <v>38000000</v>
      </c>
      <c r="L4">
        <f>(115000000*0.2-10000000)*2</f>
        <v>26000000</v>
      </c>
    </row>
    <row r="5">
      <c r="D5" s="1">
        <v>8.040277E7</v>
      </c>
      <c r="E5" s="1">
        <v>1.0748E8</v>
      </c>
      <c r="G5" s="1" t="s">
        <v>6477</v>
      </c>
      <c r="H5" s="121">
        <v>0.4</v>
      </c>
      <c r="I5" s="1" t="s">
        <v>6478</v>
      </c>
    </row>
    <row r="6">
      <c r="G6" s="1" t="s">
        <v>6479</v>
      </c>
      <c r="H6" s="121">
        <v>0.5</v>
      </c>
      <c r="I6" s="1" t="s">
        <v>6480</v>
      </c>
    </row>
    <row r="7">
      <c r="A7" s="1" t="s">
        <v>6481</v>
      </c>
      <c r="B7" s="1">
        <v>3.0E7</v>
      </c>
      <c r="C7" s="1">
        <v>3.0E7</v>
      </c>
      <c r="D7">
        <f>D10+D8</f>
        <v>784194982.5</v>
      </c>
      <c r="E7" s="1">
        <v>9.89730606E8</v>
      </c>
    </row>
    <row r="8">
      <c r="A8" s="1" t="s">
        <v>6482</v>
      </c>
      <c r="B8" s="1">
        <v>1.5E7</v>
      </c>
      <c r="C8" s="1">
        <v>1.5E7</v>
      </c>
      <c r="D8" s="1">
        <v>5.0E7</v>
      </c>
      <c r="E8" s="1">
        <v>5.0E7</v>
      </c>
    </row>
    <row r="9">
      <c r="A9" s="1" t="s">
        <v>6483</v>
      </c>
      <c r="E9" s="1">
        <v>1000000.0</v>
      </c>
    </row>
    <row r="10">
      <c r="A10" s="1" t="s">
        <v>6462</v>
      </c>
      <c r="B10" s="1">
        <v>1.5E7</v>
      </c>
      <c r="C10" s="1">
        <v>1.5E7</v>
      </c>
      <c r="D10">
        <f>(D12+60000000)/0.3</f>
        <v>734194982.5</v>
      </c>
      <c r="E10">
        <f>E7-E8-E9</f>
        <v>938730606</v>
      </c>
    </row>
    <row r="11">
      <c r="A11" s="1" t="s">
        <v>6484</v>
      </c>
      <c r="B11" s="1">
        <v>0.1</v>
      </c>
      <c r="C11" s="1">
        <v>0.1</v>
      </c>
      <c r="D11" s="1">
        <v>0.3</v>
      </c>
      <c r="E11" s="1">
        <v>0.3</v>
      </c>
    </row>
    <row r="12">
      <c r="A12" s="1" t="s">
        <v>6485</v>
      </c>
      <c r="B12" s="1">
        <v>1500000.0</v>
      </c>
      <c r="C12" s="1">
        <v>1500000.0</v>
      </c>
      <c r="D12">
        <f>D14*100/95</f>
        <v>160258494.7</v>
      </c>
      <c r="E12">
        <f>E10*E11-60000000</f>
        <v>221619181.8</v>
      </c>
    </row>
    <row r="13">
      <c r="A13" s="1" t="s">
        <v>6486</v>
      </c>
      <c r="B13" s="1">
        <v>150000.0</v>
      </c>
      <c r="C13" s="1">
        <v>150000.0</v>
      </c>
      <c r="D13">
        <f>D12-D14</f>
        <v>8012924.737</v>
      </c>
      <c r="E13">
        <f>E12*0.03</f>
        <v>6648575.454</v>
      </c>
    </row>
    <row r="14">
      <c r="A14" s="1" t="s">
        <v>6487</v>
      </c>
      <c r="B14">
        <f t="shared" ref="B14:C14" si="2">B12-B13</f>
        <v>1350000</v>
      </c>
      <c r="C14">
        <f t="shared" si="2"/>
        <v>1350000</v>
      </c>
      <c r="D14">
        <v>1.5224557E8</v>
      </c>
      <c r="E14">
        <f>E12-E13</f>
        <v>214970606.3</v>
      </c>
    </row>
    <row r="15">
      <c r="A15" s="1" t="s">
        <v>6488</v>
      </c>
      <c r="D15">
        <f t="shared" ref="D15:E15" si="3">D7-D12</f>
        <v>623936487.7</v>
      </c>
      <c r="E15">
        <f t="shared" si="3"/>
        <v>768111424.2</v>
      </c>
    </row>
    <row r="17">
      <c r="A17" s="1" t="s">
        <v>6489</v>
      </c>
      <c r="D17">
        <f t="shared" ref="D17:E17" si="4">((1000000000-D7)*0.3+(D7-600000000)*0.4)/0.6</f>
        <v>230699163.7</v>
      </c>
      <c r="E17">
        <f t="shared" si="4"/>
        <v>264955101</v>
      </c>
    </row>
    <row r="18">
      <c r="A18" s="1" t="s">
        <v>6490</v>
      </c>
      <c r="D18">
        <f t="shared" ref="D18:E18" si="5">((1000000000-D7)*0.3+(D7-500000000)*0.4)/0.6</f>
        <v>297365830.4</v>
      </c>
      <c r="E18">
        <f t="shared" si="5"/>
        <v>331621767.7</v>
      </c>
    </row>
    <row r="19">
      <c r="A19" s="1" t="s">
        <v>6491</v>
      </c>
      <c r="D19">
        <f t="shared" ref="D19:E19" si="6">((1000000000-D7)*0.3+(D7-100000000)*0.4)/0.6</f>
        <v>564032497.1</v>
      </c>
      <c r="E19">
        <f t="shared" si="6"/>
        <v>598288434.3</v>
      </c>
    </row>
    <row r="20">
      <c r="A20" s="1" t="s">
        <v>6492</v>
      </c>
      <c r="D20" s="1">
        <f t="shared" ref="D20:E20" si="7">((1000000000-D7)*0.3+(D7)*0.4)/0.6</f>
        <v>630699163.7</v>
      </c>
      <c r="E20" s="1">
        <f t="shared" si="7"/>
        <v>664955101</v>
      </c>
    </row>
    <row r="21">
      <c r="A21" s="1" t="s">
        <v>6493</v>
      </c>
      <c r="D21" s="1">
        <f t="shared" ref="D21:E21" si="8">((1000000000-D7)*0.3+(D7+200000000)*0.4)/0.6</f>
        <v>764032497.1</v>
      </c>
      <c r="E21" s="1">
        <f t="shared" si="8"/>
        <v>798288434.3</v>
      </c>
    </row>
    <row r="22">
      <c r="A22" s="1"/>
    </row>
    <row r="23">
      <c r="A23" s="1" t="s">
        <v>6494</v>
      </c>
      <c r="D23">
        <f t="shared" ref="D23:E23" si="9">((400000000-50000000)*0.2-10000000)/0.8</f>
        <v>75000000</v>
      </c>
      <c r="E23">
        <f t="shared" si="9"/>
        <v>75000000</v>
      </c>
    </row>
    <row r="24">
      <c r="A24" s="1" t="s">
        <v>6495</v>
      </c>
      <c r="D24">
        <f t="shared" ref="D24:E24" si="10">((500000000-50000000)*0.3-60000000)/0.7</f>
        <v>107142857.1</v>
      </c>
      <c r="E24">
        <f t="shared" si="10"/>
        <v>107142857.1</v>
      </c>
    </row>
    <row r="25">
      <c r="A25" s="1" t="s">
        <v>6496</v>
      </c>
      <c r="D25">
        <f t="shared" ref="D25:E25" si="11">((900000000-50000000)*0.4-160000000)/0.6</f>
        <v>300000000</v>
      </c>
      <c r="E25">
        <f t="shared" si="11"/>
        <v>300000000</v>
      </c>
    </row>
    <row r="26">
      <c r="A26" s="1" t="s">
        <v>6497</v>
      </c>
      <c r="D26">
        <f t="shared" ref="D26:E26" si="12">((1000000000-50000000)*0.4-160000000)/0.6</f>
        <v>366666666.7</v>
      </c>
      <c r="E26">
        <f t="shared" si="12"/>
        <v>366666666.7</v>
      </c>
    </row>
    <row r="27">
      <c r="A27" s="1" t="s">
        <v>6498</v>
      </c>
      <c r="D27">
        <f t="shared" ref="D27:E27" si="13">((1200000000-50000000)*0.4-160000000)/0.6</f>
        <v>500000000</v>
      </c>
      <c r="E27">
        <f t="shared" si="13"/>
        <v>500000000</v>
      </c>
    </row>
    <row r="28">
      <c r="A28" s="1"/>
      <c r="D28" s="229">
        <f t="shared" ref="D28:E28" si="14">D17-D23</f>
        <v>155699163.7</v>
      </c>
      <c r="E28" s="229">
        <f t="shared" si="14"/>
        <v>189955101</v>
      </c>
    </row>
    <row r="29">
      <c r="A29" s="1" t="s">
        <v>6499</v>
      </c>
      <c r="D29" s="229">
        <f t="shared" ref="D29:E29" si="15">D18-D24</f>
        <v>190222973.3</v>
      </c>
      <c r="E29" s="229">
        <f t="shared" si="15"/>
        <v>224478910.5</v>
      </c>
    </row>
    <row r="30">
      <c r="D30" s="229">
        <f t="shared" ref="D30:D32" si="16">D19-D25</f>
        <v>264032497.1</v>
      </c>
      <c r="E30" s="229">
        <f t="shared" ref="E30:E31" si="17">E20-E26</f>
        <v>298288434.3</v>
      </c>
    </row>
    <row r="31">
      <c r="D31" s="229">
        <f t="shared" si="16"/>
        <v>264032497.1</v>
      </c>
      <c r="E31" s="230">
        <f t="shared" si="17"/>
        <v>298288434.3</v>
      </c>
    </row>
    <row r="32">
      <c r="A32" s="1"/>
      <c r="D32" s="229">
        <f t="shared" si="16"/>
        <v>264032497.1</v>
      </c>
      <c r="E32" s="229">
        <f>E21-E27</f>
        <v>298288434.3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2.75"/>
  <cols>
    <col customWidth="1" min="1" max="1" width="15.63"/>
    <col customWidth="1" min="2" max="2" width="37.88"/>
    <col customWidth="1" min="3" max="3" width="11.63"/>
    <col customWidth="1" min="4" max="5" width="18.0"/>
    <col customWidth="1" min="6" max="6" width="47.88"/>
    <col customWidth="1" min="7" max="7" width="43.13"/>
    <col customWidth="1" min="8" max="8" width="15.75"/>
    <col customWidth="1" min="9" max="9" width="17.0"/>
    <col customWidth="1" min="10" max="22" width="8.13"/>
  </cols>
  <sheetData>
    <row r="1">
      <c r="A1" s="3" t="s">
        <v>45</v>
      </c>
      <c r="B1" s="1" t="s">
        <v>46</v>
      </c>
      <c r="C1" s="3" t="s">
        <v>47</v>
      </c>
      <c r="D1" s="3" t="s">
        <v>48</v>
      </c>
      <c r="E1" s="1" t="s">
        <v>49</v>
      </c>
      <c r="F1" s="3" t="s">
        <v>50</v>
      </c>
      <c r="G1" s="3" t="s">
        <v>51</v>
      </c>
      <c r="H1" s="1">
        <v>1.2336301E7</v>
      </c>
      <c r="I1" s="1" t="s">
        <v>52</v>
      </c>
    </row>
    <row r="2">
      <c r="B2" s="1" t="s">
        <v>53</v>
      </c>
      <c r="C2" s="3" t="s">
        <v>54</v>
      </c>
      <c r="D2" s="1" t="s">
        <v>55</v>
      </c>
      <c r="E2" s="1"/>
      <c r="F2" s="3" t="s">
        <v>56</v>
      </c>
      <c r="G2" s="1" t="s">
        <v>57</v>
      </c>
      <c r="H2" s="1" t="s">
        <v>58</v>
      </c>
      <c r="I2" s="1" t="s">
        <v>59</v>
      </c>
    </row>
    <row r="3">
      <c r="A3" s="3" t="s">
        <v>60</v>
      </c>
      <c r="B3" s="3" t="s">
        <v>61</v>
      </c>
      <c r="C3" s="3">
        <v>8000000.0</v>
      </c>
      <c r="D3" s="3">
        <v>8000000.0</v>
      </c>
      <c r="E3" s="3"/>
      <c r="F3" s="1" t="s">
        <v>62</v>
      </c>
      <c r="G3" s="1" t="s">
        <v>63</v>
      </c>
      <c r="I3" s="1" t="s">
        <v>64</v>
      </c>
      <c r="K3" s="3" t="s">
        <v>65</v>
      </c>
      <c r="L3" s="3">
        <v>1543530.0</v>
      </c>
    </row>
    <row r="4">
      <c r="B4" s="3" t="s">
        <v>66</v>
      </c>
      <c r="D4" s="3">
        <v>4000000.0</v>
      </c>
      <c r="E4" s="3"/>
      <c r="F4" s="3" t="s">
        <v>67</v>
      </c>
      <c r="G4" s="1" t="s">
        <v>68</v>
      </c>
      <c r="K4" s="3" t="s">
        <v>69</v>
      </c>
      <c r="L4" s="3">
        <v>154350.0</v>
      </c>
    </row>
    <row r="5">
      <c r="A5" s="3" t="s">
        <v>70</v>
      </c>
      <c r="B5" s="3" t="s">
        <v>71</v>
      </c>
      <c r="G5" s="1" t="s">
        <v>72</v>
      </c>
      <c r="K5" s="3" t="s">
        <v>65</v>
      </c>
      <c r="L5" s="3">
        <v>71490.0</v>
      </c>
    </row>
    <row r="6">
      <c r="B6" s="3" t="s">
        <v>73</v>
      </c>
      <c r="C6" s="3">
        <v>3.2E7</v>
      </c>
      <c r="D6" s="3">
        <v>3.2E7</v>
      </c>
      <c r="E6" s="3"/>
      <c r="G6" s="1" t="s">
        <v>74</v>
      </c>
      <c r="K6" s="3" t="s">
        <v>69</v>
      </c>
      <c r="L6" s="3">
        <v>7130.0</v>
      </c>
    </row>
    <row r="7">
      <c r="B7" s="3" t="s">
        <v>75</v>
      </c>
      <c r="D7" s="3">
        <v>125000.0</v>
      </c>
      <c r="E7" s="3"/>
      <c r="G7" s="1" t="s">
        <v>76</v>
      </c>
      <c r="J7" s="3" t="s">
        <v>77</v>
      </c>
      <c r="L7">
        <f>Sum(L3:L6)</f>
        <v>1776500</v>
      </c>
    </row>
    <row r="8">
      <c r="A8" s="3" t="s">
        <v>78</v>
      </c>
      <c r="B8" s="3" t="s">
        <v>79</v>
      </c>
      <c r="D8" s="3">
        <v>600000.0</v>
      </c>
      <c r="E8" s="3"/>
    </row>
    <row r="9">
      <c r="A9" s="3" t="s">
        <v>80</v>
      </c>
      <c r="B9" s="3" t="s">
        <v>81</v>
      </c>
      <c r="D9" s="3">
        <v>300000.0</v>
      </c>
      <c r="E9" s="3"/>
      <c r="G9" s="1" t="s">
        <v>82</v>
      </c>
    </row>
    <row r="10">
      <c r="A10" s="3" t="s">
        <v>83</v>
      </c>
      <c r="B10" s="3" t="s">
        <v>75</v>
      </c>
      <c r="D10" s="3">
        <v>60000.0</v>
      </c>
      <c r="E10" s="3"/>
      <c r="G10" s="1" t="s">
        <v>84</v>
      </c>
    </row>
    <row r="11">
      <c r="B11" s="3" t="s">
        <v>85</v>
      </c>
      <c r="D11" s="3">
        <v>500000.0</v>
      </c>
      <c r="E11" s="3"/>
    </row>
    <row r="12">
      <c r="A12" s="3" t="s">
        <v>86</v>
      </c>
      <c r="B12" s="3" t="s">
        <v>87</v>
      </c>
      <c r="D12" s="3">
        <v>200000.0</v>
      </c>
      <c r="E12" s="3"/>
      <c r="G12" s="1" t="s">
        <v>88</v>
      </c>
    </row>
    <row r="13">
      <c r="A13" s="3" t="s">
        <v>89</v>
      </c>
      <c r="B13" s="3" t="s">
        <v>90</v>
      </c>
      <c r="C13" s="3">
        <v>8.0E7</v>
      </c>
      <c r="D13" s="3">
        <v>8.0E7</v>
      </c>
      <c r="E13" s="3"/>
    </row>
    <row r="14">
      <c r="A14" s="3" t="s">
        <v>91</v>
      </c>
      <c r="B14" s="3" t="s">
        <v>92</v>
      </c>
      <c r="D14" s="3">
        <v>1579726.0</v>
      </c>
      <c r="E14" s="3"/>
      <c r="G14" s="1" t="s">
        <v>93</v>
      </c>
    </row>
    <row r="15">
      <c r="A15" s="3" t="s">
        <v>94</v>
      </c>
      <c r="B15" s="3" t="s">
        <v>95</v>
      </c>
      <c r="D15" s="3">
        <v>5400000.0</v>
      </c>
      <c r="E15" s="3"/>
      <c r="F15" s="3" t="s">
        <v>96</v>
      </c>
      <c r="G15" s="1" t="s">
        <v>97</v>
      </c>
    </row>
    <row r="16">
      <c r="A16" s="3" t="s">
        <v>98</v>
      </c>
      <c r="B16" s="3" t="s">
        <v>99</v>
      </c>
      <c r="D16" s="3">
        <v>1450000.0</v>
      </c>
      <c r="E16" s="3"/>
    </row>
    <row r="17">
      <c r="A17" s="3" t="s">
        <v>100</v>
      </c>
      <c r="B17" s="3" t="s">
        <v>79</v>
      </c>
      <c r="D17" s="3">
        <v>600000.0</v>
      </c>
      <c r="E17" s="3"/>
    </row>
    <row r="18">
      <c r="A18" s="3" t="s">
        <v>101</v>
      </c>
      <c r="B18" s="3" t="s">
        <v>75</v>
      </c>
      <c r="D18" s="3">
        <v>60000.0</v>
      </c>
      <c r="E18" s="3"/>
    </row>
    <row r="19">
      <c r="A19" s="3" t="s">
        <v>102</v>
      </c>
      <c r="B19" s="3" t="s">
        <v>103</v>
      </c>
      <c r="D19" s="3">
        <v>6250000.0</v>
      </c>
      <c r="E19" s="3"/>
      <c r="H19" s="3" t="s">
        <v>104</v>
      </c>
    </row>
    <row r="20">
      <c r="B20" s="3" t="s">
        <v>105</v>
      </c>
      <c r="D20" s="3">
        <v>4.0E7</v>
      </c>
      <c r="E20" s="3"/>
      <c r="F20" s="3" t="s">
        <v>106</v>
      </c>
    </row>
    <row r="21">
      <c r="B21" s="3" t="s">
        <v>107</v>
      </c>
      <c r="D21" s="3">
        <v>95480.0</v>
      </c>
      <c r="E21" s="3"/>
    </row>
    <row r="22">
      <c r="A22" s="3" t="s">
        <v>108</v>
      </c>
      <c r="B22" s="3" t="s">
        <v>87</v>
      </c>
      <c r="D22" s="3">
        <v>200000.0</v>
      </c>
      <c r="E22" s="3"/>
    </row>
    <row r="23">
      <c r="A23" s="3" t="s">
        <v>109</v>
      </c>
      <c r="B23" s="3" t="s">
        <v>110</v>
      </c>
      <c r="D23" s="3">
        <v>3.0E7</v>
      </c>
      <c r="E23" s="3"/>
      <c r="F23" s="3" t="s">
        <v>106</v>
      </c>
    </row>
    <row r="24">
      <c r="B24" s="3" t="s">
        <v>111</v>
      </c>
      <c r="G24" s="3" t="s">
        <v>112</v>
      </c>
      <c r="H24" s="3" t="s">
        <v>104</v>
      </c>
    </row>
    <row r="25">
      <c r="A25" s="3" t="s">
        <v>113</v>
      </c>
      <c r="B25" s="3" t="s">
        <v>114</v>
      </c>
      <c r="D25" s="3">
        <v>5650000.0</v>
      </c>
      <c r="E25" s="3"/>
      <c r="F25" s="3" t="s">
        <v>106</v>
      </c>
    </row>
    <row r="26">
      <c r="B26" s="3" t="s">
        <v>115</v>
      </c>
      <c r="D26" s="3">
        <v>2500000.0</v>
      </c>
      <c r="E26" s="3"/>
    </row>
    <row r="27">
      <c r="B27" s="3" t="s">
        <v>116</v>
      </c>
      <c r="D27" s="3">
        <v>1500000.0</v>
      </c>
      <c r="E27" s="3"/>
      <c r="F27" s="3" t="s">
        <v>117</v>
      </c>
      <c r="H27" s="3" t="s">
        <v>104</v>
      </c>
    </row>
    <row r="28">
      <c r="A28" s="3" t="s">
        <v>118</v>
      </c>
      <c r="B28" s="3" t="s">
        <v>119</v>
      </c>
      <c r="D28" s="3">
        <v>1250000.0</v>
      </c>
      <c r="E28" s="3"/>
    </row>
    <row r="29">
      <c r="A29" s="3" t="s">
        <v>120</v>
      </c>
      <c r="B29" s="3" t="s">
        <v>121</v>
      </c>
      <c r="D29" s="3">
        <v>600000.0</v>
      </c>
      <c r="E29" s="3"/>
      <c r="H29" s="3" t="s">
        <v>104</v>
      </c>
    </row>
    <row r="30">
      <c r="A30" s="3" t="s">
        <v>122</v>
      </c>
      <c r="B30" s="3" t="s">
        <v>123</v>
      </c>
      <c r="D30" s="3">
        <v>2000000.0</v>
      </c>
      <c r="E30" s="3"/>
    </row>
    <row r="31">
      <c r="A31" s="3" t="s">
        <v>124</v>
      </c>
      <c r="B31" s="3" t="s">
        <v>125</v>
      </c>
      <c r="D31" s="3">
        <v>1400000.0</v>
      </c>
      <c r="E31" s="3"/>
      <c r="F31" s="3" t="s">
        <v>126</v>
      </c>
      <c r="H31" s="3" t="s">
        <v>104</v>
      </c>
    </row>
    <row r="32">
      <c r="B32" s="3" t="s">
        <v>127</v>
      </c>
      <c r="D32" s="3">
        <v>4000000.0</v>
      </c>
      <c r="E32" s="3"/>
      <c r="F32" s="3" t="s">
        <v>128</v>
      </c>
      <c r="G32" s="3" t="s">
        <v>129</v>
      </c>
      <c r="H32" s="3" t="s">
        <v>104</v>
      </c>
    </row>
    <row r="33">
      <c r="A33" s="3" t="s">
        <v>130</v>
      </c>
      <c r="B33" s="3" t="s">
        <v>131</v>
      </c>
      <c r="D33" s="3">
        <v>872000.0</v>
      </c>
      <c r="E33" s="3"/>
    </row>
    <row r="34">
      <c r="B34" s="3" t="s">
        <v>132</v>
      </c>
      <c r="D34" s="3">
        <v>4355750.0</v>
      </c>
      <c r="E34" s="3"/>
    </row>
    <row r="35">
      <c r="A35" s="3" t="s">
        <v>133</v>
      </c>
      <c r="B35" s="3" t="s">
        <v>134</v>
      </c>
      <c r="D35" s="3">
        <v>150000.0</v>
      </c>
      <c r="E35" s="3"/>
    </row>
    <row r="36">
      <c r="A36" s="3" t="s">
        <v>135</v>
      </c>
      <c r="B36" s="3" t="s">
        <v>136</v>
      </c>
      <c r="D36" s="3">
        <v>6500000.0</v>
      </c>
      <c r="E36" s="3"/>
      <c r="F36" s="3" t="s">
        <v>137</v>
      </c>
    </row>
    <row r="37">
      <c r="B37" s="3" t="s">
        <v>138</v>
      </c>
      <c r="D37" s="3">
        <v>2.95E7</v>
      </c>
      <c r="E37" s="3"/>
      <c r="F37" s="3" t="s">
        <v>139</v>
      </c>
    </row>
    <row r="38">
      <c r="B38" s="3" t="s">
        <v>140</v>
      </c>
      <c r="D38" s="3">
        <v>500000.0</v>
      </c>
      <c r="E38" s="3"/>
      <c r="F38" s="3" t="s">
        <v>141</v>
      </c>
    </row>
    <row r="39">
      <c r="B39" s="3" t="s">
        <v>142</v>
      </c>
      <c r="D39" s="3">
        <v>113000.0</v>
      </c>
      <c r="E39" s="3"/>
    </row>
    <row r="40">
      <c r="B40" s="3" t="s">
        <v>143</v>
      </c>
      <c r="D40" s="3">
        <v>6250000.0</v>
      </c>
      <c r="E40" s="3"/>
      <c r="F40" s="3" t="s">
        <v>144</v>
      </c>
      <c r="G40" s="3" t="s">
        <v>145</v>
      </c>
      <c r="H40" s="3" t="s">
        <v>104</v>
      </c>
    </row>
    <row r="41">
      <c r="B41" s="3" t="s">
        <v>146</v>
      </c>
      <c r="D41" s="3">
        <v>4850000.0</v>
      </c>
      <c r="E41" s="3"/>
      <c r="F41" s="3" t="s">
        <v>147</v>
      </c>
    </row>
    <row r="42">
      <c r="A42" s="3" t="s">
        <v>148</v>
      </c>
      <c r="B42" s="3" t="s">
        <v>149</v>
      </c>
      <c r="D42" s="3">
        <v>120000.0</v>
      </c>
      <c r="E42" s="3"/>
      <c r="F42" s="3" t="s">
        <v>150</v>
      </c>
    </row>
    <row r="43">
      <c r="A43" s="3" t="s">
        <v>151</v>
      </c>
      <c r="B43" s="3" t="s">
        <v>152</v>
      </c>
      <c r="D43" s="3">
        <v>5226400.0</v>
      </c>
      <c r="E43" s="3"/>
      <c r="F43" s="3" t="s">
        <v>153</v>
      </c>
      <c r="G43" s="3" t="s">
        <v>154</v>
      </c>
    </row>
    <row r="44">
      <c r="B44" s="3" t="s">
        <v>155</v>
      </c>
      <c r="D44" s="3">
        <v>5000000.0</v>
      </c>
      <c r="E44" s="3"/>
      <c r="F44" s="3" t="s">
        <v>156</v>
      </c>
    </row>
    <row r="45">
      <c r="B45" s="3" t="s">
        <v>157</v>
      </c>
      <c r="D45" s="3">
        <v>450000.0</v>
      </c>
      <c r="E45" s="3"/>
      <c r="F45" s="3" t="s">
        <v>150</v>
      </c>
    </row>
    <row r="46">
      <c r="B46" s="3" t="s">
        <v>158</v>
      </c>
      <c r="D46" s="3">
        <v>3.78E7</v>
      </c>
      <c r="E46" s="3"/>
      <c r="F46" s="3" t="s">
        <v>96</v>
      </c>
    </row>
    <row r="47">
      <c r="B47" s="3" t="s">
        <v>159</v>
      </c>
      <c r="D47" s="3">
        <v>100000.0</v>
      </c>
      <c r="E47" s="3"/>
    </row>
    <row r="48">
      <c r="A48" s="3" t="s">
        <v>160</v>
      </c>
      <c r="B48" s="3" t="s">
        <v>161</v>
      </c>
      <c r="D48" s="3">
        <v>2500000.0</v>
      </c>
      <c r="E48" s="3"/>
      <c r="F48" s="3" t="s">
        <v>128</v>
      </c>
      <c r="G48" s="3" t="s">
        <v>162</v>
      </c>
    </row>
    <row r="49">
      <c r="B49" s="3" t="s">
        <v>163</v>
      </c>
      <c r="D49" s="3">
        <v>300000.0</v>
      </c>
      <c r="E49" s="3"/>
    </row>
    <row r="50">
      <c r="B50" s="3" t="s">
        <v>164</v>
      </c>
      <c r="D50" s="3">
        <v>1500000.0</v>
      </c>
      <c r="E50" s="3"/>
      <c r="F50" s="3" t="s">
        <v>165</v>
      </c>
    </row>
    <row r="51">
      <c r="B51" s="3" t="s">
        <v>166</v>
      </c>
      <c r="D51" s="3">
        <v>300000.0</v>
      </c>
      <c r="E51" s="3"/>
      <c r="F51" s="3" t="s">
        <v>126</v>
      </c>
    </row>
    <row r="52">
      <c r="A52" s="3" t="s">
        <v>167</v>
      </c>
      <c r="B52" s="3" t="s">
        <v>168</v>
      </c>
      <c r="D52" s="3">
        <v>100000.0</v>
      </c>
      <c r="E52" s="3"/>
    </row>
    <row r="53">
      <c r="B53" s="3" t="s">
        <v>169</v>
      </c>
      <c r="D53" s="3">
        <v>4642300.0</v>
      </c>
      <c r="E53" s="3"/>
      <c r="F53" s="3" t="s">
        <v>170</v>
      </c>
    </row>
    <row r="54">
      <c r="B54" s="3" t="s">
        <v>110</v>
      </c>
      <c r="D54" s="3">
        <v>3.0E7</v>
      </c>
      <c r="E54" s="3"/>
      <c r="F54" s="3" t="s">
        <v>106</v>
      </c>
    </row>
    <row r="55">
      <c r="B55" s="3" t="s">
        <v>171</v>
      </c>
      <c r="D55" s="3">
        <v>300000.0</v>
      </c>
      <c r="E55" s="3"/>
      <c r="F55" s="3" t="s">
        <v>172</v>
      </c>
    </row>
    <row r="56">
      <c r="A56" s="3" t="s">
        <v>173</v>
      </c>
      <c r="B56" s="3" t="s">
        <v>174</v>
      </c>
      <c r="D56" s="3">
        <v>253000.0</v>
      </c>
      <c r="E56" s="3"/>
      <c r="F56" s="3" t="s">
        <v>175</v>
      </c>
    </row>
    <row r="57">
      <c r="B57" s="3" t="s">
        <v>176</v>
      </c>
      <c r="D57" s="3">
        <v>900900.0</v>
      </c>
      <c r="E57" s="3"/>
      <c r="F57" s="3" t="s">
        <v>177</v>
      </c>
    </row>
    <row r="58">
      <c r="A58" s="3" t="s">
        <v>178</v>
      </c>
      <c r="B58" s="3" t="s">
        <v>179</v>
      </c>
      <c r="D58" s="3">
        <v>400000.0</v>
      </c>
      <c r="E58" s="3"/>
    </row>
    <row r="59">
      <c r="A59" s="3" t="s">
        <v>180</v>
      </c>
      <c r="B59" s="3" t="s">
        <v>181</v>
      </c>
      <c r="D59" s="3">
        <v>35420.0</v>
      </c>
      <c r="E59" s="3"/>
    </row>
    <row r="60">
      <c r="B60" s="3" t="s">
        <v>182</v>
      </c>
      <c r="D60" s="3">
        <v>32000.0</v>
      </c>
      <c r="E60" s="3"/>
      <c r="F60" s="3" t="s">
        <v>183</v>
      </c>
    </row>
    <row r="61">
      <c r="B61" s="3" t="s">
        <v>184</v>
      </c>
      <c r="D61" s="3">
        <v>148500.0</v>
      </c>
      <c r="E61" s="3"/>
    </row>
    <row r="62">
      <c r="B62" s="3" t="s">
        <v>185</v>
      </c>
      <c r="D62" s="3">
        <v>825000.0</v>
      </c>
      <c r="E62" s="3"/>
    </row>
    <row r="63">
      <c r="B63" s="3" t="s">
        <v>186</v>
      </c>
      <c r="D63" s="3">
        <v>2.998E7</v>
      </c>
      <c r="E63" s="3"/>
      <c r="F63" s="3" t="s">
        <v>106</v>
      </c>
    </row>
    <row r="64">
      <c r="B64" s="3" t="s">
        <v>187</v>
      </c>
    </row>
    <row r="65">
      <c r="B65" s="3" t="s">
        <v>188</v>
      </c>
      <c r="D65" s="3">
        <v>12400.0</v>
      </c>
      <c r="E65" s="3"/>
    </row>
    <row r="66">
      <c r="B66" s="3" t="s">
        <v>189</v>
      </c>
      <c r="D66" s="3">
        <v>52800.0</v>
      </c>
      <c r="E66" s="3"/>
    </row>
    <row r="67">
      <c r="A67" s="3" t="s">
        <v>190</v>
      </c>
      <c r="B67" s="3" t="s">
        <v>191</v>
      </c>
      <c r="D67" s="3">
        <v>1200000.0</v>
      </c>
      <c r="E67" s="3"/>
    </row>
    <row r="68">
      <c r="B68" s="3" t="s">
        <v>192</v>
      </c>
      <c r="D68" s="3">
        <v>150000.0</v>
      </c>
      <c r="E68" s="3"/>
    </row>
    <row r="69">
      <c r="B69" s="3" t="s">
        <v>193</v>
      </c>
      <c r="D69" s="3">
        <v>110000.0</v>
      </c>
      <c r="E69" s="3"/>
    </row>
    <row r="70">
      <c r="B70" s="3" t="s">
        <v>194</v>
      </c>
      <c r="D70" s="3">
        <v>69300.0</v>
      </c>
      <c r="E70" s="3"/>
    </row>
    <row r="71">
      <c r="A71" s="3" t="s">
        <v>195</v>
      </c>
      <c r="B71" s="3" t="s">
        <v>196</v>
      </c>
      <c r="D71" s="3">
        <v>60000.0</v>
      </c>
      <c r="E71" s="3"/>
    </row>
    <row r="72">
      <c r="B72" s="3" t="s">
        <v>197</v>
      </c>
      <c r="D72" s="3">
        <v>165000.0</v>
      </c>
      <c r="E72" s="3"/>
      <c r="F72" s="3" t="s">
        <v>150</v>
      </c>
    </row>
    <row r="73">
      <c r="B73" s="3" t="s">
        <v>198</v>
      </c>
      <c r="D73" s="3">
        <v>209000.0</v>
      </c>
      <c r="E73" s="3"/>
      <c r="F73" s="3" t="s">
        <v>199</v>
      </c>
    </row>
    <row r="74">
      <c r="B74" s="3" t="s">
        <v>200</v>
      </c>
      <c r="D74" s="3">
        <v>2420000.0</v>
      </c>
      <c r="E74" s="3"/>
      <c r="F74" s="3" t="s">
        <v>201</v>
      </c>
    </row>
    <row r="75">
      <c r="A75" s="3" t="s">
        <v>202</v>
      </c>
      <c r="B75" s="3" t="s">
        <v>203</v>
      </c>
      <c r="D75" s="3">
        <v>690000.0</v>
      </c>
      <c r="E75" s="3"/>
      <c r="F75" s="3" t="s">
        <v>204</v>
      </c>
      <c r="G75" s="3">
        <v>1610000.0</v>
      </c>
    </row>
    <row r="76">
      <c r="B76" s="3" t="s">
        <v>205</v>
      </c>
      <c r="D76" s="3">
        <v>500000.0</v>
      </c>
      <c r="E76" s="3"/>
      <c r="F76" s="3" t="s">
        <v>206</v>
      </c>
      <c r="H76" s="3" t="s">
        <v>104</v>
      </c>
    </row>
    <row r="77">
      <c r="A77" s="3" t="s">
        <v>207</v>
      </c>
      <c r="B77" s="3" t="s">
        <v>208</v>
      </c>
      <c r="D77" s="3">
        <v>100000.0</v>
      </c>
      <c r="E77" s="3"/>
      <c r="F77" s="3" t="s">
        <v>209</v>
      </c>
    </row>
    <row r="78">
      <c r="B78" s="3" t="s">
        <v>210</v>
      </c>
      <c r="D78" s="3">
        <v>40000.0</v>
      </c>
      <c r="E78" s="3"/>
      <c r="F78" s="3" t="s">
        <v>211</v>
      </c>
    </row>
    <row r="79">
      <c r="B79" s="3" t="s">
        <v>212</v>
      </c>
      <c r="D79" s="3">
        <v>30000.0</v>
      </c>
      <c r="E79" s="3"/>
    </row>
    <row r="80">
      <c r="B80" s="3" t="s">
        <v>213</v>
      </c>
      <c r="D80" s="3">
        <v>2465000.0</v>
      </c>
      <c r="E80" s="3"/>
      <c r="F80" s="3" t="s">
        <v>214</v>
      </c>
    </row>
    <row r="81">
      <c r="B81" s="3" t="s">
        <v>215</v>
      </c>
      <c r="D81" s="3">
        <v>6969000.0</v>
      </c>
      <c r="E81" s="3"/>
      <c r="F81" s="3" t="s">
        <v>216</v>
      </c>
    </row>
    <row r="82">
      <c r="B82" s="3" t="s">
        <v>217</v>
      </c>
      <c r="D82" s="3">
        <v>1610000.0</v>
      </c>
      <c r="E82" s="3"/>
      <c r="F82" s="3" t="s">
        <v>156</v>
      </c>
    </row>
    <row r="83">
      <c r="B83" s="3" t="s">
        <v>218</v>
      </c>
      <c r="D83" s="3">
        <v>150000.0</v>
      </c>
      <c r="E83" s="3"/>
    </row>
    <row r="84">
      <c r="A84" s="3" t="s">
        <v>219</v>
      </c>
      <c r="B84" s="3" t="s">
        <v>220</v>
      </c>
      <c r="D84" s="3">
        <v>1540000.0</v>
      </c>
      <c r="E84" s="3"/>
      <c r="F84" s="3" t="s">
        <v>137</v>
      </c>
    </row>
    <row r="85">
      <c r="B85" s="3" t="s">
        <v>212</v>
      </c>
      <c r="D85" s="3">
        <v>100000.0</v>
      </c>
      <c r="E85" s="3"/>
    </row>
    <row r="86">
      <c r="B86" s="3" t="s">
        <v>221</v>
      </c>
      <c r="D86" s="3">
        <v>583000.0</v>
      </c>
      <c r="E86" s="3"/>
      <c r="F86" s="3" t="s">
        <v>150</v>
      </c>
      <c r="G86" s="3" t="s">
        <v>222</v>
      </c>
    </row>
    <row r="87">
      <c r="A87" s="3" t="s">
        <v>223</v>
      </c>
      <c r="B87" s="3" t="s">
        <v>224</v>
      </c>
      <c r="D87" s="3">
        <v>300000.0</v>
      </c>
      <c r="E87" s="3"/>
      <c r="F87" s="3" t="s">
        <v>225</v>
      </c>
    </row>
    <row r="88">
      <c r="B88" s="3" t="s">
        <v>226</v>
      </c>
      <c r="D88" s="3">
        <v>660000.0</v>
      </c>
      <c r="E88" s="3"/>
      <c r="F88" s="3" t="s">
        <v>227</v>
      </c>
      <c r="G88" s="3" t="s">
        <v>228</v>
      </c>
      <c r="H88" s="3" t="s">
        <v>104</v>
      </c>
    </row>
    <row r="89">
      <c r="A89" s="3" t="s">
        <v>229</v>
      </c>
      <c r="B89" s="3" t="s">
        <v>230</v>
      </c>
      <c r="D89" s="3">
        <v>551100.0</v>
      </c>
      <c r="E89" s="3"/>
      <c r="F89" s="3" t="s">
        <v>231</v>
      </c>
      <c r="H89" s="3" t="s">
        <v>104</v>
      </c>
    </row>
    <row r="90">
      <c r="A90" s="3" t="s">
        <v>232</v>
      </c>
      <c r="B90" s="3" t="s">
        <v>233</v>
      </c>
      <c r="D90" s="3">
        <v>3410000.0</v>
      </c>
      <c r="E90" s="3"/>
      <c r="F90" s="3" t="s">
        <v>106</v>
      </c>
    </row>
    <row r="91">
      <c r="B91" s="3" t="s">
        <v>234</v>
      </c>
      <c r="D91" s="3">
        <v>800000.0</v>
      </c>
      <c r="E91" s="3"/>
      <c r="F91" s="3" t="s">
        <v>172</v>
      </c>
      <c r="G91" s="3" t="s">
        <v>235</v>
      </c>
    </row>
    <row r="92">
      <c r="B92" s="3" t="s">
        <v>236</v>
      </c>
      <c r="D92" s="3">
        <v>87000.0</v>
      </c>
      <c r="E92" s="3"/>
      <c r="F92" s="3" t="s">
        <v>237</v>
      </c>
    </row>
    <row r="93">
      <c r="B93" s="3" t="s">
        <v>238</v>
      </c>
      <c r="D93" s="3">
        <v>200000.0</v>
      </c>
      <c r="E93" s="3"/>
    </row>
    <row r="94">
      <c r="A94" s="3" t="s">
        <v>239</v>
      </c>
      <c r="B94" s="3" t="s">
        <v>240</v>
      </c>
      <c r="D94" s="3">
        <v>17900.0</v>
      </c>
      <c r="E94" s="3"/>
    </row>
    <row r="95">
      <c r="A95" s="3" t="s">
        <v>241</v>
      </c>
      <c r="B95" s="3" t="s">
        <v>242</v>
      </c>
      <c r="D95" s="3">
        <v>12000.0</v>
      </c>
      <c r="E95" s="3"/>
    </row>
    <row r="96">
      <c r="B96" s="3" t="s">
        <v>243</v>
      </c>
      <c r="D96" s="3">
        <v>1.5E7</v>
      </c>
      <c r="E96" s="3"/>
      <c r="F96" s="3" t="s">
        <v>139</v>
      </c>
    </row>
    <row r="97">
      <c r="A97" s="3" t="s">
        <v>244</v>
      </c>
      <c r="B97" s="3" t="s">
        <v>245</v>
      </c>
      <c r="D97" s="3">
        <v>1728570.0</v>
      </c>
      <c r="E97" s="3"/>
    </row>
    <row r="98">
      <c r="B98" s="3" t="s">
        <v>246</v>
      </c>
      <c r="D98" s="3">
        <v>1383880.0</v>
      </c>
      <c r="E98" s="3"/>
    </row>
    <row r="99">
      <c r="B99" s="3" t="s">
        <v>247</v>
      </c>
      <c r="D99" s="3">
        <v>1376840.0</v>
      </c>
      <c r="E99" s="3"/>
    </row>
    <row r="100">
      <c r="B100" s="3" t="s">
        <v>248</v>
      </c>
      <c r="D100" s="3">
        <v>2250000.0</v>
      </c>
      <c r="E100" s="3"/>
      <c r="F100" s="3" t="s">
        <v>141</v>
      </c>
      <c r="G100" s="3" t="s">
        <v>249</v>
      </c>
    </row>
    <row r="101">
      <c r="A101" s="3" t="s">
        <v>250</v>
      </c>
      <c r="B101" s="3" t="s">
        <v>251</v>
      </c>
      <c r="D101" s="3">
        <v>989630.0</v>
      </c>
      <c r="E101" s="3"/>
    </row>
    <row r="102">
      <c r="B102" s="3" t="s">
        <v>252</v>
      </c>
      <c r="D102" s="3">
        <v>5154200.0</v>
      </c>
      <c r="E102" s="3"/>
      <c r="F102" s="3" t="s">
        <v>204</v>
      </c>
    </row>
    <row r="103">
      <c r="A103" s="3" t="s">
        <v>253</v>
      </c>
      <c r="B103" s="3" t="s">
        <v>254</v>
      </c>
      <c r="D103" s="3">
        <v>115500.0</v>
      </c>
      <c r="E103" s="3"/>
      <c r="F103" s="3" t="s">
        <v>255</v>
      </c>
    </row>
    <row r="104">
      <c r="A104" s="3" t="s">
        <v>256</v>
      </c>
      <c r="B104" s="3" t="s">
        <v>257</v>
      </c>
      <c r="D104" s="3">
        <v>656000.0</v>
      </c>
      <c r="E104" s="3"/>
      <c r="F104" s="3" t="s">
        <v>150</v>
      </c>
      <c r="G104" s="3" t="s">
        <v>258</v>
      </c>
    </row>
    <row r="105">
      <c r="B105" s="3" t="s">
        <v>259</v>
      </c>
      <c r="D105" s="3">
        <v>293990.0</v>
      </c>
      <c r="E105" s="3"/>
      <c r="F105" s="3" t="s">
        <v>260</v>
      </c>
      <c r="G105" s="3">
        <v>293990.0</v>
      </c>
    </row>
    <row r="106">
      <c r="A106" s="3" t="s">
        <v>261</v>
      </c>
      <c r="B106" s="3" t="s">
        <v>262</v>
      </c>
      <c r="D106" s="3">
        <v>1.08E7</v>
      </c>
      <c r="E106" s="3"/>
      <c r="F106" s="3" t="s">
        <v>96</v>
      </c>
      <c r="G106" s="3" t="s">
        <v>263</v>
      </c>
    </row>
    <row r="107">
      <c r="A107" s="3" t="s">
        <v>264</v>
      </c>
      <c r="B107" s="3" t="s">
        <v>265</v>
      </c>
      <c r="D107" s="3">
        <v>65600.0</v>
      </c>
      <c r="E107" s="3"/>
      <c r="F107" s="3" t="s">
        <v>150</v>
      </c>
    </row>
    <row r="108">
      <c r="A108" s="3" t="s">
        <v>266</v>
      </c>
      <c r="B108" s="3" t="s">
        <v>267</v>
      </c>
      <c r="D108" s="3">
        <v>750000.0</v>
      </c>
      <c r="E108" s="3"/>
      <c r="F108" s="3" t="s">
        <v>268</v>
      </c>
      <c r="G108" s="3" t="s">
        <v>269</v>
      </c>
    </row>
    <row r="109">
      <c r="B109" s="3" t="s">
        <v>270</v>
      </c>
      <c r="D109" s="3">
        <v>1980000.0</v>
      </c>
      <c r="E109" s="3"/>
      <c r="F109" s="3" t="s">
        <v>271</v>
      </c>
      <c r="G109" s="3" t="s">
        <v>272</v>
      </c>
    </row>
    <row r="110">
      <c r="A110" s="3" t="s">
        <v>273</v>
      </c>
      <c r="B110" s="3" t="s">
        <v>274</v>
      </c>
      <c r="D110" s="3">
        <v>520680.0</v>
      </c>
      <c r="E110" s="3"/>
      <c r="F110" s="3" t="s">
        <v>275</v>
      </c>
    </row>
    <row r="111">
      <c r="B111" s="3" t="s">
        <v>276</v>
      </c>
      <c r="D111" s="3">
        <v>42790.0</v>
      </c>
      <c r="E111" s="3"/>
      <c r="F111" s="3" t="s">
        <v>275</v>
      </c>
    </row>
    <row r="112">
      <c r="B112" s="3" t="s">
        <v>277</v>
      </c>
      <c r="D112" s="3">
        <v>7193000.0</v>
      </c>
      <c r="E112" s="3"/>
      <c r="F112" s="3" t="s">
        <v>214</v>
      </c>
    </row>
    <row r="113">
      <c r="A113" s="3" t="s">
        <v>278</v>
      </c>
      <c r="B113" s="3" t="s">
        <v>279</v>
      </c>
      <c r="D113" s="3">
        <v>706370.0</v>
      </c>
      <c r="E113" s="3"/>
    </row>
    <row r="114">
      <c r="B114" s="3" t="s">
        <v>280</v>
      </c>
      <c r="D114" s="3">
        <v>1294460.0</v>
      </c>
      <c r="E114" s="3"/>
    </row>
    <row r="115">
      <c r="A115" s="3" t="s">
        <v>281</v>
      </c>
      <c r="B115" s="3" t="s">
        <v>243</v>
      </c>
      <c r="D115" s="3">
        <v>1.5E7</v>
      </c>
      <c r="E115" s="3"/>
      <c r="F115" s="3" t="s">
        <v>139</v>
      </c>
      <c r="G115" s="3" t="s">
        <v>282</v>
      </c>
    </row>
    <row r="116">
      <c r="A116" s="3" t="s">
        <v>283</v>
      </c>
      <c r="B116" s="3" t="s">
        <v>284</v>
      </c>
      <c r="D116" s="3">
        <v>190956.0</v>
      </c>
      <c r="E116" s="3"/>
      <c r="F116" s="3" t="s">
        <v>285</v>
      </c>
    </row>
    <row r="117">
      <c r="A117" s="3" t="s">
        <v>286</v>
      </c>
      <c r="B117" s="3" t="s">
        <v>287</v>
      </c>
      <c r="D117" s="3">
        <v>764670.0</v>
      </c>
      <c r="E117" s="3"/>
      <c r="F117" s="3" t="s">
        <v>275</v>
      </c>
    </row>
    <row r="118">
      <c r="A118" s="3" t="s">
        <v>288</v>
      </c>
      <c r="B118" s="3" t="s">
        <v>245</v>
      </c>
      <c r="D118" s="3">
        <v>1821040.0</v>
      </c>
      <c r="E118" s="3"/>
    </row>
    <row r="119">
      <c r="B119" s="3" t="s">
        <v>246</v>
      </c>
      <c r="D119" s="3">
        <v>1827740.0</v>
      </c>
      <c r="E119" s="3"/>
    </row>
    <row r="120">
      <c r="B120" s="3" t="s">
        <v>247</v>
      </c>
      <c r="D120" s="3">
        <v>1473220.0</v>
      </c>
      <c r="E120" s="3"/>
    </row>
    <row r="121">
      <c r="A121" s="3" t="s">
        <v>289</v>
      </c>
      <c r="B121" s="3" t="s">
        <v>251</v>
      </c>
      <c r="D121" s="3">
        <v>1068180.0</v>
      </c>
      <c r="E121" s="3"/>
    </row>
    <row r="122">
      <c r="A122" s="3" t="s">
        <v>290</v>
      </c>
      <c r="B122" s="3" t="s">
        <v>291</v>
      </c>
      <c r="D122" s="3">
        <v>1320000.0</v>
      </c>
      <c r="E122" s="3"/>
      <c r="F122" s="3" t="s">
        <v>292</v>
      </c>
      <c r="G122" s="3" t="s">
        <v>293</v>
      </c>
      <c r="H122" s="3" t="s">
        <v>104</v>
      </c>
    </row>
    <row r="123">
      <c r="B123" s="3" t="s">
        <v>294</v>
      </c>
      <c r="D123" s="3">
        <v>3000000.0</v>
      </c>
      <c r="E123" s="3"/>
      <c r="F123" s="3" t="s">
        <v>295</v>
      </c>
      <c r="G123" s="3" t="s">
        <v>296</v>
      </c>
      <c r="H123" s="3" t="s">
        <v>297</v>
      </c>
    </row>
    <row r="124">
      <c r="B124" s="3" t="s">
        <v>298</v>
      </c>
      <c r="D124" s="3">
        <v>1839200.0</v>
      </c>
      <c r="E124" s="3"/>
      <c r="F124" s="3" t="s">
        <v>106</v>
      </c>
    </row>
    <row r="125">
      <c r="B125" s="3" t="s">
        <v>299</v>
      </c>
      <c r="D125" s="3">
        <v>5500000.0</v>
      </c>
      <c r="E125" s="3"/>
      <c r="F125" s="3" t="s">
        <v>300</v>
      </c>
    </row>
    <row r="126">
      <c r="A126" s="3" t="s">
        <v>301</v>
      </c>
      <c r="B126" s="3" t="s">
        <v>302</v>
      </c>
      <c r="D126" s="3">
        <v>154000.0</v>
      </c>
      <c r="E126" s="3"/>
      <c r="F126" s="3" t="s">
        <v>303</v>
      </c>
    </row>
    <row r="127">
      <c r="A127" s="3" t="s">
        <v>304</v>
      </c>
      <c r="B127" s="3" t="s">
        <v>305</v>
      </c>
      <c r="D127" s="3">
        <v>350000.0</v>
      </c>
      <c r="E127" s="3"/>
      <c r="F127" s="3" t="s">
        <v>306</v>
      </c>
      <c r="G127" s="3" t="s">
        <v>307</v>
      </c>
    </row>
    <row r="128">
      <c r="A128" s="3" t="s">
        <v>308</v>
      </c>
      <c r="B128" s="3" t="s">
        <v>309</v>
      </c>
      <c r="D128" s="3">
        <v>516600.0</v>
      </c>
      <c r="E128" s="3"/>
      <c r="F128" s="3" t="s">
        <v>275</v>
      </c>
    </row>
    <row r="129">
      <c r="B129" s="3" t="s">
        <v>310</v>
      </c>
      <c r="D129" s="3">
        <v>323430.0</v>
      </c>
      <c r="E129" s="3"/>
      <c r="F129" s="3" t="s">
        <v>275</v>
      </c>
    </row>
    <row r="130">
      <c r="A130" s="3" t="s">
        <v>311</v>
      </c>
      <c r="B130" s="3" t="s">
        <v>312</v>
      </c>
      <c r="D130" s="3">
        <v>132000.0</v>
      </c>
      <c r="E130" s="3"/>
      <c r="F130" s="3" t="s">
        <v>313</v>
      </c>
    </row>
    <row r="131">
      <c r="A131" s="3" t="s">
        <v>314</v>
      </c>
      <c r="B131" s="3" t="s">
        <v>315</v>
      </c>
      <c r="D131" s="3">
        <v>742400.0</v>
      </c>
      <c r="E131" s="3"/>
      <c r="F131" s="3" t="s">
        <v>275</v>
      </c>
    </row>
    <row r="132">
      <c r="B132" s="3" t="s">
        <v>274</v>
      </c>
      <c r="D132" s="3">
        <v>520680.0</v>
      </c>
      <c r="E132" s="3"/>
      <c r="F132" s="3" t="s">
        <v>275</v>
      </c>
    </row>
    <row r="133">
      <c r="A133" s="3" t="s">
        <v>316</v>
      </c>
      <c r="B133" s="3" t="s">
        <v>317</v>
      </c>
      <c r="D133" s="3">
        <v>7049000.0</v>
      </c>
      <c r="E133" s="3"/>
      <c r="F133" s="3" t="s">
        <v>214</v>
      </c>
    </row>
    <row r="134">
      <c r="B134" s="3" t="s">
        <v>267</v>
      </c>
      <c r="D134" s="3">
        <v>600000.0</v>
      </c>
      <c r="E134" s="3"/>
      <c r="F134" s="3" t="s">
        <v>318</v>
      </c>
      <c r="G134" s="3" t="s">
        <v>319</v>
      </c>
    </row>
    <row r="135">
      <c r="A135" s="3" t="s">
        <v>320</v>
      </c>
      <c r="B135" s="3" t="s">
        <v>321</v>
      </c>
      <c r="D135" s="3">
        <v>135500.0</v>
      </c>
      <c r="E135" s="3"/>
      <c r="F135" s="3" t="s">
        <v>322</v>
      </c>
    </row>
    <row r="136">
      <c r="B136" s="3" t="s">
        <v>323</v>
      </c>
      <c r="D136" s="3">
        <v>3000000.0</v>
      </c>
      <c r="E136" s="3"/>
      <c r="F136" s="3" t="s">
        <v>324</v>
      </c>
    </row>
    <row r="137">
      <c r="A137" s="3" t="s">
        <v>325</v>
      </c>
      <c r="B137" s="3" t="s">
        <v>280</v>
      </c>
      <c r="D137" s="3">
        <v>1294460.0</v>
      </c>
      <c r="E137" s="3"/>
    </row>
    <row r="138">
      <c r="B138" s="3" t="s">
        <v>326</v>
      </c>
      <c r="D138" s="3">
        <v>30000.0</v>
      </c>
      <c r="E138" s="3"/>
    </row>
    <row r="139">
      <c r="A139" s="3" t="s">
        <v>327</v>
      </c>
      <c r="B139" s="3" t="s">
        <v>328</v>
      </c>
      <c r="D139" s="3">
        <v>1000000.0</v>
      </c>
      <c r="E139" s="3"/>
    </row>
    <row r="140">
      <c r="A140" s="3" t="s">
        <v>329</v>
      </c>
      <c r="B140" s="3" t="s">
        <v>245</v>
      </c>
      <c r="D140" s="3">
        <v>1821040.0</v>
      </c>
      <c r="E140" s="3"/>
    </row>
    <row r="141">
      <c r="B141" s="3" t="s">
        <v>246</v>
      </c>
      <c r="D141" s="3">
        <v>1827740.0</v>
      </c>
      <c r="E141" s="3"/>
    </row>
    <row r="142">
      <c r="B142" s="3" t="s">
        <v>247</v>
      </c>
      <c r="D142" s="3">
        <v>1473220.0</v>
      </c>
      <c r="E142" s="3"/>
    </row>
    <row r="143">
      <c r="A143" s="3" t="s">
        <v>330</v>
      </c>
      <c r="B143" s="3" t="s">
        <v>251</v>
      </c>
      <c r="D143" s="3">
        <v>1068180.0</v>
      </c>
      <c r="E143" s="3"/>
    </row>
    <row r="144">
      <c r="B144" s="3" t="s">
        <v>331</v>
      </c>
      <c r="D144" s="3">
        <v>375000.0</v>
      </c>
      <c r="E144" s="3"/>
    </row>
    <row r="145">
      <c r="B145" s="3" t="s">
        <v>284</v>
      </c>
      <c r="D145" s="3">
        <v>109260.0</v>
      </c>
      <c r="E145" s="3"/>
      <c r="F145" s="3" t="s">
        <v>285</v>
      </c>
    </row>
    <row r="146">
      <c r="B146" s="3" t="s">
        <v>332</v>
      </c>
      <c r="D146" s="3">
        <v>254160.0</v>
      </c>
      <c r="E146" s="3"/>
    </row>
    <row r="147">
      <c r="A147" s="3" t="s">
        <v>333</v>
      </c>
      <c r="B147" s="3" t="s">
        <v>334</v>
      </c>
      <c r="D147" s="3">
        <v>96500.0</v>
      </c>
      <c r="E147" s="3"/>
      <c r="F147" s="3" t="s">
        <v>335</v>
      </c>
      <c r="H147">
        <f>SUM(D3:D147)</f>
        <v>538567662</v>
      </c>
      <c r="I147" s="3" t="s">
        <v>336</v>
      </c>
    </row>
    <row r="148">
      <c r="A148" s="3" t="s">
        <v>77</v>
      </c>
      <c r="B148" s="3" t="s">
        <v>65</v>
      </c>
      <c r="D148" s="3">
        <v>71490.0</v>
      </c>
      <c r="E148" s="3"/>
      <c r="F148" s="3">
        <v>1543530.0</v>
      </c>
      <c r="G148" s="3" t="s">
        <v>337</v>
      </c>
    </row>
    <row r="149">
      <c r="B149" s="3" t="s">
        <v>69</v>
      </c>
      <c r="D149" s="3">
        <v>7130.0</v>
      </c>
      <c r="E149" s="3"/>
      <c r="F149" s="3">
        <v>154350.0</v>
      </c>
    </row>
    <row r="150">
      <c r="A150" s="3" t="s">
        <v>338</v>
      </c>
      <c r="B150" s="3" t="s">
        <v>291</v>
      </c>
      <c r="D150" s="3">
        <v>2200000.0</v>
      </c>
      <c r="E150" s="3"/>
      <c r="F150" s="3" t="s">
        <v>339</v>
      </c>
    </row>
    <row r="151">
      <c r="B151" s="3" t="s">
        <v>340</v>
      </c>
      <c r="D151" s="3">
        <v>115500.0</v>
      </c>
      <c r="E151" s="3"/>
      <c r="F151" s="3" t="s">
        <v>96</v>
      </c>
    </row>
    <row r="152">
      <c r="B152" s="3" t="s">
        <v>341</v>
      </c>
      <c r="D152" s="3">
        <v>144000.0</v>
      </c>
      <c r="E152" s="3"/>
      <c r="F152" s="3" t="s">
        <v>275</v>
      </c>
    </row>
    <row r="153">
      <c r="A153" s="3" t="s">
        <v>342</v>
      </c>
      <c r="B153" s="3" t="s">
        <v>343</v>
      </c>
      <c r="D153" s="3">
        <v>41000.0</v>
      </c>
      <c r="E153" s="3"/>
    </row>
    <row r="154">
      <c r="B154" s="3" t="s">
        <v>322</v>
      </c>
      <c r="D154" s="3">
        <v>157000.0</v>
      </c>
      <c r="E154" s="3"/>
    </row>
    <row r="155">
      <c r="A155" s="3" t="s">
        <v>344</v>
      </c>
      <c r="B155" s="3" t="s">
        <v>345</v>
      </c>
      <c r="D155" s="3">
        <v>7006000.0</v>
      </c>
      <c r="E155" s="3"/>
      <c r="F155" s="3" t="s">
        <v>216</v>
      </c>
    </row>
    <row r="156">
      <c r="B156" s="3" t="s">
        <v>346</v>
      </c>
      <c r="D156" s="3">
        <v>742400.0</v>
      </c>
      <c r="E156" s="3"/>
      <c r="F156" s="3" t="s">
        <v>275</v>
      </c>
    </row>
    <row r="157">
      <c r="B157" s="3" t="s">
        <v>347</v>
      </c>
      <c r="D157" s="3">
        <v>520680.0</v>
      </c>
      <c r="E157" s="3"/>
      <c r="F157" s="3" t="s">
        <v>275</v>
      </c>
    </row>
    <row r="158">
      <c r="A158" s="3" t="s">
        <v>348</v>
      </c>
      <c r="B158" s="3" t="s">
        <v>267</v>
      </c>
      <c r="D158" s="3">
        <v>400000.0</v>
      </c>
      <c r="E158" s="3"/>
      <c r="F158" s="3" t="s">
        <v>349</v>
      </c>
      <c r="G158" s="3" t="s">
        <v>350</v>
      </c>
    </row>
    <row r="159">
      <c r="A159" s="3" t="s">
        <v>351</v>
      </c>
      <c r="B159" s="3" t="s">
        <v>352</v>
      </c>
      <c r="D159" s="3">
        <v>500000.0</v>
      </c>
      <c r="E159" s="3"/>
    </row>
    <row r="160">
      <c r="B160" s="3" t="s">
        <v>353</v>
      </c>
      <c r="D160" s="3">
        <v>3600000.0</v>
      </c>
      <c r="E160" s="3"/>
      <c r="F160" s="3" t="s">
        <v>354</v>
      </c>
    </row>
    <row r="161">
      <c r="B161" s="3" t="s">
        <v>355</v>
      </c>
      <c r="D161" s="3">
        <v>6000000.0</v>
      </c>
      <c r="E161" s="3"/>
      <c r="F161" s="3" t="s">
        <v>356</v>
      </c>
    </row>
    <row r="162">
      <c r="A162" s="3" t="s">
        <v>357</v>
      </c>
      <c r="B162" s="3" t="s">
        <v>280</v>
      </c>
      <c r="D162" s="3">
        <v>1294460.0</v>
      </c>
      <c r="E162" s="3"/>
    </row>
    <row r="163">
      <c r="A163" s="3" t="s">
        <v>358</v>
      </c>
      <c r="B163" s="3" t="s">
        <v>245</v>
      </c>
      <c r="D163" s="3">
        <v>1821040.0</v>
      </c>
      <c r="E163" s="3"/>
    </row>
    <row r="164">
      <c r="B164" s="3" t="s">
        <v>246</v>
      </c>
      <c r="D164" s="3">
        <v>1827740.0</v>
      </c>
      <c r="E164" s="3"/>
    </row>
    <row r="165">
      <c r="B165" s="3" t="s">
        <v>247</v>
      </c>
      <c r="D165" s="3">
        <v>1473220.0</v>
      </c>
      <c r="E165" s="3"/>
    </row>
    <row r="166">
      <c r="B166" s="3" t="s">
        <v>322</v>
      </c>
      <c r="D166" s="3">
        <v>210000.0</v>
      </c>
      <c r="E166" s="3"/>
    </row>
    <row r="167">
      <c r="B167" s="3" t="s">
        <v>359</v>
      </c>
      <c r="D167" s="3">
        <v>3000000.0</v>
      </c>
      <c r="E167" s="3"/>
      <c r="G167" s="3" t="s">
        <v>360</v>
      </c>
    </row>
    <row r="168">
      <c r="A168" s="3" t="s">
        <v>361</v>
      </c>
      <c r="B168" s="3" t="s">
        <v>362</v>
      </c>
      <c r="D168" s="3">
        <v>1473220.0</v>
      </c>
      <c r="E168" s="3"/>
    </row>
    <row r="169">
      <c r="A169" s="3" t="s">
        <v>363</v>
      </c>
      <c r="B169" s="3" t="s">
        <v>251</v>
      </c>
      <c r="D169" s="3">
        <v>1068180.0</v>
      </c>
      <c r="E169" s="3"/>
    </row>
    <row r="170">
      <c r="B170" s="3" t="s">
        <v>364</v>
      </c>
      <c r="D170" s="3">
        <v>70000.0</v>
      </c>
      <c r="E170" s="3"/>
      <c r="F170" s="3" t="s">
        <v>206</v>
      </c>
    </row>
    <row r="171">
      <c r="A171" s="3" t="s">
        <v>365</v>
      </c>
      <c r="B171" s="3" t="s">
        <v>366</v>
      </c>
      <c r="D171" s="3">
        <v>200000.0</v>
      </c>
      <c r="E171" s="3"/>
    </row>
    <row r="172">
      <c r="A172" s="3" t="s">
        <v>367</v>
      </c>
      <c r="B172" s="3" t="s">
        <v>294</v>
      </c>
      <c r="D172" s="3">
        <v>2000000.0</v>
      </c>
      <c r="E172" s="3"/>
      <c r="F172" s="3" t="s">
        <v>295</v>
      </c>
    </row>
    <row r="173">
      <c r="B173" s="3" t="s">
        <v>368</v>
      </c>
      <c r="D173" s="3">
        <v>225312.0</v>
      </c>
      <c r="E173" s="3"/>
      <c r="F173" s="3" t="s">
        <v>285</v>
      </c>
    </row>
    <row r="174">
      <c r="B174" s="3" t="s">
        <v>369</v>
      </c>
      <c r="D174" s="3">
        <v>6600.0</v>
      </c>
      <c r="E174" s="3"/>
      <c r="F174" s="3" t="s">
        <v>96</v>
      </c>
    </row>
    <row r="175">
      <c r="B175" s="3" t="s">
        <v>370</v>
      </c>
      <c r="D175" s="3">
        <v>781410.0</v>
      </c>
      <c r="E175" s="3"/>
      <c r="F175" s="3" t="s">
        <v>371</v>
      </c>
    </row>
    <row r="176">
      <c r="A176" s="3" t="s">
        <v>372</v>
      </c>
      <c r="B176" s="3" t="s">
        <v>373</v>
      </c>
      <c r="D176" s="3">
        <v>180000.0</v>
      </c>
      <c r="E176" s="3"/>
      <c r="F176" s="3" t="s">
        <v>322</v>
      </c>
    </row>
    <row r="177">
      <c r="A177" s="3" t="s">
        <v>374</v>
      </c>
      <c r="B177" s="3" t="s">
        <v>69</v>
      </c>
      <c r="D177" s="3">
        <v>92600.0</v>
      </c>
      <c r="E177" s="3"/>
    </row>
    <row r="178">
      <c r="B178" s="3" t="s">
        <v>375</v>
      </c>
      <c r="D178" s="3">
        <v>596880.0</v>
      </c>
      <c r="E178" s="3"/>
    </row>
    <row r="179">
      <c r="B179" s="3" t="s">
        <v>346</v>
      </c>
      <c r="D179" s="3">
        <v>877400.0</v>
      </c>
      <c r="E179" s="3"/>
    </row>
    <row r="180">
      <c r="B180" s="3" t="s">
        <v>345</v>
      </c>
      <c r="D180" s="3">
        <v>7075000.0</v>
      </c>
      <c r="E180" s="3"/>
      <c r="F180" s="3" t="s">
        <v>216</v>
      </c>
    </row>
    <row r="181">
      <c r="A181" s="3" t="s">
        <v>376</v>
      </c>
      <c r="B181" s="3" t="s">
        <v>377</v>
      </c>
      <c r="D181" s="3">
        <v>100000.0</v>
      </c>
      <c r="E181" s="3"/>
    </row>
    <row r="182">
      <c r="A182" s="3" t="s">
        <v>378</v>
      </c>
      <c r="B182" s="3" t="s">
        <v>280</v>
      </c>
      <c r="D182" s="3">
        <v>1949260.0</v>
      </c>
      <c r="E182" s="3"/>
    </row>
    <row r="183">
      <c r="A183" s="3" t="s">
        <v>379</v>
      </c>
      <c r="B183" s="3" t="s">
        <v>245</v>
      </c>
      <c r="D183" s="3">
        <v>2727950.0</v>
      </c>
      <c r="E183" s="3"/>
    </row>
    <row r="184">
      <c r="B184" s="3" t="s">
        <v>247</v>
      </c>
      <c r="D184" s="3">
        <v>2230090.0</v>
      </c>
      <c r="E184" s="3"/>
    </row>
    <row r="185">
      <c r="B185" s="3" t="s">
        <v>246</v>
      </c>
      <c r="D185" s="3">
        <v>1827740.0</v>
      </c>
      <c r="E185" s="3"/>
    </row>
    <row r="186">
      <c r="A186" s="3" t="s">
        <v>380</v>
      </c>
      <c r="B186" s="3" t="s">
        <v>362</v>
      </c>
      <c r="D186" s="3">
        <v>1860520.0</v>
      </c>
      <c r="E186" s="3"/>
    </row>
    <row r="187">
      <c r="A187" s="3" t="s">
        <v>381</v>
      </c>
      <c r="B187" s="3" t="s">
        <v>251</v>
      </c>
      <c r="D187" s="3">
        <v>1068180.0</v>
      </c>
      <c r="E187" s="3"/>
    </row>
    <row r="188">
      <c r="A188" s="3" t="s">
        <v>382</v>
      </c>
      <c r="B188" s="3" t="s">
        <v>383</v>
      </c>
      <c r="D188" s="3">
        <v>500000.0</v>
      </c>
      <c r="E188" s="3"/>
    </row>
    <row r="189">
      <c r="A189" s="3" t="s">
        <v>384</v>
      </c>
      <c r="B189" s="3" t="s">
        <v>385</v>
      </c>
      <c r="D189" s="3">
        <v>198000.0</v>
      </c>
      <c r="E189" s="3"/>
    </row>
    <row r="190">
      <c r="A190" s="3" t="s">
        <v>386</v>
      </c>
      <c r="B190" s="3" t="s">
        <v>366</v>
      </c>
      <c r="D190" s="3">
        <v>200000.0</v>
      </c>
      <c r="E190" s="3"/>
    </row>
    <row r="191">
      <c r="A191" s="3" t="s">
        <v>387</v>
      </c>
      <c r="B191" s="3" t="s">
        <v>388</v>
      </c>
      <c r="D191" s="3">
        <v>233920.0</v>
      </c>
      <c r="E191" s="3"/>
    </row>
    <row r="192">
      <c r="B192" s="3" t="s">
        <v>389</v>
      </c>
      <c r="D192" s="3">
        <v>235320.0</v>
      </c>
      <c r="E192" s="3"/>
    </row>
    <row r="193">
      <c r="A193" s="3" t="s">
        <v>390</v>
      </c>
      <c r="B193" s="3" t="s">
        <v>391</v>
      </c>
      <c r="D193" s="3">
        <v>395964.0</v>
      </c>
      <c r="E193" s="3"/>
      <c r="F193" s="3" t="s">
        <v>285</v>
      </c>
    </row>
    <row r="194">
      <c r="A194" s="3" t="s">
        <v>392</v>
      </c>
      <c r="B194" s="3" t="s">
        <v>346</v>
      </c>
      <c r="D194" s="3">
        <v>877400.0</v>
      </c>
      <c r="E194" s="3"/>
      <c r="F194" s="3" t="s">
        <v>393</v>
      </c>
    </row>
    <row r="195">
      <c r="B195" s="3" t="s">
        <v>345</v>
      </c>
      <c r="D195" s="3">
        <v>7225000.0</v>
      </c>
      <c r="E195" s="3"/>
      <c r="F195" s="3" t="s">
        <v>216</v>
      </c>
    </row>
    <row r="196">
      <c r="A196" s="3" t="s">
        <v>394</v>
      </c>
      <c r="B196" s="3" t="s">
        <v>347</v>
      </c>
      <c r="D196" s="3">
        <v>621020.0</v>
      </c>
      <c r="E196" s="3"/>
      <c r="F196" s="3" t="s">
        <v>275</v>
      </c>
    </row>
    <row r="197">
      <c r="A197" s="3" t="s">
        <v>395</v>
      </c>
      <c r="B197" s="3" t="s">
        <v>280</v>
      </c>
      <c r="D197" s="3">
        <v>1293130.0</v>
      </c>
      <c r="E197" s="3"/>
    </row>
    <row r="198">
      <c r="B198" s="3" t="s">
        <v>396</v>
      </c>
      <c r="D198" s="3">
        <v>374190.0</v>
      </c>
      <c r="E198" s="3"/>
    </row>
    <row r="199">
      <c r="B199" s="3" t="s">
        <v>397</v>
      </c>
      <c r="D199" s="3">
        <v>234280.0</v>
      </c>
      <c r="E199" s="3"/>
    </row>
    <row r="200">
      <c r="A200" s="3" t="s">
        <v>398</v>
      </c>
      <c r="B200" s="3" t="s">
        <v>399</v>
      </c>
      <c r="F200" s="3" t="s">
        <v>400</v>
      </c>
      <c r="G200" s="3" t="s">
        <v>401</v>
      </c>
    </row>
    <row r="201">
      <c r="A201" s="3" t="s">
        <v>398</v>
      </c>
      <c r="B201" s="3" t="s">
        <v>402</v>
      </c>
      <c r="D201" s="3">
        <v>620000.0</v>
      </c>
      <c r="E201" s="3"/>
      <c r="F201" s="3" t="s">
        <v>403</v>
      </c>
      <c r="G201" s="3" t="s">
        <v>404</v>
      </c>
    </row>
    <row r="202">
      <c r="A202" s="3" t="s">
        <v>405</v>
      </c>
      <c r="B202" s="3" t="s">
        <v>245</v>
      </c>
      <c r="D202" s="3">
        <v>1819190.0</v>
      </c>
      <c r="E202" s="3"/>
    </row>
    <row r="203">
      <c r="B203" s="3" t="s">
        <v>246</v>
      </c>
      <c r="D203" s="3">
        <v>1825790.0</v>
      </c>
      <c r="E203" s="3"/>
    </row>
    <row r="204">
      <c r="B204" s="3" t="s">
        <v>247</v>
      </c>
      <c r="D204" s="3">
        <v>1471680.0</v>
      </c>
      <c r="E204" s="3"/>
    </row>
    <row r="205">
      <c r="A205" s="3" t="s">
        <v>406</v>
      </c>
      <c r="B205" s="3" t="s">
        <v>362</v>
      </c>
      <c r="D205" s="3">
        <v>1471680.0</v>
      </c>
      <c r="E205" s="3"/>
    </row>
    <row r="206">
      <c r="A206" s="3" t="s">
        <v>407</v>
      </c>
      <c r="B206" s="3" t="s">
        <v>251</v>
      </c>
      <c r="D206" s="3">
        <v>1067100.0</v>
      </c>
      <c r="E206" s="3"/>
    </row>
    <row r="207">
      <c r="B207" s="3" t="s">
        <v>291</v>
      </c>
      <c r="D207" s="3">
        <v>880000.0</v>
      </c>
      <c r="E207" s="3"/>
      <c r="F207" s="3" t="s">
        <v>339</v>
      </c>
    </row>
    <row r="208">
      <c r="B208" s="3" t="s">
        <v>294</v>
      </c>
      <c r="D208" s="3">
        <v>2000000.0</v>
      </c>
      <c r="E208" s="3"/>
      <c r="F208" s="3" t="s">
        <v>295</v>
      </c>
      <c r="G208" s="3" t="s">
        <v>408</v>
      </c>
    </row>
    <row r="209">
      <c r="B209" s="3" t="s">
        <v>409</v>
      </c>
      <c r="D209" s="3">
        <v>713180.0</v>
      </c>
      <c r="E209" s="3"/>
      <c r="F209" s="3" t="s">
        <v>285</v>
      </c>
    </row>
    <row r="210">
      <c r="B210" s="3" t="s">
        <v>370</v>
      </c>
      <c r="D210" s="3">
        <v>490050.0</v>
      </c>
      <c r="E210" s="3"/>
      <c r="F210" s="3" t="s">
        <v>371</v>
      </c>
    </row>
    <row r="211">
      <c r="A211" s="3" t="s">
        <v>410</v>
      </c>
      <c r="B211" s="3" t="s">
        <v>411</v>
      </c>
      <c r="D211" s="3">
        <v>278150.0</v>
      </c>
      <c r="E211" s="3"/>
    </row>
    <row r="212">
      <c r="A212" s="3" t="s">
        <v>412</v>
      </c>
      <c r="B212" s="3" t="s">
        <v>366</v>
      </c>
      <c r="D212" s="3">
        <v>200000.0</v>
      </c>
      <c r="E212" s="3"/>
    </row>
    <row r="213">
      <c r="B213" s="3" t="s">
        <v>413</v>
      </c>
      <c r="D213" s="3">
        <v>6000000.0</v>
      </c>
      <c r="E213" s="3"/>
      <c r="F213" s="3" t="s">
        <v>414</v>
      </c>
    </row>
    <row r="214">
      <c r="A214" s="3" t="s">
        <v>415</v>
      </c>
      <c r="B214" s="3" t="s">
        <v>416</v>
      </c>
      <c r="D214" s="3">
        <v>264000.0</v>
      </c>
      <c r="E214" s="3"/>
      <c r="F214" s="3" t="s">
        <v>417</v>
      </c>
    </row>
    <row r="215">
      <c r="A215" s="3" t="s">
        <v>418</v>
      </c>
      <c r="B215" s="3" t="s">
        <v>419</v>
      </c>
      <c r="D215" s="3">
        <v>1500000.0</v>
      </c>
      <c r="E215" s="3"/>
      <c r="F215" s="3" t="s">
        <v>420</v>
      </c>
    </row>
    <row r="216">
      <c r="A216" s="3" t="s">
        <v>421</v>
      </c>
      <c r="B216" s="3" t="s">
        <v>422</v>
      </c>
      <c r="D216" s="3">
        <v>621020.0</v>
      </c>
      <c r="E216" s="3"/>
    </row>
    <row r="217">
      <c r="B217" s="3" t="s">
        <v>423</v>
      </c>
      <c r="D217" s="3">
        <v>877400.0</v>
      </c>
      <c r="E217" s="3"/>
    </row>
    <row r="218">
      <c r="B218" s="3" t="s">
        <v>424</v>
      </c>
      <c r="D218" s="3">
        <v>140000.0</v>
      </c>
      <c r="E218" s="3"/>
    </row>
    <row r="219">
      <c r="A219" s="3" t="s">
        <v>425</v>
      </c>
      <c r="B219" s="3" t="s">
        <v>345</v>
      </c>
      <c r="D219" s="3">
        <v>7243000.0</v>
      </c>
      <c r="E219" s="3"/>
      <c r="F219" s="3" t="s">
        <v>216</v>
      </c>
    </row>
    <row r="220">
      <c r="B220" s="3" t="s">
        <v>402</v>
      </c>
      <c r="D220" s="3">
        <v>650000.0</v>
      </c>
      <c r="E220" s="3"/>
      <c r="F220" s="3" t="s">
        <v>426</v>
      </c>
      <c r="G220" s="3" t="s">
        <v>427</v>
      </c>
    </row>
    <row r="221">
      <c r="A221" s="3" t="s">
        <v>428</v>
      </c>
      <c r="B221" s="3" t="s">
        <v>429</v>
      </c>
      <c r="D221" s="3">
        <v>48400.0</v>
      </c>
      <c r="E221" s="3"/>
    </row>
    <row r="222">
      <c r="A222" s="3" t="s">
        <v>430</v>
      </c>
      <c r="B222" s="3" t="s">
        <v>280</v>
      </c>
      <c r="D222" s="3">
        <v>1920280.0</v>
      </c>
      <c r="E222" s="3"/>
    </row>
    <row r="223">
      <c r="A223" s="3" t="s">
        <v>431</v>
      </c>
      <c r="B223" s="3" t="s">
        <v>245</v>
      </c>
      <c r="D223" s="3">
        <v>2671890.0</v>
      </c>
      <c r="E223" s="3"/>
    </row>
    <row r="224">
      <c r="B224" s="3" t="s">
        <v>247</v>
      </c>
      <c r="D224" s="3">
        <v>2190150.0</v>
      </c>
      <c r="E224" s="3"/>
    </row>
    <row r="225">
      <c r="B225" s="3" t="s">
        <v>246</v>
      </c>
      <c r="D225" s="3">
        <v>1825790.0</v>
      </c>
      <c r="E225" s="3"/>
    </row>
    <row r="226">
      <c r="A226" s="3" t="s">
        <v>432</v>
      </c>
      <c r="B226" s="3" t="s">
        <v>362</v>
      </c>
      <c r="D226" s="3">
        <v>1833890.0</v>
      </c>
      <c r="E226" s="3"/>
    </row>
    <row r="227">
      <c r="A227" s="3" t="s">
        <v>433</v>
      </c>
      <c r="B227" s="3" t="s">
        <v>251</v>
      </c>
      <c r="D227" s="3">
        <v>1067100.0</v>
      </c>
      <c r="E227" s="3"/>
    </row>
    <row r="228">
      <c r="A228" s="3" t="s">
        <v>434</v>
      </c>
      <c r="B228" s="3" t="s">
        <v>435</v>
      </c>
      <c r="D228" s="3">
        <v>14190.0</v>
      </c>
      <c r="E228" s="3"/>
      <c r="F228" s="3" t="s">
        <v>436</v>
      </c>
    </row>
    <row r="229">
      <c r="B229" s="3" t="s">
        <v>437</v>
      </c>
      <c r="D229" s="3">
        <v>239780.0</v>
      </c>
      <c r="E229" s="3"/>
      <c r="F229" s="3" t="s">
        <v>436</v>
      </c>
    </row>
    <row r="230">
      <c r="B230" s="3" t="s">
        <v>438</v>
      </c>
      <c r="D230" s="3">
        <v>197100.0</v>
      </c>
      <c r="E230" s="3"/>
      <c r="F230" s="3" t="s">
        <v>436</v>
      </c>
    </row>
    <row r="231">
      <c r="B231" s="3" t="s">
        <v>439</v>
      </c>
      <c r="D231" s="3">
        <v>2047310.0</v>
      </c>
      <c r="E231" s="3"/>
      <c r="F231" s="3" t="s">
        <v>436</v>
      </c>
    </row>
    <row r="232">
      <c r="A232" s="3" t="s">
        <v>440</v>
      </c>
      <c r="B232" s="3" t="s">
        <v>441</v>
      </c>
      <c r="D232" s="3">
        <v>200000.0</v>
      </c>
      <c r="E232" s="3"/>
    </row>
    <row r="233">
      <c r="A233" s="3" t="s">
        <v>442</v>
      </c>
      <c r="B233" s="3" t="s">
        <v>443</v>
      </c>
      <c r="D233" s="3">
        <v>132000.0</v>
      </c>
      <c r="E233" s="3"/>
      <c r="F233" s="3" t="s">
        <v>417</v>
      </c>
    </row>
    <row r="234">
      <c r="B234" s="3" t="s">
        <v>370</v>
      </c>
      <c r="D234" s="3">
        <v>379300.0</v>
      </c>
      <c r="E234" s="3"/>
      <c r="F234" s="3" t="s">
        <v>371</v>
      </c>
    </row>
    <row r="235">
      <c r="B235" s="3" t="s">
        <v>444</v>
      </c>
      <c r="D235" s="3">
        <v>184800.0</v>
      </c>
      <c r="E235" s="3"/>
      <c r="F235" s="3" t="s">
        <v>445</v>
      </c>
    </row>
    <row r="236">
      <c r="B236" s="3" t="s">
        <v>446</v>
      </c>
      <c r="D236" s="3">
        <v>660000.0</v>
      </c>
      <c r="E236" s="3"/>
      <c r="F236" s="3" t="s">
        <v>96</v>
      </c>
    </row>
    <row r="237">
      <c r="B237" s="3" t="s">
        <v>447</v>
      </c>
      <c r="D237" s="3">
        <v>796508.0</v>
      </c>
      <c r="E237" s="3"/>
      <c r="F237" s="3" t="s">
        <v>448</v>
      </c>
    </row>
    <row r="238">
      <c r="A238" s="3" t="s">
        <v>449</v>
      </c>
      <c r="B238" s="3" t="s">
        <v>69</v>
      </c>
      <c r="D238" s="3">
        <v>195050.0</v>
      </c>
      <c r="E238" s="3"/>
      <c r="F238" s="3" t="s">
        <v>450</v>
      </c>
    </row>
    <row r="239">
      <c r="B239" s="3" t="s">
        <v>346</v>
      </c>
      <c r="D239" s="3">
        <v>877400.0</v>
      </c>
      <c r="E239" s="3"/>
      <c r="F239" s="3" t="s">
        <v>275</v>
      </c>
    </row>
    <row r="240">
      <c r="B240" s="3" t="s">
        <v>347</v>
      </c>
      <c r="D240" s="3">
        <v>621020.0</v>
      </c>
      <c r="E240" s="3"/>
      <c r="F240" s="3" t="s">
        <v>275</v>
      </c>
    </row>
    <row r="241">
      <c r="B241" s="3" t="s">
        <v>451</v>
      </c>
      <c r="D241" s="3">
        <v>15000.0</v>
      </c>
      <c r="E241" s="3"/>
      <c r="F241" s="3" t="s">
        <v>275</v>
      </c>
    </row>
    <row r="242">
      <c r="B242" s="3" t="s">
        <v>452</v>
      </c>
      <c r="D242" s="3">
        <v>15000.0</v>
      </c>
      <c r="E242" s="3"/>
      <c r="F242" s="3" t="s">
        <v>275</v>
      </c>
    </row>
    <row r="243">
      <c r="A243" s="3" t="s">
        <v>453</v>
      </c>
      <c r="B243" s="3" t="s">
        <v>345</v>
      </c>
      <c r="D243" s="3">
        <v>7657000.0</v>
      </c>
      <c r="E243" s="3"/>
      <c r="F243" s="3" t="s">
        <v>216</v>
      </c>
    </row>
    <row r="244">
      <c r="A244" s="3" t="s">
        <v>454</v>
      </c>
      <c r="B244" s="3" t="s">
        <v>267</v>
      </c>
      <c r="D244" s="3">
        <v>320000.0</v>
      </c>
      <c r="E244" s="3"/>
      <c r="F244" s="3" t="s">
        <v>455</v>
      </c>
      <c r="G244" s="3" t="s">
        <v>456</v>
      </c>
    </row>
    <row r="245">
      <c r="A245" s="3" t="s">
        <v>457</v>
      </c>
      <c r="B245" s="3" t="s">
        <v>280</v>
      </c>
      <c r="D245" s="3">
        <v>1293130.0</v>
      </c>
      <c r="E245" s="3"/>
    </row>
    <row r="246">
      <c r="A246" s="3" t="s">
        <v>458</v>
      </c>
      <c r="B246" s="3" t="s">
        <v>245</v>
      </c>
      <c r="D246" s="3">
        <v>1819190.0</v>
      </c>
      <c r="E246" s="3"/>
    </row>
    <row r="247">
      <c r="B247" s="3" t="s">
        <v>247</v>
      </c>
      <c r="D247" s="3">
        <v>1471680.0</v>
      </c>
      <c r="E247" s="3"/>
    </row>
    <row r="248">
      <c r="B248" s="3" t="s">
        <v>246</v>
      </c>
      <c r="D248" s="3">
        <v>1825790.0</v>
      </c>
      <c r="E248" s="3"/>
    </row>
    <row r="249">
      <c r="A249" s="3" t="s">
        <v>459</v>
      </c>
      <c r="B249" s="3" t="s">
        <v>362</v>
      </c>
      <c r="D249" s="3">
        <v>1471680.0</v>
      </c>
      <c r="E249" s="3"/>
    </row>
    <row r="250">
      <c r="A250" s="3" t="s">
        <v>460</v>
      </c>
      <c r="B250" s="3" t="s">
        <v>251</v>
      </c>
      <c r="D250" s="3">
        <v>1067100.0</v>
      </c>
      <c r="E250" s="3"/>
    </row>
    <row r="251">
      <c r="A251" s="3" t="s">
        <v>461</v>
      </c>
      <c r="B251" s="3" t="s">
        <v>437</v>
      </c>
      <c r="D251" s="3">
        <v>222250.0</v>
      </c>
      <c r="E251" s="3"/>
      <c r="F251" s="3" t="s">
        <v>436</v>
      </c>
    </row>
    <row r="252">
      <c r="A252" s="3" t="s">
        <v>462</v>
      </c>
      <c r="B252" s="3" t="s">
        <v>463</v>
      </c>
      <c r="D252" s="3">
        <v>130000.0</v>
      </c>
      <c r="E252" s="3"/>
    </row>
    <row r="253">
      <c r="A253" s="3" t="s">
        <v>464</v>
      </c>
      <c r="B253" s="3" t="s">
        <v>294</v>
      </c>
      <c r="D253" s="3">
        <v>2000000.0</v>
      </c>
      <c r="E253" s="3"/>
      <c r="F253" s="3" t="s">
        <v>295</v>
      </c>
      <c r="G253" s="3" t="s">
        <v>465</v>
      </c>
    </row>
    <row r="254">
      <c r="B254" s="3" t="s">
        <v>370</v>
      </c>
      <c r="D254" s="3">
        <v>220320.0</v>
      </c>
      <c r="E254" s="3"/>
      <c r="F254" s="3" t="s">
        <v>371</v>
      </c>
    </row>
    <row r="255">
      <c r="B255" s="3" t="s">
        <v>466</v>
      </c>
      <c r="D255" s="3">
        <v>132000.0</v>
      </c>
      <c r="E255" s="3"/>
      <c r="F255" s="3" t="s">
        <v>417</v>
      </c>
    </row>
    <row r="256">
      <c r="B256" s="3" t="s">
        <v>299</v>
      </c>
      <c r="D256" s="3">
        <v>33000.0</v>
      </c>
      <c r="E256" s="3"/>
      <c r="F256" s="3" t="s">
        <v>467</v>
      </c>
    </row>
    <row r="257">
      <c r="B257" s="3" t="s">
        <v>468</v>
      </c>
      <c r="D257" s="3">
        <v>246996.0</v>
      </c>
      <c r="E257" s="3"/>
      <c r="F257" s="3" t="s">
        <v>448</v>
      </c>
    </row>
    <row r="258">
      <c r="A258" s="3" t="s">
        <v>469</v>
      </c>
      <c r="B258" s="3" t="s">
        <v>470</v>
      </c>
      <c r="D258" s="3">
        <v>600000.0</v>
      </c>
      <c r="E258" s="3"/>
      <c r="F258" s="3" t="s">
        <v>128</v>
      </c>
    </row>
    <row r="259">
      <c r="B259" s="3" t="s">
        <v>471</v>
      </c>
      <c r="D259" s="3">
        <v>40000.0</v>
      </c>
      <c r="E259" s="3"/>
    </row>
    <row r="260">
      <c r="A260" s="3" t="s">
        <v>472</v>
      </c>
      <c r="B260" s="3" t="s">
        <v>473</v>
      </c>
      <c r="D260" s="3">
        <v>200000.0</v>
      </c>
      <c r="E260" s="3"/>
      <c r="F260" s="3" t="s">
        <v>474</v>
      </c>
      <c r="G260" s="3" t="s">
        <v>475</v>
      </c>
    </row>
    <row r="261">
      <c r="A261" s="3" t="s">
        <v>476</v>
      </c>
      <c r="B261" s="3" t="s">
        <v>346</v>
      </c>
      <c r="D261" s="3">
        <v>877400.0</v>
      </c>
      <c r="E261" s="3"/>
      <c r="F261" s="3" t="s">
        <v>275</v>
      </c>
    </row>
    <row r="262">
      <c r="B262" s="3" t="s">
        <v>347</v>
      </c>
      <c r="D262" s="3">
        <v>621020.0</v>
      </c>
      <c r="E262" s="3"/>
      <c r="F262" s="3" t="s">
        <v>275</v>
      </c>
    </row>
    <row r="263">
      <c r="A263" s="3" t="s">
        <v>477</v>
      </c>
      <c r="B263" s="3" t="s">
        <v>345</v>
      </c>
      <c r="D263" s="3">
        <v>7029000.0</v>
      </c>
      <c r="E263" s="3"/>
      <c r="F263" s="3" t="s">
        <v>216</v>
      </c>
    </row>
    <row r="264">
      <c r="B264" s="3" t="s">
        <v>478</v>
      </c>
      <c r="D264" s="3">
        <v>3600000.0</v>
      </c>
      <c r="E264" s="3"/>
      <c r="G264" s="3" t="s">
        <v>360</v>
      </c>
    </row>
    <row r="265">
      <c r="A265" s="3" t="s">
        <v>479</v>
      </c>
      <c r="B265" s="3" t="s">
        <v>480</v>
      </c>
      <c r="D265" s="3">
        <v>76500.0</v>
      </c>
      <c r="E265" s="3"/>
    </row>
    <row r="266">
      <c r="B266" s="3" t="s">
        <v>267</v>
      </c>
      <c r="D266" s="3">
        <v>650000.0</v>
      </c>
      <c r="E266" s="3"/>
      <c r="F266" s="3" t="s">
        <v>426</v>
      </c>
      <c r="G266" s="3" t="s">
        <v>481</v>
      </c>
    </row>
    <row r="267">
      <c r="A267" s="3" t="s">
        <v>482</v>
      </c>
      <c r="B267" s="3" t="s">
        <v>310</v>
      </c>
      <c r="D267" s="3">
        <v>234280.0</v>
      </c>
      <c r="E267" s="3"/>
      <c r="F267" s="3" t="s">
        <v>275</v>
      </c>
    </row>
    <row r="268">
      <c r="B268" s="3" t="s">
        <v>309</v>
      </c>
      <c r="D268" s="3">
        <v>374190.0</v>
      </c>
      <c r="E268" s="3"/>
      <c r="F268" s="3" t="s">
        <v>275</v>
      </c>
    </row>
    <row r="269">
      <c r="A269" s="3" t="s">
        <v>483</v>
      </c>
      <c r="B269" s="3" t="s">
        <v>280</v>
      </c>
      <c r="D269" s="3">
        <v>1293130.0</v>
      </c>
      <c r="E269" s="3"/>
    </row>
    <row r="270">
      <c r="A270" s="3" t="s">
        <v>484</v>
      </c>
      <c r="B270" s="3" t="s">
        <v>245</v>
      </c>
      <c r="D270" s="3">
        <v>1819190.0</v>
      </c>
      <c r="E270" s="3"/>
    </row>
    <row r="271">
      <c r="B271" s="3" t="s">
        <v>247</v>
      </c>
      <c r="D271" s="3">
        <v>1471680.0</v>
      </c>
      <c r="E271" s="3"/>
    </row>
    <row r="272">
      <c r="B272" s="3" t="s">
        <v>246</v>
      </c>
      <c r="D272" s="3">
        <v>1731050.0</v>
      </c>
      <c r="E272" s="3"/>
    </row>
    <row r="273">
      <c r="A273" s="3" t="s">
        <v>485</v>
      </c>
      <c r="B273" s="3" t="s">
        <v>362</v>
      </c>
      <c r="D273" s="3">
        <v>1471680.0</v>
      </c>
      <c r="E273" s="3"/>
    </row>
    <row r="274">
      <c r="A274" s="3" t="s">
        <v>486</v>
      </c>
      <c r="B274" s="3" t="s">
        <v>251</v>
      </c>
      <c r="D274" s="3">
        <v>1067100.0</v>
      </c>
      <c r="E274" s="3"/>
    </row>
    <row r="275">
      <c r="A275" s="3" t="s">
        <v>487</v>
      </c>
      <c r="B275" s="3" t="s">
        <v>437</v>
      </c>
      <c r="D275" s="3">
        <v>231160.0</v>
      </c>
      <c r="E275" s="3"/>
      <c r="F275" s="3" t="s">
        <v>436</v>
      </c>
    </row>
    <row r="276">
      <c r="B276" s="3" t="s">
        <v>452</v>
      </c>
      <c r="D276" s="3">
        <v>15000.0</v>
      </c>
      <c r="E276" s="3"/>
      <c r="F276" s="3" t="s">
        <v>275</v>
      </c>
    </row>
    <row r="277">
      <c r="B277" s="3" t="s">
        <v>488</v>
      </c>
      <c r="D277" s="3">
        <v>563200.0</v>
      </c>
      <c r="E277" s="3"/>
      <c r="F277" s="3" t="s">
        <v>275</v>
      </c>
    </row>
    <row r="278">
      <c r="A278" s="3" t="s">
        <v>484</v>
      </c>
      <c r="B278" s="3" t="s">
        <v>489</v>
      </c>
      <c r="D278" s="3">
        <v>165000.0</v>
      </c>
      <c r="E278" s="3"/>
      <c r="F278" s="3" t="s">
        <v>150</v>
      </c>
    </row>
    <row r="279">
      <c r="B279" s="3" t="s">
        <v>490</v>
      </c>
      <c r="D279" s="3">
        <v>132000.0</v>
      </c>
      <c r="E279" s="3"/>
      <c r="F279" s="3" t="s">
        <v>417</v>
      </c>
    </row>
    <row r="280">
      <c r="B280" s="3" t="s">
        <v>491</v>
      </c>
      <c r="D280" s="3">
        <v>393428.0</v>
      </c>
      <c r="E280" s="3"/>
      <c r="F280" s="3" t="s">
        <v>448</v>
      </c>
    </row>
    <row r="281">
      <c r="A281" s="3" t="s">
        <v>492</v>
      </c>
      <c r="B281" s="3" t="s">
        <v>493</v>
      </c>
      <c r="D281" s="3">
        <v>200000.0</v>
      </c>
      <c r="E281" s="3"/>
      <c r="F281" s="3" t="s">
        <v>494</v>
      </c>
    </row>
    <row r="282">
      <c r="B282" s="3" t="s">
        <v>495</v>
      </c>
      <c r="D282" s="3">
        <v>220000.0</v>
      </c>
      <c r="E282" s="3"/>
    </row>
    <row r="283">
      <c r="B283" s="3" t="s">
        <v>496</v>
      </c>
      <c r="D283" s="3">
        <v>4756139.0</v>
      </c>
      <c r="E283" s="3"/>
      <c r="F283" s="3" t="s">
        <v>497</v>
      </c>
    </row>
    <row r="284">
      <c r="B284" s="3" t="s">
        <v>498</v>
      </c>
      <c r="D284" s="3">
        <v>1.7E7</v>
      </c>
      <c r="E284" s="3"/>
      <c r="F284" s="3" t="s">
        <v>499</v>
      </c>
    </row>
    <row r="285">
      <c r="A285" s="3" t="s">
        <v>500</v>
      </c>
      <c r="B285" s="3" t="s">
        <v>501</v>
      </c>
      <c r="D285" s="3">
        <v>462000.0</v>
      </c>
      <c r="E285" s="3"/>
      <c r="F285" s="3" t="s">
        <v>502</v>
      </c>
    </row>
    <row r="286">
      <c r="A286" s="3" t="s">
        <v>503</v>
      </c>
      <c r="B286" s="3" t="s">
        <v>504</v>
      </c>
      <c r="D286" s="3">
        <v>1.0E7</v>
      </c>
      <c r="E286" s="3"/>
      <c r="F286" s="3" t="s">
        <v>505</v>
      </c>
    </row>
    <row r="287">
      <c r="B287" s="3" t="s">
        <v>506</v>
      </c>
      <c r="D287" s="3">
        <v>87800.0</v>
      </c>
      <c r="E287" s="3"/>
    </row>
    <row r="288">
      <c r="A288" s="3" t="s">
        <v>507</v>
      </c>
      <c r="B288" s="3" t="s">
        <v>345</v>
      </c>
      <c r="D288" s="3">
        <v>7031000.0</v>
      </c>
      <c r="E288" s="3"/>
      <c r="F288" s="3" t="s">
        <v>216</v>
      </c>
    </row>
    <row r="289">
      <c r="A289" s="3" t="s">
        <v>508</v>
      </c>
      <c r="B289" s="3" t="s">
        <v>267</v>
      </c>
      <c r="D289" s="3">
        <v>550000.0</v>
      </c>
      <c r="E289" s="3"/>
      <c r="F289" s="3" t="s">
        <v>509</v>
      </c>
      <c r="G289" s="3" t="s">
        <v>510</v>
      </c>
    </row>
    <row r="290">
      <c r="A290" s="3" t="s">
        <v>511</v>
      </c>
      <c r="B290" s="3" t="s">
        <v>280</v>
      </c>
      <c r="D290" s="3">
        <v>1920510.0</v>
      </c>
      <c r="E290" s="3"/>
    </row>
    <row r="291">
      <c r="A291" s="3" t="s">
        <v>512</v>
      </c>
      <c r="B291" s="3" t="s">
        <v>245</v>
      </c>
      <c r="D291" s="3">
        <v>2671880.0</v>
      </c>
      <c r="E291" s="3"/>
    </row>
    <row r="292">
      <c r="B292" s="3" t="s">
        <v>247</v>
      </c>
      <c r="D292" s="3">
        <v>2193370.0</v>
      </c>
      <c r="E292" s="3"/>
    </row>
    <row r="293">
      <c r="B293" s="3" t="s">
        <v>246</v>
      </c>
      <c r="D293" s="3">
        <v>1731050.0</v>
      </c>
      <c r="E293" s="3"/>
    </row>
    <row r="294">
      <c r="A294" s="3" t="s">
        <v>513</v>
      </c>
      <c r="B294" s="3" t="s">
        <v>362</v>
      </c>
      <c r="D294" s="3">
        <v>2193370.0</v>
      </c>
      <c r="E294" s="3"/>
    </row>
    <row r="295">
      <c r="A295" s="3" t="s">
        <v>514</v>
      </c>
      <c r="B295" s="3" t="s">
        <v>251</v>
      </c>
      <c r="D295" s="3">
        <v>1067100.0</v>
      </c>
      <c r="E295" s="3"/>
    </row>
    <row r="296">
      <c r="A296" s="3" t="s">
        <v>515</v>
      </c>
      <c r="B296" s="3" t="s">
        <v>437</v>
      </c>
      <c r="D296" s="3">
        <v>233150.0</v>
      </c>
      <c r="E296" s="3"/>
      <c r="F296" s="3" t="s">
        <v>436</v>
      </c>
    </row>
    <row r="297">
      <c r="A297" s="3" t="s">
        <v>514</v>
      </c>
      <c r="B297" s="3" t="s">
        <v>516</v>
      </c>
      <c r="D297" s="3">
        <v>79870.0</v>
      </c>
      <c r="E297" s="3"/>
    </row>
    <row r="298">
      <c r="A298" s="3" t="s">
        <v>517</v>
      </c>
      <c r="B298" s="3" t="s">
        <v>518</v>
      </c>
      <c r="D298" s="3">
        <v>4610468.0</v>
      </c>
      <c r="E298" s="3"/>
    </row>
    <row r="299">
      <c r="A299" s="3" t="s">
        <v>519</v>
      </c>
      <c r="B299" s="3" t="s">
        <v>520</v>
      </c>
      <c r="D299" s="3">
        <v>903720.0</v>
      </c>
      <c r="E299" s="3"/>
    </row>
    <row r="300">
      <c r="B300" s="3" t="s">
        <v>521</v>
      </c>
      <c r="D300" s="3">
        <v>132000.0</v>
      </c>
      <c r="E300" s="3"/>
      <c r="F300" s="3" t="s">
        <v>417</v>
      </c>
    </row>
    <row r="301">
      <c r="B301" s="3" t="s">
        <v>522</v>
      </c>
      <c r="D301" s="3">
        <v>198088.0</v>
      </c>
      <c r="E301" s="3"/>
      <c r="F301" s="3" t="s">
        <v>448</v>
      </c>
    </row>
    <row r="302">
      <c r="A302" s="3" t="s">
        <v>523</v>
      </c>
      <c r="B302" s="3" t="s">
        <v>493</v>
      </c>
      <c r="D302" s="3">
        <v>200000.0</v>
      </c>
      <c r="E302" s="3"/>
      <c r="F302" s="3" t="s">
        <v>494</v>
      </c>
    </row>
    <row r="303">
      <c r="A303" s="3" t="s">
        <v>524</v>
      </c>
      <c r="B303" s="3" t="s">
        <v>525</v>
      </c>
      <c r="D303" s="3">
        <v>877400.0</v>
      </c>
      <c r="E303" s="3"/>
      <c r="F303" s="3" t="s">
        <v>275</v>
      </c>
    </row>
    <row r="304">
      <c r="B304" s="3" t="s">
        <v>526</v>
      </c>
      <c r="D304" s="3">
        <v>621020.0</v>
      </c>
      <c r="E304" s="3"/>
      <c r="F304" s="3" t="s">
        <v>275</v>
      </c>
    </row>
    <row r="305">
      <c r="B305" s="3" t="s">
        <v>527</v>
      </c>
      <c r="D305" s="3">
        <v>903720.0</v>
      </c>
      <c r="E305" s="3"/>
      <c r="F305" s="3" t="s">
        <v>275</v>
      </c>
    </row>
    <row r="306">
      <c r="B306" s="3" t="s">
        <v>506</v>
      </c>
      <c r="D306" s="3">
        <v>202700.0</v>
      </c>
      <c r="E306" s="3"/>
    </row>
    <row r="307">
      <c r="A307" s="3" t="s">
        <v>528</v>
      </c>
      <c r="B307" s="3" t="s">
        <v>345</v>
      </c>
      <c r="D307" s="3">
        <v>7077000.0</v>
      </c>
      <c r="E307" s="3"/>
      <c r="F307" s="3" t="s">
        <v>216</v>
      </c>
    </row>
    <row r="308">
      <c r="A308" s="3" t="s">
        <v>529</v>
      </c>
      <c r="B308" s="3" t="s">
        <v>530</v>
      </c>
      <c r="D308" s="3">
        <v>100000.0</v>
      </c>
      <c r="E308" s="3"/>
    </row>
    <row r="309">
      <c r="B309" s="3" t="s">
        <v>531</v>
      </c>
      <c r="D309" s="3">
        <v>350000.0</v>
      </c>
      <c r="E309" s="3"/>
    </row>
    <row r="310">
      <c r="A310" s="3" t="s">
        <v>532</v>
      </c>
      <c r="B310" s="3" t="s">
        <v>533</v>
      </c>
      <c r="D310" s="3">
        <v>100000.0</v>
      </c>
      <c r="E310" s="3"/>
      <c r="F310" s="3" t="s">
        <v>206</v>
      </c>
    </row>
    <row r="311">
      <c r="B311" s="3" t="s">
        <v>267</v>
      </c>
      <c r="D311" s="3">
        <v>450000.0</v>
      </c>
      <c r="E311" s="3"/>
      <c r="F311" s="3" t="s">
        <v>534</v>
      </c>
      <c r="G311" s="3" t="s">
        <v>535</v>
      </c>
    </row>
    <row r="312">
      <c r="A312" s="3" t="s">
        <v>532</v>
      </c>
      <c r="B312" s="3" t="s">
        <v>280</v>
      </c>
      <c r="D312" s="3">
        <v>1916020.0</v>
      </c>
      <c r="E312" s="3"/>
    </row>
    <row r="313">
      <c r="A313" s="3" t="s">
        <v>536</v>
      </c>
      <c r="B313" s="3" t="s">
        <v>245</v>
      </c>
      <c r="D313" s="3">
        <v>2641700.0</v>
      </c>
      <c r="E313" s="3"/>
    </row>
    <row r="314">
      <c r="B314" s="3" t="s">
        <v>247</v>
      </c>
      <c r="D314" s="3">
        <v>2185970.0</v>
      </c>
      <c r="E314" s="3"/>
    </row>
    <row r="315">
      <c r="B315" s="3" t="s">
        <v>246</v>
      </c>
      <c r="D315" s="3">
        <v>1731050.0</v>
      </c>
      <c r="E315" s="3"/>
    </row>
    <row r="316">
      <c r="A316" s="3" t="s">
        <v>537</v>
      </c>
      <c r="B316" s="3" t="s">
        <v>362</v>
      </c>
      <c r="D316" s="3">
        <v>2185970.0</v>
      </c>
      <c r="E316" s="3"/>
    </row>
    <row r="317">
      <c r="A317" s="3" t="s">
        <v>536</v>
      </c>
      <c r="B317" s="3" t="s">
        <v>251</v>
      </c>
      <c r="D317" s="3">
        <v>1067100.0</v>
      </c>
      <c r="E317" s="3"/>
    </row>
    <row r="318">
      <c r="A318" s="3" t="s">
        <v>538</v>
      </c>
      <c r="B318" s="3" t="s">
        <v>518</v>
      </c>
      <c r="D318" s="3">
        <v>4645610.0</v>
      </c>
      <c r="E318" s="3"/>
    </row>
    <row r="319">
      <c r="A319" s="3" t="s">
        <v>539</v>
      </c>
      <c r="B319" s="3" t="s">
        <v>437</v>
      </c>
      <c r="D319" s="3">
        <v>235930.0</v>
      </c>
      <c r="E319" s="3"/>
    </row>
    <row r="320">
      <c r="A320" s="3" t="s">
        <v>540</v>
      </c>
      <c r="B320" s="3" t="s">
        <v>541</v>
      </c>
      <c r="D320" s="3">
        <v>132000.0</v>
      </c>
      <c r="E320" s="3"/>
      <c r="F320" s="3" t="s">
        <v>417</v>
      </c>
    </row>
    <row r="321">
      <c r="B321" s="3" t="s">
        <v>542</v>
      </c>
      <c r="D321" s="3">
        <v>270972.0</v>
      </c>
      <c r="E321" s="3"/>
      <c r="F321" s="3" t="s">
        <v>448</v>
      </c>
    </row>
    <row r="322">
      <c r="B322" s="3" t="s">
        <v>493</v>
      </c>
      <c r="D322" s="3">
        <v>200000.0</v>
      </c>
      <c r="E322" s="3"/>
      <c r="F322" s="3" t="s">
        <v>494</v>
      </c>
    </row>
    <row r="323">
      <c r="B323" s="3" t="s">
        <v>370</v>
      </c>
      <c r="D323" s="3">
        <v>488030.0</v>
      </c>
      <c r="E323" s="3"/>
      <c r="F323" s="3" t="s">
        <v>371</v>
      </c>
    </row>
    <row r="324">
      <c r="A324" s="3" t="s">
        <v>543</v>
      </c>
      <c r="B324" s="3" t="s">
        <v>544</v>
      </c>
      <c r="D324" s="3">
        <v>76090.0</v>
      </c>
      <c r="E324" s="3"/>
      <c r="F324" s="3" t="s">
        <v>545</v>
      </c>
    </row>
    <row r="325">
      <c r="A325" s="3" t="s">
        <v>546</v>
      </c>
      <c r="B325" s="3" t="s">
        <v>547</v>
      </c>
      <c r="D325" s="3">
        <v>877400.0</v>
      </c>
      <c r="E325" s="3"/>
      <c r="F325" s="3" t="s">
        <v>275</v>
      </c>
    </row>
    <row r="326">
      <c r="B326" s="3" t="s">
        <v>548</v>
      </c>
      <c r="D326" s="3">
        <v>625340.0</v>
      </c>
      <c r="E326" s="3"/>
      <c r="F326" s="3" t="s">
        <v>275</v>
      </c>
    </row>
    <row r="327">
      <c r="B327" s="3" t="s">
        <v>549</v>
      </c>
      <c r="D327" s="3">
        <v>247500.0</v>
      </c>
      <c r="E327" s="3"/>
      <c r="F327" s="3" t="s">
        <v>550</v>
      </c>
    </row>
    <row r="328">
      <c r="B328" s="3" t="s">
        <v>506</v>
      </c>
      <c r="D328" s="3">
        <v>250000.0</v>
      </c>
      <c r="E328" s="3"/>
    </row>
    <row r="329">
      <c r="A329" s="3" t="s">
        <v>551</v>
      </c>
      <c r="B329" s="3" t="s">
        <v>345</v>
      </c>
      <c r="D329" s="3">
        <v>7082000.0</v>
      </c>
      <c r="E329" s="3"/>
      <c r="F329" s="3" t="s">
        <v>216</v>
      </c>
    </row>
    <row r="330">
      <c r="A330" s="3" t="s">
        <v>552</v>
      </c>
      <c r="B330" s="3" t="s">
        <v>501</v>
      </c>
      <c r="D330" s="3">
        <v>281600.0</v>
      </c>
      <c r="E330" s="3"/>
      <c r="F330" s="3" t="s">
        <v>502</v>
      </c>
    </row>
    <row r="331">
      <c r="A331" s="3" t="s">
        <v>553</v>
      </c>
      <c r="B331" s="3" t="s">
        <v>267</v>
      </c>
      <c r="D331" s="3">
        <v>550000.0</v>
      </c>
      <c r="E331" s="3"/>
      <c r="F331" s="3" t="s">
        <v>509</v>
      </c>
      <c r="G331" s="3" t="s">
        <v>554</v>
      </c>
    </row>
    <row r="332">
      <c r="A332" s="3" t="s">
        <v>555</v>
      </c>
      <c r="B332" s="3" t="s">
        <v>437</v>
      </c>
      <c r="D332" s="3">
        <v>236300.0</v>
      </c>
      <c r="E332" s="3"/>
      <c r="F332" s="3" t="s">
        <v>436</v>
      </c>
    </row>
    <row r="333">
      <c r="B333" s="3" t="s">
        <v>556</v>
      </c>
      <c r="D333" s="3">
        <v>30000.0</v>
      </c>
      <c r="E333" s="3"/>
    </row>
    <row r="334">
      <c r="A334" s="3" t="s">
        <v>557</v>
      </c>
      <c r="B334" s="3" t="s">
        <v>280</v>
      </c>
      <c r="D334" s="3">
        <v>1293590.0</v>
      </c>
      <c r="E334" s="3"/>
    </row>
    <row r="335">
      <c r="A335" s="3" t="s">
        <v>558</v>
      </c>
      <c r="B335" s="3" t="s">
        <v>245</v>
      </c>
      <c r="D335" s="3">
        <v>1824890.0</v>
      </c>
      <c r="E335" s="3"/>
    </row>
    <row r="336">
      <c r="B336" s="3" t="s">
        <v>247</v>
      </c>
      <c r="D336" s="3">
        <v>954456.0</v>
      </c>
      <c r="E336" s="3"/>
      <c r="F336" s="3" t="s">
        <v>559</v>
      </c>
    </row>
    <row r="337">
      <c r="B337" s="3" t="s">
        <v>246</v>
      </c>
      <c r="D337" s="3">
        <v>1730700.0</v>
      </c>
      <c r="E337" s="3"/>
    </row>
    <row r="338">
      <c r="A338" s="3" t="s">
        <v>560</v>
      </c>
      <c r="B338" s="3" t="s">
        <v>362</v>
      </c>
      <c r="D338" s="3">
        <v>1473670.0</v>
      </c>
      <c r="E338" s="3"/>
    </row>
    <row r="339">
      <c r="A339" s="3" t="s">
        <v>561</v>
      </c>
      <c r="B339" s="3" t="s">
        <v>251</v>
      </c>
      <c r="D339" s="3">
        <v>1066910.0</v>
      </c>
      <c r="E339" s="3"/>
    </row>
    <row r="340">
      <c r="A340" s="3" t="s">
        <v>562</v>
      </c>
      <c r="B340" s="3" t="s">
        <v>563</v>
      </c>
      <c r="D340" s="3">
        <v>132000.0</v>
      </c>
      <c r="E340" s="3"/>
      <c r="F340" s="3" t="s">
        <v>417</v>
      </c>
    </row>
    <row r="341">
      <c r="B341" s="3" t="s">
        <v>564</v>
      </c>
      <c r="D341" s="3">
        <v>127484.0</v>
      </c>
      <c r="E341" s="3"/>
      <c r="F341" s="3" t="s">
        <v>448</v>
      </c>
    </row>
    <row r="342">
      <c r="B342" s="3" t="s">
        <v>493</v>
      </c>
      <c r="D342" s="3">
        <v>200000.0</v>
      </c>
      <c r="E342" s="3"/>
      <c r="F342" s="3" t="s">
        <v>494</v>
      </c>
    </row>
    <row r="343">
      <c r="A343" s="3" t="s">
        <v>565</v>
      </c>
      <c r="B343" s="3" t="s">
        <v>566</v>
      </c>
      <c r="D343" s="3">
        <v>2043570.0</v>
      </c>
      <c r="E343" s="3"/>
    </row>
    <row r="344">
      <c r="B344" s="3" t="s">
        <v>567</v>
      </c>
      <c r="D344" s="3">
        <v>1786583.0</v>
      </c>
      <c r="E344" s="3"/>
    </row>
    <row r="345">
      <c r="B345" s="3" t="s">
        <v>568</v>
      </c>
      <c r="D345" s="3">
        <v>1481416.0</v>
      </c>
      <c r="E345" s="3"/>
    </row>
    <row r="346">
      <c r="B346" s="3" t="s">
        <v>569</v>
      </c>
      <c r="D346" s="3">
        <v>1031750.0</v>
      </c>
      <c r="E346" s="3"/>
    </row>
    <row r="347">
      <c r="B347" s="3" t="s">
        <v>294</v>
      </c>
      <c r="D347" s="3">
        <v>1000000.0</v>
      </c>
      <c r="E347" s="3"/>
      <c r="F347" s="3" t="s">
        <v>295</v>
      </c>
      <c r="G347" s="3" t="s">
        <v>570</v>
      </c>
    </row>
    <row r="348">
      <c r="A348" s="3" t="s">
        <v>571</v>
      </c>
      <c r="B348" s="3" t="s">
        <v>345</v>
      </c>
      <c r="D348" s="3">
        <v>7184000.0</v>
      </c>
      <c r="E348" s="3"/>
      <c r="F348" s="3" t="s">
        <v>216</v>
      </c>
    </row>
    <row r="349">
      <c r="A349" s="3" t="s">
        <v>572</v>
      </c>
      <c r="B349" s="3" t="s">
        <v>573</v>
      </c>
      <c r="D349" s="3">
        <v>593740.0</v>
      </c>
      <c r="E349" s="3"/>
    </row>
    <row r="350">
      <c r="B350" s="3" t="s">
        <v>315</v>
      </c>
      <c r="D350" s="3">
        <v>877400.0</v>
      </c>
      <c r="E350" s="3"/>
    </row>
    <row r="351">
      <c r="A351" s="3" t="s">
        <v>574</v>
      </c>
      <c r="B351" s="3" t="s">
        <v>267</v>
      </c>
      <c r="D351" s="3">
        <v>550000.0</v>
      </c>
      <c r="E351" s="3"/>
      <c r="F351" s="3" t="s">
        <v>509</v>
      </c>
      <c r="G351" s="3" t="s">
        <v>575</v>
      </c>
    </row>
    <row r="352">
      <c r="A352" s="3" t="s">
        <v>576</v>
      </c>
      <c r="B352" s="3" t="s">
        <v>577</v>
      </c>
      <c r="D352" s="3">
        <v>319000.0</v>
      </c>
      <c r="E352" s="3"/>
      <c r="F352" s="3" t="s">
        <v>150</v>
      </c>
    </row>
    <row r="353">
      <c r="B353" s="3" t="s">
        <v>578</v>
      </c>
      <c r="D353" s="3">
        <v>20000.0</v>
      </c>
      <c r="E353" s="3"/>
    </row>
    <row r="354">
      <c r="A354" s="3" t="s">
        <v>579</v>
      </c>
      <c r="B354" s="3" t="s">
        <v>280</v>
      </c>
      <c r="D354" s="3">
        <v>1369520.0</v>
      </c>
      <c r="E354" s="3"/>
    </row>
    <row r="355">
      <c r="A355" s="3" t="s">
        <v>580</v>
      </c>
      <c r="B355" s="3" t="s">
        <v>245</v>
      </c>
      <c r="D355" s="3">
        <v>1857430.0</v>
      </c>
      <c r="E355" s="3"/>
    </row>
    <row r="356">
      <c r="B356" s="3" t="s">
        <v>246</v>
      </c>
      <c r="D356" s="3">
        <v>1985430.0</v>
      </c>
      <c r="E356" s="3"/>
    </row>
    <row r="357">
      <c r="A357" s="3" t="s">
        <v>581</v>
      </c>
      <c r="B357" s="3" t="s">
        <v>362</v>
      </c>
      <c r="D357" s="3">
        <v>1355090.0</v>
      </c>
      <c r="E357" s="3"/>
    </row>
    <row r="358">
      <c r="A358" s="3" t="s">
        <v>582</v>
      </c>
      <c r="B358" s="3" t="s">
        <v>251</v>
      </c>
      <c r="D358" s="3">
        <v>1086690.0</v>
      </c>
      <c r="E358" s="3"/>
    </row>
    <row r="359">
      <c r="A359" s="3" t="s">
        <v>583</v>
      </c>
      <c r="B359" s="3" t="s">
        <v>584</v>
      </c>
      <c r="D359" s="3">
        <v>157280.0</v>
      </c>
      <c r="E359" s="3"/>
    </row>
    <row r="360">
      <c r="B360" s="3" t="s">
        <v>585</v>
      </c>
      <c r="D360" s="3">
        <v>103430.0</v>
      </c>
      <c r="E360" s="3"/>
    </row>
    <row r="361">
      <c r="A361" s="3" t="s">
        <v>586</v>
      </c>
      <c r="B361" s="3" t="s">
        <v>587</v>
      </c>
      <c r="D361" s="3">
        <v>132000.0</v>
      </c>
      <c r="E361" s="3"/>
      <c r="F361" s="3" t="s">
        <v>417</v>
      </c>
    </row>
    <row r="362">
      <c r="B362" s="3" t="s">
        <v>588</v>
      </c>
      <c r="D362" s="3">
        <v>183880.0</v>
      </c>
      <c r="E362" s="3"/>
      <c r="F362" s="3" t="s">
        <v>448</v>
      </c>
    </row>
    <row r="363">
      <c r="B363" s="3" t="s">
        <v>493</v>
      </c>
      <c r="D363" s="3">
        <v>200000.0</v>
      </c>
      <c r="E363" s="3"/>
      <c r="F363" s="3" t="s">
        <v>494</v>
      </c>
    </row>
    <row r="364">
      <c r="B364" s="3" t="s">
        <v>370</v>
      </c>
      <c r="D364" s="3">
        <v>644590.0</v>
      </c>
      <c r="E364" s="3"/>
      <c r="F364" s="3" t="s">
        <v>371</v>
      </c>
    </row>
    <row r="365">
      <c r="B365" s="3" t="s">
        <v>437</v>
      </c>
      <c r="D365" s="3">
        <v>234320.0</v>
      </c>
      <c r="E365" s="3"/>
    </row>
    <row r="366">
      <c r="B366" s="3" t="s">
        <v>589</v>
      </c>
      <c r="D366" s="3">
        <v>15000.0</v>
      </c>
      <c r="E366" s="3"/>
    </row>
    <row r="367">
      <c r="A367" s="3" t="s">
        <v>590</v>
      </c>
      <c r="B367" s="3" t="s">
        <v>591</v>
      </c>
      <c r="D367" s="3">
        <v>1603550.0</v>
      </c>
      <c r="E367" s="3"/>
      <c r="F367" s="3" t="s">
        <v>592</v>
      </c>
    </row>
    <row r="368">
      <c r="A368" s="3" t="s">
        <v>593</v>
      </c>
      <c r="B368" s="3" t="s">
        <v>594</v>
      </c>
      <c r="D368" s="3">
        <v>7354000.0</v>
      </c>
      <c r="E368" s="3"/>
    </row>
    <row r="369">
      <c r="B369" s="3" t="s">
        <v>595</v>
      </c>
      <c r="D369" s="3">
        <v>200000.0</v>
      </c>
      <c r="E369" s="3"/>
    </row>
    <row r="370">
      <c r="A370" s="3" t="s">
        <v>596</v>
      </c>
      <c r="B370" s="3" t="s">
        <v>597</v>
      </c>
      <c r="D370" s="3">
        <v>719900.0</v>
      </c>
      <c r="E370" s="3"/>
    </row>
    <row r="371">
      <c r="B371" s="3" t="s">
        <v>347</v>
      </c>
      <c r="D371" s="3">
        <v>532200.0</v>
      </c>
      <c r="E371" s="3"/>
    </row>
    <row r="372">
      <c r="A372" s="3" t="s">
        <v>598</v>
      </c>
      <c r="B372" s="3" t="s">
        <v>599</v>
      </c>
      <c r="D372" s="3">
        <v>66000.0</v>
      </c>
      <c r="E372" s="3"/>
      <c r="F372" s="3" t="s">
        <v>600</v>
      </c>
    </row>
    <row r="373">
      <c r="B373" s="3" t="s">
        <v>601</v>
      </c>
      <c r="D373" s="3">
        <v>547800.0</v>
      </c>
      <c r="E373" s="3"/>
      <c r="F373" s="3" t="s">
        <v>602</v>
      </c>
    </row>
    <row r="374">
      <c r="A374" s="3" t="s">
        <v>603</v>
      </c>
      <c r="B374" s="3" t="s">
        <v>267</v>
      </c>
      <c r="D374" s="3">
        <v>600000.0</v>
      </c>
      <c r="E374" s="3"/>
      <c r="F374" s="3" t="s">
        <v>318</v>
      </c>
      <c r="G374" s="3" t="s">
        <v>269</v>
      </c>
    </row>
    <row r="375">
      <c r="A375" s="3" t="s">
        <v>604</v>
      </c>
      <c r="B375" s="3" t="s">
        <v>247</v>
      </c>
      <c r="D375" s="3">
        <v>540000.0</v>
      </c>
      <c r="E375" s="3"/>
      <c r="F375" s="3" t="s">
        <v>605</v>
      </c>
    </row>
    <row r="376">
      <c r="A376" s="3" t="s">
        <v>604</v>
      </c>
      <c r="B376" s="3" t="s">
        <v>280</v>
      </c>
      <c r="D376" s="3">
        <v>1293590.0</v>
      </c>
      <c r="E376" s="3"/>
    </row>
    <row r="377">
      <c r="A377" s="3" t="s">
        <v>606</v>
      </c>
      <c r="B377" s="3" t="s">
        <v>245</v>
      </c>
      <c r="D377" s="3">
        <v>1824890.0</v>
      </c>
      <c r="E377" s="3"/>
    </row>
    <row r="378">
      <c r="B378" s="3" t="s">
        <v>246</v>
      </c>
      <c r="D378" s="3">
        <v>1833760.0</v>
      </c>
      <c r="E378" s="3"/>
    </row>
    <row r="379">
      <c r="A379" s="3" t="s">
        <v>607</v>
      </c>
      <c r="B379" s="3" t="s">
        <v>362</v>
      </c>
      <c r="D379" s="3">
        <v>1473670.0</v>
      </c>
      <c r="E379" s="3"/>
      <c r="F379" s="3" t="s">
        <v>608</v>
      </c>
    </row>
    <row r="380">
      <c r="B380" s="3" t="s">
        <v>609</v>
      </c>
      <c r="D380" s="3">
        <v>400000.0</v>
      </c>
      <c r="E380" s="3"/>
      <c r="F380" s="3" t="s">
        <v>610</v>
      </c>
    </row>
    <row r="381">
      <c r="A381" s="3" t="s">
        <v>611</v>
      </c>
      <c r="B381" s="3" t="s">
        <v>251</v>
      </c>
      <c r="D381" s="3">
        <v>1066360.0</v>
      </c>
      <c r="E381" s="3"/>
    </row>
    <row r="382">
      <c r="A382" s="3" t="s">
        <v>586</v>
      </c>
      <c r="B382" s="3" t="s">
        <v>612</v>
      </c>
      <c r="D382" s="3">
        <v>200000.0</v>
      </c>
      <c r="E382" s="3"/>
      <c r="F382" s="3" t="s">
        <v>494</v>
      </c>
    </row>
    <row r="383">
      <c r="A383" s="3" t="s">
        <v>613</v>
      </c>
      <c r="B383" s="3" t="s">
        <v>614</v>
      </c>
      <c r="D383" s="3">
        <v>165000.0</v>
      </c>
      <c r="E383" s="3"/>
      <c r="F383" s="3" t="s">
        <v>615</v>
      </c>
    </row>
    <row r="384">
      <c r="B384" s="3" t="s">
        <v>437</v>
      </c>
      <c r="D384" s="3">
        <v>221170.0</v>
      </c>
      <c r="E384" s="3"/>
    </row>
    <row r="385">
      <c r="B385" s="3" t="s">
        <v>616</v>
      </c>
      <c r="D385" s="3">
        <v>15000.0</v>
      </c>
      <c r="E385" s="3"/>
    </row>
    <row r="386">
      <c r="B386" s="3" t="s">
        <v>617</v>
      </c>
      <c r="D386" s="3">
        <v>91700.0</v>
      </c>
      <c r="E386" s="3"/>
      <c r="F386" s="3" t="s">
        <v>618</v>
      </c>
    </row>
    <row r="387">
      <c r="A387" s="3" t="s">
        <v>606</v>
      </c>
      <c r="B387" s="3" t="s">
        <v>619</v>
      </c>
      <c r="D387" s="3">
        <v>41600.0</v>
      </c>
      <c r="E387" s="3"/>
      <c r="F387" s="3" t="s">
        <v>620</v>
      </c>
    </row>
    <row r="388">
      <c r="A388" s="3" t="s">
        <v>611</v>
      </c>
      <c r="B388" s="3" t="s">
        <v>621</v>
      </c>
      <c r="D388" s="3">
        <v>30000.0</v>
      </c>
      <c r="E388" s="3"/>
    </row>
    <row r="389">
      <c r="A389" s="3" t="s">
        <v>622</v>
      </c>
      <c r="B389" s="3" t="s">
        <v>623</v>
      </c>
      <c r="D389" s="3">
        <v>132000.0</v>
      </c>
      <c r="E389" s="3"/>
      <c r="F389" s="3" t="s">
        <v>417</v>
      </c>
    </row>
    <row r="390">
      <c r="B390" s="3" t="s">
        <v>624</v>
      </c>
      <c r="D390" s="3">
        <v>253204.0</v>
      </c>
      <c r="E390" s="3"/>
      <c r="F390" s="3" t="s">
        <v>448</v>
      </c>
    </row>
    <row r="391">
      <c r="A391" s="3" t="s">
        <v>625</v>
      </c>
      <c r="B391" s="3" t="s">
        <v>626</v>
      </c>
      <c r="D391" s="3">
        <v>50000.0</v>
      </c>
      <c r="E391" s="3"/>
      <c r="F391" s="3" t="s">
        <v>627</v>
      </c>
    </row>
    <row r="392">
      <c r="A392" s="3" t="s">
        <v>628</v>
      </c>
      <c r="B392" s="3" t="s">
        <v>629</v>
      </c>
      <c r="D392" s="3">
        <v>90000.0</v>
      </c>
      <c r="E392" s="3"/>
      <c r="F392" s="3" t="s">
        <v>630</v>
      </c>
    </row>
    <row r="393">
      <c r="A393" s="3" t="s">
        <v>631</v>
      </c>
      <c r="B393" s="3" t="s">
        <v>632</v>
      </c>
      <c r="D393" s="3">
        <v>300000.0</v>
      </c>
      <c r="E393" s="3"/>
      <c r="F393" s="3" t="s">
        <v>633</v>
      </c>
    </row>
    <row r="394">
      <c r="A394" s="3" t="s">
        <v>634</v>
      </c>
      <c r="B394" s="3" t="s">
        <v>597</v>
      </c>
      <c r="D394" s="3">
        <v>719900.0</v>
      </c>
      <c r="E394" s="3"/>
    </row>
    <row r="395">
      <c r="B395" s="3" t="s">
        <v>347</v>
      </c>
      <c r="D395" s="3">
        <v>201640.0</v>
      </c>
      <c r="E395" s="3"/>
    </row>
    <row r="396">
      <c r="A396" s="3" t="s">
        <v>635</v>
      </c>
      <c r="B396" s="3" t="s">
        <v>594</v>
      </c>
      <c r="D396" s="3">
        <v>7140000.0</v>
      </c>
      <c r="E396" s="3"/>
    </row>
    <row r="397">
      <c r="A397" s="3" t="s">
        <v>636</v>
      </c>
      <c r="B397" s="3" t="s">
        <v>544</v>
      </c>
      <c r="D397" s="3">
        <v>98330.0</v>
      </c>
      <c r="E397" s="3"/>
      <c r="F397" s="3" t="s">
        <v>545</v>
      </c>
    </row>
    <row r="398">
      <c r="A398" s="3" t="s">
        <v>637</v>
      </c>
      <c r="B398" s="3" t="s">
        <v>584</v>
      </c>
      <c r="D398" s="3">
        <v>183030.0</v>
      </c>
      <c r="E398" s="3"/>
    </row>
    <row r="399">
      <c r="B399" s="3" t="s">
        <v>585</v>
      </c>
      <c r="D399" s="3">
        <v>284440.0</v>
      </c>
      <c r="E399" s="3"/>
    </row>
    <row r="400">
      <c r="A400" s="3" t="s">
        <v>637</v>
      </c>
      <c r="B400" s="3" t="s">
        <v>267</v>
      </c>
      <c r="D400" s="3">
        <v>550000.0</v>
      </c>
      <c r="E400" s="3"/>
      <c r="F400" s="3" t="s">
        <v>509</v>
      </c>
      <c r="G400" s="3" t="s">
        <v>638</v>
      </c>
    </row>
    <row r="401">
      <c r="A401" s="3" t="s">
        <v>639</v>
      </c>
      <c r="B401" s="3" t="s">
        <v>280</v>
      </c>
      <c r="D401" s="3">
        <v>1335940.0</v>
      </c>
      <c r="E401" s="3"/>
    </row>
    <row r="402">
      <c r="A402" s="3" t="s">
        <v>640</v>
      </c>
      <c r="B402" s="3" t="s">
        <v>245</v>
      </c>
      <c r="D402" s="3">
        <v>1856340.0</v>
      </c>
      <c r="E402" s="3"/>
    </row>
    <row r="403">
      <c r="B403" s="3" t="s">
        <v>246</v>
      </c>
      <c r="D403" s="3">
        <v>1884480.0</v>
      </c>
      <c r="E403" s="3"/>
    </row>
    <row r="404">
      <c r="A404" s="3" t="s">
        <v>641</v>
      </c>
      <c r="B404" s="3" t="s">
        <v>362</v>
      </c>
      <c r="D404" s="3">
        <v>2203620.0</v>
      </c>
      <c r="E404" s="3"/>
      <c r="F404" s="3" t="s">
        <v>642</v>
      </c>
    </row>
    <row r="405">
      <c r="B405" s="3" t="s">
        <v>643</v>
      </c>
      <c r="D405" s="3">
        <v>-400000.0</v>
      </c>
      <c r="E405" s="3"/>
    </row>
    <row r="406">
      <c r="B406" s="3" t="s">
        <v>644</v>
      </c>
      <c r="D406" s="3">
        <v>1706280.0</v>
      </c>
      <c r="E406" s="3"/>
      <c r="F406">
        <f>SUM(D404:D406)</f>
        <v>3509900</v>
      </c>
    </row>
    <row r="407">
      <c r="A407" s="3" t="s">
        <v>645</v>
      </c>
      <c r="B407" s="3" t="s">
        <v>251</v>
      </c>
      <c r="D407" s="3">
        <v>1098110.0</v>
      </c>
      <c r="E407" s="3"/>
    </row>
    <row r="408">
      <c r="A408" s="3" t="s">
        <v>641</v>
      </c>
      <c r="B408" s="3" t="s">
        <v>646</v>
      </c>
      <c r="D408" s="3">
        <v>42000.0</v>
      </c>
      <c r="E408" s="3"/>
    </row>
    <row r="409">
      <c r="A409" s="3" t="s">
        <v>647</v>
      </c>
      <c r="B409" s="3" t="s">
        <v>340</v>
      </c>
      <c r="D409" s="3">
        <v>198000.0</v>
      </c>
      <c r="E409" s="3"/>
      <c r="F409" s="3" t="s">
        <v>96</v>
      </c>
    </row>
    <row r="410">
      <c r="B410" s="3" t="s">
        <v>437</v>
      </c>
      <c r="D410" s="3">
        <v>234860.0</v>
      </c>
      <c r="E410" s="3"/>
    </row>
    <row r="411">
      <c r="B411" s="3" t="s">
        <v>648</v>
      </c>
      <c r="D411" s="3">
        <v>132000.0</v>
      </c>
      <c r="E411" s="3"/>
    </row>
    <row r="412">
      <c r="B412" s="3" t="s">
        <v>649</v>
      </c>
      <c r="D412" s="3">
        <v>15000.0</v>
      </c>
      <c r="E412" s="3"/>
    </row>
    <row r="413">
      <c r="B413" s="3" t="s">
        <v>284</v>
      </c>
      <c r="D413" s="3">
        <v>196692.0</v>
      </c>
      <c r="E413" s="3"/>
    </row>
    <row r="414">
      <c r="B414" s="3" t="s">
        <v>493</v>
      </c>
      <c r="D414" s="3">
        <v>200000.0</v>
      </c>
      <c r="E414" s="3"/>
    </row>
    <row r="415">
      <c r="A415" s="3" t="s">
        <v>650</v>
      </c>
      <c r="B415" s="3" t="s">
        <v>651</v>
      </c>
      <c r="D415" s="3">
        <v>1210000.0</v>
      </c>
      <c r="E415" s="3"/>
      <c r="F415" s="3" t="s">
        <v>652</v>
      </c>
    </row>
    <row r="416">
      <c r="A416" s="3" t="s">
        <v>653</v>
      </c>
      <c r="B416" s="3" t="s">
        <v>594</v>
      </c>
      <c r="D416" s="3">
        <v>7136000.0</v>
      </c>
      <c r="E416" s="3"/>
    </row>
    <row r="417">
      <c r="A417" s="3" t="s">
        <v>654</v>
      </c>
      <c r="B417" s="3" t="s">
        <v>346</v>
      </c>
      <c r="D417" s="3">
        <v>719900.0</v>
      </c>
      <c r="E417" s="3"/>
    </row>
    <row r="418">
      <c r="B418" s="3" t="s">
        <v>347</v>
      </c>
      <c r="D418" s="3">
        <v>501640.0</v>
      </c>
      <c r="E418" s="3"/>
    </row>
    <row r="419">
      <c r="A419" s="3" t="s">
        <v>655</v>
      </c>
      <c r="B419" s="3" t="s">
        <v>267</v>
      </c>
      <c r="D419" s="3">
        <v>550000.0</v>
      </c>
      <c r="E419" s="3"/>
      <c r="F419" s="3" t="s">
        <v>509</v>
      </c>
      <c r="G419" s="3" t="s">
        <v>656</v>
      </c>
    </row>
    <row r="420">
      <c r="A420" s="3" t="s">
        <v>657</v>
      </c>
      <c r="B420" s="3" t="s">
        <v>280</v>
      </c>
      <c r="D420" s="3">
        <v>1293590.0</v>
      </c>
      <c r="E420" s="3"/>
    </row>
    <row r="421">
      <c r="A421" s="3" t="s">
        <v>658</v>
      </c>
      <c r="B421" s="3" t="s">
        <v>245</v>
      </c>
      <c r="D421" s="3">
        <v>1824890.0</v>
      </c>
      <c r="E421" s="3"/>
    </row>
    <row r="422">
      <c r="B422" s="3" t="s">
        <v>246</v>
      </c>
      <c r="D422" s="3">
        <v>1833760.0</v>
      </c>
      <c r="E422" s="3"/>
    </row>
    <row r="423">
      <c r="A423" s="3" t="s">
        <v>659</v>
      </c>
      <c r="B423" s="3" t="s">
        <v>362</v>
      </c>
      <c r="D423" s="3">
        <v>1716750.0</v>
      </c>
      <c r="E423" s="3"/>
    </row>
    <row r="424">
      <c r="A424" s="3" t="s">
        <v>660</v>
      </c>
      <c r="B424" s="3" t="s">
        <v>251</v>
      </c>
      <c r="D424" s="3">
        <v>2128350.0</v>
      </c>
      <c r="E424" s="3"/>
      <c r="F424" s="3" t="s">
        <v>661</v>
      </c>
    </row>
    <row r="425">
      <c r="A425" s="3" t="s">
        <v>662</v>
      </c>
      <c r="B425" s="3" t="s">
        <v>663</v>
      </c>
      <c r="D425" s="3">
        <v>100000.0</v>
      </c>
      <c r="E425" s="3"/>
      <c r="F425" s="3" t="s">
        <v>664</v>
      </c>
    </row>
    <row r="426">
      <c r="A426" s="3" t="s">
        <v>665</v>
      </c>
      <c r="B426" s="3" t="s">
        <v>437</v>
      </c>
      <c r="D426" s="3">
        <v>226980.0</v>
      </c>
      <c r="E426" s="3"/>
    </row>
    <row r="427">
      <c r="B427" s="3" t="s">
        <v>648</v>
      </c>
      <c r="D427" s="3">
        <v>132000.0</v>
      </c>
      <c r="E427" s="3"/>
    </row>
    <row r="428">
      <c r="B428" s="3" t="s">
        <v>649</v>
      </c>
      <c r="D428" s="3">
        <v>15000.0</v>
      </c>
      <c r="E428" s="3"/>
    </row>
    <row r="429">
      <c r="B429" s="3" t="s">
        <v>284</v>
      </c>
      <c r="D429" s="3">
        <v>423164.0</v>
      </c>
      <c r="E429" s="3"/>
    </row>
    <row r="430">
      <c r="B430" s="3" t="s">
        <v>632</v>
      </c>
      <c r="D430" s="3">
        <v>200000.0</v>
      </c>
      <c r="E430" s="3"/>
      <c r="F430" s="3" t="s">
        <v>666</v>
      </c>
    </row>
    <row r="431">
      <c r="A431" s="3" t="s">
        <v>667</v>
      </c>
      <c r="B431" s="3" t="s">
        <v>493</v>
      </c>
      <c r="D431" s="3">
        <v>200000.0</v>
      </c>
      <c r="E431" s="3"/>
    </row>
    <row r="432">
      <c r="A432" s="3" t="s">
        <v>668</v>
      </c>
      <c r="B432" s="3" t="s">
        <v>594</v>
      </c>
      <c r="D432" s="3">
        <v>7169000.0</v>
      </c>
      <c r="E432" s="3"/>
    </row>
    <row r="433">
      <c r="A433" s="3" t="s">
        <v>668</v>
      </c>
      <c r="B433" s="3" t="s">
        <v>346</v>
      </c>
      <c r="D433" s="3">
        <v>719900.0</v>
      </c>
      <c r="E433" s="3"/>
    </row>
    <row r="434">
      <c r="B434" s="3" t="s">
        <v>347</v>
      </c>
      <c r="D434" s="3">
        <v>1675380.0</v>
      </c>
      <c r="E434" s="3"/>
    </row>
    <row r="435">
      <c r="A435" s="3" t="s">
        <v>669</v>
      </c>
      <c r="B435" s="3" t="s">
        <v>267</v>
      </c>
      <c r="D435" s="3">
        <v>500000.0</v>
      </c>
      <c r="E435" s="3"/>
      <c r="F435" s="3" t="s">
        <v>670</v>
      </c>
      <c r="G435" s="3" t="s">
        <v>671</v>
      </c>
    </row>
    <row r="436">
      <c r="A436" s="3" t="s">
        <v>672</v>
      </c>
      <c r="B436" s="3" t="s">
        <v>280</v>
      </c>
      <c r="D436" s="3">
        <v>1926080.0</v>
      </c>
      <c r="E436" s="3"/>
    </row>
    <row r="437">
      <c r="A437" s="3" t="s">
        <v>673</v>
      </c>
      <c r="B437" s="3" t="s">
        <v>245</v>
      </c>
      <c r="D437" s="3">
        <v>2694900.0</v>
      </c>
      <c r="E437" s="3"/>
    </row>
    <row r="438">
      <c r="B438" s="3" t="s">
        <v>246</v>
      </c>
      <c r="D438" s="3">
        <v>1736730.0</v>
      </c>
      <c r="E438" s="3"/>
    </row>
    <row r="439">
      <c r="A439" s="3" t="s">
        <v>674</v>
      </c>
      <c r="B439" s="3" t="s">
        <v>362</v>
      </c>
      <c r="D439" s="3">
        <v>1716750.0</v>
      </c>
      <c r="E439" s="3"/>
    </row>
    <row r="440">
      <c r="A440" s="3" t="s">
        <v>675</v>
      </c>
      <c r="B440" s="3" t="s">
        <v>676</v>
      </c>
      <c r="D440" s="3">
        <v>343000.0</v>
      </c>
      <c r="E440" s="3"/>
      <c r="F440" s="3" t="s">
        <v>677</v>
      </c>
    </row>
    <row r="441">
      <c r="A441" s="3" t="s">
        <v>678</v>
      </c>
      <c r="B441" s="3" t="s">
        <v>679</v>
      </c>
      <c r="D441" s="3">
        <v>89000.0</v>
      </c>
      <c r="E441" s="3"/>
      <c r="F441" s="3" t="s">
        <v>680</v>
      </c>
    </row>
    <row r="442">
      <c r="B442" s="3" t="s">
        <v>681</v>
      </c>
      <c r="D442" s="3">
        <v>225410.0</v>
      </c>
      <c r="E442" s="3"/>
    </row>
    <row r="443">
      <c r="B443" s="3" t="s">
        <v>648</v>
      </c>
      <c r="D443" s="3">
        <v>132000.0</v>
      </c>
      <c r="E443" s="3"/>
    </row>
    <row r="444">
      <c r="B444" s="3" t="s">
        <v>682</v>
      </c>
      <c r="D444" s="3">
        <v>681936.0</v>
      </c>
      <c r="E444" s="3"/>
    </row>
    <row r="445">
      <c r="B445" s="3" t="s">
        <v>649</v>
      </c>
      <c r="D445" s="3">
        <v>15000.0</v>
      </c>
      <c r="E445" s="3"/>
    </row>
    <row r="446">
      <c r="A446" s="3" t="s">
        <v>683</v>
      </c>
      <c r="B446" s="3" t="s">
        <v>493</v>
      </c>
      <c r="D446" s="3">
        <v>200000.0</v>
      </c>
      <c r="E446" s="3"/>
    </row>
    <row r="447">
      <c r="A447" s="3" t="s">
        <v>684</v>
      </c>
      <c r="B447" s="3" t="s">
        <v>685</v>
      </c>
      <c r="D447" s="3">
        <v>220000.0</v>
      </c>
      <c r="E447" s="3"/>
      <c r="F447" s="3" t="s">
        <v>686</v>
      </c>
    </row>
    <row r="448">
      <c r="B448" s="3" t="s">
        <v>65</v>
      </c>
      <c r="D448" s="3">
        <v>110280.0</v>
      </c>
      <c r="E448" s="3"/>
    </row>
    <row r="449">
      <c r="A449" s="3" t="s">
        <v>687</v>
      </c>
      <c r="B449" s="3" t="s">
        <v>346</v>
      </c>
      <c r="D449" s="3">
        <v>758960.0</v>
      </c>
      <c r="E449" s="3"/>
    </row>
    <row r="450">
      <c r="B450" s="3" t="s">
        <v>347</v>
      </c>
      <c r="D450" s="3">
        <v>619060.0</v>
      </c>
      <c r="E450" s="3"/>
    </row>
    <row r="451">
      <c r="A451" s="3" t="s">
        <v>688</v>
      </c>
      <c r="B451" s="3" t="s">
        <v>594</v>
      </c>
      <c r="D451" s="3">
        <v>7279000.0</v>
      </c>
      <c r="E451" s="3"/>
    </row>
    <row r="452">
      <c r="A452" s="3" t="s">
        <v>689</v>
      </c>
      <c r="B452" s="3" t="s">
        <v>267</v>
      </c>
      <c r="D452" s="3">
        <v>550000.0</v>
      </c>
      <c r="E452" s="3"/>
      <c r="F452" s="3" t="s">
        <v>509</v>
      </c>
      <c r="G452" s="3" t="s">
        <v>690</v>
      </c>
    </row>
    <row r="453">
      <c r="B453" s="3" t="s">
        <v>149</v>
      </c>
      <c r="D453" s="3">
        <v>70000.0</v>
      </c>
      <c r="E453" s="3"/>
      <c r="F453" s="3" t="s">
        <v>691</v>
      </c>
    </row>
    <row r="454">
      <c r="B454" s="3" t="s">
        <v>692</v>
      </c>
      <c r="D454" s="3">
        <v>30000.0</v>
      </c>
      <c r="E454" s="3"/>
    </row>
    <row r="455">
      <c r="A455" s="3" t="s">
        <v>693</v>
      </c>
      <c r="B455" s="3" t="s">
        <v>310</v>
      </c>
      <c r="D455" s="3">
        <v>183030.0</v>
      </c>
      <c r="E455" s="3"/>
    </row>
    <row r="456">
      <c r="B456" s="3" t="s">
        <v>309</v>
      </c>
      <c r="D456" s="3">
        <v>284440.0</v>
      </c>
      <c r="E456" s="3"/>
    </row>
    <row r="457">
      <c r="A457" s="3" t="s">
        <v>694</v>
      </c>
      <c r="B457" s="3" t="s">
        <v>280</v>
      </c>
      <c r="D457" s="3">
        <v>1270140.0</v>
      </c>
      <c r="E457" s="3"/>
    </row>
    <row r="458">
      <c r="A458" s="3" t="s">
        <v>695</v>
      </c>
      <c r="B458" s="3" t="s">
        <v>245</v>
      </c>
      <c r="D458" s="3">
        <v>1794900.0</v>
      </c>
      <c r="E458" s="3"/>
    </row>
    <row r="459">
      <c r="B459" s="3" t="s">
        <v>246</v>
      </c>
      <c r="D459" s="3">
        <v>1742810.0</v>
      </c>
      <c r="E459" s="3"/>
    </row>
    <row r="460">
      <c r="A460" s="3" t="s">
        <v>696</v>
      </c>
      <c r="B460" s="3" t="s">
        <v>362</v>
      </c>
      <c r="D460" s="3">
        <v>1710630.0</v>
      </c>
      <c r="E460" s="3"/>
    </row>
    <row r="461">
      <c r="A461" s="3" t="s">
        <v>697</v>
      </c>
      <c r="B461" s="3" t="s">
        <v>698</v>
      </c>
      <c r="D461" s="3">
        <v>19500.0</v>
      </c>
      <c r="E461" s="3"/>
    </row>
    <row r="462">
      <c r="A462" s="3" t="s">
        <v>694</v>
      </c>
      <c r="B462" s="3" t="s">
        <v>699</v>
      </c>
      <c r="D462" s="3">
        <v>30000.0</v>
      </c>
      <c r="E462" s="3"/>
    </row>
    <row r="463">
      <c r="A463" s="3" t="s">
        <v>695</v>
      </c>
      <c r="B463" s="3" t="s">
        <v>700</v>
      </c>
      <c r="D463" s="3">
        <v>228250.0</v>
      </c>
      <c r="E463" s="3"/>
    </row>
    <row r="464">
      <c r="B464" s="3" t="s">
        <v>69</v>
      </c>
      <c r="D464" s="3">
        <v>62500.0</v>
      </c>
      <c r="E464" s="3"/>
    </row>
    <row r="465">
      <c r="B465" s="3" t="s">
        <v>649</v>
      </c>
      <c r="D465" s="3">
        <v>15000.0</v>
      </c>
      <c r="E465" s="3"/>
    </row>
    <row r="466">
      <c r="A466" s="3" t="s">
        <v>701</v>
      </c>
      <c r="B466" s="3" t="s">
        <v>648</v>
      </c>
      <c r="D466" s="3">
        <v>132000.0</v>
      </c>
      <c r="E466" s="3"/>
    </row>
    <row r="467">
      <c r="B467" s="3" t="s">
        <v>682</v>
      </c>
      <c r="D467" s="3">
        <v>1101848.0</v>
      </c>
      <c r="E467" s="3"/>
    </row>
    <row r="468">
      <c r="B468" s="3" t="s">
        <v>493</v>
      </c>
      <c r="D468" s="3">
        <v>200000.0</v>
      </c>
      <c r="E468" s="3"/>
    </row>
    <row r="469">
      <c r="B469" s="3" t="s">
        <v>702</v>
      </c>
      <c r="D469" s="3">
        <v>488900.0</v>
      </c>
      <c r="E469" s="3"/>
      <c r="F469" s="3" t="s">
        <v>703</v>
      </c>
    </row>
    <row r="470">
      <c r="A470" s="3" t="s">
        <v>704</v>
      </c>
      <c r="B470" s="3" t="s">
        <v>705</v>
      </c>
      <c r="D470" s="3">
        <v>242000.0</v>
      </c>
      <c r="E470" s="3"/>
      <c r="F470" s="3" t="s">
        <v>706</v>
      </c>
    </row>
    <row r="471">
      <c r="B471" s="3" t="s">
        <v>707</v>
      </c>
      <c r="D471" s="3">
        <v>75300.0</v>
      </c>
      <c r="E471" s="3"/>
    </row>
    <row r="472">
      <c r="A472" s="3" t="s">
        <v>708</v>
      </c>
      <c r="B472" s="3" t="s">
        <v>346</v>
      </c>
      <c r="D472" s="3">
        <v>758960.0</v>
      </c>
      <c r="E472" s="3"/>
    </row>
    <row r="473">
      <c r="B473" s="3" t="s">
        <v>347</v>
      </c>
      <c r="D473" s="3">
        <v>560560.0</v>
      </c>
      <c r="E473" s="3"/>
    </row>
    <row r="474">
      <c r="A474" s="3" t="s">
        <v>709</v>
      </c>
      <c r="B474" s="3" t="s">
        <v>710</v>
      </c>
      <c r="D474" s="3">
        <v>660000.0</v>
      </c>
      <c r="E474" s="3"/>
      <c r="F474" s="3" t="s">
        <v>711</v>
      </c>
    </row>
    <row r="475">
      <c r="B475" s="3" t="s">
        <v>712</v>
      </c>
      <c r="D475" s="3">
        <v>-220000.0</v>
      </c>
      <c r="E475" s="3"/>
      <c r="F475" s="3" t="s">
        <v>713</v>
      </c>
    </row>
    <row r="476">
      <c r="B476" s="3" t="s">
        <v>712</v>
      </c>
      <c r="D476" s="3">
        <v>-220000.0</v>
      </c>
      <c r="E476" s="3"/>
    </row>
    <row r="477">
      <c r="A477" s="3" t="s">
        <v>708</v>
      </c>
      <c r="B477" s="3" t="s">
        <v>594</v>
      </c>
      <c r="D477" s="3">
        <v>7343000.0</v>
      </c>
      <c r="E477" s="3"/>
    </row>
    <row r="478">
      <c r="A478" s="3" t="s">
        <v>714</v>
      </c>
      <c r="B478" s="3" t="s">
        <v>267</v>
      </c>
      <c r="D478" s="3">
        <v>700000.0</v>
      </c>
      <c r="E478" s="3"/>
      <c r="F478" s="3" t="s">
        <v>715</v>
      </c>
    </row>
    <row r="479">
      <c r="A479" s="3" t="s">
        <v>716</v>
      </c>
      <c r="B479" s="3" t="s">
        <v>717</v>
      </c>
      <c r="D479" s="3">
        <v>88460.0</v>
      </c>
      <c r="E479" s="3"/>
    </row>
    <row r="480">
      <c r="B480" s="3" t="s">
        <v>718</v>
      </c>
      <c r="D480" s="3">
        <v>65300.0</v>
      </c>
      <c r="E480" s="3"/>
      <c r="F480" s="3" t="s">
        <v>719</v>
      </c>
    </row>
    <row r="481">
      <c r="A481" s="3" t="s">
        <v>720</v>
      </c>
      <c r="B481" s="3" t="s">
        <v>280</v>
      </c>
      <c r="D481" s="3">
        <v>1917220.0</v>
      </c>
      <c r="E481" s="3"/>
      <c r="F481" s="3" t="s">
        <v>721</v>
      </c>
    </row>
    <row r="482">
      <c r="A482" s="3" t="s">
        <v>722</v>
      </c>
      <c r="B482" s="3" t="s">
        <v>245</v>
      </c>
      <c r="D482" s="3">
        <v>2690850.0</v>
      </c>
      <c r="E482" s="3"/>
      <c r="F482" s="3" t="s">
        <v>723</v>
      </c>
    </row>
    <row r="483">
      <c r="B483" s="3" t="s">
        <v>246</v>
      </c>
      <c r="D483" s="3">
        <v>1742810.0</v>
      </c>
      <c r="E483" s="3"/>
    </row>
    <row r="484">
      <c r="A484" s="3" t="s">
        <v>722</v>
      </c>
      <c r="B484" s="3" t="s">
        <v>362</v>
      </c>
      <c r="D484" s="3">
        <v>1710630.0</v>
      </c>
      <c r="E484" s="3"/>
    </row>
    <row r="485">
      <c r="A485" s="3" t="s">
        <v>724</v>
      </c>
      <c r="B485" s="3" t="s">
        <v>725</v>
      </c>
      <c r="D485" s="3">
        <v>1210000.0</v>
      </c>
      <c r="E485" s="3"/>
      <c r="F485" s="3" t="s">
        <v>711</v>
      </c>
    </row>
    <row r="486">
      <c r="A486" s="3" t="s">
        <v>726</v>
      </c>
      <c r="B486" s="3" t="s">
        <v>727</v>
      </c>
      <c r="D486" s="3">
        <v>939624.0</v>
      </c>
      <c r="E486" s="3"/>
    </row>
    <row r="487">
      <c r="B487" s="3" t="s">
        <v>648</v>
      </c>
      <c r="D487" s="3">
        <v>132000.0</v>
      </c>
      <c r="E487" s="3"/>
    </row>
    <row r="488">
      <c r="B488" s="3" t="s">
        <v>493</v>
      </c>
      <c r="D488" s="3">
        <v>200000.0</v>
      </c>
      <c r="E488" s="3"/>
    </row>
    <row r="489">
      <c r="A489" s="3" t="s">
        <v>728</v>
      </c>
      <c r="B489" s="3" t="s">
        <v>437</v>
      </c>
      <c r="D489" s="3">
        <v>244040.0</v>
      </c>
      <c r="E489" s="3"/>
    </row>
    <row r="490">
      <c r="B490" s="3" t="s">
        <v>729</v>
      </c>
      <c r="D490" s="3">
        <v>15000.0</v>
      </c>
      <c r="E490" s="3"/>
    </row>
    <row r="491">
      <c r="A491" s="3" t="s">
        <v>730</v>
      </c>
      <c r="B491" s="3" t="s">
        <v>731</v>
      </c>
      <c r="D491" s="3">
        <v>42100.0</v>
      </c>
      <c r="E491" s="3"/>
      <c r="F491" s="3" t="s">
        <v>732</v>
      </c>
    </row>
    <row r="492">
      <c r="A492" s="3" t="s">
        <v>733</v>
      </c>
      <c r="B492" s="3" t="s">
        <v>632</v>
      </c>
      <c r="D492" s="3">
        <v>1661000.0</v>
      </c>
      <c r="E492" s="3"/>
    </row>
    <row r="493">
      <c r="A493" s="3" t="s">
        <v>726</v>
      </c>
      <c r="B493" s="3" t="s">
        <v>493</v>
      </c>
      <c r="D493" s="3">
        <v>200000.0</v>
      </c>
      <c r="E493" s="3"/>
    </row>
    <row r="494">
      <c r="A494" s="3" t="s">
        <v>734</v>
      </c>
      <c r="B494" s="3" t="s">
        <v>735</v>
      </c>
      <c r="D494" s="3">
        <v>58180.0</v>
      </c>
      <c r="E494" s="3"/>
    </row>
    <row r="495">
      <c r="B495" s="3" t="s">
        <v>594</v>
      </c>
      <c r="D495" s="3">
        <v>7811000.0</v>
      </c>
      <c r="E495" s="3"/>
    </row>
    <row r="496">
      <c r="B496" s="3" t="s">
        <v>346</v>
      </c>
      <c r="D496" s="3">
        <v>758960.0</v>
      </c>
      <c r="E496" s="3"/>
    </row>
    <row r="497">
      <c r="B497" s="3" t="s">
        <v>347</v>
      </c>
      <c r="D497" s="3">
        <v>560560.0</v>
      </c>
      <c r="E497" s="3"/>
    </row>
    <row r="498">
      <c r="A498" s="3" t="s">
        <v>736</v>
      </c>
      <c r="B498" s="3" t="s">
        <v>737</v>
      </c>
      <c r="D498" s="3">
        <v>1095050.0</v>
      </c>
      <c r="E498" s="3"/>
      <c r="F498" s="3" t="s">
        <v>738</v>
      </c>
    </row>
    <row r="499">
      <c r="A499" s="3" t="s">
        <v>739</v>
      </c>
      <c r="B499" s="3" t="s">
        <v>280</v>
      </c>
      <c r="D499" s="3">
        <v>1270140.0</v>
      </c>
      <c r="E499" s="3"/>
    </row>
    <row r="500">
      <c r="A500" s="3" t="s">
        <v>740</v>
      </c>
      <c r="B500" s="3" t="s">
        <v>245</v>
      </c>
      <c r="D500" s="3">
        <v>1794900.0</v>
      </c>
      <c r="E500" s="3"/>
    </row>
    <row r="501">
      <c r="B501" s="3" t="s">
        <v>246</v>
      </c>
      <c r="D501" s="3">
        <v>1742810.0</v>
      </c>
      <c r="E501" s="3"/>
    </row>
    <row r="502">
      <c r="A502" s="3" t="s">
        <v>741</v>
      </c>
      <c r="B502" s="3" t="s">
        <v>362</v>
      </c>
      <c r="D502" s="3">
        <v>1710630.0</v>
      </c>
      <c r="E502" s="3"/>
    </row>
    <row r="503">
      <c r="A503" s="3" t="s">
        <v>736</v>
      </c>
      <c r="B503" s="3" t="s">
        <v>267</v>
      </c>
      <c r="D503" s="3">
        <v>650000.0</v>
      </c>
      <c r="E503" s="3"/>
      <c r="F503" s="3" t="s">
        <v>426</v>
      </c>
      <c r="G503" s="3" t="s">
        <v>742</v>
      </c>
    </row>
    <row r="504">
      <c r="A504" s="3" t="s">
        <v>741</v>
      </c>
      <c r="B504" s="3" t="s">
        <v>437</v>
      </c>
      <c r="D504" s="3">
        <v>227350.0</v>
      </c>
      <c r="E504" s="3"/>
    </row>
    <row r="505">
      <c r="B505" s="3" t="s">
        <v>729</v>
      </c>
      <c r="D505" s="3">
        <v>15000.0</v>
      </c>
      <c r="E505" s="3"/>
    </row>
    <row r="506">
      <c r="A506" s="3" t="s">
        <v>743</v>
      </c>
      <c r="B506" s="3" t="s">
        <v>727</v>
      </c>
      <c r="D506" s="3">
        <v>725388.0</v>
      </c>
      <c r="E506" s="3"/>
    </row>
    <row r="507">
      <c r="B507" s="3" t="s">
        <v>648</v>
      </c>
      <c r="D507" s="3">
        <v>132000.0</v>
      </c>
      <c r="E507" s="3"/>
    </row>
    <row r="508">
      <c r="B508" s="3" t="s">
        <v>744</v>
      </c>
      <c r="D508" s="3">
        <v>700000.0</v>
      </c>
      <c r="E508" s="3"/>
      <c r="F508" s="3" t="s">
        <v>295</v>
      </c>
      <c r="G508" s="3" t="s">
        <v>745</v>
      </c>
    </row>
    <row r="509">
      <c r="B509" s="3" t="s">
        <v>493</v>
      </c>
      <c r="D509" s="3">
        <v>200000.0</v>
      </c>
      <c r="E509" s="3"/>
    </row>
    <row r="510">
      <c r="A510" s="3" t="s">
        <v>746</v>
      </c>
      <c r="B510" s="3" t="s">
        <v>632</v>
      </c>
      <c r="D510" s="3">
        <v>1793000.0</v>
      </c>
      <c r="E510" s="3"/>
    </row>
    <row r="511">
      <c r="A511" s="3" t="s">
        <v>747</v>
      </c>
      <c r="B511" s="3" t="s">
        <v>370</v>
      </c>
      <c r="D511" s="3">
        <v>803000.0</v>
      </c>
      <c r="E511" s="3"/>
      <c r="F511" s="3" t="s">
        <v>371</v>
      </c>
    </row>
    <row r="512">
      <c r="A512" s="3" t="s">
        <v>747</v>
      </c>
      <c r="B512" s="3" t="s">
        <v>748</v>
      </c>
      <c r="D512" s="3">
        <v>42000.0</v>
      </c>
      <c r="E512" s="3"/>
    </row>
    <row r="513">
      <c r="A513" s="3" t="s">
        <v>749</v>
      </c>
      <c r="B513" s="3" t="s">
        <v>594</v>
      </c>
      <c r="D513" s="3">
        <v>7119000.0</v>
      </c>
      <c r="E513" s="3"/>
    </row>
    <row r="514">
      <c r="B514" s="3" t="s">
        <v>346</v>
      </c>
      <c r="D514" s="3">
        <v>758960.0</v>
      </c>
      <c r="E514" s="3"/>
    </row>
    <row r="515">
      <c r="B515" s="3" t="s">
        <v>347</v>
      </c>
      <c r="D515" s="3">
        <v>560560.0</v>
      </c>
      <c r="E515" s="3"/>
    </row>
    <row r="516">
      <c r="A516" s="3" t="s">
        <v>750</v>
      </c>
      <c r="B516" s="3" t="s">
        <v>267</v>
      </c>
      <c r="D516" s="3">
        <v>500000.0</v>
      </c>
      <c r="E516" s="3"/>
      <c r="F516" s="3" t="s">
        <v>670</v>
      </c>
      <c r="G516" s="3" t="s">
        <v>751</v>
      </c>
    </row>
    <row r="517">
      <c r="A517" s="3" t="s">
        <v>752</v>
      </c>
      <c r="B517" s="3" t="s">
        <v>737</v>
      </c>
      <c r="D517" s="3">
        <v>1095150.0</v>
      </c>
      <c r="E517" s="3"/>
    </row>
    <row r="518">
      <c r="A518" s="3" t="s">
        <v>753</v>
      </c>
      <c r="B518" s="3" t="s">
        <v>280</v>
      </c>
      <c r="D518" s="3">
        <v>1609660.0</v>
      </c>
      <c r="E518" s="3"/>
    </row>
    <row r="519">
      <c r="A519" s="3" t="s">
        <v>754</v>
      </c>
      <c r="B519" s="3" t="s">
        <v>245</v>
      </c>
      <c r="D519" s="3">
        <v>1794900.0</v>
      </c>
      <c r="E519" s="3"/>
    </row>
    <row r="520">
      <c r="B520" s="3" t="s">
        <v>246</v>
      </c>
      <c r="D520" s="3">
        <v>1742810.0</v>
      </c>
      <c r="E520" s="3"/>
    </row>
    <row r="521">
      <c r="A521" s="3" t="s">
        <v>755</v>
      </c>
      <c r="B521" s="3" t="s">
        <v>362</v>
      </c>
      <c r="D521" s="3">
        <v>1710630.0</v>
      </c>
      <c r="E521" s="3"/>
    </row>
    <row r="522">
      <c r="A522" s="3" t="s">
        <v>752</v>
      </c>
      <c r="B522" s="3" t="s">
        <v>756</v>
      </c>
      <c r="D522" s="3">
        <v>45000.0</v>
      </c>
      <c r="E522" s="3"/>
    </row>
    <row r="523">
      <c r="A523" s="3" t="s">
        <v>757</v>
      </c>
      <c r="B523" s="3" t="s">
        <v>758</v>
      </c>
      <c r="D523" s="3">
        <v>30000.0</v>
      </c>
      <c r="E523" s="3"/>
    </row>
    <row r="524">
      <c r="B524" s="3" t="s">
        <v>310</v>
      </c>
      <c r="D524" s="3">
        <v>183030.0</v>
      </c>
      <c r="E524" s="3"/>
    </row>
    <row r="525">
      <c r="B525" s="3" t="s">
        <v>309</v>
      </c>
      <c r="D525" s="3">
        <v>284440.0</v>
      </c>
      <c r="E525" s="3"/>
    </row>
    <row r="526">
      <c r="A526" s="3" t="s">
        <v>759</v>
      </c>
      <c r="B526" s="3" t="s">
        <v>760</v>
      </c>
      <c r="D526" s="3">
        <v>60700.0</v>
      </c>
      <c r="E526" s="3"/>
      <c r="F526" s="3" t="s">
        <v>761</v>
      </c>
    </row>
    <row r="527">
      <c r="B527" s="3" t="s">
        <v>762</v>
      </c>
      <c r="D527" s="3">
        <v>760000.0</v>
      </c>
      <c r="E527" s="3"/>
    </row>
    <row r="528">
      <c r="A528" s="3" t="s">
        <v>763</v>
      </c>
      <c r="B528" s="3" t="s">
        <v>727</v>
      </c>
      <c r="D528" s="3">
        <v>568556.0</v>
      </c>
      <c r="E528" s="3"/>
    </row>
    <row r="529">
      <c r="B529" s="3" t="s">
        <v>648</v>
      </c>
      <c r="D529" s="3">
        <v>132000.0</v>
      </c>
      <c r="E529" s="3"/>
    </row>
    <row r="530">
      <c r="A530" s="3" t="s">
        <v>764</v>
      </c>
      <c r="B530" s="3" t="s">
        <v>765</v>
      </c>
      <c r="D530" s="3">
        <v>33850.0</v>
      </c>
      <c r="E530" s="3"/>
    </row>
    <row r="531">
      <c r="A531" s="3" t="s">
        <v>766</v>
      </c>
      <c r="B531" s="3" t="s">
        <v>767</v>
      </c>
      <c r="D531" s="3">
        <v>1375000.0</v>
      </c>
      <c r="E531" s="3"/>
      <c r="F531" s="3" t="s">
        <v>768</v>
      </c>
    </row>
    <row r="532">
      <c r="B532" s="3" t="s">
        <v>769</v>
      </c>
      <c r="D532" s="3">
        <v>1394600.0</v>
      </c>
      <c r="E532" s="3"/>
    </row>
    <row r="533">
      <c r="B533" s="3" t="s">
        <v>770</v>
      </c>
      <c r="D533" s="3">
        <v>225030.0</v>
      </c>
      <c r="E533" s="3"/>
    </row>
    <row r="534">
      <c r="B534" s="3" t="s">
        <v>771</v>
      </c>
      <c r="D534" s="3">
        <v>297000.0</v>
      </c>
      <c r="E534" s="3"/>
    </row>
    <row r="535">
      <c r="A535" s="3" t="s">
        <v>772</v>
      </c>
      <c r="B535" s="3" t="s">
        <v>493</v>
      </c>
      <c r="D535" s="3">
        <v>200000.0</v>
      </c>
      <c r="E535" s="3"/>
    </row>
    <row r="536">
      <c r="A536" s="3" t="s">
        <v>773</v>
      </c>
      <c r="B536" s="3" t="s">
        <v>774</v>
      </c>
      <c r="D536" s="3">
        <v>95000.0</v>
      </c>
      <c r="E536" s="3"/>
    </row>
    <row r="537">
      <c r="B537" s="3" t="s">
        <v>594</v>
      </c>
      <c r="D537" s="3">
        <v>7105000.0</v>
      </c>
      <c r="E537" s="3"/>
    </row>
    <row r="538">
      <c r="B538" s="3" t="s">
        <v>346</v>
      </c>
      <c r="D538" s="3">
        <v>758960.0</v>
      </c>
      <c r="E538" s="3"/>
    </row>
    <row r="539">
      <c r="B539" s="3" t="s">
        <v>347</v>
      </c>
      <c r="D539" s="3">
        <v>560560.0</v>
      </c>
      <c r="E539" s="3"/>
    </row>
    <row r="540">
      <c r="A540" s="3" t="s">
        <v>775</v>
      </c>
      <c r="B540" s="3" t="s">
        <v>737</v>
      </c>
      <c r="D540" s="3">
        <v>2064050.0</v>
      </c>
      <c r="E540" s="3"/>
    </row>
    <row r="541">
      <c r="A541" s="3" t="s">
        <v>776</v>
      </c>
      <c r="B541" s="3" t="s">
        <v>280</v>
      </c>
      <c r="D541" s="3">
        <v>1609660.0</v>
      </c>
      <c r="E541" s="3"/>
    </row>
    <row r="542">
      <c r="A542" s="3" t="s">
        <v>777</v>
      </c>
      <c r="B542" s="3" t="s">
        <v>245</v>
      </c>
      <c r="D542" s="3">
        <v>2694900.0</v>
      </c>
      <c r="E542" s="3"/>
    </row>
    <row r="543">
      <c r="B543" s="3" t="s">
        <v>246</v>
      </c>
      <c r="D543" s="3">
        <v>1742810.0</v>
      </c>
      <c r="E543" s="3"/>
    </row>
    <row r="544">
      <c r="A544" s="3" t="s">
        <v>777</v>
      </c>
      <c r="B544" s="3" t="s">
        <v>362</v>
      </c>
      <c r="D544" s="3">
        <v>1710630.0</v>
      </c>
      <c r="E544" s="3"/>
    </row>
    <row r="545">
      <c r="A545" s="3" t="s">
        <v>776</v>
      </c>
      <c r="B545" s="3" t="s">
        <v>267</v>
      </c>
      <c r="D545" s="3">
        <v>500000.0</v>
      </c>
      <c r="E545" s="3"/>
      <c r="F545" s="3" t="s">
        <v>670</v>
      </c>
      <c r="G545" s="3" t="s">
        <v>778</v>
      </c>
    </row>
    <row r="546">
      <c r="A546" s="3" t="s">
        <v>779</v>
      </c>
      <c r="B546" s="3" t="s">
        <v>780</v>
      </c>
      <c r="C546" s="3">
        <v>1210000.0</v>
      </c>
      <c r="D546" s="3">
        <v>1210000.0</v>
      </c>
      <c r="E546" s="3"/>
      <c r="F546" s="3" t="s">
        <v>781</v>
      </c>
    </row>
    <row r="547">
      <c r="A547" s="3" t="s">
        <v>777</v>
      </c>
      <c r="B547" s="3" t="s">
        <v>770</v>
      </c>
      <c r="D547" s="3">
        <v>227880.0</v>
      </c>
      <c r="E547" s="3"/>
    </row>
    <row r="548">
      <c r="A548" s="3" t="s">
        <v>782</v>
      </c>
      <c r="B548" s="3" t="s">
        <v>729</v>
      </c>
      <c r="D548" s="3">
        <v>15000.0</v>
      </c>
      <c r="E548" s="3"/>
    </row>
    <row r="549">
      <c r="A549" s="3" t="s">
        <v>783</v>
      </c>
      <c r="B549" s="3" t="s">
        <v>784</v>
      </c>
      <c r="D549" s="3">
        <v>2860000.0</v>
      </c>
      <c r="E549" s="3"/>
      <c r="F549" s="3" t="s">
        <v>139</v>
      </c>
    </row>
    <row r="550">
      <c r="B550" s="3" t="s">
        <v>493</v>
      </c>
      <c r="D550" s="3">
        <v>200000.0</v>
      </c>
      <c r="E550" s="3"/>
    </row>
    <row r="551">
      <c r="B551" s="3" t="s">
        <v>727</v>
      </c>
      <c r="D551" s="3">
        <v>657288.0</v>
      </c>
      <c r="E551" s="3"/>
    </row>
    <row r="552">
      <c r="B552" s="3" t="s">
        <v>648</v>
      </c>
      <c r="D552" s="3">
        <v>132000.0</v>
      </c>
      <c r="E552" s="3"/>
    </row>
    <row r="553">
      <c r="A553" s="3" t="s">
        <v>785</v>
      </c>
      <c r="B553" s="3" t="s">
        <v>594</v>
      </c>
      <c r="D553" s="3">
        <v>7167000.0</v>
      </c>
      <c r="E553" s="3"/>
    </row>
    <row r="554">
      <c r="B554" s="3" t="s">
        <v>346</v>
      </c>
      <c r="D554" s="3">
        <v>905660.0</v>
      </c>
      <c r="E554" s="3"/>
    </row>
    <row r="555">
      <c r="B555" s="3" t="s">
        <v>347</v>
      </c>
      <c r="D555" s="3">
        <v>647300.0</v>
      </c>
      <c r="E555" s="3"/>
    </row>
    <row r="556">
      <c r="A556" s="3" t="s">
        <v>786</v>
      </c>
      <c r="B556" s="3" t="s">
        <v>774</v>
      </c>
    </row>
    <row r="557">
      <c r="B557" s="3" t="s">
        <v>533</v>
      </c>
      <c r="D557" s="3">
        <v>100000.0</v>
      </c>
      <c r="E557" s="3"/>
      <c r="F557" s="3" t="s">
        <v>206</v>
      </c>
    </row>
    <row r="558">
      <c r="A558" s="3" t="s">
        <v>787</v>
      </c>
      <c r="B558" s="3" t="s">
        <v>737</v>
      </c>
      <c r="D558" s="3">
        <v>1364050.0</v>
      </c>
      <c r="E558" s="3"/>
    </row>
    <row r="559">
      <c r="A559" s="3" t="s">
        <v>788</v>
      </c>
      <c r="B559" s="3" t="s">
        <v>280</v>
      </c>
      <c r="D559" s="3">
        <v>1609660.0</v>
      </c>
      <c r="E559" s="3"/>
    </row>
    <row r="560">
      <c r="A560" s="3" t="s">
        <v>789</v>
      </c>
      <c r="B560" s="3" t="s">
        <v>245</v>
      </c>
      <c r="D560" s="3">
        <v>1794900.0</v>
      </c>
      <c r="E560" s="3"/>
    </row>
    <row r="561">
      <c r="B561" s="3" t="s">
        <v>246</v>
      </c>
      <c r="D561" s="3">
        <v>1742810.0</v>
      </c>
      <c r="E561" s="3"/>
    </row>
    <row r="562">
      <c r="A562" s="3" t="s">
        <v>790</v>
      </c>
      <c r="B562" s="3" t="s">
        <v>362</v>
      </c>
      <c r="D562" s="3">
        <v>1710630.0</v>
      </c>
      <c r="E562" s="3"/>
    </row>
    <row r="563">
      <c r="A563" s="3" t="s">
        <v>788</v>
      </c>
      <c r="B563" s="3" t="s">
        <v>267</v>
      </c>
      <c r="D563" s="3">
        <v>500000.0</v>
      </c>
      <c r="E563" s="3"/>
      <c r="F563" s="3" t="s">
        <v>670</v>
      </c>
      <c r="G563" s="3" t="s">
        <v>791</v>
      </c>
    </row>
    <row r="564">
      <c r="A564" s="3" t="s">
        <v>790</v>
      </c>
      <c r="B564" s="3" t="s">
        <v>770</v>
      </c>
      <c r="D564" s="3">
        <v>228210.0</v>
      </c>
      <c r="E564" s="3"/>
    </row>
    <row r="565">
      <c r="A565" s="3" t="s">
        <v>792</v>
      </c>
      <c r="B565" s="3" t="s">
        <v>493</v>
      </c>
      <c r="D565" s="3">
        <v>200000.0</v>
      </c>
      <c r="E565" s="3"/>
    </row>
    <row r="566">
      <c r="B566" s="3" t="s">
        <v>727</v>
      </c>
      <c r="D566" s="3">
        <v>482472.0</v>
      </c>
      <c r="E566" s="3"/>
    </row>
    <row r="567">
      <c r="B567" s="3" t="s">
        <v>648</v>
      </c>
      <c r="D567" s="3">
        <v>132000.0</v>
      </c>
      <c r="E567" s="3"/>
    </row>
    <row r="568">
      <c r="A568" s="3" t="s">
        <v>793</v>
      </c>
      <c r="B568" s="3" t="s">
        <v>594</v>
      </c>
      <c r="D568" s="3">
        <v>7183000.0</v>
      </c>
      <c r="E568" s="3"/>
    </row>
    <row r="569">
      <c r="B569" s="3" t="s">
        <v>346</v>
      </c>
      <c r="D569" s="3">
        <v>905660.0</v>
      </c>
      <c r="E569" s="3"/>
    </row>
    <row r="570">
      <c r="B570" s="3" t="s">
        <v>347</v>
      </c>
      <c r="D570" s="3">
        <v>690580.0</v>
      </c>
      <c r="E570" s="3"/>
      <c r="F570" s="3" t="s">
        <v>794</v>
      </c>
    </row>
    <row r="571">
      <c r="A571" s="3" t="s">
        <v>795</v>
      </c>
      <c r="B571" s="3" t="s">
        <v>737</v>
      </c>
      <c r="D571">
        <f t="shared" ref="D571:D575" si="1">SUM(G571,F571)</f>
        <v>2057030</v>
      </c>
      <c r="F571" s="3">
        <v>9330.0</v>
      </c>
      <c r="G571" s="3">
        <v>2047700.0</v>
      </c>
    </row>
    <row r="572">
      <c r="A572" s="3" t="s">
        <v>796</v>
      </c>
      <c r="B572" s="3" t="s">
        <v>280</v>
      </c>
      <c r="D572">
        <f t="shared" si="1"/>
        <v>1792090</v>
      </c>
      <c r="F572" s="3">
        <v>182430.0</v>
      </c>
      <c r="G572" s="3">
        <v>1609660.0</v>
      </c>
    </row>
    <row r="573">
      <c r="A573" s="3" t="s">
        <v>797</v>
      </c>
      <c r="B573" s="3" t="s">
        <v>245</v>
      </c>
      <c r="D573">
        <f t="shared" si="1"/>
        <v>2797530</v>
      </c>
      <c r="F573" s="3">
        <v>81030.0</v>
      </c>
      <c r="G573" s="3">
        <v>2716500.0</v>
      </c>
    </row>
    <row r="574">
      <c r="B574" s="3" t="s">
        <v>246</v>
      </c>
      <c r="D574">
        <f t="shared" si="1"/>
        <v>1903850</v>
      </c>
      <c r="F574" s="3">
        <v>161040.0</v>
      </c>
      <c r="G574" s="3">
        <v>1742810.0</v>
      </c>
    </row>
    <row r="575">
      <c r="A575" s="3" t="s">
        <v>798</v>
      </c>
      <c r="B575" s="3" t="s">
        <v>362</v>
      </c>
      <c r="D575">
        <f t="shared" si="1"/>
        <v>1764840</v>
      </c>
      <c r="F575" s="3">
        <v>54210.0</v>
      </c>
      <c r="G575" s="3">
        <v>1710630.0</v>
      </c>
    </row>
    <row r="576">
      <c r="B576" s="3" t="s">
        <v>685</v>
      </c>
      <c r="D576" s="3">
        <v>550000.0</v>
      </c>
      <c r="E576" s="3"/>
      <c r="F576" s="3" t="s">
        <v>686</v>
      </c>
    </row>
    <row r="577">
      <c r="B577" s="3" t="s">
        <v>267</v>
      </c>
      <c r="D577" s="3">
        <v>500000.0</v>
      </c>
      <c r="E577" s="3"/>
      <c r="F577" s="3" t="s">
        <v>670</v>
      </c>
      <c r="G577" s="3" t="s">
        <v>799</v>
      </c>
    </row>
    <row r="578">
      <c r="A578" s="3" t="s">
        <v>800</v>
      </c>
      <c r="B578" s="3" t="s">
        <v>566</v>
      </c>
      <c r="D578" s="3">
        <v>2043570.0</v>
      </c>
      <c r="E578" s="3"/>
    </row>
    <row r="579">
      <c r="B579" s="3" t="s">
        <v>567</v>
      </c>
      <c r="D579" s="3">
        <v>1786583.0</v>
      </c>
      <c r="E579" s="3"/>
    </row>
    <row r="580">
      <c r="B580" s="3" t="s">
        <v>568</v>
      </c>
      <c r="D580" s="3">
        <v>1481416.0</v>
      </c>
      <c r="E580" s="3"/>
    </row>
    <row r="581">
      <c r="A581" s="3" t="s">
        <v>801</v>
      </c>
      <c r="B581" s="3" t="s">
        <v>767</v>
      </c>
      <c r="D581" s="3">
        <v>600000.0</v>
      </c>
      <c r="E581" s="3"/>
      <c r="F581" s="3" t="s">
        <v>768</v>
      </c>
    </row>
    <row r="582">
      <c r="A582" s="3" t="s">
        <v>798</v>
      </c>
      <c r="B582" s="3" t="s">
        <v>770</v>
      </c>
      <c r="D582" s="3">
        <v>226420.0</v>
      </c>
      <c r="E582" s="3"/>
    </row>
    <row r="583">
      <c r="B583" s="3" t="s">
        <v>493</v>
      </c>
      <c r="D583" s="3">
        <v>200000.0</v>
      </c>
      <c r="E583" s="3"/>
    </row>
    <row r="584">
      <c r="B584" s="3" t="s">
        <v>727</v>
      </c>
      <c r="D584" s="3">
        <v>433616.0</v>
      </c>
      <c r="E584" s="3"/>
    </row>
    <row r="585">
      <c r="B585" s="3" t="s">
        <v>648</v>
      </c>
      <c r="D585" s="3">
        <v>132000.0</v>
      </c>
      <c r="E585" s="3"/>
    </row>
    <row r="586">
      <c r="B586" s="3" t="s">
        <v>802</v>
      </c>
      <c r="D586" s="3">
        <v>594000.0</v>
      </c>
      <c r="E586" s="3"/>
    </row>
    <row r="587">
      <c r="A587" s="3" t="s">
        <v>803</v>
      </c>
      <c r="B587" s="3" t="s">
        <v>594</v>
      </c>
      <c r="D587" s="3">
        <v>7184000.0</v>
      </c>
      <c r="E587" s="3"/>
    </row>
    <row r="588">
      <c r="B588" s="3" t="s">
        <v>346</v>
      </c>
      <c r="D588" s="3">
        <v>905660.0</v>
      </c>
      <c r="E588" s="3"/>
    </row>
    <row r="589">
      <c r="B589" s="3" t="s">
        <v>347</v>
      </c>
      <c r="D589" s="3">
        <v>690580.0</v>
      </c>
      <c r="E589" s="3"/>
    </row>
    <row r="590">
      <c r="A590" s="3" t="s">
        <v>804</v>
      </c>
      <c r="B590" s="3" t="s">
        <v>267</v>
      </c>
      <c r="D590" s="3">
        <v>550000.0</v>
      </c>
      <c r="E590" s="3"/>
      <c r="F590" s="3" t="s">
        <v>509</v>
      </c>
      <c r="G590" s="3" t="s">
        <v>805</v>
      </c>
    </row>
    <row r="591">
      <c r="A591" s="3" t="s">
        <v>806</v>
      </c>
      <c r="B591" s="3" t="s">
        <v>737</v>
      </c>
      <c r="D591" s="3">
        <v>1367200.0</v>
      </c>
      <c r="E591" s="3"/>
    </row>
    <row r="592">
      <c r="A592" s="3" t="s">
        <v>807</v>
      </c>
      <c r="B592" s="3" t="s">
        <v>280</v>
      </c>
      <c r="D592" s="3">
        <v>1564170.0</v>
      </c>
      <c r="E592" s="3"/>
    </row>
    <row r="593">
      <c r="A593" s="3" t="s">
        <v>808</v>
      </c>
      <c r="B593" s="3" t="s">
        <v>245</v>
      </c>
      <c r="D593" s="3">
        <v>1872700.0</v>
      </c>
      <c r="E593" s="3"/>
    </row>
    <row r="594">
      <c r="B594" s="3" t="s">
        <v>246</v>
      </c>
      <c r="D594" s="3">
        <v>1895243.0</v>
      </c>
      <c r="E594" s="3"/>
    </row>
    <row r="595">
      <c r="A595" s="3" t="s">
        <v>809</v>
      </c>
      <c r="B595" s="3" t="s">
        <v>362</v>
      </c>
      <c r="D595" s="3">
        <v>1710630.0</v>
      </c>
      <c r="E595" s="3"/>
    </row>
    <row r="596">
      <c r="A596" s="3" t="s">
        <v>810</v>
      </c>
      <c r="B596" s="3" t="s">
        <v>811</v>
      </c>
      <c r="D596" s="3">
        <v>611840.0</v>
      </c>
      <c r="E596" s="3"/>
    </row>
    <row r="597">
      <c r="B597" s="3" t="s">
        <v>236</v>
      </c>
      <c r="D597" s="3">
        <v>390600.0</v>
      </c>
      <c r="E597" s="3"/>
      <c r="F597" s="3" t="s">
        <v>812</v>
      </c>
    </row>
    <row r="598">
      <c r="A598" s="3" t="s">
        <v>813</v>
      </c>
      <c r="B598" s="3" t="s">
        <v>814</v>
      </c>
      <c r="D598" s="3">
        <v>30000.0</v>
      </c>
      <c r="E598" s="3"/>
    </row>
    <row r="599">
      <c r="B599" s="3" t="s">
        <v>815</v>
      </c>
      <c r="D599" s="3">
        <v>450000.0</v>
      </c>
      <c r="E599" s="3"/>
      <c r="F599" s="3" t="s">
        <v>816</v>
      </c>
    </row>
    <row r="600">
      <c r="A600" s="3" t="s">
        <v>817</v>
      </c>
      <c r="B600" s="3" t="s">
        <v>770</v>
      </c>
      <c r="D600" s="3">
        <v>216190.0</v>
      </c>
      <c r="E600" s="3"/>
    </row>
    <row r="601">
      <c r="A601" s="3" t="s">
        <v>808</v>
      </c>
      <c r="B601" s="3" t="s">
        <v>818</v>
      </c>
      <c r="D601" s="3">
        <v>30000.0</v>
      </c>
      <c r="E601" s="3"/>
      <c r="F601" s="3" t="s">
        <v>206</v>
      </c>
    </row>
    <row r="602">
      <c r="A602" s="3" t="s">
        <v>819</v>
      </c>
      <c r="B602" s="3" t="s">
        <v>493</v>
      </c>
      <c r="D602" s="3">
        <v>250000.0</v>
      </c>
      <c r="E602" s="3"/>
    </row>
    <row r="603">
      <c r="B603" s="3" t="s">
        <v>727</v>
      </c>
      <c r="D603" s="3">
        <v>386660.0</v>
      </c>
      <c r="E603" s="3"/>
    </row>
    <row r="604">
      <c r="B604" s="3" t="s">
        <v>648</v>
      </c>
      <c r="D604" s="3">
        <v>132000.0</v>
      </c>
      <c r="E604" s="3"/>
    </row>
    <row r="605">
      <c r="A605" s="3" t="s">
        <v>820</v>
      </c>
      <c r="B605" s="3" t="s">
        <v>370</v>
      </c>
      <c r="D605" s="3">
        <v>968590.0</v>
      </c>
      <c r="E605" s="3"/>
      <c r="F605" s="3" t="s">
        <v>371</v>
      </c>
    </row>
    <row r="606">
      <c r="B606" s="3" t="s">
        <v>294</v>
      </c>
      <c r="D606" s="3">
        <v>900000.0</v>
      </c>
      <c r="E606" s="3"/>
      <c r="F606" s="3" t="s">
        <v>821</v>
      </c>
      <c r="G606" s="3" t="s">
        <v>822</v>
      </c>
    </row>
    <row r="607">
      <c r="A607" s="3" t="s">
        <v>819</v>
      </c>
      <c r="B607" s="3" t="s">
        <v>767</v>
      </c>
      <c r="D607" s="3">
        <v>500000.0</v>
      </c>
      <c r="E607" s="3"/>
      <c r="F607" s="3" t="s">
        <v>823</v>
      </c>
    </row>
    <row r="608">
      <c r="B608" s="3" t="s">
        <v>824</v>
      </c>
      <c r="D608" s="3">
        <v>170000.0</v>
      </c>
      <c r="E608" s="3"/>
      <c r="F608" s="3" t="s">
        <v>150</v>
      </c>
    </row>
    <row r="609">
      <c r="A609" s="3" t="s">
        <v>825</v>
      </c>
      <c r="B609" s="3" t="s">
        <v>826</v>
      </c>
      <c r="D609" s="3">
        <v>633600.0</v>
      </c>
      <c r="E609" s="3"/>
      <c r="F609" s="3" t="s">
        <v>827</v>
      </c>
    </row>
    <row r="610">
      <c r="A610" s="3" t="s">
        <v>828</v>
      </c>
      <c r="B610" s="3" t="s">
        <v>594</v>
      </c>
      <c r="D610" s="3">
        <v>7343000.0</v>
      </c>
      <c r="E610" s="3"/>
    </row>
    <row r="611">
      <c r="B611" s="3" t="s">
        <v>346</v>
      </c>
      <c r="D611" s="3">
        <v>905660.0</v>
      </c>
      <c r="E611" s="3"/>
    </row>
    <row r="612">
      <c r="B612" s="3" t="s">
        <v>347</v>
      </c>
      <c r="D612" s="3">
        <v>690580.0</v>
      </c>
      <c r="E612" s="3"/>
    </row>
    <row r="613">
      <c r="A613" s="3" t="s">
        <v>829</v>
      </c>
      <c r="B613" s="3" t="s">
        <v>737</v>
      </c>
      <c r="D613" s="3">
        <v>1367200.0</v>
      </c>
      <c r="E613" s="3"/>
    </row>
    <row r="614">
      <c r="A614" s="3" t="s">
        <v>830</v>
      </c>
      <c r="B614" s="3" t="s">
        <v>280</v>
      </c>
      <c r="D614" s="3">
        <v>1564170.0</v>
      </c>
      <c r="E614" s="3"/>
    </row>
    <row r="615">
      <c r="A615" s="3" t="s">
        <v>831</v>
      </c>
      <c r="B615" s="3" t="s">
        <v>245</v>
      </c>
      <c r="D615" s="3">
        <v>1872700.0</v>
      </c>
      <c r="E615" s="3"/>
    </row>
    <row r="616">
      <c r="B616" s="3" t="s">
        <v>246</v>
      </c>
      <c r="D616" s="3">
        <v>1895243.0</v>
      </c>
      <c r="E616" s="3"/>
    </row>
    <row r="617">
      <c r="A617" s="3" t="s">
        <v>832</v>
      </c>
      <c r="B617" s="3" t="s">
        <v>362</v>
      </c>
      <c r="D617" s="3">
        <v>1710630.0</v>
      </c>
      <c r="E617" s="3"/>
    </row>
    <row r="618">
      <c r="A618" s="3" t="s">
        <v>833</v>
      </c>
      <c r="B618" s="3" t="s">
        <v>267</v>
      </c>
      <c r="D618" s="3">
        <v>650000.0</v>
      </c>
      <c r="E618" s="3"/>
      <c r="F618" s="3" t="s">
        <v>834</v>
      </c>
      <c r="G618" s="3" t="s">
        <v>835</v>
      </c>
    </row>
    <row r="619">
      <c r="B619" s="3" t="s">
        <v>836</v>
      </c>
      <c r="D619" s="3">
        <v>165000.0</v>
      </c>
      <c r="E619" s="3"/>
      <c r="F619" s="3" t="s">
        <v>837</v>
      </c>
    </row>
    <row r="620">
      <c r="A620" s="3" t="s">
        <v>838</v>
      </c>
      <c r="B620" s="3" t="s">
        <v>839</v>
      </c>
      <c r="D620" s="3">
        <v>40000.0</v>
      </c>
      <c r="E620" s="3"/>
    </row>
    <row r="621">
      <c r="A621" s="3" t="s">
        <v>840</v>
      </c>
      <c r="B621" s="3" t="s">
        <v>770</v>
      </c>
      <c r="D621" s="3">
        <v>208670.0</v>
      </c>
      <c r="E621" s="3"/>
    </row>
    <row r="622">
      <c r="A622" s="3" t="s">
        <v>841</v>
      </c>
      <c r="B622" s="3" t="s">
        <v>493</v>
      </c>
      <c r="D622" s="3">
        <v>250000.0</v>
      </c>
      <c r="E622" s="3"/>
    </row>
    <row r="623">
      <c r="B623" s="3" t="s">
        <v>727</v>
      </c>
      <c r="D623" s="3">
        <v>549020.0</v>
      </c>
      <c r="E623" s="3"/>
    </row>
    <row r="624">
      <c r="B624" s="3" t="s">
        <v>648</v>
      </c>
      <c r="D624" s="3">
        <v>132000.0</v>
      </c>
      <c r="E624" s="3"/>
    </row>
    <row r="625">
      <c r="A625" s="3" t="s">
        <v>842</v>
      </c>
      <c r="B625" s="3" t="s">
        <v>843</v>
      </c>
      <c r="D625" s="3">
        <v>100000.0</v>
      </c>
      <c r="E625" s="3"/>
    </row>
    <row r="626">
      <c r="A626" s="3" t="s">
        <v>844</v>
      </c>
      <c r="B626" s="3" t="s">
        <v>370</v>
      </c>
      <c r="D626" s="3">
        <v>370170.0</v>
      </c>
      <c r="E626" s="3"/>
      <c r="F626" s="3" t="s">
        <v>371</v>
      </c>
    </row>
    <row r="627">
      <c r="A627" s="3" t="s">
        <v>845</v>
      </c>
      <c r="B627" s="3" t="s">
        <v>594</v>
      </c>
      <c r="D627" s="3">
        <v>7163000.0</v>
      </c>
      <c r="E627" s="3"/>
    </row>
    <row r="628">
      <c r="B628" s="3" t="s">
        <v>346</v>
      </c>
      <c r="D628" s="3">
        <v>1116260.0</v>
      </c>
      <c r="E628" s="3"/>
    </row>
    <row r="629">
      <c r="B629" s="3" t="s">
        <v>347</v>
      </c>
      <c r="D629" s="3">
        <v>905660.0</v>
      </c>
      <c r="E629" s="3"/>
    </row>
    <row r="630">
      <c r="A630" s="3" t="s">
        <v>846</v>
      </c>
      <c r="B630" s="3" t="s">
        <v>847</v>
      </c>
      <c r="D630" s="3">
        <v>39000.0</v>
      </c>
      <c r="E630" s="3"/>
    </row>
    <row r="631">
      <c r="A631" s="3" t="s">
        <v>848</v>
      </c>
      <c r="B631" s="3" t="s">
        <v>267</v>
      </c>
      <c r="D631" s="3">
        <v>650000.0</v>
      </c>
      <c r="E631" s="3"/>
      <c r="F631" s="3" t="s">
        <v>849</v>
      </c>
    </row>
    <row r="632">
      <c r="A632" s="3" t="s">
        <v>850</v>
      </c>
      <c r="B632" s="3" t="s">
        <v>737</v>
      </c>
      <c r="D632" s="3">
        <v>1404440.0</v>
      </c>
      <c r="E632" s="3"/>
    </row>
    <row r="633">
      <c r="A633" s="3" t="s">
        <v>851</v>
      </c>
      <c r="B633" s="3" t="s">
        <v>280</v>
      </c>
      <c r="D633" s="3">
        <v>1516340.0</v>
      </c>
      <c r="E633" s="3"/>
    </row>
    <row r="634">
      <c r="A634" s="3" t="s">
        <v>852</v>
      </c>
      <c r="B634" s="3" t="s">
        <v>245</v>
      </c>
      <c r="D634" s="3">
        <v>1799360.0</v>
      </c>
      <c r="E634" s="3"/>
    </row>
    <row r="635">
      <c r="B635" s="3" t="s">
        <v>246</v>
      </c>
      <c r="D635" s="3">
        <v>1853943.0</v>
      </c>
      <c r="E635" s="3"/>
    </row>
    <row r="636">
      <c r="A636" s="3" t="s">
        <v>853</v>
      </c>
      <c r="B636" s="3" t="s">
        <v>362</v>
      </c>
      <c r="D636" s="3">
        <v>1613990.0</v>
      </c>
      <c r="E636" s="3"/>
    </row>
    <row r="637">
      <c r="A637" s="3" t="s">
        <v>854</v>
      </c>
      <c r="B637" s="3" t="s">
        <v>309</v>
      </c>
      <c r="D637" s="3">
        <v>300730.0</v>
      </c>
      <c r="E637" s="3"/>
    </row>
    <row r="638">
      <c r="B638" s="3" t="s">
        <v>397</v>
      </c>
      <c r="D638" s="3">
        <v>183050.0</v>
      </c>
      <c r="E638" s="3"/>
    </row>
    <row r="639">
      <c r="A639" s="3" t="s">
        <v>852</v>
      </c>
      <c r="B639" s="3" t="s">
        <v>632</v>
      </c>
      <c r="D639" s="3">
        <v>50000.0</v>
      </c>
      <c r="E639" s="3"/>
    </row>
    <row r="640">
      <c r="A640" s="3" t="s">
        <v>855</v>
      </c>
      <c r="B640" s="3" t="s">
        <v>856</v>
      </c>
      <c r="D640" s="3">
        <v>1.679383E7</v>
      </c>
      <c r="E640" s="3"/>
    </row>
    <row r="641">
      <c r="B641" s="3" t="s">
        <v>857</v>
      </c>
      <c r="D641" s="3">
        <v>3331750.0</v>
      </c>
      <c r="E641" s="3"/>
    </row>
    <row r="642">
      <c r="A642" s="3" t="s">
        <v>858</v>
      </c>
      <c r="B642" s="3" t="s">
        <v>770</v>
      </c>
      <c r="D642" s="3">
        <v>228830.0</v>
      </c>
      <c r="E642" s="3"/>
    </row>
    <row r="643">
      <c r="A643" s="3" t="s">
        <v>859</v>
      </c>
      <c r="B643" s="3" t="s">
        <v>493</v>
      </c>
      <c r="D643" s="3">
        <v>250000.0</v>
      </c>
      <c r="E643" s="3"/>
    </row>
    <row r="644">
      <c r="B644" s="3" t="s">
        <v>727</v>
      </c>
      <c r="D644" s="3">
        <v>482308.0</v>
      </c>
      <c r="E644" s="3"/>
    </row>
    <row r="645">
      <c r="B645" s="3" t="s">
        <v>648</v>
      </c>
      <c r="D645" s="3">
        <v>132000.0</v>
      </c>
      <c r="E645" s="3"/>
    </row>
    <row r="646">
      <c r="B646" s="3" t="s">
        <v>860</v>
      </c>
      <c r="D646" s="3">
        <v>1650000.0</v>
      </c>
      <c r="E646" s="3"/>
    </row>
    <row r="647">
      <c r="A647" s="3" t="s">
        <v>861</v>
      </c>
      <c r="B647" s="3" t="s">
        <v>594</v>
      </c>
      <c r="D647" s="3">
        <v>7107000.0</v>
      </c>
      <c r="E647" s="3"/>
    </row>
    <row r="648">
      <c r="B648" s="3" t="s">
        <v>346</v>
      </c>
      <c r="D648" s="3">
        <v>905660.0</v>
      </c>
      <c r="E648" s="3"/>
    </row>
    <row r="649">
      <c r="B649" s="3" t="s">
        <v>347</v>
      </c>
      <c r="D649" s="3">
        <v>696540.0</v>
      </c>
      <c r="E649" s="3"/>
    </row>
    <row r="650">
      <c r="A650" s="3" t="s">
        <v>862</v>
      </c>
      <c r="B650" s="3" t="s">
        <v>267</v>
      </c>
      <c r="D650" s="3">
        <v>450000.0</v>
      </c>
      <c r="E650" s="3"/>
      <c r="F650" s="3" t="s">
        <v>863</v>
      </c>
    </row>
    <row r="651">
      <c r="A651" s="3" t="s">
        <v>864</v>
      </c>
      <c r="B651" s="3" t="s">
        <v>737</v>
      </c>
      <c r="D651" s="3">
        <v>1385020.0</v>
      </c>
      <c r="E651" s="3"/>
    </row>
    <row r="652">
      <c r="A652" s="3" t="s">
        <v>865</v>
      </c>
      <c r="B652" s="3" t="s">
        <v>280</v>
      </c>
      <c r="D652" s="3">
        <v>1556300.0</v>
      </c>
      <c r="E652" s="3"/>
    </row>
    <row r="653">
      <c r="A653" s="3" t="s">
        <v>866</v>
      </c>
      <c r="B653" s="3" t="s">
        <v>245</v>
      </c>
      <c r="D653" s="3">
        <v>1861790.0</v>
      </c>
      <c r="E653" s="3"/>
    </row>
    <row r="654">
      <c r="B654" s="3" t="s">
        <v>246</v>
      </c>
      <c r="D654" s="3">
        <v>1894623.0</v>
      </c>
      <c r="E654" s="3"/>
    </row>
    <row r="655">
      <c r="A655" s="3" t="s">
        <v>866</v>
      </c>
      <c r="B655" s="3" t="s">
        <v>362</v>
      </c>
      <c r="D655" s="3">
        <v>1757193.0</v>
      </c>
      <c r="E655" s="3"/>
    </row>
    <row r="656">
      <c r="A656" s="3" t="s">
        <v>867</v>
      </c>
      <c r="B656" s="3" t="s">
        <v>868</v>
      </c>
      <c r="D656" s="3">
        <v>40000.0</v>
      </c>
      <c r="E656" s="3"/>
    </row>
    <row r="657">
      <c r="A657" s="3" t="s">
        <v>869</v>
      </c>
      <c r="B657" s="3" t="s">
        <v>870</v>
      </c>
      <c r="D657" s="3">
        <v>378760.0</v>
      </c>
      <c r="E657" s="3"/>
    </row>
    <row r="658">
      <c r="B658" s="3" t="s">
        <v>770</v>
      </c>
      <c r="D658" s="3">
        <v>227970.0</v>
      </c>
      <c r="E658" s="3"/>
    </row>
    <row r="659">
      <c r="A659" s="3" t="s">
        <v>866</v>
      </c>
      <c r="B659" s="3" t="s">
        <v>644</v>
      </c>
      <c r="D659" s="3">
        <v>1706280.0</v>
      </c>
      <c r="E659" s="3"/>
    </row>
    <row r="660">
      <c r="B660" s="3" t="s">
        <v>871</v>
      </c>
      <c r="D660" s="3">
        <v>300000.0</v>
      </c>
      <c r="E660" s="3"/>
    </row>
    <row r="661">
      <c r="A661" s="3" t="s">
        <v>872</v>
      </c>
      <c r="B661" s="3" t="s">
        <v>493</v>
      </c>
      <c r="D661" s="3">
        <v>250000.0</v>
      </c>
      <c r="E661" s="3"/>
    </row>
    <row r="662">
      <c r="B662" s="3" t="s">
        <v>727</v>
      </c>
      <c r="D662" s="3">
        <v>369784.0</v>
      </c>
      <c r="E662" s="3"/>
    </row>
    <row r="663">
      <c r="B663" s="3" t="s">
        <v>648</v>
      </c>
      <c r="D663" s="3">
        <v>132000.0</v>
      </c>
      <c r="E663" s="3"/>
    </row>
    <row r="664">
      <c r="A664" s="3" t="s">
        <v>873</v>
      </c>
      <c r="B664" s="3" t="s">
        <v>874</v>
      </c>
      <c r="D664" s="3">
        <v>726000.0</v>
      </c>
      <c r="E664" s="3"/>
    </row>
    <row r="665">
      <c r="A665" s="3" t="s">
        <v>875</v>
      </c>
      <c r="B665" s="3" t="s">
        <v>549</v>
      </c>
      <c r="D665" s="3">
        <v>198000.0</v>
      </c>
      <c r="E665" s="3"/>
      <c r="F665" s="3" t="s">
        <v>876</v>
      </c>
    </row>
    <row r="666">
      <c r="B666" s="3" t="s">
        <v>877</v>
      </c>
      <c r="D666" s="3">
        <v>93000.0</v>
      </c>
      <c r="E666" s="3"/>
    </row>
    <row r="667">
      <c r="A667" s="3" t="s">
        <v>878</v>
      </c>
      <c r="B667" s="3" t="s">
        <v>594</v>
      </c>
      <c r="D667" s="3">
        <v>7197000.0</v>
      </c>
      <c r="E667" s="3"/>
    </row>
    <row r="668">
      <c r="A668" s="3" t="s">
        <v>879</v>
      </c>
      <c r="B668" s="3" t="s">
        <v>267</v>
      </c>
      <c r="D668" s="3">
        <v>600000.0</v>
      </c>
      <c r="E668" s="3"/>
      <c r="F668" s="3" t="s">
        <v>880</v>
      </c>
    </row>
    <row r="669">
      <c r="A669" s="3" t="s">
        <v>881</v>
      </c>
      <c r="B669" s="3" t="s">
        <v>737</v>
      </c>
      <c r="D669">
        <f>696850+1385020</f>
        <v>2081870</v>
      </c>
    </row>
    <row r="670">
      <c r="A670" s="3" t="s">
        <v>882</v>
      </c>
      <c r="B670" s="3" t="s">
        <v>280</v>
      </c>
      <c r="D670" s="3">
        <v>1556300.0</v>
      </c>
      <c r="E670" s="3"/>
    </row>
    <row r="671">
      <c r="A671" s="3" t="s">
        <v>883</v>
      </c>
      <c r="B671" s="3" t="s">
        <v>245</v>
      </c>
      <c r="D671">
        <f>920840+1861790</f>
        <v>2782630</v>
      </c>
    </row>
    <row r="672">
      <c r="B672" s="3" t="s">
        <v>246</v>
      </c>
      <c r="D672" s="3">
        <v>1894623.0</v>
      </c>
      <c r="E672" s="3"/>
    </row>
    <row r="673">
      <c r="A673" s="3" t="s">
        <v>884</v>
      </c>
      <c r="B673" s="3" t="s">
        <v>362</v>
      </c>
      <c r="D673" s="3">
        <v>1757193.0</v>
      </c>
      <c r="E673" s="3"/>
    </row>
    <row r="674">
      <c r="A674" s="3" t="s">
        <v>885</v>
      </c>
      <c r="B674" s="3" t="s">
        <v>544</v>
      </c>
      <c r="D674" s="3">
        <v>52740.0</v>
      </c>
      <c r="E674" s="3"/>
      <c r="F674" s="3" t="s">
        <v>211</v>
      </c>
    </row>
    <row r="675">
      <c r="A675" s="3" t="s">
        <v>886</v>
      </c>
      <c r="B675" s="3" t="s">
        <v>346</v>
      </c>
      <c r="D675" s="3">
        <v>905660.0</v>
      </c>
      <c r="E675" s="3"/>
    </row>
    <row r="676">
      <c r="B676" s="3" t="s">
        <v>347</v>
      </c>
      <c r="D676" s="3">
        <v>696540.0</v>
      </c>
      <c r="E676" s="3"/>
    </row>
    <row r="677">
      <c r="A677" s="3" t="s">
        <v>887</v>
      </c>
      <c r="B677" s="3" t="s">
        <v>871</v>
      </c>
      <c r="D677" s="3">
        <v>300000.0</v>
      </c>
      <c r="E677" s="3"/>
    </row>
    <row r="678">
      <c r="A678" s="3" t="s">
        <v>888</v>
      </c>
      <c r="B678" s="3" t="s">
        <v>889</v>
      </c>
      <c r="D678" s="3">
        <v>1.550652E7</v>
      </c>
      <c r="E678" s="3"/>
    </row>
    <row r="679">
      <c r="B679" s="3" t="s">
        <v>770</v>
      </c>
      <c r="D679" s="3">
        <v>228290.0</v>
      </c>
      <c r="E679" s="3"/>
    </row>
    <row r="680">
      <c r="A680" s="3" t="s">
        <v>890</v>
      </c>
      <c r="B680" s="3" t="s">
        <v>493</v>
      </c>
      <c r="D680" s="3">
        <v>250000.0</v>
      </c>
      <c r="E680" s="3"/>
    </row>
    <row r="681">
      <c r="B681" s="3" t="s">
        <v>727</v>
      </c>
      <c r="D681" s="3">
        <v>398560.0</v>
      </c>
      <c r="E681" s="3"/>
    </row>
    <row r="682">
      <c r="B682" s="3" t="s">
        <v>648</v>
      </c>
      <c r="D682" s="3">
        <v>132000.0</v>
      </c>
      <c r="E682" s="3"/>
    </row>
    <row r="683">
      <c r="A683" s="3" t="s">
        <v>890</v>
      </c>
      <c r="B683" s="3" t="s">
        <v>370</v>
      </c>
      <c r="D683" s="3">
        <v>400000.0</v>
      </c>
      <c r="E683" s="3"/>
      <c r="F683" s="3" t="s">
        <v>891</v>
      </c>
    </row>
    <row r="684">
      <c r="A684" s="3" t="s">
        <v>892</v>
      </c>
      <c r="B684" s="3" t="s">
        <v>594</v>
      </c>
      <c r="D684" s="3">
        <v>7307000.0</v>
      </c>
      <c r="E684" s="3"/>
    </row>
    <row r="685">
      <c r="A685" s="3" t="s">
        <v>892</v>
      </c>
      <c r="B685" s="3" t="s">
        <v>346</v>
      </c>
      <c r="D685" s="3">
        <v>896480.0</v>
      </c>
      <c r="E685" s="3"/>
    </row>
    <row r="686">
      <c r="B686" s="3" t="s">
        <v>347</v>
      </c>
      <c r="D686" s="3">
        <v>696540.0</v>
      </c>
      <c r="E686" s="3"/>
    </row>
    <row r="687">
      <c r="B687" s="3" t="s">
        <v>679</v>
      </c>
      <c r="D687" s="3">
        <v>107010.0</v>
      </c>
      <c r="E687" s="3"/>
      <c r="F687" s="3" t="s">
        <v>893</v>
      </c>
    </row>
    <row r="688">
      <c r="A688" s="3" t="s">
        <v>894</v>
      </c>
      <c r="B688" s="3" t="s">
        <v>737</v>
      </c>
      <c r="D688" s="3">
        <v>1399330.0</v>
      </c>
      <c r="E688" s="3"/>
    </row>
    <row r="689">
      <c r="A689" s="3" t="s">
        <v>895</v>
      </c>
      <c r="B689" s="3" t="s">
        <v>280</v>
      </c>
      <c r="D689" s="3">
        <v>1547530.0</v>
      </c>
      <c r="E689" s="3"/>
    </row>
    <row r="690">
      <c r="A690" s="3" t="s">
        <v>896</v>
      </c>
      <c r="B690" s="3" t="s">
        <v>245</v>
      </c>
      <c r="D690" s="3">
        <v>1861790.0</v>
      </c>
      <c r="E690" s="3"/>
    </row>
    <row r="691">
      <c r="B691" s="3" t="s">
        <v>246</v>
      </c>
      <c r="D691" s="3">
        <v>1782317.0</v>
      </c>
      <c r="E691" s="3"/>
    </row>
    <row r="692">
      <c r="A692" s="3" t="s">
        <v>897</v>
      </c>
      <c r="B692" s="3" t="s">
        <v>362</v>
      </c>
      <c r="D692" s="3">
        <v>1752243.0</v>
      </c>
      <c r="E692" s="3"/>
    </row>
    <row r="693">
      <c r="A693" s="3" t="s">
        <v>898</v>
      </c>
      <c r="B693" s="3" t="s">
        <v>267</v>
      </c>
      <c r="D693" s="3">
        <v>700000.0</v>
      </c>
      <c r="E693" s="3"/>
      <c r="F693" s="3" t="s">
        <v>899</v>
      </c>
    </row>
    <row r="694">
      <c r="A694" s="3" t="s">
        <v>900</v>
      </c>
      <c r="B694" s="3" t="s">
        <v>309</v>
      </c>
      <c r="D694" s="3">
        <v>300730.0</v>
      </c>
      <c r="E694" s="3"/>
    </row>
    <row r="695">
      <c r="B695" s="3" t="s">
        <v>397</v>
      </c>
      <c r="D695" s="3">
        <v>193520.0</v>
      </c>
      <c r="E695" s="3"/>
    </row>
    <row r="696">
      <c r="A696" s="3" t="s">
        <v>901</v>
      </c>
      <c r="B696" s="3" t="s">
        <v>544</v>
      </c>
      <c r="D696" s="3">
        <v>149040.0</v>
      </c>
      <c r="E696" s="3"/>
    </row>
    <row r="697">
      <c r="A697" s="3" t="s">
        <v>896</v>
      </c>
      <c r="B697" s="3" t="s">
        <v>871</v>
      </c>
      <c r="D697" s="3">
        <v>300000.0</v>
      </c>
      <c r="E697" s="3"/>
    </row>
    <row r="698">
      <c r="B698" s="3" t="s">
        <v>770</v>
      </c>
      <c r="D698" s="3">
        <v>245480.0</v>
      </c>
      <c r="E698" s="3"/>
    </row>
    <row r="699">
      <c r="B699" s="3" t="s">
        <v>902</v>
      </c>
      <c r="D699" s="3">
        <v>62500.0</v>
      </c>
      <c r="E699" s="3"/>
    </row>
    <row r="700">
      <c r="A700" s="3" t="s">
        <v>903</v>
      </c>
      <c r="B700" s="3" t="s">
        <v>493</v>
      </c>
      <c r="D700" s="3">
        <v>250000.0</v>
      </c>
      <c r="E700" s="3"/>
    </row>
    <row r="701">
      <c r="B701" s="3" t="s">
        <v>727</v>
      </c>
      <c r="D701" s="3">
        <v>499148.0</v>
      </c>
      <c r="E701" s="3"/>
    </row>
    <row r="702">
      <c r="B702" s="3" t="s">
        <v>648</v>
      </c>
      <c r="D702" s="3">
        <v>132000.0</v>
      </c>
      <c r="E702" s="3"/>
    </row>
    <row r="703">
      <c r="A703" s="3" t="s">
        <v>904</v>
      </c>
      <c r="B703" s="3" t="s">
        <v>594</v>
      </c>
      <c r="D703" s="3">
        <v>7355000.0</v>
      </c>
      <c r="E703" s="3"/>
      <c r="F703" s="3" t="s">
        <v>905</v>
      </c>
    </row>
    <row r="704">
      <c r="A704" s="3" t="s">
        <v>904</v>
      </c>
      <c r="B704" s="3" t="s">
        <v>346</v>
      </c>
      <c r="D704" s="3">
        <v>896480.0</v>
      </c>
      <c r="E704" s="3"/>
    </row>
    <row r="705">
      <c r="B705" s="3" t="s">
        <v>347</v>
      </c>
      <c r="D705" s="3">
        <v>647740.0</v>
      </c>
      <c r="E705" s="3"/>
    </row>
    <row r="706">
      <c r="A706" s="3" t="s">
        <v>906</v>
      </c>
      <c r="B706" s="3" t="s">
        <v>737</v>
      </c>
      <c r="D706" s="3">
        <v>2096180.0</v>
      </c>
      <c r="E706" s="3"/>
    </row>
    <row r="707">
      <c r="A707" s="3" t="s">
        <v>907</v>
      </c>
      <c r="B707" s="3" t="s">
        <v>280</v>
      </c>
      <c r="D707" s="3">
        <v>1547530.0</v>
      </c>
      <c r="E707" s="3"/>
    </row>
    <row r="708">
      <c r="A708" s="3" t="s">
        <v>908</v>
      </c>
      <c r="B708" s="3" t="s">
        <v>245</v>
      </c>
      <c r="D708" s="3">
        <v>2782630.0</v>
      </c>
      <c r="E708" s="3"/>
    </row>
    <row r="709">
      <c r="B709" s="3" t="s">
        <v>246</v>
      </c>
      <c r="D709" s="3">
        <v>1782318.0</v>
      </c>
      <c r="E709" s="3"/>
    </row>
    <row r="710">
      <c r="A710" s="3" t="s">
        <v>908</v>
      </c>
      <c r="B710" s="3" t="s">
        <v>362</v>
      </c>
      <c r="D710" s="3">
        <v>1752243.0</v>
      </c>
      <c r="E710" s="3"/>
    </row>
    <row r="711">
      <c r="A711" s="3" t="s">
        <v>909</v>
      </c>
      <c r="B711" s="3" t="s">
        <v>267</v>
      </c>
      <c r="D711" s="3">
        <v>650000.0</v>
      </c>
      <c r="E711" s="3"/>
      <c r="F711" s="3" t="s">
        <v>910</v>
      </c>
    </row>
    <row r="712">
      <c r="A712" s="3" t="s">
        <v>911</v>
      </c>
      <c r="B712" s="3" t="s">
        <v>770</v>
      </c>
      <c r="D712" s="3">
        <v>245260.0</v>
      </c>
      <c r="E712" s="3"/>
    </row>
    <row r="713">
      <c r="A713" s="3" t="s">
        <v>912</v>
      </c>
      <c r="B713" s="3" t="s">
        <v>493</v>
      </c>
      <c r="D713" s="3">
        <v>250000.0</v>
      </c>
      <c r="E713" s="3"/>
    </row>
    <row r="714">
      <c r="B714" s="3" t="s">
        <v>727</v>
      </c>
      <c r="D714" s="3">
        <v>599012.0</v>
      </c>
      <c r="E714" s="3"/>
    </row>
    <row r="715">
      <c r="B715" s="3" t="s">
        <v>648</v>
      </c>
      <c r="D715" s="3">
        <v>132000.0</v>
      </c>
      <c r="E715" s="3"/>
    </row>
    <row r="716">
      <c r="A716" s="3" t="s">
        <v>913</v>
      </c>
      <c r="B716" s="3" t="s">
        <v>871</v>
      </c>
      <c r="D716" s="3">
        <v>500000.0</v>
      </c>
      <c r="E716" s="3"/>
    </row>
    <row r="717">
      <c r="A717" s="3" t="s">
        <v>914</v>
      </c>
      <c r="B717" s="3" t="s">
        <v>594</v>
      </c>
      <c r="D717" s="3">
        <v>7798000.0</v>
      </c>
      <c r="E717" s="3"/>
      <c r="F717" s="3" t="s">
        <v>915</v>
      </c>
    </row>
    <row r="718">
      <c r="A718" s="3" t="s">
        <v>916</v>
      </c>
      <c r="B718" s="3" t="s">
        <v>346</v>
      </c>
      <c r="D718" s="3">
        <v>896480.0</v>
      </c>
      <c r="E718" s="3"/>
    </row>
    <row r="719">
      <c r="B719" s="3" t="s">
        <v>347</v>
      </c>
      <c r="D719" s="3">
        <v>664620.0</v>
      </c>
      <c r="E719" s="3"/>
    </row>
    <row r="720">
      <c r="A720" s="3" t="s">
        <v>917</v>
      </c>
      <c r="B720" s="3" t="s">
        <v>737</v>
      </c>
      <c r="D720" s="3">
        <v>1399330.0</v>
      </c>
      <c r="E720" s="3"/>
    </row>
    <row r="721">
      <c r="A721" s="3" t="s">
        <v>918</v>
      </c>
      <c r="B721" s="3" t="s">
        <v>280</v>
      </c>
      <c r="D721" s="3">
        <v>1547530.0</v>
      </c>
      <c r="E721" s="3"/>
    </row>
    <row r="722">
      <c r="A722" s="3" t="s">
        <v>919</v>
      </c>
      <c r="B722" s="3" t="s">
        <v>245</v>
      </c>
      <c r="D722" s="3">
        <v>1861790.0</v>
      </c>
      <c r="E722" s="3"/>
    </row>
    <row r="723">
      <c r="B723" s="3" t="s">
        <v>246</v>
      </c>
      <c r="D723" s="3">
        <v>1782318.0</v>
      </c>
      <c r="E723" s="3"/>
    </row>
    <row r="724">
      <c r="A724" s="3" t="s">
        <v>920</v>
      </c>
      <c r="B724" s="3" t="s">
        <v>362</v>
      </c>
      <c r="D724" s="3">
        <v>1752243.0</v>
      </c>
      <c r="E724" s="3"/>
    </row>
    <row r="725">
      <c r="A725" s="3" t="s">
        <v>921</v>
      </c>
      <c r="B725" s="3" t="s">
        <v>294</v>
      </c>
      <c r="D725" s="3">
        <v>1000000.0</v>
      </c>
      <c r="E725" s="3"/>
      <c r="F725" s="3" t="s">
        <v>821</v>
      </c>
      <c r="G725" s="3" t="s">
        <v>922</v>
      </c>
    </row>
    <row r="726">
      <c r="A726" s="3" t="s">
        <v>919</v>
      </c>
      <c r="B726" s="3" t="s">
        <v>871</v>
      </c>
      <c r="D726" s="3">
        <v>500000.0</v>
      </c>
      <c r="E726" s="3"/>
    </row>
    <row r="727">
      <c r="B727" s="3" t="s">
        <v>923</v>
      </c>
      <c r="D727" s="3">
        <v>297000.0</v>
      </c>
      <c r="E727" s="3"/>
      <c r="F727" s="3" t="s">
        <v>924</v>
      </c>
    </row>
    <row r="728">
      <c r="A728" s="3" t="s">
        <v>925</v>
      </c>
      <c r="B728" s="3" t="s">
        <v>493</v>
      </c>
      <c r="D728" s="3">
        <v>250000.0</v>
      </c>
      <c r="E728" s="3"/>
    </row>
    <row r="729">
      <c r="B729" s="3" t="s">
        <v>727</v>
      </c>
      <c r="D729" s="3">
        <v>184592.0</v>
      </c>
      <c r="E729" s="3"/>
    </row>
    <row r="730">
      <c r="B730" s="3" t="s">
        <v>648</v>
      </c>
      <c r="D730" s="3">
        <v>132000.0</v>
      </c>
      <c r="E730" s="3"/>
    </row>
    <row r="731">
      <c r="A731" s="3" t="s">
        <v>919</v>
      </c>
      <c r="B731" s="3" t="s">
        <v>770</v>
      </c>
      <c r="D731" s="3">
        <v>229280.0</v>
      </c>
      <c r="E731" s="3"/>
    </row>
    <row r="732">
      <c r="A732" s="3" t="s">
        <v>919</v>
      </c>
      <c r="B732" s="3" t="s">
        <v>267</v>
      </c>
      <c r="D732" s="3">
        <v>550000.0</v>
      </c>
      <c r="E732" s="3"/>
      <c r="F732" s="3" t="s">
        <v>926</v>
      </c>
    </row>
    <row r="733">
      <c r="A733" s="3" t="s">
        <v>927</v>
      </c>
      <c r="B733" s="3" t="s">
        <v>346</v>
      </c>
      <c r="D733" s="3">
        <v>896480.0</v>
      </c>
      <c r="E733" s="3"/>
    </row>
    <row r="734">
      <c r="B734" s="3" t="s">
        <v>375</v>
      </c>
      <c r="D734" s="3">
        <v>656640.0</v>
      </c>
      <c r="E734" s="3"/>
    </row>
    <row r="735">
      <c r="B735" s="3" t="s">
        <v>594</v>
      </c>
      <c r="D735" s="3">
        <v>7117000.0</v>
      </c>
      <c r="E735" s="3"/>
    </row>
    <row r="736">
      <c r="B736" s="3" t="s">
        <v>928</v>
      </c>
      <c r="D736" s="3">
        <v>15000.0</v>
      </c>
      <c r="E736" s="3"/>
    </row>
    <row r="737">
      <c r="A737" s="3" t="s">
        <v>929</v>
      </c>
      <c r="B737" s="3" t="s">
        <v>737</v>
      </c>
      <c r="D737" s="3">
        <v>1399330.0</v>
      </c>
      <c r="E737" s="3"/>
    </row>
    <row r="738">
      <c r="A738" s="3" t="s">
        <v>930</v>
      </c>
      <c r="B738" s="3" t="s">
        <v>280</v>
      </c>
      <c r="D738" s="3">
        <v>1547530.0</v>
      </c>
      <c r="E738" s="3"/>
    </row>
    <row r="739">
      <c r="A739" s="3" t="s">
        <v>931</v>
      </c>
      <c r="B739" s="3" t="s">
        <v>245</v>
      </c>
      <c r="D739" s="3">
        <v>1861790.0</v>
      </c>
      <c r="E739" s="3"/>
    </row>
    <row r="740">
      <c r="B740" s="3" t="s">
        <v>246</v>
      </c>
      <c r="D740" s="3">
        <v>1782318.0</v>
      </c>
      <c r="E740" s="3"/>
    </row>
    <row r="741">
      <c r="A741" s="3" t="s">
        <v>932</v>
      </c>
      <c r="B741" s="3" t="s">
        <v>362</v>
      </c>
      <c r="D741" s="3">
        <v>1752243.0</v>
      </c>
      <c r="E741" s="3"/>
    </row>
    <row r="742">
      <c r="A742" s="3" t="s">
        <v>933</v>
      </c>
      <c r="B742" s="3" t="s">
        <v>934</v>
      </c>
      <c r="D742" s="3">
        <v>1593843.0</v>
      </c>
      <c r="E742" s="3"/>
    </row>
    <row r="743">
      <c r="A743" s="3" t="s">
        <v>935</v>
      </c>
      <c r="B743" s="3" t="s">
        <v>267</v>
      </c>
      <c r="D743" s="3">
        <v>500000.0</v>
      </c>
      <c r="E743" s="3"/>
      <c r="F743" s="3" t="s">
        <v>936</v>
      </c>
    </row>
    <row r="744">
      <c r="B744" s="3" t="s">
        <v>309</v>
      </c>
      <c r="D744" s="3">
        <v>300730.0</v>
      </c>
      <c r="E744" s="3"/>
    </row>
    <row r="745">
      <c r="B745" s="3" t="s">
        <v>397</v>
      </c>
      <c r="D745" s="3">
        <v>193520.0</v>
      </c>
      <c r="E745" s="3"/>
    </row>
    <row r="746">
      <c r="A746" s="3" t="s">
        <v>937</v>
      </c>
      <c r="B746" s="3" t="s">
        <v>871</v>
      </c>
      <c r="D746" s="3">
        <v>500000.0</v>
      </c>
      <c r="E746" s="3"/>
    </row>
    <row r="747">
      <c r="A747" s="3" t="s">
        <v>938</v>
      </c>
      <c r="B747" s="3" t="s">
        <v>480</v>
      </c>
      <c r="D747" s="3">
        <v>93900.0</v>
      </c>
      <c r="E747" s="3"/>
      <c r="F747" s="3" t="s">
        <v>939</v>
      </c>
    </row>
    <row r="748">
      <c r="A748" s="3" t="s">
        <v>932</v>
      </c>
      <c r="B748" s="3" t="s">
        <v>770</v>
      </c>
      <c r="D748" s="3">
        <v>230800.0</v>
      </c>
      <c r="E748" s="3"/>
    </row>
    <row r="749">
      <c r="B749" s="3" t="s">
        <v>928</v>
      </c>
      <c r="D749" s="3">
        <v>15000.0</v>
      </c>
      <c r="E749" s="3"/>
    </row>
    <row r="750">
      <c r="A750" s="3" t="s">
        <v>940</v>
      </c>
      <c r="B750" s="3" t="s">
        <v>769</v>
      </c>
      <c r="D750" s="3">
        <v>1.665877E7</v>
      </c>
      <c r="E750" s="3"/>
    </row>
    <row r="751">
      <c r="A751" s="3" t="s">
        <v>941</v>
      </c>
      <c r="B751" s="3" t="s">
        <v>493</v>
      </c>
      <c r="D751" s="3">
        <v>250000.0</v>
      </c>
      <c r="E751" s="3"/>
    </row>
    <row r="752">
      <c r="B752" s="3" t="s">
        <v>727</v>
      </c>
      <c r="D752" s="3">
        <v>273196.0</v>
      </c>
      <c r="E752" s="3"/>
    </row>
    <row r="753">
      <c r="B753" s="3" t="s">
        <v>648</v>
      </c>
      <c r="D753" s="3">
        <v>132000.0</v>
      </c>
      <c r="E753" s="3"/>
    </row>
    <row r="754">
      <c r="A754" s="3" t="s">
        <v>942</v>
      </c>
      <c r="B754" s="3" t="s">
        <v>340</v>
      </c>
      <c r="D754" s="3">
        <v>198000.0</v>
      </c>
      <c r="E754" s="3"/>
      <c r="F754" s="3" t="s">
        <v>943</v>
      </c>
    </row>
    <row r="755">
      <c r="B755" s="3" t="s">
        <v>944</v>
      </c>
      <c r="D755" s="3">
        <v>2394300.0</v>
      </c>
      <c r="E755" s="3"/>
      <c r="F755" s="3" t="s">
        <v>945</v>
      </c>
    </row>
    <row r="756">
      <c r="A756" s="3" t="s">
        <v>946</v>
      </c>
      <c r="B756" s="3" t="s">
        <v>544</v>
      </c>
      <c r="D756" s="3">
        <v>52650.0</v>
      </c>
      <c r="E756" s="3"/>
      <c r="F756" s="3" t="s">
        <v>732</v>
      </c>
    </row>
    <row r="757">
      <c r="A757" s="3" t="s">
        <v>947</v>
      </c>
      <c r="B757" s="3" t="s">
        <v>594</v>
      </c>
      <c r="D757" s="3">
        <v>7158000.0</v>
      </c>
      <c r="E757" s="3"/>
      <c r="F757" s="3" t="s">
        <v>948</v>
      </c>
    </row>
    <row r="758">
      <c r="A758" s="3" t="s">
        <v>949</v>
      </c>
      <c r="B758" s="3" t="s">
        <v>346</v>
      </c>
      <c r="D758" s="3">
        <v>932480.0</v>
      </c>
      <c r="E758" s="3"/>
    </row>
    <row r="759">
      <c r="B759" s="3" t="s">
        <v>375</v>
      </c>
      <c r="D759" s="3">
        <v>7656320.0</v>
      </c>
      <c r="E759" s="3"/>
    </row>
    <row r="760">
      <c r="A760" s="3" t="s">
        <v>950</v>
      </c>
      <c r="B760" s="3" t="s">
        <v>951</v>
      </c>
      <c r="D760" s="3">
        <v>100000.0</v>
      </c>
      <c r="E760" s="3"/>
      <c r="F760" s="3" t="s">
        <v>952</v>
      </c>
    </row>
    <row r="761">
      <c r="A761" s="3" t="s">
        <v>953</v>
      </c>
      <c r="B761" s="3" t="s">
        <v>267</v>
      </c>
      <c r="D761" s="3">
        <v>550000.0</v>
      </c>
      <c r="E761" s="3"/>
      <c r="F761" s="3" t="s">
        <v>954</v>
      </c>
    </row>
    <row r="762">
      <c r="A762" s="3" t="s">
        <v>950</v>
      </c>
      <c r="B762" s="3" t="s">
        <v>737</v>
      </c>
      <c r="D762" s="3">
        <v>1609193.0</v>
      </c>
      <c r="E762" s="3"/>
    </row>
    <row r="763">
      <c r="A763" s="3" t="s">
        <v>955</v>
      </c>
      <c r="B763" s="3" t="s">
        <v>280</v>
      </c>
      <c r="D763" s="3">
        <v>1547530.0</v>
      </c>
      <c r="E763" s="3"/>
    </row>
    <row r="764">
      <c r="A764" s="3" t="s">
        <v>956</v>
      </c>
      <c r="B764" s="3" t="s">
        <v>245</v>
      </c>
      <c r="D764" s="3">
        <v>2751510.0</v>
      </c>
      <c r="E764" s="3"/>
    </row>
    <row r="765">
      <c r="B765" s="3" t="s">
        <v>246</v>
      </c>
      <c r="D765" s="3">
        <v>1782318.0</v>
      </c>
      <c r="E765" s="3"/>
    </row>
    <row r="766">
      <c r="A766" s="3" t="s">
        <v>956</v>
      </c>
      <c r="B766" s="3" t="s">
        <v>362</v>
      </c>
      <c r="D766" s="3">
        <v>1752243.0</v>
      </c>
      <c r="E766" s="3"/>
    </row>
    <row r="767">
      <c r="A767" s="3" t="s">
        <v>957</v>
      </c>
      <c r="B767" s="3" t="s">
        <v>294</v>
      </c>
      <c r="D767" s="3">
        <v>500000.0</v>
      </c>
      <c r="E767" s="3"/>
      <c r="F767" s="3" t="s">
        <v>958</v>
      </c>
    </row>
    <row r="768">
      <c r="A768" s="3" t="s">
        <v>959</v>
      </c>
      <c r="B768" s="3" t="s">
        <v>960</v>
      </c>
      <c r="D768" s="3">
        <v>2200000.0</v>
      </c>
      <c r="E768" s="3"/>
      <c r="F768" s="3" t="s">
        <v>961</v>
      </c>
    </row>
    <row r="769">
      <c r="B769" s="3" t="s">
        <v>871</v>
      </c>
      <c r="D769" s="3">
        <v>425290.0</v>
      </c>
      <c r="E769" s="3"/>
    </row>
    <row r="770">
      <c r="A770" s="3" t="s">
        <v>962</v>
      </c>
      <c r="B770" s="3" t="s">
        <v>370</v>
      </c>
      <c r="D770" s="3">
        <v>500000.0</v>
      </c>
      <c r="E770" s="3"/>
      <c r="F770" s="3" t="s">
        <v>891</v>
      </c>
    </row>
    <row r="771">
      <c r="A771" s="3" t="s">
        <v>963</v>
      </c>
      <c r="B771" s="3" t="s">
        <v>493</v>
      </c>
      <c r="D771" s="3">
        <v>250000.0</v>
      </c>
      <c r="E771" s="3"/>
    </row>
    <row r="772">
      <c r="B772" s="3" t="s">
        <v>727</v>
      </c>
      <c r="D772" s="3">
        <v>360152.0</v>
      </c>
      <c r="E772" s="3"/>
    </row>
    <row r="773">
      <c r="B773" s="3" t="s">
        <v>648</v>
      </c>
      <c r="D773" s="3">
        <v>132000.0</v>
      </c>
      <c r="E773" s="3"/>
    </row>
    <row r="774">
      <c r="A774" s="3" t="s">
        <v>964</v>
      </c>
      <c r="B774" s="3" t="s">
        <v>594</v>
      </c>
      <c r="D774" s="3">
        <v>7279000.0</v>
      </c>
      <c r="E774" s="3"/>
      <c r="F774" s="3" t="s">
        <v>948</v>
      </c>
    </row>
    <row r="775">
      <c r="A775" s="3" t="s">
        <v>965</v>
      </c>
      <c r="B775" s="3" t="s">
        <v>375</v>
      </c>
      <c r="D775" s="3">
        <v>1265000.0</v>
      </c>
      <c r="E775" s="3"/>
      <c r="F775" s="3" t="s">
        <v>966</v>
      </c>
    </row>
    <row r="776">
      <c r="A776" s="3" t="s">
        <v>967</v>
      </c>
      <c r="B776" s="3" t="s">
        <v>267</v>
      </c>
      <c r="D776" s="3">
        <v>550000.0</v>
      </c>
      <c r="E776" s="3"/>
      <c r="F776" s="3" t="s">
        <v>968</v>
      </c>
    </row>
    <row r="777">
      <c r="A777" s="3" t="s">
        <v>969</v>
      </c>
      <c r="B777" s="3" t="s">
        <v>737</v>
      </c>
      <c r="D777" s="3">
        <v>1621793.0</v>
      </c>
      <c r="E777" s="3"/>
    </row>
    <row r="778">
      <c r="A778" s="3" t="s">
        <v>970</v>
      </c>
      <c r="B778" s="3" t="s">
        <v>280</v>
      </c>
      <c r="D778" s="3">
        <v>1547530.0</v>
      </c>
      <c r="E778" s="3"/>
    </row>
    <row r="779">
      <c r="A779" s="3" t="s">
        <v>971</v>
      </c>
      <c r="B779" s="3" t="s">
        <v>245</v>
      </c>
      <c r="D779" s="3">
        <v>1861790.0</v>
      </c>
      <c r="E779" s="3"/>
    </row>
    <row r="780">
      <c r="B780" s="3" t="s">
        <v>246</v>
      </c>
      <c r="D780" s="3">
        <v>1782318.0</v>
      </c>
      <c r="E780" s="3"/>
    </row>
    <row r="781">
      <c r="A781" s="3" t="s">
        <v>972</v>
      </c>
      <c r="B781" s="3" t="s">
        <v>362</v>
      </c>
      <c r="D781" s="3">
        <v>1752243.0</v>
      </c>
      <c r="E781" s="3"/>
    </row>
    <row r="782">
      <c r="A782" s="3" t="s">
        <v>971</v>
      </c>
      <c r="B782" s="3" t="s">
        <v>973</v>
      </c>
      <c r="D782" s="3">
        <v>18000.0</v>
      </c>
      <c r="E782" s="3"/>
    </row>
    <row r="783">
      <c r="B783" s="3" t="s">
        <v>770</v>
      </c>
      <c r="D783" s="3">
        <v>225450.0</v>
      </c>
      <c r="E783" s="3"/>
    </row>
    <row r="784">
      <c r="B784" s="3" t="s">
        <v>928</v>
      </c>
      <c r="D784" s="3">
        <v>15000.0</v>
      </c>
      <c r="E784" s="3"/>
    </row>
    <row r="785">
      <c r="A785" s="3" t="s">
        <v>974</v>
      </c>
      <c r="B785" s="3" t="s">
        <v>493</v>
      </c>
      <c r="D785" s="3">
        <v>250000.0</v>
      </c>
      <c r="E785" s="3"/>
    </row>
    <row r="786">
      <c r="B786" s="3" t="s">
        <v>727</v>
      </c>
      <c r="D786" s="3">
        <v>286764.0</v>
      </c>
      <c r="E786" s="3"/>
    </row>
    <row r="787">
      <c r="B787" s="3" t="s">
        <v>648</v>
      </c>
      <c r="D787" s="3">
        <v>132000.0</v>
      </c>
      <c r="E787" s="3"/>
    </row>
    <row r="788">
      <c r="A788" s="3" t="s">
        <v>975</v>
      </c>
      <c r="B788" s="3" t="s">
        <v>375</v>
      </c>
      <c r="D788" s="3">
        <v>1299620.0</v>
      </c>
      <c r="E788" s="3"/>
    </row>
    <row r="789">
      <c r="A789" s="3" t="s">
        <v>976</v>
      </c>
      <c r="B789" s="3" t="s">
        <v>346</v>
      </c>
      <c r="D789" s="3">
        <v>930790.0</v>
      </c>
      <c r="E789" s="3"/>
    </row>
    <row r="790">
      <c r="B790" s="3" t="s">
        <v>346</v>
      </c>
      <c r="D790" s="3">
        <v>903680.0</v>
      </c>
      <c r="E790" s="3"/>
    </row>
    <row r="791">
      <c r="A791" s="3" t="s">
        <v>975</v>
      </c>
      <c r="B791" s="3" t="s">
        <v>594</v>
      </c>
      <c r="D791" s="3">
        <v>7221000.0</v>
      </c>
      <c r="E791" s="3"/>
      <c r="F791" s="3" t="s">
        <v>948</v>
      </c>
    </row>
    <row r="792">
      <c r="B792" s="3" t="s">
        <v>977</v>
      </c>
      <c r="D792" s="3">
        <v>77000.0</v>
      </c>
      <c r="E792" s="3"/>
      <c r="F792" s="3" t="s">
        <v>978</v>
      </c>
    </row>
    <row r="793">
      <c r="A793" s="3" t="s">
        <v>979</v>
      </c>
      <c r="B793" s="3" t="s">
        <v>737</v>
      </c>
      <c r="D793" s="3">
        <v>1643213.0</v>
      </c>
      <c r="E793" s="3"/>
    </row>
    <row r="794">
      <c r="A794" s="3" t="s">
        <v>980</v>
      </c>
      <c r="B794" s="3" t="s">
        <v>280</v>
      </c>
      <c r="D794" s="3">
        <v>1635900.0</v>
      </c>
      <c r="E794" s="3"/>
    </row>
    <row r="795">
      <c r="A795" s="3" t="s">
        <v>981</v>
      </c>
      <c r="B795" s="3" t="s">
        <v>245</v>
      </c>
      <c r="D795" s="3">
        <v>2113520.0</v>
      </c>
      <c r="E795" s="3"/>
    </row>
    <row r="796">
      <c r="B796" s="3" t="s">
        <v>246</v>
      </c>
      <c r="D796" s="3">
        <v>2029508.0</v>
      </c>
      <c r="E796" s="3"/>
    </row>
    <row r="797">
      <c r="A797" s="3" t="s">
        <v>981</v>
      </c>
      <c r="B797" s="3" t="s">
        <v>362</v>
      </c>
      <c r="D797" s="3">
        <v>1801693.0</v>
      </c>
      <c r="E797" s="3"/>
    </row>
    <row r="798">
      <c r="A798" s="3" t="s">
        <v>982</v>
      </c>
      <c r="B798" s="3" t="s">
        <v>267</v>
      </c>
      <c r="D798" s="3">
        <v>500000.0</v>
      </c>
      <c r="E798" s="3"/>
      <c r="F798" s="3" t="s">
        <v>983</v>
      </c>
    </row>
    <row r="799">
      <c r="A799" s="3" t="s">
        <v>984</v>
      </c>
      <c r="B799" s="3" t="s">
        <v>985</v>
      </c>
      <c r="D799" s="3">
        <v>2188703.0</v>
      </c>
      <c r="E799" s="3"/>
    </row>
    <row r="800">
      <c r="B800" s="3" t="s">
        <v>567</v>
      </c>
      <c r="D800" s="3">
        <v>1932596.0</v>
      </c>
      <c r="E800" s="3"/>
    </row>
    <row r="801">
      <c r="B801" s="3" t="s">
        <v>568</v>
      </c>
      <c r="D801" s="3">
        <v>1628470.0</v>
      </c>
      <c r="E801" s="3"/>
    </row>
    <row r="802">
      <c r="A802" s="3" t="s">
        <v>980</v>
      </c>
      <c r="B802" s="3" t="s">
        <v>986</v>
      </c>
      <c r="D802" s="3">
        <v>900000.0</v>
      </c>
      <c r="E802" s="3"/>
      <c r="F802" s="3" t="s">
        <v>987</v>
      </c>
    </row>
    <row r="803">
      <c r="A803" s="3" t="s">
        <v>988</v>
      </c>
      <c r="B803" s="3" t="s">
        <v>871</v>
      </c>
      <c r="D803" s="3">
        <v>500000.0</v>
      </c>
      <c r="E803" s="3"/>
    </row>
    <row r="804">
      <c r="A804" s="3" t="s">
        <v>984</v>
      </c>
      <c r="B804" s="3" t="s">
        <v>493</v>
      </c>
      <c r="D804" s="3">
        <v>250000.0</v>
      </c>
      <c r="E804" s="3"/>
    </row>
    <row r="805">
      <c r="B805" s="3" t="s">
        <v>727</v>
      </c>
      <c r="D805" s="3">
        <v>361748.0</v>
      </c>
      <c r="E805" s="3"/>
    </row>
    <row r="806">
      <c r="B806" s="3" t="s">
        <v>648</v>
      </c>
      <c r="D806" s="3">
        <v>132000.0</v>
      </c>
      <c r="E806" s="3"/>
    </row>
    <row r="807">
      <c r="A807" s="3" t="s">
        <v>981</v>
      </c>
      <c r="B807" s="3" t="s">
        <v>770</v>
      </c>
      <c r="D807" s="3">
        <v>227680.0</v>
      </c>
      <c r="E807" s="3"/>
    </row>
    <row r="808">
      <c r="A808" s="3" t="s">
        <v>989</v>
      </c>
      <c r="B808" s="3" t="s">
        <v>990</v>
      </c>
      <c r="D808" s="3">
        <v>300000.0</v>
      </c>
      <c r="E808" s="3"/>
      <c r="F808" s="3" t="s">
        <v>991</v>
      </c>
    </row>
    <row r="809">
      <c r="B809" s="3" t="s">
        <v>992</v>
      </c>
      <c r="D809" s="3">
        <v>336600.0</v>
      </c>
      <c r="E809" s="3"/>
      <c r="F809" s="3" t="s">
        <v>993</v>
      </c>
    </row>
    <row r="810">
      <c r="A810" s="3" t="s">
        <v>994</v>
      </c>
      <c r="B810" s="3" t="s">
        <v>594</v>
      </c>
      <c r="D810" s="3">
        <v>7954000.0</v>
      </c>
      <c r="E810" s="3"/>
      <c r="F810" s="3" t="s">
        <v>948</v>
      </c>
    </row>
    <row r="811">
      <c r="A811" s="3" t="s">
        <v>995</v>
      </c>
      <c r="B811" s="3" t="s">
        <v>996</v>
      </c>
      <c r="D811" s="3">
        <v>2377920.0</v>
      </c>
      <c r="E811" s="3"/>
    </row>
    <row r="812">
      <c r="B812" s="3" t="s">
        <v>997</v>
      </c>
      <c r="D812" s="3">
        <v>71410.0</v>
      </c>
      <c r="E812" s="3"/>
    </row>
    <row r="813">
      <c r="B813" s="3" t="s">
        <v>998</v>
      </c>
      <c r="D813" s="3">
        <v>105290.0</v>
      </c>
      <c r="E813" s="3"/>
    </row>
    <row r="814">
      <c r="A814" s="3" t="s">
        <v>999</v>
      </c>
      <c r="B814" s="3" t="s">
        <v>737</v>
      </c>
      <c r="D814" s="3">
        <v>1620244.0</v>
      </c>
      <c r="E814" s="3"/>
    </row>
    <row r="815">
      <c r="A815" s="3" t="s">
        <v>1000</v>
      </c>
      <c r="B815" s="3" t="s">
        <v>280</v>
      </c>
      <c r="D815" s="3">
        <v>1598254.0</v>
      </c>
      <c r="E815" s="3"/>
    </row>
    <row r="816">
      <c r="A816" s="3" t="s">
        <v>1001</v>
      </c>
      <c r="B816" s="3" t="s">
        <v>245</v>
      </c>
      <c r="D816" s="3">
        <v>2800030.0</v>
      </c>
      <c r="E816" s="3"/>
    </row>
    <row r="817">
      <c r="B817" s="3" t="s">
        <v>246</v>
      </c>
      <c r="D817" s="3">
        <v>1881840.0</v>
      </c>
      <c r="E817" s="3"/>
    </row>
    <row r="818">
      <c r="A818" s="3" t="s">
        <v>1001</v>
      </c>
      <c r="B818" s="3" t="s">
        <v>362</v>
      </c>
      <c r="D818" s="3">
        <v>1749324.0</v>
      </c>
      <c r="E818" s="3"/>
    </row>
    <row r="819">
      <c r="B819" s="3" t="s">
        <v>267</v>
      </c>
      <c r="D819" s="3">
        <v>550000.0</v>
      </c>
      <c r="E819" s="3"/>
      <c r="F819" s="3" t="s">
        <v>1002</v>
      </c>
    </row>
    <row r="820">
      <c r="A820" s="3" t="s">
        <v>1003</v>
      </c>
      <c r="B820" s="3" t="s">
        <v>1004</v>
      </c>
      <c r="D820" s="3">
        <v>107000.0</v>
      </c>
      <c r="E820" s="3"/>
    </row>
    <row r="821">
      <c r="B821" s="3" t="s">
        <v>549</v>
      </c>
      <c r="D821" s="3">
        <v>198000.0</v>
      </c>
      <c r="E821" s="3"/>
      <c r="F821" s="3" t="s">
        <v>1005</v>
      </c>
    </row>
    <row r="822">
      <c r="A822" s="3" t="s">
        <v>1006</v>
      </c>
      <c r="B822" s="3" t="s">
        <v>770</v>
      </c>
      <c r="D822" s="3">
        <v>223220.0</v>
      </c>
      <c r="E822" s="3"/>
    </row>
    <row r="823">
      <c r="A823" s="3" t="s">
        <v>1007</v>
      </c>
      <c r="B823" s="3" t="s">
        <v>493</v>
      </c>
      <c r="D823" s="3">
        <v>250000.0</v>
      </c>
      <c r="E823" s="3"/>
    </row>
    <row r="824">
      <c r="B824" s="3" t="s">
        <v>727</v>
      </c>
      <c r="D824" s="3">
        <v>383472.0</v>
      </c>
      <c r="E824" s="3"/>
    </row>
    <row r="825">
      <c r="B825" s="3" t="s">
        <v>648</v>
      </c>
      <c r="D825" s="3">
        <v>132000.0</v>
      </c>
      <c r="E825" s="3"/>
    </row>
    <row r="826">
      <c r="B826" s="3" t="s">
        <v>1008</v>
      </c>
      <c r="D826" s="3">
        <v>425334.0</v>
      </c>
      <c r="E826" s="3"/>
      <c r="F826" s="3" t="s">
        <v>1009</v>
      </c>
    </row>
    <row r="827">
      <c r="B827" s="3" t="s">
        <v>1010</v>
      </c>
      <c r="D827" s="3">
        <v>1576403.0</v>
      </c>
      <c r="E827" s="3"/>
      <c r="F827" s="3" t="s">
        <v>1011</v>
      </c>
    </row>
    <row r="828">
      <c r="A828" s="3" t="s">
        <v>1012</v>
      </c>
      <c r="B828" s="3" t="s">
        <v>594</v>
      </c>
      <c r="D828" s="3">
        <v>8077000.0</v>
      </c>
      <c r="E828" s="3"/>
      <c r="F828" s="3" t="s">
        <v>1013</v>
      </c>
    </row>
    <row r="829">
      <c r="A829" s="3" t="s">
        <v>1014</v>
      </c>
      <c r="B829" s="3" t="s">
        <v>1015</v>
      </c>
      <c r="D829" s="3">
        <v>125430.0</v>
      </c>
      <c r="E829" s="3"/>
      <c r="F829" s="3" t="s">
        <v>1016</v>
      </c>
    </row>
    <row r="830">
      <c r="A830" s="3" t="s">
        <v>1017</v>
      </c>
      <c r="B830" s="3" t="s">
        <v>737</v>
      </c>
      <c r="D830" s="3">
        <v>1461064.0</v>
      </c>
      <c r="E830" s="3"/>
    </row>
    <row r="831">
      <c r="A831" s="3" t="s">
        <v>1018</v>
      </c>
      <c r="B831" s="3" t="s">
        <v>280</v>
      </c>
      <c r="D831" s="3">
        <v>1559264.0</v>
      </c>
      <c r="E831" s="3"/>
    </row>
    <row r="832">
      <c r="A832" s="3" t="s">
        <v>1019</v>
      </c>
      <c r="B832" s="3" t="s">
        <v>245</v>
      </c>
      <c r="D832" s="3">
        <v>1865420.0</v>
      </c>
      <c r="E832" s="3"/>
    </row>
    <row r="833">
      <c r="B833" s="3" t="s">
        <v>246</v>
      </c>
      <c r="D833" s="3">
        <v>1847830.0</v>
      </c>
      <c r="E833" s="3"/>
    </row>
    <row r="834">
      <c r="A834" s="3" t="s">
        <v>1020</v>
      </c>
      <c r="B834" s="3" t="s">
        <v>1021</v>
      </c>
      <c r="D834" s="3">
        <v>1094040.0</v>
      </c>
      <c r="E834" s="3"/>
    </row>
    <row r="835">
      <c r="A835" s="3" t="s">
        <v>1022</v>
      </c>
      <c r="B835" s="3" t="s">
        <v>1023</v>
      </c>
      <c r="D835" s="3">
        <v>130000.0</v>
      </c>
      <c r="E835" s="3"/>
    </row>
    <row r="836">
      <c r="A836" s="3" t="s">
        <v>1024</v>
      </c>
      <c r="B836" s="3" t="s">
        <v>1025</v>
      </c>
      <c r="D836" s="3">
        <v>2377920.0</v>
      </c>
      <c r="E836" s="3"/>
      <c r="F836" s="3" t="s">
        <v>275</v>
      </c>
    </row>
    <row r="837">
      <c r="A837" s="3" t="s">
        <v>1026</v>
      </c>
      <c r="B837" s="3" t="s">
        <v>1027</v>
      </c>
      <c r="D837" s="3">
        <v>67000.0</v>
      </c>
      <c r="E837" s="3"/>
    </row>
    <row r="838">
      <c r="B838" s="3" t="s">
        <v>267</v>
      </c>
      <c r="D838" s="3">
        <v>700000.0</v>
      </c>
      <c r="E838" s="3"/>
      <c r="F838" s="3" t="s">
        <v>1028</v>
      </c>
    </row>
    <row r="839">
      <c r="A839" s="3" t="s">
        <v>1019</v>
      </c>
      <c r="B839" s="3" t="s">
        <v>871</v>
      </c>
      <c r="D839" s="3">
        <v>500000.0</v>
      </c>
      <c r="E839" s="3"/>
    </row>
    <row r="840">
      <c r="B840" s="3" t="s">
        <v>544</v>
      </c>
      <c r="D840" s="3">
        <v>132810.0</v>
      </c>
      <c r="E840" s="3"/>
      <c r="F840" s="3" t="s">
        <v>1029</v>
      </c>
    </row>
    <row r="841">
      <c r="A841" s="3" t="s">
        <v>1020</v>
      </c>
      <c r="B841" s="3" t="s">
        <v>727</v>
      </c>
      <c r="D841" s="3">
        <v>299808.0</v>
      </c>
      <c r="E841" s="3"/>
    </row>
    <row r="842">
      <c r="B842" s="3" t="s">
        <v>648</v>
      </c>
      <c r="D842" s="3">
        <v>132000.0</v>
      </c>
      <c r="E842" s="3"/>
    </row>
    <row r="843">
      <c r="B843" s="3" t="s">
        <v>493</v>
      </c>
      <c r="D843" s="3">
        <v>250000.0</v>
      </c>
      <c r="E843" s="3"/>
    </row>
    <row r="844">
      <c r="B844" s="3" t="s">
        <v>1030</v>
      </c>
      <c r="D844" s="3">
        <v>160000.0</v>
      </c>
      <c r="E844" s="3"/>
      <c r="F844" s="3" t="s">
        <v>1031</v>
      </c>
    </row>
    <row r="845">
      <c r="A845" s="3" t="s">
        <v>1032</v>
      </c>
      <c r="B845" s="3" t="s">
        <v>594</v>
      </c>
      <c r="D845" s="3">
        <v>7916000.0</v>
      </c>
      <c r="E845" s="3"/>
      <c r="F845" s="3" t="s">
        <v>948</v>
      </c>
    </row>
    <row r="846">
      <c r="A846" s="3" t="s">
        <v>1032</v>
      </c>
      <c r="B846" s="3" t="s">
        <v>1025</v>
      </c>
      <c r="D846" s="3">
        <v>3017320.0</v>
      </c>
      <c r="E846" s="3"/>
      <c r="F846" s="3" t="s">
        <v>275</v>
      </c>
    </row>
    <row r="847">
      <c r="A847" s="3" t="s">
        <v>1033</v>
      </c>
      <c r="B847" s="3" t="s">
        <v>737</v>
      </c>
      <c r="D847" s="3">
        <v>1602144.0</v>
      </c>
      <c r="E847" s="3"/>
    </row>
    <row r="848">
      <c r="A848" s="3" t="s">
        <v>1034</v>
      </c>
      <c r="B848" s="3" t="s">
        <v>280</v>
      </c>
      <c r="D848" s="3">
        <v>1594254.0</v>
      </c>
      <c r="E848" s="3"/>
    </row>
    <row r="849">
      <c r="A849" s="3" t="s">
        <v>1035</v>
      </c>
      <c r="B849" s="3" t="s">
        <v>245</v>
      </c>
      <c r="D849" s="3">
        <v>1899680.0</v>
      </c>
      <c r="E849" s="3"/>
    </row>
    <row r="850">
      <c r="B850" s="3" t="s">
        <v>246</v>
      </c>
      <c r="D850" s="3">
        <v>1877770.0</v>
      </c>
      <c r="E850" s="3"/>
    </row>
    <row r="851">
      <c r="A851" s="3" t="s">
        <v>1036</v>
      </c>
      <c r="B851" s="3" t="s">
        <v>1021</v>
      </c>
      <c r="D851" s="3">
        <v>1099780.0</v>
      </c>
      <c r="E851" s="3"/>
    </row>
    <row r="852">
      <c r="A852" s="3" t="s">
        <v>1037</v>
      </c>
      <c r="B852" s="3" t="s">
        <v>267</v>
      </c>
      <c r="D852" s="3">
        <v>700000.0</v>
      </c>
      <c r="E852" s="3"/>
      <c r="F852" s="3" t="s">
        <v>1038</v>
      </c>
    </row>
    <row r="853">
      <c r="A853" s="3" t="s">
        <v>1039</v>
      </c>
      <c r="B853" s="3" t="s">
        <v>727</v>
      </c>
      <c r="D853" s="3">
        <v>207260.0</v>
      </c>
      <c r="E853" s="3"/>
    </row>
    <row r="854">
      <c r="B854" s="3" t="s">
        <v>648</v>
      </c>
      <c r="D854" s="3">
        <v>132000.0</v>
      </c>
      <c r="E854" s="3"/>
    </row>
    <row r="855">
      <c r="B855" s="3" t="s">
        <v>493</v>
      </c>
      <c r="D855" s="3">
        <v>250000.0</v>
      </c>
      <c r="E855" s="3"/>
    </row>
    <row r="856">
      <c r="B856" s="3" t="s">
        <v>860</v>
      </c>
      <c r="D856" s="3">
        <v>1650000.0</v>
      </c>
      <c r="E856" s="3"/>
    </row>
    <row r="857">
      <c r="A857" s="3" t="s">
        <v>1040</v>
      </c>
      <c r="B857" s="3" t="s">
        <v>1041</v>
      </c>
      <c r="D857" s="3">
        <v>1.152766E7</v>
      </c>
      <c r="E857" s="3"/>
    </row>
    <row r="858">
      <c r="B858" s="3" t="s">
        <v>1042</v>
      </c>
      <c r="D858" s="3">
        <v>137780.0</v>
      </c>
      <c r="E858" s="3"/>
    </row>
    <row r="859">
      <c r="B859" s="3" t="s">
        <v>1043</v>
      </c>
      <c r="D859" s="3">
        <v>2818640.0</v>
      </c>
      <c r="E859" s="3"/>
    </row>
    <row r="860">
      <c r="A860" s="3" t="s">
        <v>1044</v>
      </c>
      <c r="B860" s="3" t="s">
        <v>1025</v>
      </c>
      <c r="D860" s="3">
        <v>1888220.0</v>
      </c>
      <c r="E860" s="3"/>
    </row>
    <row r="861">
      <c r="A861" s="3" t="s">
        <v>1045</v>
      </c>
      <c r="B861" s="3" t="s">
        <v>1046</v>
      </c>
      <c r="D861" s="3">
        <v>8290400.0</v>
      </c>
      <c r="E861" s="3"/>
      <c r="F861" s="3" t="s">
        <v>1047</v>
      </c>
    </row>
    <row r="862">
      <c r="B862" s="3" t="s">
        <v>1048</v>
      </c>
      <c r="D862" s="3">
        <v>223190.0</v>
      </c>
      <c r="E862" s="3"/>
    </row>
    <row r="863">
      <c r="B863" s="3" t="s">
        <v>1049</v>
      </c>
      <c r="D863" s="3">
        <v>224860.0</v>
      </c>
      <c r="E863" s="3"/>
    </row>
    <row r="864">
      <c r="A864" s="3" t="s">
        <v>1050</v>
      </c>
      <c r="B864" s="3" t="s">
        <v>737</v>
      </c>
      <c r="D864" s="3">
        <v>1601074.0</v>
      </c>
      <c r="E864" s="3"/>
    </row>
    <row r="865">
      <c r="A865" s="3" t="s">
        <v>1051</v>
      </c>
      <c r="B865" s="3" t="s">
        <v>280</v>
      </c>
      <c r="D865" s="3">
        <v>1594254.0</v>
      </c>
      <c r="E865" s="3"/>
    </row>
    <row r="866">
      <c r="A866" s="3" t="s">
        <v>1052</v>
      </c>
      <c r="B866" s="3" t="s">
        <v>245</v>
      </c>
      <c r="D866" s="3">
        <v>1899680.0</v>
      </c>
      <c r="E866" s="3"/>
    </row>
    <row r="867">
      <c r="B867" s="3" t="s">
        <v>246</v>
      </c>
      <c r="D867" s="3">
        <v>1877770.0</v>
      </c>
      <c r="E867" s="3"/>
    </row>
    <row r="868">
      <c r="A868" s="3" t="s">
        <v>1053</v>
      </c>
      <c r="B868" s="3" t="s">
        <v>1021</v>
      </c>
      <c r="D868" s="3">
        <v>1586543.0</v>
      </c>
      <c r="E868" s="3"/>
    </row>
    <row r="869">
      <c r="A869" s="3" t="s">
        <v>1054</v>
      </c>
      <c r="B869" s="3" t="s">
        <v>871</v>
      </c>
      <c r="D869" s="3">
        <v>60000.0</v>
      </c>
      <c r="E869" s="3"/>
    </row>
    <row r="870">
      <c r="B870" s="3" t="s">
        <v>1055</v>
      </c>
      <c r="D870" s="3">
        <v>440000.0</v>
      </c>
      <c r="E870" s="3"/>
      <c r="F870" s="3" t="s">
        <v>1056</v>
      </c>
    </row>
    <row r="871">
      <c r="A871" s="3" t="s">
        <v>1057</v>
      </c>
      <c r="B871" s="3" t="s">
        <v>1058</v>
      </c>
      <c r="D871" s="3">
        <v>223240.0</v>
      </c>
      <c r="E871" s="3"/>
    </row>
    <row r="872">
      <c r="A872" s="3" t="s">
        <v>1059</v>
      </c>
      <c r="B872" s="3" t="s">
        <v>727</v>
      </c>
      <c r="D872" s="3">
        <v>110792.0</v>
      </c>
      <c r="E872" s="3"/>
      <c r="F872" s="3" t="s">
        <v>1060</v>
      </c>
    </row>
    <row r="873">
      <c r="B873" s="3" t="s">
        <v>648</v>
      </c>
      <c r="D873" s="3">
        <v>132000.0</v>
      </c>
      <c r="E873" s="3"/>
    </row>
    <row r="874">
      <c r="B874" s="3" t="s">
        <v>493</v>
      </c>
      <c r="D874" s="3">
        <v>250000.0</v>
      </c>
      <c r="E874" s="3"/>
    </row>
    <row r="875">
      <c r="A875" s="3" t="s">
        <v>1061</v>
      </c>
      <c r="B875" s="3" t="s">
        <v>267</v>
      </c>
      <c r="D875" s="3">
        <v>150000.0</v>
      </c>
      <c r="E875" s="3"/>
      <c r="F875" s="3" t="s">
        <v>1062</v>
      </c>
    </row>
    <row r="876">
      <c r="B876" s="3" t="s">
        <v>1063</v>
      </c>
      <c r="D876" s="3">
        <v>77000.0</v>
      </c>
      <c r="E876" s="3"/>
      <c r="F876" s="3" t="s">
        <v>1064</v>
      </c>
    </row>
    <row r="877">
      <c r="A877" s="3" t="s">
        <v>1065</v>
      </c>
      <c r="B877" s="3" t="s">
        <v>1025</v>
      </c>
      <c r="D877" s="3">
        <v>2160080.0</v>
      </c>
      <c r="E877" s="3"/>
    </row>
    <row r="878">
      <c r="A878" s="3" t="s">
        <v>1066</v>
      </c>
      <c r="B878" s="3" t="s">
        <v>1046</v>
      </c>
      <c r="D878" s="3">
        <v>7667000.0</v>
      </c>
      <c r="E878" s="3"/>
      <c r="F878" s="3" t="s">
        <v>1067</v>
      </c>
    </row>
    <row r="879">
      <c r="A879" s="3" t="s">
        <v>1068</v>
      </c>
      <c r="B879" s="3" t="s">
        <v>737</v>
      </c>
      <c r="D879" s="3">
        <v>1601074.0</v>
      </c>
      <c r="E879" s="3"/>
    </row>
    <row r="880">
      <c r="A880" s="3" t="s">
        <v>1066</v>
      </c>
      <c r="B880" s="3" t="s">
        <v>280</v>
      </c>
      <c r="D880" s="3">
        <v>1594254.0</v>
      </c>
      <c r="E880" s="3"/>
    </row>
    <row r="881">
      <c r="A881" s="3" t="s">
        <v>1069</v>
      </c>
      <c r="B881" s="3" t="s">
        <v>245</v>
      </c>
      <c r="D881" s="3">
        <v>2821400.0</v>
      </c>
      <c r="E881" s="3"/>
    </row>
    <row r="882">
      <c r="B882" s="3" t="s">
        <v>246</v>
      </c>
      <c r="D882" s="3">
        <v>1877770.0</v>
      </c>
      <c r="E882" s="3"/>
    </row>
    <row r="883">
      <c r="A883" s="3" t="s">
        <v>1070</v>
      </c>
      <c r="B883" s="3" t="s">
        <v>1021</v>
      </c>
      <c r="D883" s="3">
        <v>1586543.0</v>
      </c>
      <c r="E883" s="3"/>
    </row>
    <row r="884">
      <c r="A884" s="3" t="s">
        <v>1071</v>
      </c>
      <c r="B884" s="3" t="s">
        <v>533</v>
      </c>
      <c r="D884" s="3">
        <v>100000.0</v>
      </c>
      <c r="E884" s="3"/>
      <c r="F884" s="3" t="s">
        <v>1072</v>
      </c>
    </row>
    <row r="885">
      <c r="A885" s="3" t="s">
        <v>1069</v>
      </c>
      <c r="B885" s="3" t="s">
        <v>1073</v>
      </c>
      <c r="D885" s="3">
        <v>95000.0</v>
      </c>
      <c r="E885" s="3"/>
      <c r="F885" s="3" t="s">
        <v>1074</v>
      </c>
    </row>
    <row r="886">
      <c r="A886" s="3" t="s">
        <v>1075</v>
      </c>
      <c r="B886" s="3" t="s">
        <v>1076</v>
      </c>
      <c r="D886" s="3">
        <v>8453794.0</v>
      </c>
      <c r="E886" s="3"/>
      <c r="F886" s="3" t="s">
        <v>1077</v>
      </c>
    </row>
    <row r="887">
      <c r="B887" s="3" t="s">
        <v>727</v>
      </c>
      <c r="D887" s="3">
        <v>264796.0</v>
      </c>
      <c r="E887" s="3"/>
    </row>
    <row r="888">
      <c r="B888" s="3" t="s">
        <v>648</v>
      </c>
      <c r="D888" s="3">
        <v>132000.0</v>
      </c>
      <c r="E888" s="3"/>
    </row>
    <row r="889">
      <c r="B889" s="3" t="s">
        <v>493</v>
      </c>
      <c r="D889" s="3">
        <v>250000.0</v>
      </c>
      <c r="E889" s="3"/>
    </row>
    <row r="890">
      <c r="A890" s="3" t="s">
        <v>1078</v>
      </c>
      <c r="B890" s="3" t="s">
        <v>1079</v>
      </c>
      <c r="D890" s="3">
        <v>232570.0</v>
      </c>
      <c r="E890" s="3"/>
    </row>
    <row r="891">
      <c r="A891" s="3" t="s">
        <v>1080</v>
      </c>
      <c r="B891" s="3" t="s">
        <v>370</v>
      </c>
      <c r="D891" s="3">
        <v>1100000.0</v>
      </c>
      <c r="E891" s="3"/>
      <c r="F891" s="3" t="s">
        <v>1081</v>
      </c>
    </row>
    <row r="892">
      <c r="B892" s="3" t="s">
        <v>544</v>
      </c>
      <c r="D892" s="3">
        <v>188320.0</v>
      </c>
      <c r="E892" s="3"/>
      <c r="F892" s="3" t="s">
        <v>1082</v>
      </c>
    </row>
    <row r="893">
      <c r="D893" s="3">
        <v>51790.0</v>
      </c>
      <c r="E893" s="3"/>
      <c r="F893" s="3" t="s">
        <v>1083</v>
      </c>
    </row>
    <row r="894">
      <c r="A894" s="3" t="s">
        <v>1084</v>
      </c>
      <c r="B894" s="3" t="s">
        <v>1025</v>
      </c>
      <c r="D894" s="3">
        <v>2663620.0</v>
      </c>
      <c r="E894" s="3"/>
    </row>
    <row r="895">
      <c r="A895" s="3" t="s">
        <v>1085</v>
      </c>
      <c r="B895" s="3" t="s">
        <v>774</v>
      </c>
      <c r="D895" s="3">
        <v>115000.0</v>
      </c>
      <c r="E895" s="3"/>
    </row>
    <row r="896">
      <c r="A896" s="3" t="s">
        <v>1086</v>
      </c>
      <c r="B896" s="3" t="s">
        <v>737</v>
      </c>
      <c r="D896" s="3">
        <v>1601073.0</v>
      </c>
      <c r="E896" s="3"/>
    </row>
    <row r="897">
      <c r="A897" s="3" t="s">
        <v>1087</v>
      </c>
      <c r="B897" s="3" t="s">
        <v>280</v>
      </c>
      <c r="D897" s="3">
        <v>1602753.0</v>
      </c>
      <c r="E897" s="3"/>
    </row>
    <row r="898">
      <c r="A898" s="3" t="s">
        <v>1088</v>
      </c>
      <c r="B898" s="3" t="s">
        <v>245</v>
      </c>
      <c r="D898" s="3">
        <v>1903290.0</v>
      </c>
      <c r="E898" s="3"/>
    </row>
    <row r="899">
      <c r="B899" s="3" t="s">
        <v>246</v>
      </c>
      <c r="D899" s="3">
        <v>1877770.0</v>
      </c>
      <c r="E899" s="3"/>
    </row>
    <row r="900">
      <c r="A900" s="3" t="s">
        <v>1089</v>
      </c>
      <c r="B900" s="3" t="s">
        <v>1021</v>
      </c>
      <c r="D900" s="3">
        <v>1586543.0</v>
      </c>
      <c r="E900" s="3"/>
    </row>
    <row r="901">
      <c r="A901" s="3" t="s">
        <v>1090</v>
      </c>
      <c r="B901" s="3" t="s">
        <v>1091</v>
      </c>
      <c r="D901" s="3">
        <v>70000.0</v>
      </c>
      <c r="E901" s="3"/>
      <c r="F901" s="3" t="s">
        <v>1092</v>
      </c>
    </row>
    <row r="902">
      <c r="A902" s="3" t="s">
        <v>1093</v>
      </c>
      <c r="B902" s="3" t="s">
        <v>727</v>
      </c>
      <c r="D902" s="3">
        <v>311588.0</v>
      </c>
      <c r="E902" s="3"/>
    </row>
    <row r="903">
      <c r="B903" s="3" t="s">
        <v>648</v>
      </c>
      <c r="D903" s="3">
        <v>132000.0</v>
      </c>
      <c r="E903" s="3"/>
    </row>
    <row r="904">
      <c r="B904" s="3" t="s">
        <v>493</v>
      </c>
      <c r="D904" s="3">
        <v>250000.0</v>
      </c>
      <c r="E904" s="3"/>
    </row>
    <row r="905">
      <c r="A905" s="3" t="s">
        <v>1094</v>
      </c>
      <c r="B905" s="3" t="s">
        <v>1079</v>
      </c>
      <c r="D905" s="3">
        <v>235380.0</v>
      </c>
      <c r="E905" s="3"/>
    </row>
    <row r="906">
      <c r="B906" s="3" t="s">
        <v>1095</v>
      </c>
      <c r="D906" s="3">
        <v>62500.0</v>
      </c>
      <c r="E906" s="3"/>
    </row>
    <row r="907">
      <c r="B907" s="3" t="s">
        <v>1096</v>
      </c>
      <c r="D907" s="3">
        <v>15000.0</v>
      </c>
      <c r="E907" s="3"/>
    </row>
    <row r="908">
      <c r="A908" s="3" t="s">
        <v>1097</v>
      </c>
      <c r="B908" s="3" t="s">
        <v>1076</v>
      </c>
      <c r="D908" s="3">
        <v>8626110.0</v>
      </c>
      <c r="E908" s="3"/>
      <c r="F908" s="3" t="s">
        <v>1098</v>
      </c>
    </row>
    <row r="909">
      <c r="A909" s="3" t="s">
        <v>1099</v>
      </c>
      <c r="B909" s="3" t="s">
        <v>1100</v>
      </c>
      <c r="D909" s="3">
        <v>100000.0</v>
      </c>
      <c r="E909" s="3"/>
      <c r="F909" s="3" t="s">
        <v>1092</v>
      </c>
    </row>
    <row r="910">
      <c r="A910" s="3" t="s">
        <v>1101</v>
      </c>
      <c r="B910" s="3" t="s">
        <v>737</v>
      </c>
      <c r="D910" s="3">
        <v>1601073.0</v>
      </c>
      <c r="E910" s="3"/>
    </row>
    <row r="911">
      <c r="A911" s="3" t="s">
        <v>1102</v>
      </c>
      <c r="B911" s="3" t="s">
        <v>280</v>
      </c>
      <c r="D911" s="3">
        <v>1602753.0</v>
      </c>
      <c r="E911" s="3"/>
    </row>
    <row r="912">
      <c r="A912" s="3" t="s">
        <v>1103</v>
      </c>
      <c r="B912" s="3" t="s">
        <v>245</v>
      </c>
      <c r="D912" s="3">
        <v>2804020.0</v>
      </c>
      <c r="E912" s="3"/>
    </row>
    <row r="913">
      <c r="B913" s="3" t="s">
        <v>246</v>
      </c>
      <c r="D913" s="3">
        <v>1877770.0</v>
      </c>
      <c r="E913" s="3"/>
    </row>
    <row r="914">
      <c r="A914" s="3" t="s">
        <v>1104</v>
      </c>
      <c r="B914" s="3" t="s">
        <v>1021</v>
      </c>
      <c r="D914" s="3">
        <v>1586543.0</v>
      </c>
      <c r="E914" s="3"/>
    </row>
    <row r="915">
      <c r="A915" s="3" t="s">
        <v>1105</v>
      </c>
      <c r="B915" s="3" t="s">
        <v>1025</v>
      </c>
      <c r="D915" s="3">
        <v>1980880.0</v>
      </c>
      <c r="E915" s="3"/>
    </row>
    <row r="916">
      <c r="A916" s="3" t="s">
        <v>1106</v>
      </c>
      <c r="B916" s="3" t="s">
        <v>544</v>
      </c>
      <c r="D916" s="3">
        <v>62520.0</v>
      </c>
      <c r="E916" s="3"/>
      <c r="F916" s="3" t="s">
        <v>1016</v>
      </c>
    </row>
    <row r="917">
      <c r="B917" s="3" t="s">
        <v>1004</v>
      </c>
      <c r="D917" s="3">
        <v>88000.0</v>
      </c>
      <c r="E917" s="3"/>
      <c r="F917" s="3" t="s">
        <v>1107</v>
      </c>
    </row>
    <row r="918">
      <c r="A918" s="3" t="s">
        <v>1102</v>
      </c>
      <c r="B918" s="3" t="s">
        <v>1108</v>
      </c>
      <c r="D918" s="3">
        <v>103170.0</v>
      </c>
      <c r="E918" s="3"/>
      <c r="F918" s="3" t="s">
        <v>275</v>
      </c>
    </row>
    <row r="919">
      <c r="A919" s="3" t="s">
        <v>1109</v>
      </c>
      <c r="B919" s="3" t="s">
        <v>1079</v>
      </c>
      <c r="D919" s="3">
        <v>234810.0</v>
      </c>
      <c r="E919" s="3"/>
    </row>
    <row r="920">
      <c r="A920" s="3" t="s">
        <v>1104</v>
      </c>
      <c r="B920" s="3" t="s">
        <v>727</v>
      </c>
      <c r="D920" s="3">
        <v>217392.0</v>
      </c>
      <c r="E920" s="3"/>
    </row>
    <row r="921">
      <c r="B921" s="3" t="s">
        <v>648</v>
      </c>
      <c r="D921" s="3">
        <v>132000.0</v>
      </c>
      <c r="E921" s="3"/>
    </row>
    <row r="922">
      <c r="B922" s="3" t="s">
        <v>493</v>
      </c>
      <c r="D922" s="3">
        <v>250000.0</v>
      </c>
      <c r="E922" s="3"/>
    </row>
    <row r="923">
      <c r="B923" s="3" t="s">
        <v>1076</v>
      </c>
      <c r="D923" s="3">
        <v>8443196.0</v>
      </c>
      <c r="E923" s="3"/>
    </row>
    <row r="924">
      <c r="A924" s="3" t="s">
        <v>1110</v>
      </c>
      <c r="B924" s="3" t="s">
        <v>294</v>
      </c>
      <c r="D924" s="3">
        <v>1500000.0</v>
      </c>
      <c r="E924" s="3"/>
      <c r="F924" s="3" t="s">
        <v>1111</v>
      </c>
    </row>
    <row r="925">
      <c r="B925" s="3" t="s">
        <v>843</v>
      </c>
      <c r="D925" s="3">
        <v>200000.0</v>
      </c>
      <c r="E925" s="3"/>
    </row>
    <row r="926">
      <c r="B926" s="3" t="s">
        <v>544</v>
      </c>
      <c r="D926" s="3">
        <v>178510.0</v>
      </c>
      <c r="E926" s="3"/>
      <c r="F926" s="3" t="s">
        <v>1112</v>
      </c>
    </row>
    <row r="927">
      <c r="A927" s="3" t="s">
        <v>1113</v>
      </c>
      <c r="B927" s="3" t="s">
        <v>1096</v>
      </c>
      <c r="D927" s="3">
        <v>15000.0</v>
      </c>
      <c r="E927" s="3"/>
    </row>
    <row r="928">
      <c r="B928" s="3" t="s">
        <v>370</v>
      </c>
      <c r="D928" s="3">
        <v>1000000.0</v>
      </c>
      <c r="E928" s="3"/>
      <c r="F928" s="3" t="s">
        <v>1081</v>
      </c>
    </row>
    <row r="929">
      <c r="A929" s="3" t="s">
        <v>1114</v>
      </c>
      <c r="B929" s="3" t="s">
        <v>1025</v>
      </c>
      <c r="D929" s="3">
        <v>1981900.0</v>
      </c>
      <c r="E929" s="3"/>
    </row>
    <row r="930">
      <c r="A930" s="3" t="s">
        <v>1115</v>
      </c>
      <c r="B930" s="3" t="s">
        <v>737</v>
      </c>
      <c r="D930" s="3">
        <v>1601073.0</v>
      </c>
      <c r="E930" s="3"/>
    </row>
    <row r="931">
      <c r="A931" s="3" t="s">
        <v>1116</v>
      </c>
      <c r="B931" s="3" t="s">
        <v>280</v>
      </c>
      <c r="D931" s="3">
        <v>1602753.0</v>
      </c>
      <c r="E931" s="3"/>
    </row>
    <row r="932">
      <c r="A932" s="3" t="s">
        <v>1117</v>
      </c>
      <c r="B932" s="3" t="s">
        <v>245</v>
      </c>
      <c r="D932" s="3">
        <v>1854020.0</v>
      </c>
      <c r="E932" s="3"/>
    </row>
    <row r="933">
      <c r="B933" s="3" t="s">
        <v>246</v>
      </c>
      <c r="D933" s="3">
        <v>1877770.0</v>
      </c>
      <c r="E933" s="3"/>
    </row>
    <row r="934">
      <c r="A934" s="3" t="s">
        <v>1118</v>
      </c>
      <c r="B934" s="3" t="s">
        <v>1021</v>
      </c>
      <c r="D934" s="3">
        <v>1586543.0</v>
      </c>
      <c r="E934" s="3"/>
    </row>
    <row r="935">
      <c r="A935" s="3" t="s">
        <v>1119</v>
      </c>
      <c r="B935" s="3" t="s">
        <v>1120</v>
      </c>
      <c r="D935" s="3">
        <v>150000.0</v>
      </c>
      <c r="E935" s="3"/>
    </row>
    <row r="936">
      <c r="A936" s="3" t="s">
        <v>1121</v>
      </c>
      <c r="B936" s="3" t="s">
        <v>843</v>
      </c>
      <c r="D936" s="3">
        <v>200000.0</v>
      </c>
      <c r="E936" s="3"/>
    </row>
    <row r="937">
      <c r="A937" s="3" t="s">
        <v>1122</v>
      </c>
      <c r="B937" s="3" t="s">
        <v>727</v>
      </c>
      <c r="D937" s="3">
        <v>190272.0</v>
      </c>
      <c r="E937" s="3"/>
    </row>
    <row r="938">
      <c r="B938" s="3" t="s">
        <v>648</v>
      </c>
      <c r="D938" s="3">
        <v>132000.0</v>
      </c>
      <c r="E938" s="3"/>
    </row>
    <row r="939">
      <c r="B939" s="3" t="s">
        <v>493</v>
      </c>
      <c r="D939" s="3">
        <v>250000.0</v>
      </c>
      <c r="E939" s="3"/>
    </row>
    <row r="940">
      <c r="B940" s="3" t="s">
        <v>1076</v>
      </c>
      <c r="D940" s="3">
        <v>8317294.0</v>
      </c>
      <c r="E940" s="3"/>
    </row>
    <row r="941">
      <c r="A941" s="3" t="s">
        <v>1123</v>
      </c>
      <c r="B941" s="3" t="s">
        <v>770</v>
      </c>
      <c r="D941" s="3">
        <v>225480.0</v>
      </c>
      <c r="E941" s="3"/>
    </row>
    <row r="942">
      <c r="A942" s="3" t="s">
        <v>1124</v>
      </c>
      <c r="B942" s="3" t="s">
        <v>762</v>
      </c>
      <c r="D942" s="3">
        <v>730000.0</v>
      </c>
      <c r="E942" s="3"/>
    </row>
    <row r="943">
      <c r="A943" s="3" t="s">
        <v>1125</v>
      </c>
      <c r="B943" s="3" t="s">
        <v>1025</v>
      </c>
      <c r="D943" s="3">
        <v>1981900.0</v>
      </c>
      <c r="E943" s="3"/>
      <c r="F943" s="3" t="s">
        <v>1126</v>
      </c>
    </row>
    <row r="944">
      <c r="A944" s="3" t="s">
        <v>1127</v>
      </c>
      <c r="B944" s="3" t="s">
        <v>737</v>
      </c>
      <c r="D944" s="3">
        <v>1601073.0</v>
      </c>
      <c r="E944" s="3"/>
    </row>
    <row r="945">
      <c r="B945" s="3" t="s">
        <v>1128</v>
      </c>
      <c r="D945" s="3">
        <v>1684493.0</v>
      </c>
      <c r="E945" s="3"/>
    </row>
    <row r="946">
      <c r="A946" s="3" t="s">
        <v>1129</v>
      </c>
      <c r="B946" s="3" t="s">
        <v>280</v>
      </c>
      <c r="D946" s="3">
        <v>1602753.0</v>
      </c>
      <c r="E946" s="3"/>
    </row>
    <row r="947">
      <c r="A947" s="3" t="s">
        <v>1130</v>
      </c>
      <c r="B947" s="3" t="s">
        <v>245</v>
      </c>
      <c r="D947" s="3">
        <v>1854020.0</v>
      </c>
      <c r="E947" s="3"/>
    </row>
    <row r="948">
      <c r="B948" s="3" t="s">
        <v>246</v>
      </c>
      <c r="D948" s="3">
        <v>1877770.0</v>
      </c>
      <c r="E948" s="3"/>
    </row>
    <row r="949">
      <c r="A949" s="3" t="s">
        <v>1131</v>
      </c>
      <c r="B949" s="3" t="s">
        <v>1021</v>
      </c>
      <c r="D949" s="3">
        <v>1586543.0</v>
      </c>
      <c r="E949" s="3"/>
    </row>
    <row r="950">
      <c r="A950" s="3" t="s">
        <v>1132</v>
      </c>
      <c r="B950" s="3" t="s">
        <v>843</v>
      </c>
      <c r="D950" s="3">
        <v>300000.0</v>
      </c>
      <c r="E950" s="3"/>
    </row>
    <row r="951">
      <c r="A951" s="3" t="s">
        <v>1133</v>
      </c>
      <c r="B951" s="3" t="s">
        <v>1134</v>
      </c>
      <c r="D951" s="3">
        <v>1.409321E7</v>
      </c>
      <c r="E951" s="3"/>
      <c r="F951" s="3" t="s">
        <v>1135</v>
      </c>
    </row>
    <row r="952">
      <c r="B952" s="3" t="s">
        <v>1136</v>
      </c>
      <c r="D952" s="3">
        <v>15000.0</v>
      </c>
      <c r="E952" s="3"/>
    </row>
    <row r="953">
      <c r="D953" s="3">
        <v>15000.0</v>
      </c>
      <c r="E953" s="3"/>
    </row>
    <row r="954">
      <c r="B954" s="3" t="s">
        <v>1137</v>
      </c>
      <c r="D954" s="3">
        <v>225620.0</v>
      </c>
      <c r="E954" s="3"/>
    </row>
    <row r="955">
      <c r="B955" s="3" t="s">
        <v>1138</v>
      </c>
      <c r="D955" s="3">
        <v>968000.0</v>
      </c>
      <c r="E955" s="3"/>
      <c r="F955" s="3" t="s">
        <v>1139</v>
      </c>
    </row>
    <row r="956">
      <c r="A956" s="3" t="s">
        <v>1140</v>
      </c>
      <c r="B956" s="3" t="s">
        <v>727</v>
      </c>
      <c r="D956" s="3">
        <v>355952.0</v>
      </c>
      <c r="E956" s="3"/>
    </row>
    <row r="957">
      <c r="B957" s="3" t="s">
        <v>648</v>
      </c>
      <c r="D957" s="3">
        <v>132000.0</v>
      </c>
      <c r="E957" s="3"/>
    </row>
    <row r="958">
      <c r="B958" s="3" t="s">
        <v>493</v>
      </c>
      <c r="D958" s="3">
        <v>250000.0</v>
      </c>
      <c r="E958" s="3"/>
    </row>
    <row r="959">
      <c r="B959" s="3" t="s">
        <v>1076</v>
      </c>
      <c r="D959" s="3">
        <v>8606071.0</v>
      </c>
      <c r="E959" s="3"/>
    </row>
    <row r="960">
      <c r="A960" s="3" t="s">
        <v>1141</v>
      </c>
      <c r="B960" s="3" t="s">
        <v>737</v>
      </c>
      <c r="D960" s="3">
        <v>1601073.0</v>
      </c>
      <c r="E960" s="3"/>
    </row>
    <row r="961">
      <c r="A961" s="3" t="s">
        <v>1142</v>
      </c>
      <c r="B961" s="3" t="s">
        <v>280</v>
      </c>
      <c r="D961" s="3">
        <v>1602753.0</v>
      </c>
      <c r="E961" s="3"/>
    </row>
    <row r="962">
      <c r="A962" s="3" t="s">
        <v>1143</v>
      </c>
      <c r="B962" s="3" t="s">
        <v>245</v>
      </c>
      <c r="D962" s="3">
        <v>2804020.0</v>
      </c>
      <c r="E962" s="3"/>
    </row>
    <row r="963">
      <c r="B963" s="3" t="s">
        <v>246</v>
      </c>
      <c r="D963" s="3">
        <v>1877770.0</v>
      </c>
      <c r="E963" s="3"/>
    </row>
    <row r="964">
      <c r="A964" s="3" t="s">
        <v>1144</v>
      </c>
      <c r="B964" s="3" t="s">
        <v>1021</v>
      </c>
      <c r="D964" s="3">
        <v>1586543.0</v>
      </c>
      <c r="E964" s="3"/>
    </row>
    <row r="965">
      <c r="A965" s="3" t="s">
        <v>1145</v>
      </c>
      <c r="B965" s="3" t="s">
        <v>1025</v>
      </c>
      <c r="D965" s="3">
        <v>1981900.0</v>
      </c>
      <c r="E965" s="3"/>
      <c r="F965" s="3" t="s">
        <v>1126</v>
      </c>
    </row>
    <row r="966">
      <c r="A966" s="3" t="s">
        <v>1146</v>
      </c>
      <c r="B966" s="3" t="s">
        <v>340</v>
      </c>
      <c r="D966" s="3">
        <v>77000.0</v>
      </c>
      <c r="E966" s="3"/>
      <c r="F966" s="3" t="s">
        <v>1147</v>
      </c>
    </row>
    <row r="967">
      <c r="D967" s="3">
        <v>198000.0</v>
      </c>
      <c r="E967" s="3"/>
    </row>
    <row r="968">
      <c r="A968" s="3" t="s">
        <v>1143</v>
      </c>
      <c r="B968" s="3" t="s">
        <v>1148</v>
      </c>
      <c r="D968" s="3">
        <v>1844175.0</v>
      </c>
      <c r="E968" s="3"/>
    </row>
    <row r="969">
      <c r="A969" s="3" t="s">
        <v>1149</v>
      </c>
      <c r="B969" s="3" t="s">
        <v>1150</v>
      </c>
      <c r="D969">
        <f>1657690-1601073</f>
        <v>56617</v>
      </c>
      <c r="F969" s="3" t="s">
        <v>1151</v>
      </c>
    </row>
    <row r="970">
      <c r="B970" s="3" t="s">
        <v>1152</v>
      </c>
      <c r="D970" s="3">
        <v>77000.0</v>
      </c>
      <c r="E970" s="3"/>
      <c r="F970" s="3" t="s">
        <v>1153</v>
      </c>
    </row>
    <row r="971">
      <c r="B971" s="3" t="s">
        <v>544</v>
      </c>
      <c r="D971" s="3">
        <v>100000.0</v>
      </c>
      <c r="E971" s="3"/>
    </row>
    <row r="972">
      <c r="A972" s="3" t="s">
        <v>1154</v>
      </c>
      <c r="B972" s="3" t="s">
        <v>843</v>
      </c>
      <c r="D972" s="3">
        <v>300000.0</v>
      </c>
      <c r="E972" s="3"/>
    </row>
    <row r="973">
      <c r="B973" s="3" t="s">
        <v>1137</v>
      </c>
      <c r="D973" s="3">
        <v>223360.0</v>
      </c>
      <c r="E973" s="3"/>
    </row>
    <row r="974">
      <c r="A974" s="3" t="s">
        <v>1144</v>
      </c>
      <c r="B974" s="3" t="s">
        <v>727</v>
      </c>
      <c r="D974" s="3">
        <v>116656.0</v>
      </c>
      <c r="E974" s="3"/>
    </row>
    <row r="975">
      <c r="B975" s="3" t="s">
        <v>648</v>
      </c>
      <c r="D975" s="3">
        <v>132000.0</v>
      </c>
      <c r="E975" s="3"/>
    </row>
    <row r="976">
      <c r="B976" s="3" t="s">
        <v>493</v>
      </c>
      <c r="D976" s="3">
        <v>250000.0</v>
      </c>
      <c r="E976" s="3"/>
    </row>
    <row r="977">
      <c r="B977" s="3" t="s">
        <v>1076</v>
      </c>
      <c r="D977" s="3">
        <v>8187434.0</v>
      </c>
      <c r="E977" s="3"/>
    </row>
    <row r="978">
      <c r="A978" s="3" t="s">
        <v>1155</v>
      </c>
      <c r="B978" s="3" t="s">
        <v>370</v>
      </c>
      <c r="D978" s="3">
        <v>600000.0</v>
      </c>
      <c r="E978" s="3"/>
      <c r="F978" s="3" t="s">
        <v>1081</v>
      </c>
    </row>
    <row r="979">
      <c r="A979" s="3" t="s">
        <v>1156</v>
      </c>
      <c r="B979" s="3" t="s">
        <v>1025</v>
      </c>
      <c r="D979" s="3">
        <v>7845800.0</v>
      </c>
      <c r="E979" s="3"/>
      <c r="F979" s="3" t="s">
        <v>1126</v>
      </c>
    </row>
    <row r="980">
      <c r="A980" s="3" t="s">
        <v>1157</v>
      </c>
      <c r="B980" s="3" t="s">
        <v>737</v>
      </c>
      <c r="D980" s="3">
        <v>1657690.0</v>
      </c>
      <c r="E980" s="3"/>
    </row>
    <row r="981">
      <c r="A981" s="3" t="s">
        <v>1158</v>
      </c>
      <c r="B981" s="3" t="s">
        <v>280</v>
      </c>
      <c r="D981" s="3">
        <v>1602753.0</v>
      </c>
      <c r="E981" s="3"/>
    </row>
    <row r="982">
      <c r="A982" s="3" t="s">
        <v>1159</v>
      </c>
      <c r="B982" s="3" t="s">
        <v>246</v>
      </c>
      <c r="D982" s="3">
        <v>1877770.0</v>
      </c>
      <c r="E982" s="3"/>
    </row>
    <row r="983">
      <c r="A983" s="3" t="s">
        <v>1160</v>
      </c>
      <c r="B983" s="3" t="s">
        <v>1021</v>
      </c>
      <c r="D983" s="3">
        <v>1586543.0</v>
      </c>
      <c r="E983" s="3"/>
    </row>
    <row r="984">
      <c r="A984" s="3" t="s">
        <v>1161</v>
      </c>
      <c r="B984" s="3" t="s">
        <v>1162</v>
      </c>
      <c r="D984" s="3">
        <v>200000.0</v>
      </c>
      <c r="E984" s="3"/>
    </row>
    <row r="985">
      <c r="A985" s="3" t="s">
        <v>1163</v>
      </c>
      <c r="B985" s="3" t="s">
        <v>727</v>
      </c>
      <c r="D985" s="3">
        <v>126308.0</v>
      </c>
      <c r="E985" s="3"/>
    </row>
    <row r="986">
      <c r="B986" s="3" t="s">
        <v>648</v>
      </c>
      <c r="D986" s="3">
        <v>132000.0</v>
      </c>
      <c r="E986" s="3"/>
    </row>
    <row r="987">
      <c r="B987" s="3" t="s">
        <v>493</v>
      </c>
      <c r="D987" s="3">
        <v>250000.0</v>
      </c>
      <c r="E987" s="3"/>
    </row>
    <row r="988">
      <c r="B988" s="3" t="s">
        <v>1076</v>
      </c>
      <c r="D988" s="3">
        <v>8351504.0</v>
      </c>
      <c r="E988" s="3"/>
    </row>
    <row r="989">
      <c r="A989" s="3" t="s">
        <v>1164</v>
      </c>
      <c r="B989" s="3" t="s">
        <v>843</v>
      </c>
      <c r="D989" s="3">
        <v>300000.0</v>
      </c>
      <c r="E989" s="3"/>
    </row>
    <row r="990">
      <c r="A990" s="3" t="s">
        <v>1165</v>
      </c>
      <c r="B990" s="3" t="s">
        <v>1166</v>
      </c>
      <c r="D990" s="3">
        <v>18000.0</v>
      </c>
      <c r="E990" s="3"/>
      <c r="F990" s="3" t="s">
        <v>275</v>
      </c>
    </row>
    <row r="991">
      <c r="B991" s="3" t="s">
        <v>1137</v>
      </c>
      <c r="D991" s="3">
        <v>229730.0</v>
      </c>
      <c r="E991" s="3"/>
    </row>
    <row r="992">
      <c r="B992" s="3" t="s">
        <v>1136</v>
      </c>
      <c r="D992" s="3">
        <v>15000.0</v>
      </c>
      <c r="E992" s="3"/>
    </row>
    <row r="993">
      <c r="A993" s="3" t="s">
        <v>1167</v>
      </c>
      <c r="B993" s="3" t="s">
        <v>1162</v>
      </c>
      <c r="D993" s="3">
        <v>150000.0</v>
      </c>
      <c r="E993" s="3"/>
    </row>
    <row r="994">
      <c r="A994" s="3" t="s">
        <v>1163</v>
      </c>
      <c r="B994" s="3" t="s">
        <v>370</v>
      </c>
      <c r="D994" s="3">
        <v>400000.0</v>
      </c>
      <c r="E994" s="3"/>
      <c r="F994" s="3" t="s">
        <v>1081</v>
      </c>
    </row>
    <row r="995">
      <c r="A995" s="3" t="s">
        <v>1168</v>
      </c>
      <c r="B995" s="3" t="s">
        <v>737</v>
      </c>
      <c r="D995" s="3">
        <v>1637320.0</v>
      </c>
      <c r="E995" s="3"/>
    </row>
    <row r="996">
      <c r="A996" s="3" t="s">
        <v>1169</v>
      </c>
      <c r="B996" s="3" t="s">
        <v>280</v>
      </c>
      <c r="D996" s="3">
        <v>1585130.0</v>
      </c>
      <c r="E996" s="3"/>
    </row>
    <row r="997">
      <c r="A997" s="3" t="s">
        <v>1170</v>
      </c>
      <c r="B997" s="3" t="s">
        <v>246</v>
      </c>
      <c r="D997" s="3">
        <v>1867740.0</v>
      </c>
      <c r="E997" s="3"/>
    </row>
    <row r="998">
      <c r="A998" s="3" t="s">
        <v>1171</v>
      </c>
      <c r="B998" s="3" t="s">
        <v>1021</v>
      </c>
      <c r="D998" s="3">
        <v>1585130.0</v>
      </c>
      <c r="E998" s="3"/>
    </row>
    <row r="999">
      <c r="A999" s="3" t="s">
        <v>1172</v>
      </c>
      <c r="B999" s="3" t="s">
        <v>1025</v>
      </c>
      <c r="D999" s="3">
        <v>2363030.0</v>
      </c>
      <c r="E999" s="3"/>
      <c r="F999" s="3" t="s">
        <v>1126</v>
      </c>
    </row>
    <row r="1000">
      <c r="A1000" s="3" t="s">
        <v>1173</v>
      </c>
      <c r="B1000" s="3" t="s">
        <v>1162</v>
      </c>
      <c r="D1000" s="3">
        <v>150000.0</v>
      </c>
      <c r="E1000" s="3"/>
    </row>
    <row r="1001">
      <c r="A1001" s="3" t="s">
        <v>1169</v>
      </c>
      <c r="B1001" s="3" t="s">
        <v>1174</v>
      </c>
      <c r="D1001" s="3">
        <v>1747784.0</v>
      </c>
      <c r="E1001" s="3"/>
    </row>
    <row r="1002">
      <c r="A1002" s="3" t="s">
        <v>1170</v>
      </c>
      <c r="B1002" s="3" t="s">
        <v>1175</v>
      </c>
      <c r="D1002" s="3">
        <v>2062926.0</v>
      </c>
      <c r="E1002" s="3"/>
    </row>
    <row r="1003">
      <c r="A1003" s="3" t="s">
        <v>1176</v>
      </c>
      <c r="B1003" s="3" t="s">
        <v>843</v>
      </c>
      <c r="D1003" s="3">
        <v>300000.0</v>
      </c>
      <c r="E1003" s="3"/>
    </row>
    <row r="1004">
      <c r="A1004" s="3" t="s">
        <v>1171</v>
      </c>
      <c r="B1004" s="3" t="s">
        <v>727</v>
      </c>
      <c r="D1004" s="3">
        <v>278516.0</v>
      </c>
      <c r="E1004" s="3"/>
    </row>
    <row r="1005">
      <c r="B1005" s="3" t="s">
        <v>648</v>
      </c>
      <c r="D1005" s="3">
        <v>132000.0</v>
      </c>
      <c r="E1005" s="3"/>
    </row>
    <row r="1006">
      <c r="B1006" s="3" t="s">
        <v>493</v>
      </c>
      <c r="D1006" s="3">
        <v>250000.0</v>
      </c>
      <c r="E1006" s="3"/>
    </row>
    <row r="1007">
      <c r="B1007" s="3" t="s">
        <v>1076</v>
      </c>
      <c r="D1007" s="3">
        <v>8906240.0</v>
      </c>
      <c r="E1007" s="3"/>
    </row>
    <row r="1008">
      <c r="A1008" s="3" t="s">
        <v>1177</v>
      </c>
      <c r="B1008" s="3" t="s">
        <v>1137</v>
      </c>
      <c r="D1008" s="3">
        <v>224360.0</v>
      </c>
      <c r="E1008" s="3"/>
    </row>
    <row r="1009">
      <c r="B1009" s="3" t="s">
        <v>1136</v>
      </c>
      <c r="D1009" s="3">
        <v>15000.0</v>
      </c>
      <c r="E1009" s="3"/>
    </row>
    <row r="1010">
      <c r="B1010" s="3" t="s">
        <v>1178</v>
      </c>
      <c r="D1010" s="3">
        <v>522400.0</v>
      </c>
      <c r="E1010" s="3"/>
    </row>
    <row r="1011">
      <c r="A1011" s="3" t="s">
        <v>1179</v>
      </c>
      <c r="B1011" s="3" t="s">
        <v>1162</v>
      </c>
      <c r="D1011" s="3">
        <v>150000.0</v>
      </c>
      <c r="E1011" s="3"/>
    </row>
    <row r="1012">
      <c r="A1012" s="3" t="s">
        <v>1180</v>
      </c>
      <c r="B1012" s="3" t="s">
        <v>245</v>
      </c>
      <c r="D1012" s="3">
        <v>100000.0</v>
      </c>
      <c r="E1012" s="3"/>
    </row>
    <row r="1013">
      <c r="A1013" s="3" t="s">
        <v>1181</v>
      </c>
      <c r="B1013" s="3" t="s">
        <v>737</v>
      </c>
      <c r="D1013" s="3">
        <v>1843080.0</v>
      </c>
      <c r="E1013" s="3"/>
      <c r="F1013" s="3" t="s">
        <v>1182</v>
      </c>
    </row>
    <row r="1014">
      <c r="A1014" s="3" t="s">
        <v>1183</v>
      </c>
      <c r="B1014" s="3" t="s">
        <v>280</v>
      </c>
      <c r="D1014" s="3">
        <v>1935040.0</v>
      </c>
      <c r="E1014" s="3"/>
      <c r="F1014" s="3" t="s">
        <v>1184</v>
      </c>
    </row>
    <row r="1015">
      <c r="A1015" s="3" t="s">
        <v>1185</v>
      </c>
      <c r="B1015" s="3" t="s">
        <v>246</v>
      </c>
      <c r="D1015" s="3">
        <v>2145510.0</v>
      </c>
      <c r="E1015" s="3"/>
      <c r="F1015" s="3" t="s">
        <v>1186</v>
      </c>
    </row>
    <row r="1016">
      <c r="A1016" s="3" t="s">
        <v>1187</v>
      </c>
      <c r="B1016" s="3" t="s">
        <v>1021</v>
      </c>
      <c r="D1016" s="3">
        <v>1668580.0</v>
      </c>
      <c r="E1016" s="3"/>
      <c r="F1016" s="3" t="s">
        <v>1188</v>
      </c>
    </row>
    <row r="1017">
      <c r="A1017" s="3" t="s">
        <v>1189</v>
      </c>
      <c r="B1017" s="3" t="s">
        <v>1025</v>
      </c>
      <c r="D1017" s="3">
        <v>2316470.0</v>
      </c>
      <c r="E1017" s="3"/>
      <c r="F1017" s="3" t="s">
        <v>1126</v>
      </c>
    </row>
    <row r="1018">
      <c r="A1018" s="3" t="s">
        <v>1181</v>
      </c>
      <c r="B1018" s="3" t="s">
        <v>294</v>
      </c>
      <c r="D1018" s="3">
        <v>800000.0</v>
      </c>
      <c r="E1018" s="3"/>
      <c r="F1018" s="3" t="s">
        <v>1190</v>
      </c>
    </row>
    <row r="1019">
      <c r="A1019" s="3" t="s">
        <v>1185</v>
      </c>
      <c r="B1019" s="3" t="s">
        <v>1137</v>
      </c>
      <c r="D1019" s="3">
        <v>224990.0</v>
      </c>
      <c r="E1019" s="3"/>
    </row>
    <row r="1020">
      <c r="A1020" s="3" t="s">
        <v>1187</v>
      </c>
      <c r="B1020" s="3" t="s">
        <v>727</v>
      </c>
      <c r="D1020" s="3">
        <v>137528.0</v>
      </c>
      <c r="E1020" s="3"/>
    </row>
    <row r="1021">
      <c r="B1021" s="3" t="s">
        <v>648</v>
      </c>
      <c r="D1021" s="3">
        <v>132000.0</v>
      </c>
      <c r="E1021" s="3"/>
    </row>
    <row r="1022">
      <c r="B1022" s="3" t="s">
        <v>493</v>
      </c>
      <c r="D1022" s="3">
        <v>250000.0</v>
      </c>
      <c r="E1022" s="3"/>
    </row>
    <row r="1023">
      <c r="B1023" s="3" t="s">
        <v>1076</v>
      </c>
      <c r="D1023" s="3">
        <v>8849942.0</v>
      </c>
      <c r="E1023" s="3"/>
    </row>
    <row r="1024">
      <c r="A1024" s="3" t="s">
        <v>1191</v>
      </c>
      <c r="B1024" s="3" t="s">
        <v>1136</v>
      </c>
      <c r="D1024" s="3">
        <v>15000.0</v>
      </c>
      <c r="E1024" s="3"/>
    </row>
    <row r="1025">
      <c r="A1025" s="3" t="s">
        <v>1192</v>
      </c>
      <c r="B1025" s="3" t="s">
        <v>814</v>
      </c>
      <c r="D1025" s="3">
        <v>30000.0</v>
      </c>
      <c r="E1025" s="3"/>
    </row>
    <row r="1026">
      <c r="B1026" s="3" t="s">
        <v>1193</v>
      </c>
      <c r="D1026" s="3">
        <v>30000.0</v>
      </c>
      <c r="E1026" s="3"/>
    </row>
    <row r="1027">
      <c r="A1027" s="3" t="s">
        <v>1194</v>
      </c>
      <c r="B1027" s="3" t="s">
        <v>843</v>
      </c>
      <c r="D1027" s="3">
        <v>281000.0</v>
      </c>
      <c r="E1027" s="3"/>
    </row>
    <row r="1028">
      <c r="A1028" s="3" t="s">
        <v>1195</v>
      </c>
      <c r="B1028" s="3" t="s">
        <v>1162</v>
      </c>
      <c r="D1028" s="3">
        <v>150000.0</v>
      </c>
      <c r="E1028" s="3"/>
    </row>
    <row r="1029">
      <c r="A1029" s="3" t="s">
        <v>1196</v>
      </c>
      <c r="B1029" s="3" t="s">
        <v>1025</v>
      </c>
      <c r="D1029" s="3">
        <v>2444390.0</v>
      </c>
      <c r="E1029" s="3"/>
      <c r="F1029" s="3" t="s">
        <v>1126</v>
      </c>
    </row>
    <row r="1030">
      <c r="A1030" s="3" t="s">
        <v>1197</v>
      </c>
      <c r="B1030" s="3" t="s">
        <v>1198</v>
      </c>
      <c r="D1030" s="3">
        <v>1091300.0</v>
      </c>
      <c r="E1030" s="3"/>
    </row>
    <row r="1031">
      <c r="A1031" s="3" t="s">
        <v>1199</v>
      </c>
      <c r="B1031" s="3" t="s">
        <v>737</v>
      </c>
      <c r="D1031" s="3">
        <v>1777300.0</v>
      </c>
      <c r="E1031" s="3"/>
    </row>
    <row r="1032">
      <c r="A1032" s="3" t="s">
        <v>1200</v>
      </c>
      <c r="B1032" s="3" t="s">
        <v>280</v>
      </c>
      <c r="D1032" s="3">
        <v>1768600.0</v>
      </c>
      <c r="E1032" s="3"/>
    </row>
    <row r="1033">
      <c r="A1033" s="3" t="s">
        <v>1201</v>
      </c>
      <c r="B1033" s="3" t="s">
        <v>246</v>
      </c>
      <c r="D1033" s="3">
        <v>1954630.0</v>
      </c>
      <c r="E1033" s="3"/>
    </row>
    <row r="1034">
      <c r="A1034" s="3" t="s">
        <v>1202</v>
      </c>
      <c r="B1034" s="3" t="s">
        <v>1021</v>
      </c>
      <c r="D1034" s="3">
        <v>1585680.0</v>
      </c>
      <c r="E1034" s="3"/>
    </row>
    <row r="1035">
      <c r="A1035" s="3" t="s">
        <v>1203</v>
      </c>
      <c r="B1035" s="3" t="s">
        <v>370</v>
      </c>
      <c r="D1035" s="3">
        <v>300000.0</v>
      </c>
      <c r="E1035" s="3"/>
    </row>
    <row r="1036">
      <c r="A1036" s="3" t="s">
        <v>1204</v>
      </c>
      <c r="B1036" s="3" t="s">
        <v>1137</v>
      </c>
      <c r="D1036" s="3">
        <v>225080.0</v>
      </c>
      <c r="E1036" s="3"/>
    </row>
    <row r="1037">
      <c r="A1037" s="3" t="s">
        <v>1205</v>
      </c>
      <c r="B1037" s="3" t="s">
        <v>727</v>
      </c>
      <c r="D1037" s="3">
        <v>135132.0</v>
      </c>
      <c r="E1037" s="3"/>
    </row>
    <row r="1038">
      <c r="B1038" s="3" t="s">
        <v>648</v>
      </c>
      <c r="D1038" s="3">
        <v>132000.0</v>
      </c>
      <c r="E1038" s="3"/>
    </row>
    <row r="1039">
      <c r="B1039" s="3" t="s">
        <v>493</v>
      </c>
      <c r="D1039" s="3">
        <v>250000.0</v>
      </c>
      <c r="E1039" s="3"/>
    </row>
    <row r="1040">
      <c r="B1040" s="3" t="s">
        <v>1076</v>
      </c>
      <c r="D1040" s="3">
        <v>9012981.0</v>
      </c>
      <c r="E1040" s="3"/>
    </row>
    <row r="1041">
      <c r="A1041" s="3" t="s">
        <v>1206</v>
      </c>
      <c r="B1041" s="3" t="s">
        <v>1162</v>
      </c>
      <c r="D1041" s="3">
        <v>150000.0</v>
      </c>
      <c r="E1041" s="3"/>
    </row>
    <row r="1042">
      <c r="A1042" s="3" t="s">
        <v>1207</v>
      </c>
      <c r="B1042" s="3" t="s">
        <v>370</v>
      </c>
      <c r="D1042" s="3">
        <v>250000.0</v>
      </c>
      <c r="E1042" s="3"/>
    </row>
    <row r="1043">
      <c r="A1043" s="3" t="s">
        <v>1208</v>
      </c>
      <c r="B1043" s="3" t="s">
        <v>1162</v>
      </c>
      <c r="D1043" s="3">
        <v>100000.0</v>
      </c>
      <c r="E1043" s="3"/>
    </row>
    <row r="1044">
      <c r="A1044" s="3" t="s">
        <v>1209</v>
      </c>
      <c r="B1044" s="3" t="s">
        <v>1025</v>
      </c>
      <c r="D1044" s="3">
        <v>2568050.0</v>
      </c>
      <c r="E1044" s="3"/>
      <c r="F1044" s="3" t="s">
        <v>1126</v>
      </c>
    </row>
    <row r="1045">
      <c r="A1045" s="3" t="s">
        <v>1210</v>
      </c>
      <c r="B1045" s="3" t="s">
        <v>737</v>
      </c>
      <c r="D1045" s="3">
        <v>1777300.0</v>
      </c>
      <c r="E1045" s="3"/>
    </row>
    <row r="1046">
      <c r="A1046" s="3" t="s">
        <v>1211</v>
      </c>
      <c r="B1046" s="3" t="s">
        <v>1212</v>
      </c>
      <c r="D1046" s="3">
        <v>1051140.0</v>
      </c>
      <c r="E1046" s="3"/>
    </row>
    <row r="1047">
      <c r="A1047" s="3" t="s">
        <v>1213</v>
      </c>
      <c r="B1047" s="3" t="s">
        <v>280</v>
      </c>
      <c r="D1047" s="3">
        <v>1768600.0</v>
      </c>
      <c r="E1047" s="3"/>
    </row>
    <row r="1048">
      <c r="A1048" s="3" t="s">
        <v>1214</v>
      </c>
      <c r="B1048" s="3" t="s">
        <v>246</v>
      </c>
      <c r="D1048" s="3">
        <v>1954630.0</v>
      </c>
      <c r="E1048" s="3"/>
    </row>
    <row r="1049">
      <c r="A1049" s="3" t="s">
        <v>1215</v>
      </c>
      <c r="B1049" s="3" t="s">
        <v>1021</v>
      </c>
      <c r="D1049" s="3">
        <v>1585680.0</v>
      </c>
      <c r="E1049" s="3"/>
    </row>
    <row r="1050">
      <c r="A1050" s="3" t="s">
        <v>1216</v>
      </c>
      <c r="B1050" s="3" t="s">
        <v>1152</v>
      </c>
      <c r="D1050" s="3">
        <v>77000.0</v>
      </c>
      <c r="E1050" s="3"/>
      <c r="F1050" s="3" t="s">
        <v>1153</v>
      </c>
    </row>
    <row r="1051">
      <c r="A1051" s="3" t="s">
        <v>1217</v>
      </c>
      <c r="B1051" s="3" t="s">
        <v>1218</v>
      </c>
      <c r="D1051" s="3">
        <v>152800.0</v>
      </c>
      <c r="E1051" s="3"/>
    </row>
    <row r="1052">
      <c r="A1052" s="3" t="s">
        <v>1219</v>
      </c>
      <c r="B1052" s="3" t="s">
        <v>1137</v>
      </c>
      <c r="D1052" s="3">
        <v>213430.0</v>
      </c>
      <c r="E1052" s="3"/>
    </row>
    <row r="1053">
      <c r="B1053" s="3" t="s">
        <v>928</v>
      </c>
      <c r="D1053" s="3">
        <v>15000.0</v>
      </c>
      <c r="E1053" s="3"/>
    </row>
    <row r="1054">
      <c r="A1054" s="3" t="s">
        <v>1220</v>
      </c>
      <c r="B1054" s="3" t="s">
        <v>727</v>
      </c>
      <c r="D1054" s="3">
        <v>228468.0</v>
      </c>
      <c r="E1054" s="3"/>
    </row>
    <row r="1055">
      <c r="B1055" s="3" t="s">
        <v>648</v>
      </c>
      <c r="D1055" s="3">
        <v>132000.0</v>
      </c>
      <c r="E1055" s="3"/>
    </row>
    <row r="1056">
      <c r="B1056" s="3" t="s">
        <v>493</v>
      </c>
      <c r="D1056" s="3">
        <v>250000.0</v>
      </c>
      <c r="E1056" s="3"/>
    </row>
    <row r="1057">
      <c r="B1057" s="3" t="s">
        <v>1076</v>
      </c>
      <c r="D1057" s="3">
        <v>8891332.0</v>
      </c>
      <c r="E1057" s="3"/>
    </row>
    <row r="1058">
      <c r="A1058" s="3" t="s">
        <v>1221</v>
      </c>
      <c r="B1058" s="3" t="s">
        <v>370</v>
      </c>
      <c r="D1058" s="3">
        <v>200000.0</v>
      </c>
      <c r="E1058" s="3"/>
    </row>
    <row r="1059">
      <c r="A1059" s="3" t="s">
        <v>1220</v>
      </c>
      <c r="B1059" s="3" t="s">
        <v>294</v>
      </c>
      <c r="D1059" s="3">
        <v>300000.0</v>
      </c>
      <c r="E1059" s="3"/>
      <c r="F1059" s="3" t="s">
        <v>1222</v>
      </c>
    </row>
    <row r="1060">
      <c r="B1060" s="3" t="s">
        <v>1223</v>
      </c>
      <c r="D1060" s="3">
        <v>1542200.0</v>
      </c>
      <c r="E1060" s="3"/>
    </row>
    <row r="1061">
      <c r="B1061" s="3" t="s">
        <v>1224</v>
      </c>
      <c r="D1061" s="3">
        <v>1965660.0</v>
      </c>
      <c r="E1061" s="3"/>
    </row>
    <row r="1062">
      <c r="A1062" s="3" t="s">
        <v>1225</v>
      </c>
      <c r="B1062" s="3" t="s">
        <v>769</v>
      </c>
      <c r="D1062" s="3">
        <v>5561550.0</v>
      </c>
      <c r="E1062" s="3"/>
    </row>
    <row r="1063">
      <c r="A1063" s="3" t="s">
        <v>1226</v>
      </c>
      <c r="B1063" s="3" t="s">
        <v>1227</v>
      </c>
      <c r="D1063" s="3">
        <v>3784145.0</v>
      </c>
      <c r="E1063" s="3"/>
      <c r="F1063" s="3" t="s">
        <v>1228</v>
      </c>
    </row>
    <row r="1064">
      <c r="A1064" s="3" t="s">
        <v>1229</v>
      </c>
      <c r="B1064" s="3" t="s">
        <v>1025</v>
      </c>
      <c r="D1064" s="3">
        <v>2335130.0</v>
      </c>
      <c r="E1064" s="3"/>
      <c r="F1064" s="3" t="s">
        <v>1126</v>
      </c>
    </row>
    <row r="1065">
      <c r="A1065" s="3" t="s">
        <v>1230</v>
      </c>
      <c r="B1065" s="3" t="s">
        <v>737</v>
      </c>
      <c r="D1065" s="3">
        <v>1777300.0</v>
      </c>
      <c r="E1065" s="3"/>
    </row>
    <row r="1066">
      <c r="A1066" s="3" t="s">
        <v>1231</v>
      </c>
      <c r="B1066" s="3" t="s">
        <v>1212</v>
      </c>
      <c r="D1066" s="3">
        <v>1287170.0</v>
      </c>
      <c r="E1066" s="3"/>
    </row>
    <row r="1067">
      <c r="A1067" s="3" t="s">
        <v>1232</v>
      </c>
      <c r="B1067" s="3" t="s">
        <v>280</v>
      </c>
      <c r="D1067" s="3">
        <v>1768600.0</v>
      </c>
      <c r="E1067" s="3"/>
    </row>
    <row r="1068">
      <c r="A1068" s="3" t="s">
        <v>1233</v>
      </c>
      <c r="B1068" s="3" t="s">
        <v>246</v>
      </c>
      <c r="D1068" s="3">
        <v>1954630.0</v>
      </c>
      <c r="E1068" s="3"/>
    </row>
    <row r="1069">
      <c r="A1069" s="3" t="s">
        <v>1234</v>
      </c>
      <c r="B1069" s="3" t="s">
        <v>1021</v>
      </c>
      <c r="D1069" s="3">
        <v>1640507.0</v>
      </c>
      <c r="E1069" s="3"/>
    </row>
    <row r="1070">
      <c r="A1070" s="3" t="s">
        <v>1235</v>
      </c>
      <c r="B1070" s="3" t="s">
        <v>1137</v>
      </c>
      <c r="D1070" s="3">
        <v>217840.0</v>
      </c>
      <c r="E1070" s="3"/>
    </row>
    <row r="1071">
      <c r="B1071" s="3" t="s">
        <v>928</v>
      </c>
      <c r="D1071" s="3">
        <v>15000.0</v>
      </c>
      <c r="E1071" s="3"/>
    </row>
    <row r="1072">
      <c r="A1072" s="3" t="s">
        <v>1236</v>
      </c>
      <c r="B1072" s="3" t="s">
        <v>370</v>
      </c>
      <c r="D1072" s="3">
        <v>300000.0</v>
      </c>
      <c r="E1072" s="3"/>
    </row>
    <row r="1073">
      <c r="A1073" s="3" t="s">
        <v>1234</v>
      </c>
      <c r="B1073" s="3" t="s">
        <v>727</v>
      </c>
      <c r="D1073" s="3">
        <v>244940.0</v>
      </c>
      <c r="E1073" s="3"/>
    </row>
    <row r="1074">
      <c r="B1074" s="3" t="s">
        <v>648</v>
      </c>
      <c r="D1074" s="3">
        <v>132000.0</v>
      </c>
      <c r="E1074" s="3"/>
    </row>
    <row r="1075">
      <c r="B1075" s="3" t="s">
        <v>493</v>
      </c>
      <c r="D1075" s="3">
        <v>250000.0</v>
      </c>
      <c r="E1075" s="3"/>
    </row>
    <row r="1076">
      <c r="A1076" s="3" t="s">
        <v>1237</v>
      </c>
      <c r="B1076" s="3" t="s">
        <v>1076</v>
      </c>
      <c r="D1076" s="3">
        <v>8811260.0</v>
      </c>
      <c r="E1076" s="3"/>
    </row>
    <row r="1077">
      <c r="A1077" s="3" t="s">
        <v>1238</v>
      </c>
      <c r="B1077" s="3" t="s">
        <v>1025</v>
      </c>
      <c r="D1077" s="3">
        <v>2799260.0</v>
      </c>
      <c r="E1077" s="3"/>
      <c r="F1077" s="3" t="s">
        <v>1126</v>
      </c>
    </row>
    <row r="1078">
      <c r="B1078" s="3" t="s">
        <v>1239</v>
      </c>
      <c r="D1078" s="3">
        <v>540000.0</v>
      </c>
      <c r="E1078" s="3"/>
      <c r="F1078" s="3" t="s">
        <v>1240</v>
      </c>
    </row>
    <row r="1079">
      <c r="A1079" s="3" t="s">
        <v>1241</v>
      </c>
      <c r="B1079" s="3" t="s">
        <v>1242</v>
      </c>
      <c r="D1079" s="3">
        <v>156200.0</v>
      </c>
      <c r="E1079" s="3"/>
    </row>
    <row r="1080">
      <c r="A1080" s="3" t="s">
        <v>1243</v>
      </c>
      <c r="B1080" s="3" t="s">
        <v>737</v>
      </c>
      <c r="D1080" s="3">
        <v>1777300.0</v>
      </c>
      <c r="E1080" s="3"/>
    </row>
    <row r="1081">
      <c r="A1081" s="3" t="s">
        <v>1244</v>
      </c>
      <c r="B1081" s="3" t="s">
        <v>1212</v>
      </c>
      <c r="D1081" s="3">
        <v>1287170.0</v>
      </c>
      <c r="E1081" s="3"/>
    </row>
    <row r="1082">
      <c r="A1082" s="3" t="s">
        <v>1245</v>
      </c>
      <c r="B1082" s="3" t="s">
        <v>280</v>
      </c>
      <c r="D1082" s="3">
        <v>1768600.0</v>
      </c>
      <c r="E1082" s="3"/>
    </row>
    <row r="1083">
      <c r="A1083" s="3" t="s">
        <v>1246</v>
      </c>
      <c r="B1083" s="3" t="s">
        <v>246</v>
      </c>
      <c r="D1083" s="3">
        <v>1954630.0</v>
      </c>
      <c r="E1083" s="3"/>
    </row>
    <row r="1084">
      <c r="A1084" s="3" t="s">
        <v>1247</v>
      </c>
      <c r="B1084" s="3" t="s">
        <v>1021</v>
      </c>
      <c r="D1084" s="3">
        <v>1640507.0</v>
      </c>
      <c r="E1084" s="3"/>
    </row>
    <row r="1085">
      <c r="A1085" s="3" t="s">
        <v>1248</v>
      </c>
      <c r="B1085" s="3" t="s">
        <v>727</v>
      </c>
      <c r="D1085" s="3">
        <v>375220.0</v>
      </c>
      <c r="E1085" s="3"/>
    </row>
    <row r="1086">
      <c r="B1086" s="3" t="s">
        <v>648</v>
      </c>
      <c r="D1086" s="3">
        <v>132000.0</v>
      </c>
      <c r="E1086" s="3"/>
    </row>
    <row r="1087">
      <c r="B1087" s="3" t="s">
        <v>493</v>
      </c>
      <c r="D1087" s="3">
        <v>250000.0</v>
      </c>
      <c r="E1087" s="3"/>
    </row>
    <row r="1088">
      <c r="B1088" s="3" t="s">
        <v>1076</v>
      </c>
      <c r="D1088" s="3">
        <v>8841692.0</v>
      </c>
      <c r="E1088" s="3"/>
    </row>
    <row r="1089">
      <c r="A1089" s="3" t="s">
        <v>1249</v>
      </c>
      <c r="B1089" s="3" t="s">
        <v>1137</v>
      </c>
      <c r="D1089" s="3">
        <v>214150.0</v>
      </c>
      <c r="E1089" s="3"/>
    </row>
    <row r="1090">
      <c r="B1090" s="3" t="s">
        <v>928</v>
      </c>
      <c r="D1090" s="3">
        <v>15000.0</v>
      </c>
      <c r="E1090" s="3"/>
    </row>
    <row r="1091">
      <c r="A1091" s="3" t="s">
        <v>1250</v>
      </c>
      <c r="B1091" s="3" t="s">
        <v>1025</v>
      </c>
      <c r="D1091" s="3">
        <v>3448860.0</v>
      </c>
      <c r="E1091" s="3"/>
      <c r="F1091" s="3" t="s">
        <v>1126</v>
      </c>
    </row>
    <row r="1092">
      <c r="A1092" s="3" t="s">
        <v>1251</v>
      </c>
      <c r="B1092" s="3" t="s">
        <v>1252</v>
      </c>
      <c r="D1092" s="3">
        <v>250000.0</v>
      </c>
      <c r="E1092" s="3"/>
      <c r="F1092" s="3" t="s">
        <v>1253</v>
      </c>
    </row>
    <row r="1093">
      <c r="A1093" s="3" t="s">
        <v>1254</v>
      </c>
      <c r="B1093" s="3" t="s">
        <v>1255</v>
      </c>
      <c r="D1093" s="3">
        <v>168500.0</v>
      </c>
      <c r="E1093" s="3"/>
      <c r="F1093" s="3" t="s">
        <v>1256</v>
      </c>
    </row>
    <row r="1094">
      <c r="A1094" s="3" t="s">
        <v>1257</v>
      </c>
      <c r="B1094" s="3" t="s">
        <v>737</v>
      </c>
      <c r="D1094" s="3">
        <v>1777300.0</v>
      </c>
      <c r="E1094" s="3"/>
    </row>
    <row r="1095">
      <c r="A1095" s="3" t="s">
        <v>1258</v>
      </c>
      <c r="B1095" s="3" t="s">
        <v>1212</v>
      </c>
      <c r="D1095" s="3">
        <v>1287170.0</v>
      </c>
      <c r="E1095" s="3"/>
    </row>
    <row r="1096">
      <c r="A1096" s="3" t="s">
        <v>1259</v>
      </c>
      <c r="B1096" s="3" t="s">
        <v>280</v>
      </c>
      <c r="D1096" s="3">
        <v>1768600.0</v>
      </c>
      <c r="E1096" s="3"/>
    </row>
    <row r="1097">
      <c r="A1097" s="3" t="s">
        <v>1260</v>
      </c>
      <c r="B1097" s="3" t="s">
        <v>246</v>
      </c>
      <c r="D1097" s="3">
        <v>1954630.0</v>
      </c>
      <c r="E1097" s="3"/>
    </row>
    <row r="1098">
      <c r="A1098" s="3" t="s">
        <v>1261</v>
      </c>
      <c r="B1098" s="3" t="s">
        <v>1021</v>
      </c>
      <c r="D1098" s="3">
        <v>1640507.0</v>
      </c>
      <c r="E1098" s="3"/>
    </row>
    <row r="1099">
      <c r="B1099" s="3" t="s">
        <v>727</v>
      </c>
      <c r="D1099" s="3">
        <v>196772.0</v>
      </c>
      <c r="E1099" s="3"/>
    </row>
    <row r="1100">
      <c r="B1100" s="3" t="s">
        <v>648</v>
      </c>
      <c r="D1100" s="3">
        <v>132000.0</v>
      </c>
      <c r="E1100" s="3"/>
    </row>
    <row r="1101">
      <c r="B1101" s="3" t="s">
        <v>493</v>
      </c>
      <c r="D1101" s="3">
        <v>250000.0</v>
      </c>
      <c r="E1101" s="3"/>
    </row>
    <row r="1102">
      <c r="B1102" s="3" t="s">
        <v>1076</v>
      </c>
      <c r="D1102" s="3">
        <v>8881922.0</v>
      </c>
      <c r="E1102" s="3"/>
    </row>
    <row r="1103">
      <c r="B1103" s="3" t="s">
        <v>294</v>
      </c>
      <c r="D1103" s="3">
        <v>300000.0</v>
      </c>
      <c r="E1103" s="3"/>
    </row>
    <row r="1104">
      <c r="A1104" s="3" t="s">
        <v>1260</v>
      </c>
      <c r="B1104" s="3" t="s">
        <v>1137</v>
      </c>
      <c r="D1104" s="3">
        <v>218660.0</v>
      </c>
      <c r="E1104" s="3"/>
    </row>
    <row r="1105">
      <c r="B1105" s="3" t="s">
        <v>928</v>
      </c>
      <c r="D1105" s="3">
        <v>15000.0</v>
      </c>
      <c r="E1105" s="3"/>
    </row>
    <row r="1106">
      <c r="A1106" s="3" t="s">
        <v>1261</v>
      </c>
      <c r="B1106" s="3" t="s">
        <v>1262</v>
      </c>
      <c r="D1106" s="3">
        <v>297000.0</v>
      </c>
      <c r="E1106" s="3"/>
      <c r="F1106" s="3" t="s">
        <v>1263</v>
      </c>
    </row>
    <row r="1107">
      <c r="A1107" s="3" t="s">
        <v>1264</v>
      </c>
      <c r="B1107" s="3" t="s">
        <v>737</v>
      </c>
      <c r="D1107" s="3">
        <v>1777300.0</v>
      </c>
      <c r="E1107" s="3"/>
    </row>
    <row r="1108">
      <c r="A1108" s="3" t="s">
        <v>1264</v>
      </c>
      <c r="B1108" s="3" t="s">
        <v>1212</v>
      </c>
      <c r="D1108" s="3">
        <v>1287170.0</v>
      </c>
      <c r="E1108" s="3"/>
    </row>
    <row r="1109">
      <c r="A1109" s="3" t="s">
        <v>1265</v>
      </c>
      <c r="B1109" s="3" t="s">
        <v>280</v>
      </c>
      <c r="D1109" s="3">
        <v>1768600.0</v>
      </c>
      <c r="E1109" s="3"/>
    </row>
    <row r="1110">
      <c r="A1110" s="3" t="s">
        <v>1266</v>
      </c>
      <c r="B1110" s="3" t="s">
        <v>246</v>
      </c>
      <c r="D1110" s="3">
        <v>1954630.0</v>
      </c>
      <c r="E1110" s="3"/>
    </row>
    <row r="1111">
      <c r="A1111" s="3" t="s">
        <v>1267</v>
      </c>
      <c r="B1111" s="3" t="s">
        <v>1021</v>
      </c>
      <c r="D1111" s="3">
        <v>1640507.0</v>
      </c>
      <c r="E1111" s="3"/>
    </row>
    <row r="1112">
      <c r="A1112" s="3" t="s">
        <v>1268</v>
      </c>
      <c r="B1112" s="3" t="s">
        <v>1227</v>
      </c>
      <c r="D1112" s="3">
        <v>1924369.0</v>
      </c>
      <c r="E1112" s="3"/>
      <c r="F1112" s="3" t="s">
        <v>1269</v>
      </c>
    </row>
    <row r="1113">
      <c r="A1113" s="3" t="s">
        <v>1270</v>
      </c>
      <c r="B1113" s="3" t="s">
        <v>1025</v>
      </c>
      <c r="D1113" s="3">
        <v>2501320.0</v>
      </c>
      <c r="E1113" s="3"/>
      <c r="F1113" s="3" t="s">
        <v>1126</v>
      </c>
    </row>
    <row r="1114">
      <c r="A1114" s="3" t="s">
        <v>1267</v>
      </c>
      <c r="B1114" s="3" t="s">
        <v>727</v>
      </c>
      <c r="D1114" s="3">
        <v>148124.0</v>
      </c>
      <c r="E1114" s="3"/>
    </row>
    <row r="1115">
      <c r="B1115" s="3" t="s">
        <v>648</v>
      </c>
      <c r="D1115" s="3">
        <v>132000.0</v>
      </c>
      <c r="E1115" s="3"/>
    </row>
    <row r="1116">
      <c r="B1116" s="3" t="s">
        <v>493</v>
      </c>
      <c r="D1116" s="3">
        <v>250000.0</v>
      </c>
      <c r="E1116" s="3"/>
    </row>
    <row r="1117">
      <c r="B1117" s="3" t="s">
        <v>1076</v>
      </c>
      <c r="D1117" s="3">
        <v>8900217.0</v>
      </c>
      <c r="E1117" s="3"/>
    </row>
    <row r="1118">
      <c r="A1118" s="3" t="s">
        <v>1266</v>
      </c>
      <c r="B1118" s="3" t="s">
        <v>1137</v>
      </c>
      <c r="D1118" s="3">
        <v>216080.0</v>
      </c>
      <c r="E1118" s="3"/>
    </row>
    <row r="1119">
      <c r="B1119" s="3" t="s">
        <v>928</v>
      </c>
      <c r="D1119" s="3">
        <v>15000.0</v>
      </c>
      <c r="E1119" s="3"/>
    </row>
    <row r="1120">
      <c r="A1120" s="3" t="s">
        <v>1271</v>
      </c>
      <c r="B1120" s="3" t="s">
        <v>843</v>
      </c>
      <c r="D1120" s="3">
        <v>281000.0</v>
      </c>
      <c r="E1120" s="3"/>
    </row>
    <row r="1121">
      <c r="A1121" s="3" t="s">
        <v>1267</v>
      </c>
      <c r="B1121" s="3" t="s">
        <v>294</v>
      </c>
      <c r="D1121" s="3">
        <v>300000.0</v>
      </c>
      <c r="E1121" s="3"/>
      <c r="F1121" s="3" t="s">
        <v>1272</v>
      </c>
    </row>
    <row r="1122">
      <c r="A1122" s="3" t="s">
        <v>1273</v>
      </c>
      <c r="B1122" s="3" t="s">
        <v>737</v>
      </c>
      <c r="D1122" s="3">
        <v>1777300.0</v>
      </c>
      <c r="E1122" s="3"/>
    </row>
    <row r="1123">
      <c r="A1123" s="3" t="s">
        <v>1274</v>
      </c>
      <c r="B1123" s="3" t="s">
        <v>1212</v>
      </c>
      <c r="D1123" s="3">
        <v>1287170.0</v>
      </c>
      <c r="E1123" s="3"/>
    </row>
    <row r="1124">
      <c r="A1124" s="3" t="s">
        <v>1275</v>
      </c>
      <c r="B1124" s="3" t="s">
        <v>280</v>
      </c>
      <c r="D1124" s="3">
        <v>1768600.0</v>
      </c>
      <c r="E1124" s="3"/>
    </row>
    <row r="1125">
      <c r="A1125" s="3" t="s">
        <v>1276</v>
      </c>
      <c r="B1125" s="3" t="s">
        <v>246</v>
      </c>
      <c r="D1125" s="3">
        <v>1954630.0</v>
      </c>
      <c r="E1125" s="3"/>
    </row>
    <row r="1126">
      <c r="A1126" s="3" t="s">
        <v>1277</v>
      </c>
      <c r="B1126" s="3" t="s">
        <v>1021</v>
      </c>
      <c r="D1126" s="3">
        <v>1640507.0</v>
      </c>
      <c r="E1126" s="3"/>
    </row>
    <row r="1127">
      <c r="A1127" s="3" t="s">
        <v>1278</v>
      </c>
      <c r="B1127" s="3" t="s">
        <v>1025</v>
      </c>
      <c r="D1127" s="3">
        <v>2523520.0</v>
      </c>
      <c r="E1127" s="3"/>
      <c r="F1127" s="3" t="s">
        <v>1126</v>
      </c>
    </row>
    <row r="1128">
      <c r="A1128" s="3" t="s">
        <v>1279</v>
      </c>
      <c r="B1128" s="3" t="s">
        <v>370</v>
      </c>
      <c r="D1128" s="3">
        <v>483160.0</v>
      </c>
      <c r="E1128" s="3"/>
    </row>
    <row r="1129">
      <c r="B1129" s="3" t="s">
        <v>370</v>
      </c>
      <c r="D1129" s="3">
        <v>55840.0</v>
      </c>
      <c r="E1129" s="3"/>
    </row>
    <row r="1130">
      <c r="A1130" s="3" t="s">
        <v>1275</v>
      </c>
      <c r="B1130" s="3" t="s">
        <v>1280</v>
      </c>
      <c r="D1130" s="3">
        <v>180000.0</v>
      </c>
      <c r="E1130" s="3"/>
    </row>
    <row r="1131">
      <c r="A1131" s="3" t="s">
        <v>1281</v>
      </c>
      <c r="B1131" s="3" t="s">
        <v>1137</v>
      </c>
      <c r="D1131" s="3">
        <v>217660.0</v>
      </c>
      <c r="E1131" s="3"/>
    </row>
    <row r="1132">
      <c r="B1132" s="3" t="s">
        <v>928</v>
      </c>
      <c r="D1132" s="3">
        <v>15000.0</v>
      </c>
      <c r="E1132" s="3"/>
    </row>
    <row r="1133">
      <c r="A1133" s="3" t="s">
        <v>1282</v>
      </c>
      <c r="B1133" s="3" t="s">
        <v>727</v>
      </c>
      <c r="D1133" s="3">
        <v>141260.0</v>
      </c>
      <c r="E1133" s="3"/>
    </row>
    <row r="1134">
      <c r="B1134" s="3" t="s">
        <v>648</v>
      </c>
      <c r="D1134" s="3">
        <v>132000.0</v>
      </c>
      <c r="E1134" s="3"/>
    </row>
    <row r="1135">
      <c r="B1135" s="3" t="s">
        <v>493</v>
      </c>
      <c r="D1135" s="3">
        <v>250000.0</v>
      </c>
      <c r="E1135" s="3"/>
    </row>
    <row r="1136">
      <c r="B1136" s="3" t="s">
        <v>1076</v>
      </c>
      <c r="D1136" s="3">
        <v>9013316.0</v>
      </c>
      <c r="E1136" s="3"/>
    </row>
    <row r="1137">
      <c r="A1137" s="3" t="s">
        <v>1283</v>
      </c>
      <c r="B1137" s="3" t="s">
        <v>843</v>
      </c>
      <c r="D1137" s="3">
        <v>300000.0</v>
      </c>
      <c r="E1137" s="3"/>
    </row>
    <row r="1138">
      <c r="A1138" s="3" t="s">
        <v>1276</v>
      </c>
      <c r="B1138" s="3" t="s">
        <v>1284</v>
      </c>
      <c r="D1138" s="3">
        <v>423500.0</v>
      </c>
      <c r="E1138" s="3"/>
    </row>
    <row r="1139">
      <c r="B1139" s="3" t="s">
        <v>1285</v>
      </c>
      <c r="D1139" s="3">
        <v>205370.0</v>
      </c>
      <c r="E1139" s="3"/>
    </row>
    <row r="1140">
      <c r="A1140" s="3" t="s">
        <v>1286</v>
      </c>
      <c r="B1140" s="3" t="s">
        <v>737</v>
      </c>
      <c r="D1140" s="3">
        <v>1777300.0</v>
      </c>
      <c r="E1140" s="3"/>
    </row>
    <row r="1141">
      <c r="A1141" s="3" t="s">
        <v>1287</v>
      </c>
      <c r="B1141" s="3" t="s">
        <v>1212</v>
      </c>
      <c r="D1141" s="3">
        <v>1287170.0</v>
      </c>
      <c r="E1141" s="3"/>
    </row>
    <row r="1142">
      <c r="A1142" s="3" t="s">
        <v>1287</v>
      </c>
      <c r="B1142" s="3" t="s">
        <v>280</v>
      </c>
      <c r="D1142" s="3">
        <v>1768600.0</v>
      </c>
      <c r="E1142" s="3"/>
    </row>
    <row r="1143">
      <c r="A1143" s="3" t="s">
        <v>1288</v>
      </c>
      <c r="B1143" s="3" t="s">
        <v>246</v>
      </c>
      <c r="D1143" s="3">
        <v>1954630.0</v>
      </c>
      <c r="E1143" s="3"/>
    </row>
    <row r="1144">
      <c r="A1144" s="3" t="s">
        <v>1289</v>
      </c>
      <c r="B1144" s="3" t="s">
        <v>1021</v>
      </c>
      <c r="D1144" s="3">
        <v>1640507.0</v>
      </c>
      <c r="E1144" s="3"/>
    </row>
    <row r="1145">
      <c r="A1145" s="3" t="s">
        <v>1290</v>
      </c>
      <c r="B1145" s="3" t="s">
        <v>1227</v>
      </c>
      <c r="D1145" s="3">
        <v>1929158.0</v>
      </c>
      <c r="E1145" s="3"/>
      <c r="F1145" s="3" t="s">
        <v>1291</v>
      </c>
    </row>
    <row r="1146">
      <c r="A1146" s="3" t="s">
        <v>1292</v>
      </c>
      <c r="B1146" s="3" t="s">
        <v>1025</v>
      </c>
      <c r="D1146" s="3">
        <v>2500400.0</v>
      </c>
      <c r="E1146" s="3"/>
      <c r="F1146" s="3" t="s">
        <v>1126</v>
      </c>
    </row>
    <row r="1147">
      <c r="A1147" s="3" t="s">
        <v>1293</v>
      </c>
      <c r="B1147" s="3" t="s">
        <v>1294</v>
      </c>
      <c r="D1147" s="3">
        <v>9827380.0</v>
      </c>
      <c r="E1147" s="3"/>
    </row>
    <row r="1148">
      <c r="B1148" s="3" t="s">
        <v>1152</v>
      </c>
      <c r="D1148" s="3">
        <v>77000.0</v>
      </c>
      <c r="E1148" s="3"/>
      <c r="F1148" s="3" t="s">
        <v>1295</v>
      </c>
    </row>
    <row r="1149">
      <c r="A1149" s="3" t="s">
        <v>1296</v>
      </c>
      <c r="B1149" s="3" t="s">
        <v>1137</v>
      </c>
      <c r="D1149" s="3">
        <v>211190.0</v>
      </c>
      <c r="E1149" s="3"/>
    </row>
    <row r="1150">
      <c r="B1150" s="3" t="s">
        <v>928</v>
      </c>
      <c r="D1150" s="3">
        <v>15000.0</v>
      </c>
      <c r="E1150" s="3"/>
    </row>
    <row r="1151">
      <c r="A1151" s="3" t="s">
        <v>1289</v>
      </c>
      <c r="B1151" s="3" t="s">
        <v>727</v>
      </c>
      <c r="D1151" s="3">
        <v>171432.0</v>
      </c>
      <c r="E1151" s="3"/>
    </row>
    <row r="1152">
      <c r="B1152" s="3" t="s">
        <v>648</v>
      </c>
      <c r="D1152" s="3">
        <v>132000.0</v>
      </c>
      <c r="E1152" s="3"/>
    </row>
    <row r="1153">
      <c r="B1153" s="3" t="s">
        <v>493</v>
      </c>
      <c r="D1153" s="3">
        <v>250000.0</v>
      </c>
      <c r="E1153" s="3"/>
    </row>
    <row r="1154">
      <c r="B1154" s="3" t="s">
        <v>1076</v>
      </c>
      <c r="D1154" s="3">
        <v>9088788.0</v>
      </c>
      <c r="E1154" s="3"/>
    </row>
    <row r="1155">
      <c r="A1155" s="3" t="s">
        <v>1288</v>
      </c>
      <c r="B1155" s="3" t="s">
        <v>843</v>
      </c>
      <c r="D1155" s="3">
        <v>400000.0</v>
      </c>
      <c r="E1155" s="3"/>
    </row>
    <row r="1156">
      <c r="A1156" s="3" t="s">
        <v>1297</v>
      </c>
      <c r="B1156" s="3" t="s">
        <v>737</v>
      </c>
      <c r="D1156" s="3">
        <v>1767860.0</v>
      </c>
      <c r="E1156" s="3"/>
    </row>
    <row r="1157">
      <c r="A1157" s="3" t="s">
        <v>1297</v>
      </c>
      <c r="B1157" s="3" t="s">
        <v>1212</v>
      </c>
      <c r="D1157" s="3">
        <v>1287170.0</v>
      </c>
      <c r="E1157" s="3"/>
    </row>
    <row r="1158">
      <c r="A1158" s="3" t="s">
        <v>1298</v>
      </c>
      <c r="B1158" s="3" t="s">
        <v>280</v>
      </c>
      <c r="D1158" s="3">
        <v>1768600.0</v>
      </c>
      <c r="E1158" s="3"/>
    </row>
    <row r="1159">
      <c r="A1159" s="3" t="s">
        <v>1299</v>
      </c>
      <c r="B1159" s="3" t="s">
        <v>246</v>
      </c>
      <c r="D1159" s="3">
        <v>1954630.0</v>
      </c>
      <c r="E1159" s="3"/>
    </row>
    <row r="1160">
      <c r="A1160" s="3" t="s">
        <v>1300</v>
      </c>
      <c r="B1160" s="3" t="s">
        <v>1021</v>
      </c>
      <c r="D1160" s="3">
        <v>1640507.0</v>
      </c>
      <c r="E1160" s="3"/>
    </row>
    <row r="1161">
      <c r="A1161" s="3" t="s">
        <v>1301</v>
      </c>
      <c r="B1161" s="3" t="s">
        <v>1025</v>
      </c>
      <c r="D1161" s="3">
        <v>2501320.0</v>
      </c>
      <c r="E1161" s="3"/>
      <c r="F1161" s="3" t="s">
        <v>1126</v>
      </c>
    </row>
    <row r="1162">
      <c r="A1162" s="3" t="s">
        <v>1302</v>
      </c>
      <c r="B1162" s="3" t="s">
        <v>1303</v>
      </c>
      <c r="D1162" s="3">
        <v>868687.0</v>
      </c>
      <c r="E1162" s="3"/>
      <c r="F1162" s="3" t="s">
        <v>1304</v>
      </c>
    </row>
    <row r="1163">
      <c r="A1163" s="3" t="s">
        <v>1305</v>
      </c>
      <c r="B1163" s="3" t="s">
        <v>843</v>
      </c>
      <c r="D1163" s="3">
        <v>400000.0</v>
      </c>
      <c r="E1163" s="3"/>
    </row>
    <row r="1164">
      <c r="A1164" s="3" t="s">
        <v>1306</v>
      </c>
      <c r="B1164" s="3" t="s">
        <v>1137</v>
      </c>
      <c r="D1164" s="3">
        <v>217560.0</v>
      </c>
      <c r="E1164" s="3"/>
    </row>
    <row r="1165">
      <c r="A1165" s="3" t="s">
        <v>1307</v>
      </c>
      <c r="B1165" s="3" t="s">
        <v>928</v>
      </c>
      <c r="D1165" s="3">
        <v>15000.0</v>
      </c>
      <c r="E1165" s="3"/>
    </row>
    <row r="1166">
      <c r="A1166" s="3" t="s">
        <v>1300</v>
      </c>
      <c r="B1166" s="3" t="s">
        <v>727</v>
      </c>
      <c r="D1166" s="3">
        <v>224476.0</v>
      </c>
      <c r="E1166" s="3"/>
    </row>
    <row r="1167">
      <c r="B1167" s="3" t="s">
        <v>648</v>
      </c>
      <c r="D1167" s="3">
        <v>132000.0</v>
      </c>
      <c r="E1167" s="3"/>
    </row>
    <row r="1168">
      <c r="B1168" s="3" t="s">
        <v>493</v>
      </c>
      <c r="D1168" s="3">
        <v>250000.0</v>
      </c>
      <c r="E1168" s="3"/>
    </row>
    <row r="1169">
      <c r="B1169" s="3" t="s">
        <v>1076</v>
      </c>
      <c r="D1169" s="3">
        <v>8874295.0</v>
      </c>
      <c r="E1169" s="3"/>
    </row>
    <row r="1170">
      <c r="A1170" s="3" t="s">
        <v>1308</v>
      </c>
      <c r="B1170" s="3" t="s">
        <v>737</v>
      </c>
      <c r="D1170" s="3">
        <v>1767710.0</v>
      </c>
      <c r="E1170" s="3"/>
    </row>
    <row r="1171">
      <c r="A1171" s="3" t="s">
        <v>1309</v>
      </c>
      <c r="B1171" s="3" t="s">
        <v>1212</v>
      </c>
      <c r="D1171" s="3">
        <v>1286550.0</v>
      </c>
      <c r="E1171" s="3"/>
    </row>
    <row r="1172">
      <c r="A1172" s="3" t="s">
        <v>1310</v>
      </c>
      <c r="B1172" s="3" t="s">
        <v>280</v>
      </c>
      <c r="D1172" s="3">
        <v>1767710.0</v>
      </c>
      <c r="E1172" s="3"/>
    </row>
    <row r="1173">
      <c r="A1173" s="3" t="s">
        <v>1311</v>
      </c>
      <c r="B1173" s="3" t="s">
        <v>246</v>
      </c>
      <c r="D1173" s="3">
        <v>1953670.0</v>
      </c>
      <c r="E1173" s="3"/>
    </row>
    <row r="1174">
      <c r="A1174" s="3" t="s">
        <v>1312</v>
      </c>
      <c r="B1174" s="3" t="s">
        <v>1021</v>
      </c>
      <c r="D1174" s="3">
        <v>1637067.0</v>
      </c>
      <c r="E1174" s="3"/>
    </row>
    <row r="1175">
      <c r="A1175" s="3" t="s">
        <v>1313</v>
      </c>
      <c r="B1175" s="3" t="s">
        <v>1025</v>
      </c>
      <c r="D1175" s="3">
        <v>2501320.0</v>
      </c>
      <c r="E1175" s="3"/>
      <c r="F1175" s="3" t="s">
        <v>1126</v>
      </c>
    </row>
    <row r="1176">
      <c r="A1176" s="3" t="s">
        <v>1310</v>
      </c>
      <c r="B1176" s="3" t="s">
        <v>1314</v>
      </c>
      <c r="D1176" s="3">
        <v>166490.0</v>
      </c>
      <c r="E1176" s="3"/>
    </row>
    <row r="1177">
      <c r="A1177" s="3" t="s">
        <v>1315</v>
      </c>
      <c r="B1177" s="3" t="s">
        <v>1316</v>
      </c>
      <c r="D1177" s="3">
        <v>18000.0</v>
      </c>
      <c r="E1177" s="3"/>
    </row>
    <row r="1178">
      <c r="A1178" s="3" t="s">
        <v>1317</v>
      </c>
      <c r="B1178" s="3" t="s">
        <v>1137</v>
      </c>
      <c r="D1178" s="3">
        <v>210240.0</v>
      </c>
      <c r="E1178" s="3"/>
    </row>
    <row r="1179">
      <c r="B1179" s="3" t="s">
        <v>928</v>
      </c>
      <c r="D1179" s="3">
        <v>15000.0</v>
      </c>
      <c r="E1179" s="3"/>
    </row>
    <row r="1180">
      <c r="A1180" s="3" t="s">
        <v>1318</v>
      </c>
      <c r="B1180" s="3" t="s">
        <v>727</v>
      </c>
      <c r="D1180" s="3">
        <v>96300.0</v>
      </c>
      <c r="E1180" s="3"/>
    </row>
    <row r="1181">
      <c r="B1181" s="3" t="s">
        <v>648</v>
      </c>
      <c r="D1181" s="3">
        <v>132000.0</v>
      </c>
      <c r="E1181" s="3"/>
    </row>
    <row r="1182">
      <c r="B1182" s="3" t="s">
        <v>493</v>
      </c>
      <c r="D1182" s="3">
        <v>250000.0</v>
      </c>
      <c r="E1182" s="3"/>
    </row>
    <row r="1183">
      <c r="B1183" s="3" t="s">
        <v>1076</v>
      </c>
      <c r="D1183" s="3">
        <v>9069118.0</v>
      </c>
      <c r="E1183" s="3"/>
    </row>
    <row r="1184">
      <c r="A1184" s="3" t="s">
        <v>1319</v>
      </c>
      <c r="B1184" s="3" t="s">
        <v>843</v>
      </c>
      <c r="D1184" s="3">
        <v>400000.0</v>
      </c>
      <c r="E1184" s="3"/>
    </row>
    <row r="1185">
      <c r="A1185" s="3" t="s">
        <v>1320</v>
      </c>
      <c r="B1185" s="3" t="s">
        <v>1152</v>
      </c>
      <c r="D1185" s="3">
        <v>77000.0</v>
      </c>
      <c r="E1185" s="3"/>
      <c r="F1185" s="3" t="s">
        <v>1295</v>
      </c>
    </row>
    <row r="1186">
      <c r="A1186" s="3" t="s">
        <v>1321</v>
      </c>
      <c r="B1186" s="3" t="s">
        <v>737</v>
      </c>
      <c r="D1186" s="3">
        <v>1767710.0</v>
      </c>
      <c r="E1186" s="3"/>
    </row>
    <row r="1187">
      <c r="A1187" s="3" t="s">
        <v>1322</v>
      </c>
      <c r="B1187" s="3" t="s">
        <v>1212</v>
      </c>
      <c r="D1187" s="3">
        <v>1286550.0</v>
      </c>
      <c r="E1187" s="3"/>
    </row>
    <row r="1188">
      <c r="A1188" s="3" t="s">
        <v>1323</v>
      </c>
      <c r="B1188" s="3" t="s">
        <v>280</v>
      </c>
      <c r="D1188" s="3">
        <v>1767710.0</v>
      </c>
      <c r="E1188" s="3"/>
    </row>
    <row r="1189">
      <c r="A1189" s="3" t="s">
        <v>1324</v>
      </c>
      <c r="B1189" s="3" t="s">
        <v>246</v>
      </c>
      <c r="D1189" s="3">
        <v>1953670.0</v>
      </c>
      <c r="E1189" s="3"/>
    </row>
    <row r="1190">
      <c r="A1190" s="3" t="s">
        <v>1325</v>
      </c>
      <c r="B1190" s="3" t="s">
        <v>1021</v>
      </c>
      <c r="D1190" s="3">
        <v>1637067.0</v>
      </c>
      <c r="E1190" s="3"/>
    </row>
    <row r="1191">
      <c r="A1191" s="3" t="s">
        <v>1326</v>
      </c>
      <c r="B1191" s="3" t="s">
        <v>1025</v>
      </c>
      <c r="D1191" s="3">
        <v>2522480.0</v>
      </c>
      <c r="E1191" s="3"/>
      <c r="F1191" s="3" t="s">
        <v>1126</v>
      </c>
    </row>
    <row r="1192">
      <c r="A1192" s="3" t="s">
        <v>1327</v>
      </c>
      <c r="B1192" s="3" t="s">
        <v>843</v>
      </c>
      <c r="D1192" s="3">
        <v>400000.0</v>
      </c>
      <c r="E1192" s="3"/>
    </row>
    <row r="1193">
      <c r="A1193" s="3" t="s">
        <v>1328</v>
      </c>
      <c r="B1193" s="3" t="s">
        <v>1137</v>
      </c>
      <c r="D1193" s="3">
        <v>212080.0</v>
      </c>
      <c r="E1193" s="3"/>
    </row>
    <row r="1194">
      <c r="B1194" s="3" t="s">
        <v>928</v>
      </c>
      <c r="D1194" s="3">
        <v>15000.0</v>
      </c>
      <c r="E1194" s="3"/>
    </row>
    <row r="1195">
      <c r="A1195" s="3" t="s">
        <v>1329</v>
      </c>
      <c r="B1195" s="3" t="s">
        <v>727</v>
      </c>
      <c r="D1195" s="3">
        <v>204704.0</v>
      </c>
      <c r="E1195" s="3"/>
    </row>
    <row r="1196">
      <c r="B1196" s="3" t="s">
        <v>648</v>
      </c>
      <c r="D1196" s="3">
        <v>132000.0</v>
      </c>
      <c r="E1196" s="3"/>
    </row>
    <row r="1197">
      <c r="B1197" s="3" t="s">
        <v>493</v>
      </c>
      <c r="D1197" s="3">
        <v>250000.0</v>
      </c>
      <c r="E1197" s="3"/>
    </row>
    <row r="1198">
      <c r="B1198" s="3" t="s">
        <v>1076</v>
      </c>
      <c r="D1198" s="3">
        <v>9279183.0</v>
      </c>
      <c r="E1198" s="3"/>
    </row>
    <row r="1199">
      <c r="A1199" s="3" t="s">
        <v>1330</v>
      </c>
      <c r="B1199" s="3" t="s">
        <v>1331</v>
      </c>
      <c r="D1199" s="3">
        <v>350000.0</v>
      </c>
      <c r="E1199" s="3"/>
      <c r="F1199" s="3" t="s">
        <v>1332</v>
      </c>
      <c r="G1199" s="3" t="s">
        <v>1333</v>
      </c>
    </row>
    <row r="1200">
      <c r="A1200" s="3" t="s">
        <v>1334</v>
      </c>
      <c r="B1200" s="3" t="s">
        <v>737</v>
      </c>
      <c r="D1200" s="3">
        <v>1767710.0</v>
      </c>
      <c r="E1200" s="3"/>
      <c r="F1200" s="3">
        <v>1828000.0</v>
      </c>
      <c r="G1200">
        <f t="shared" ref="G1200:G1204" si="2">F1200-D1200</f>
        <v>60290</v>
      </c>
    </row>
    <row r="1201">
      <c r="A1201" s="3" t="s">
        <v>1335</v>
      </c>
      <c r="B1201" s="3" t="s">
        <v>1212</v>
      </c>
      <c r="D1201" s="3">
        <v>1286550.0</v>
      </c>
      <c r="E1201" s="3"/>
      <c r="F1201" s="3">
        <v>1338340.0</v>
      </c>
      <c r="G1201">
        <f t="shared" si="2"/>
        <v>51790</v>
      </c>
    </row>
    <row r="1202">
      <c r="A1202" s="3" t="s">
        <v>1336</v>
      </c>
      <c r="B1202" s="3" t="s">
        <v>280</v>
      </c>
      <c r="D1202" s="3">
        <v>1853630.0</v>
      </c>
      <c r="E1202" s="3"/>
      <c r="F1202" s="3">
        <v>1857460.0</v>
      </c>
      <c r="G1202">
        <f t="shared" si="2"/>
        <v>3830</v>
      </c>
    </row>
    <row r="1203">
      <c r="A1203" s="3" t="s">
        <v>1337</v>
      </c>
      <c r="B1203" s="3" t="s">
        <v>246</v>
      </c>
      <c r="D1203" s="3">
        <v>2013417.0</v>
      </c>
      <c r="E1203" s="3"/>
      <c r="F1203" s="3">
        <v>2284437.0</v>
      </c>
      <c r="G1203">
        <f t="shared" si="2"/>
        <v>271020</v>
      </c>
    </row>
    <row r="1204">
      <c r="A1204" s="3" t="s">
        <v>1338</v>
      </c>
      <c r="B1204" s="3" t="s">
        <v>1021</v>
      </c>
      <c r="D1204" s="3">
        <v>1637067.0</v>
      </c>
      <c r="E1204" s="3"/>
      <c r="F1204" s="3">
        <v>1702527.0</v>
      </c>
      <c r="G1204">
        <f t="shared" si="2"/>
        <v>65460</v>
      </c>
    </row>
    <row r="1205">
      <c r="A1205" s="3" t="s">
        <v>1339</v>
      </c>
      <c r="B1205" s="3" t="s">
        <v>1025</v>
      </c>
      <c r="D1205" s="3">
        <v>2522480.0</v>
      </c>
      <c r="E1205" s="3"/>
      <c r="F1205" s="3" t="s">
        <v>1126</v>
      </c>
    </row>
    <row r="1206">
      <c r="A1206" s="3" t="s">
        <v>1340</v>
      </c>
      <c r="B1206" s="3" t="s">
        <v>1341</v>
      </c>
      <c r="D1206" s="3">
        <v>100000.0</v>
      </c>
      <c r="E1206" s="3"/>
    </row>
    <row r="1207">
      <c r="A1207" s="3" t="s">
        <v>1342</v>
      </c>
      <c r="B1207" s="3" t="s">
        <v>601</v>
      </c>
      <c r="D1207" s="3">
        <v>354760.0</v>
      </c>
      <c r="E1207" s="3"/>
      <c r="F1207" s="3" t="s">
        <v>1343</v>
      </c>
    </row>
    <row r="1208">
      <c r="B1208" s="3" t="s">
        <v>601</v>
      </c>
      <c r="D1208" s="3">
        <v>393000.0</v>
      </c>
      <c r="E1208" s="3"/>
      <c r="F1208" s="3" t="s">
        <v>1344</v>
      </c>
    </row>
    <row r="1209">
      <c r="A1209" s="3" t="s">
        <v>1345</v>
      </c>
      <c r="B1209" s="3" t="s">
        <v>1137</v>
      </c>
      <c r="D1209" s="3">
        <v>210900.0</v>
      </c>
      <c r="E1209" s="3"/>
    </row>
    <row r="1210">
      <c r="B1210" s="3" t="s">
        <v>928</v>
      </c>
      <c r="D1210" s="3">
        <v>15000.0</v>
      </c>
      <c r="E1210" s="3"/>
    </row>
    <row r="1211">
      <c r="A1211" s="3" t="s">
        <v>1346</v>
      </c>
      <c r="B1211" s="3" t="s">
        <v>727</v>
      </c>
      <c r="D1211" s="3">
        <v>108904.0</v>
      </c>
      <c r="E1211" s="3"/>
    </row>
    <row r="1212">
      <c r="B1212" s="3" t="s">
        <v>648</v>
      </c>
      <c r="D1212" s="3">
        <v>132000.0</v>
      </c>
      <c r="E1212" s="3"/>
    </row>
    <row r="1213">
      <c r="B1213" s="3" t="s">
        <v>493</v>
      </c>
      <c r="D1213" s="3">
        <v>250000.0</v>
      </c>
      <c r="E1213" s="3"/>
    </row>
    <row r="1214">
      <c r="B1214" s="3" t="s">
        <v>1076</v>
      </c>
      <c r="D1214" s="3">
        <v>9345738.0</v>
      </c>
      <c r="E1214" s="3"/>
    </row>
    <row r="1215">
      <c r="A1215" s="3" t="s">
        <v>1347</v>
      </c>
      <c r="B1215" s="3" t="s">
        <v>1348</v>
      </c>
      <c r="D1215" s="3">
        <v>20000.0</v>
      </c>
      <c r="E1215" s="3"/>
    </row>
    <row r="1216">
      <c r="B1216" s="3" t="s">
        <v>1349</v>
      </c>
      <c r="D1216" s="3">
        <v>500000.0</v>
      </c>
      <c r="E1216" s="3"/>
      <c r="F1216" s="3" t="s">
        <v>1272</v>
      </c>
    </row>
    <row r="1217">
      <c r="A1217" s="3" t="s">
        <v>1337</v>
      </c>
      <c r="B1217" s="3" t="s">
        <v>843</v>
      </c>
      <c r="D1217" s="3">
        <v>263100.0</v>
      </c>
      <c r="E1217" s="3"/>
    </row>
    <row r="1218">
      <c r="A1218" s="3" t="s">
        <v>1350</v>
      </c>
      <c r="B1218" s="3" t="s">
        <v>1227</v>
      </c>
      <c r="D1218" s="3">
        <v>1679200.0</v>
      </c>
      <c r="E1218" s="3"/>
      <c r="F1218" s="3" t="s">
        <v>1304</v>
      </c>
    </row>
    <row r="1219">
      <c r="B1219" s="3" t="s">
        <v>1227</v>
      </c>
      <c r="D1219" s="3">
        <v>592771.0</v>
      </c>
      <c r="E1219" s="3"/>
      <c r="F1219" s="3" t="s">
        <v>1304</v>
      </c>
    </row>
    <row r="1220">
      <c r="A1220" s="3" t="s">
        <v>1351</v>
      </c>
      <c r="B1220" s="3" t="s">
        <v>1152</v>
      </c>
      <c r="D1220" s="3">
        <v>154000.0</v>
      </c>
      <c r="E1220" s="3"/>
    </row>
    <row r="1221">
      <c r="A1221" s="3" t="s">
        <v>1352</v>
      </c>
      <c r="B1221" s="3" t="s">
        <v>1025</v>
      </c>
      <c r="D1221" s="3">
        <v>2532160.0</v>
      </c>
      <c r="E1221" s="3"/>
      <c r="F1221" s="3" t="s">
        <v>1126</v>
      </c>
    </row>
    <row r="1222">
      <c r="A1222" s="3" t="s">
        <v>1353</v>
      </c>
      <c r="B1222" s="3" t="s">
        <v>1354</v>
      </c>
      <c r="D1222" s="3">
        <v>139530.0</v>
      </c>
      <c r="E1222" s="3"/>
    </row>
    <row r="1223">
      <c r="A1223" s="3" t="s">
        <v>1355</v>
      </c>
      <c r="B1223" s="3" t="s">
        <v>1356</v>
      </c>
      <c r="D1223" s="3">
        <v>66000.0</v>
      </c>
      <c r="E1223" s="3"/>
      <c r="F1223" s="3" t="s">
        <v>1357</v>
      </c>
    </row>
    <row r="1224">
      <c r="A1224" s="3" t="s">
        <v>1355</v>
      </c>
      <c r="B1224" s="3" t="s">
        <v>737</v>
      </c>
      <c r="D1224" s="3">
        <v>1767710.0</v>
      </c>
      <c r="E1224" s="3"/>
    </row>
    <row r="1225">
      <c r="A1225" s="3" t="s">
        <v>1358</v>
      </c>
      <c r="B1225" s="3" t="s">
        <v>1212</v>
      </c>
      <c r="D1225" s="3">
        <v>1286550.0</v>
      </c>
      <c r="E1225" s="3"/>
    </row>
    <row r="1226">
      <c r="A1226" s="3" t="s">
        <v>1359</v>
      </c>
      <c r="B1226" s="3" t="s">
        <v>280</v>
      </c>
      <c r="D1226" s="3">
        <v>1853630.0</v>
      </c>
      <c r="E1226" s="3"/>
    </row>
    <row r="1227">
      <c r="A1227" s="3" t="s">
        <v>1360</v>
      </c>
      <c r="B1227" s="3" t="s">
        <v>246</v>
      </c>
      <c r="D1227" s="3">
        <v>2013417.0</v>
      </c>
      <c r="E1227" s="3"/>
    </row>
    <row r="1228">
      <c r="A1228" s="3" t="s">
        <v>1361</v>
      </c>
      <c r="B1228" s="3" t="s">
        <v>1021</v>
      </c>
      <c r="D1228" s="3">
        <v>1637067.0</v>
      </c>
      <c r="E1228" s="3"/>
    </row>
    <row r="1229">
      <c r="B1229" s="3" t="s">
        <v>1137</v>
      </c>
      <c r="D1229" s="3">
        <v>196330.0</v>
      </c>
      <c r="E1229" s="3"/>
    </row>
    <row r="1230">
      <c r="B1230" s="3" t="s">
        <v>928</v>
      </c>
      <c r="D1230" s="3">
        <v>15000.0</v>
      </c>
      <c r="E1230" s="3"/>
    </row>
    <row r="1231">
      <c r="B1231" s="3" t="s">
        <v>727</v>
      </c>
      <c r="D1231" s="3">
        <v>141028.0</v>
      </c>
      <c r="E1231" s="3"/>
    </row>
    <row r="1232">
      <c r="B1232" s="3" t="s">
        <v>648</v>
      </c>
      <c r="D1232" s="3">
        <v>132000.0</v>
      </c>
      <c r="E1232" s="3"/>
    </row>
    <row r="1233">
      <c r="B1233" s="3" t="s">
        <v>493</v>
      </c>
      <c r="D1233" s="3">
        <v>250000.0</v>
      </c>
      <c r="E1233" s="3"/>
    </row>
    <row r="1234">
      <c r="B1234" s="3" t="s">
        <v>1076</v>
      </c>
      <c r="D1234" s="3">
        <v>9250264.0</v>
      </c>
      <c r="E1234" s="3"/>
    </row>
    <row r="1235">
      <c r="A1235" s="3" t="s">
        <v>1362</v>
      </c>
      <c r="B1235" s="3" t="s">
        <v>1331</v>
      </c>
      <c r="D1235" s="3">
        <v>300000.0</v>
      </c>
      <c r="E1235" s="3"/>
    </row>
    <row r="1236">
      <c r="A1236" s="3" t="s">
        <v>1363</v>
      </c>
      <c r="B1236" s="3" t="s">
        <v>1364</v>
      </c>
      <c r="D1236" s="3">
        <v>90730.0</v>
      </c>
      <c r="E1236" s="3"/>
      <c r="F1236" s="4" t="s">
        <v>1365</v>
      </c>
    </row>
    <row r="1237">
      <c r="A1237" s="3" t="s">
        <v>1366</v>
      </c>
      <c r="B1237" s="3" t="s">
        <v>1349</v>
      </c>
      <c r="D1237" s="3">
        <v>1209910.0</v>
      </c>
      <c r="E1237" s="3"/>
      <c r="F1237" s="3" t="s">
        <v>1272</v>
      </c>
    </row>
    <row r="1238">
      <c r="B1238" s="3" t="s">
        <v>1367</v>
      </c>
      <c r="D1238" s="3">
        <v>2000000.0</v>
      </c>
      <c r="E1238" s="3"/>
      <c r="F1238" s="3" t="s">
        <v>1368</v>
      </c>
    </row>
    <row r="1239">
      <c r="A1239" s="3" t="s">
        <v>1369</v>
      </c>
      <c r="B1239" s="3" t="s">
        <v>737</v>
      </c>
      <c r="D1239" s="3">
        <v>1767710.0</v>
      </c>
      <c r="E1239" s="3"/>
    </row>
    <row r="1240">
      <c r="A1240" s="3" t="s">
        <v>1370</v>
      </c>
      <c r="B1240" s="3" t="s">
        <v>1212</v>
      </c>
      <c r="D1240" s="3">
        <v>1286550.0</v>
      </c>
      <c r="E1240" s="3"/>
    </row>
    <row r="1241">
      <c r="A1241" s="3" t="s">
        <v>1370</v>
      </c>
      <c r="B1241" s="3" t="s">
        <v>280</v>
      </c>
      <c r="D1241" s="3">
        <v>1853630.0</v>
      </c>
      <c r="E1241" s="3"/>
    </row>
    <row r="1242">
      <c r="A1242" s="3" t="s">
        <v>1371</v>
      </c>
      <c r="B1242" s="3" t="s">
        <v>246</v>
      </c>
      <c r="D1242" s="3">
        <v>2013417.0</v>
      </c>
      <c r="E1242" s="3"/>
    </row>
    <row r="1243">
      <c r="A1243" s="3" t="s">
        <v>1372</v>
      </c>
      <c r="B1243" s="3" t="s">
        <v>1021</v>
      </c>
      <c r="D1243" s="3">
        <v>1637067.0</v>
      </c>
      <c r="E1243" s="3"/>
    </row>
    <row r="1244">
      <c r="A1244" s="3" t="s">
        <v>1373</v>
      </c>
      <c r="B1244" s="3" t="s">
        <v>1025</v>
      </c>
      <c r="D1244" s="3">
        <v>2893640.0</v>
      </c>
      <c r="E1244" s="3"/>
      <c r="F1244" s="3" t="s">
        <v>1126</v>
      </c>
    </row>
    <row r="1245">
      <c r="A1245" s="3" t="s">
        <v>1374</v>
      </c>
      <c r="B1245" s="3" t="s">
        <v>1375</v>
      </c>
      <c r="D1245" s="3">
        <v>8500000.0</v>
      </c>
      <c r="E1245" s="3"/>
      <c r="F1245" s="3" t="s">
        <v>1368</v>
      </c>
    </row>
    <row r="1246">
      <c r="A1246" s="3" t="s">
        <v>1371</v>
      </c>
      <c r="B1246" s="3" t="s">
        <v>1137</v>
      </c>
      <c r="D1246" s="3">
        <v>145300.0</v>
      </c>
      <c r="E1246" s="3"/>
    </row>
    <row r="1247">
      <c r="B1247" s="3" t="s">
        <v>928</v>
      </c>
      <c r="D1247" s="3">
        <v>15000.0</v>
      </c>
      <c r="E1247" s="3"/>
    </row>
    <row r="1248">
      <c r="A1248" s="3" t="s">
        <v>1372</v>
      </c>
      <c r="B1248" s="3" t="s">
        <v>727</v>
      </c>
      <c r="D1248" s="3">
        <v>82160.0</v>
      </c>
      <c r="E1248" s="3"/>
    </row>
    <row r="1249">
      <c r="B1249" s="3" t="s">
        <v>648</v>
      </c>
      <c r="D1249" s="3">
        <v>132000.0</v>
      </c>
      <c r="E1249" s="3"/>
    </row>
    <row r="1250">
      <c r="B1250" s="3" t="s">
        <v>493</v>
      </c>
      <c r="D1250" s="3">
        <v>250000.0</v>
      </c>
      <c r="E1250" s="3"/>
    </row>
    <row r="1251">
      <c r="B1251" s="3" t="s">
        <v>1076</v>
      </c>
      <c r="D1251" s="3">
        <v>9354829.0</v>
      </c>
      <c r="E1251" s="3"/>
    </row>
    <row r="1252">
      <c r="B1252" s="3" t="s">
        <v>1223</v>
      </c>
      <c r="D1252" s="3">
        <v>1441000.0</v>
      </c>
      <c r="E1252" s="3"/>
    </row>
    <row r="1253">
      <c r="A1253" s="3" t="s">
        <v>1376</v>
      </c>
      <c r="B1253" s="3" t="s">
        <v>769</v>
      </c>
      <c r="D1253" s="3">
        <v>6308450.0</v>
      </c>
      <c r="E1253" s="3"/>
    </row>
    <row r="1254">
      <c r="B1254" s="3" t="s">
        <v>1377</v>
      </c>
      <c r="D1254" s="3">
        <v>1613580.0</v>
      </c>
      <c r="E1254" s="3"/>
    </row>
    <row r="1255">
      <c r="A1255" s="3" t="s">
        <v>1378</v>
      </c>
      <c r="B1255" s="3" t="s">
        <v>1379</v>
      </c>
      <c r="D1255" s="3">
        <v>363000.0</v>
      </c>
      <c r="E1255" s="3"/>
    </row>
    <row r="1256">
      <c r="A1256" s="3" t="s">
        <v>1380</v>
      </c>
      <c r="B1256" s="3" t="s">
        <v>737</v>
      </c>
      <c r="D1256" s="3">
        <v>1767710.0</v>
      </c>
      <c r="E1256" s="3"/>
    </row>
    <row r="1257">
      <c r="A1257" s="3" t="s">
        <v>1380</v>
      </c>
      <c r="B1257" s="3" t="s">
        <v>1212</v>
      </c>
      <c r="D1257" s="3">
        <v>1522350.0</v>
      </c>
      <c r="E1257" s="3"/>
    </row>
    <row r="1258">
      <c r="A1258" s="3" t="s">
        <v>1381</v>
      </c>
      <c r="B1258" s="3" t="s">
        <v>280</v>
      </c>
      <c r="D1258" s="3">
        <v>1853630.0</v>
      </c>
      <c r="E1258" s="3"/>
    </row>
    <row r="1259">
      <c r="A1259" s="3" t="s">
        <v>1382</v>
      </c>
      <c r="B1259" s="3" t="s">
        <v>246</v>
      </c>
      <c r="D1259" s="3">
        <v>2013417.0</v>
      </c>
      <c r="E1259" s="3"/>
    </row>
    <row r="1260">
      <c r="A1260" s="3" t="s">
        <v>1383</v>
      </c>
      <c r="B1260" s="3" t="s">
        <v>1021</v>
      </c>
      <c r="D1260" s="3">
        <v>1690620.0</v>
      </c>
      <c r="E1260" s="3"/>
    </row>
    <row r="1261">
      <c r="A1261" s="3" t="s">
        <v>1384</v>
      </c>
      <c r="B1261" s="3" t="s">
        <v>1025</v>
      </c>
      <c r="D1261" s="3">
        <v>2555330.0</v>
      </c>
      <c r="E1261" s="3"/>
      <c r="F1261" s="3" t="s">
        <v>1126</v>
      </c>
    </row>
    <row r="1262">
      <c r="A1262" s="3" t="s">
        <v>1385</v>
      </c>
      <c r="B1262" s="3" t="s">
        <v>1386</v>
      </c>
      <c r="D1262" s="3">
        <v>8500000.0</v>
      </c>
      <c r="E1262" s="3"/>
      <c r="F1262" s="3" t="s">
        <v>1368</v>
      </c>
    </row>
    <row r="1263">
      <c r="A1263" s="3" t="s">
        <v>1387</v>
      </c>
      <c r="B1263" s="3" t="s">
        <v>1388</v>
      </c>
      <c r="D1263" s="3">
        <v>100000.0</v>
      </c>
      <c r="E1263" s="3"/>
      <c r="F1263" s="3" t="s">
        <v>1389</v>
      </c>
    </row>
    <row r="1264">
      <c r="A1264" s="3" t="s">
        <v>1390</v>
      </c>
      <c r="B1264" s="3" t="s">
        <v>1227</v>
      </c>
      <c r="D1264" s="3">
        <v>2209982.0</v>
      </c>
      <c r="E1264" s="3"/>
      <c r="F1264" s="3" t="s">
        <v>1304</v>
      </c>
    </row>
    <row r="1265">
      <c r="B1265" s="3" t="s">
        <v>1391</v>
      </c>
      <c r="D1265" s="3">
        <v>42913.0</v>
      </c>
      <c r="E1265" s="3"/>
    </row>
    <row r="1266">
      <c r="A1266" s="3" t="s">
        <v>1392</v>
      </c>
      <c r="B1266" s="3" t="s">
        <v>1331</v>
      </c>
      <c r="D1266" s="3">
        <v>54930.0</v>
      </c>
      <c r="E1266" s="3"/>
    </row>
    <row r="1267">
      <c r="A1267" s="3" t="s">
        <v>1393</v>
      </c>
      <c r="B1267" s="3" t="s">
        <v>1137</v>
      </c>
      <c r="D1267" s="3">
        <v>150610.0</v>
      </c>
      <c r="E1267" s="3"/>
    </row>
    <row r="1268">
      <c r="B1268" s="3" t="s">
        <v>928</v>
      </c>
      <c r="D1268" s="3">
        <v>15000.0</v>
      </c>
      <c r="E1268" s="3"/>
    </row>
    <row r="1269">
      <c r="B1269" s="3" t="s">
        <v>727</v>
      </c>
      <c r="D1269" s="3">
        <v>133736.0</v>
      </c>
      <c r="E1269" s="3"/>
    </row>
    <row r="1270">
      <c r="B1270" s="3" t="s">
        <v>648</v>
      </c>
      <c r="D1270" s="3">
        <v>132000.0</v>
      </c>
      <c r="E1270" s="3"/>
    </row>
    <row r="1271">
      <c r="B1271" s="3" t="s">
        <v>493</v>
      </c>
      <c r="D1271" s="3">
        <v>250000.0</v>
      </c>
      <c r="E1271" s="3"/>
    </row>
    <row r="1272">
      <c r="B1272" s="3" t="s">
        <v>1076</v>
      </c>
      <c r="D1272" s="3">
        <v>9373262.0</v>
      </c>
      <c r="E1272" s="3"/>
    </row>
    <row r="1273">
      <c r="A1273" s="3" t="s">
        <v>1394</v>
      </c>
      <c r="B1273" s="3" t="s">
        <v>737</v>
      </c>
      <c r="D1273" s="3">
        <v>1767710.0</v>
      </c>
      <c r="E1273" s="3"/>
    </row>
    <row r="1274">
      <c r="A1274" s="3" t="s">
        <v>1395</v>
      </c>
      <c r="B1274" s="3" t="s">
        <v>1212</v>
      </c>
      <c r="D1274" s="3">
        <v>1522350.0</v>
      </c>
      <c r="E1274" s="3"/>
    </row>
    <row r="1275">
      <c r="A1275" s="3" t="s">
        <v>1396</v>
      </c>
      <c r="B1275" s="3" t="s">
        <v>280</v>
      </c>
      <c r="D1275" s="3">
        <v>1853630.0</v>
      </c>
      <c r="E1275" s="3"/>
    </row>
    <row r="1276">
      <c r="A1276" s="3" t="s">
        <v>1397</v>
      </c>
      <c r="B1276" s="3" t="s">
        <v>246</v>
      </c>
      <c r="D1276" s="3">
        <v>2013417.0</v>
      </c>
      <c r="E1276" s="3"/>
    </row>
    <row r="1277">
      <c r="A1277" s="3" t="s">
        <v>1398</v>
      </c>
      <c r="B1277" s="3" t="s">
        <v>1021</v>
      </c>
      <c r="D1277" s="3">
        <v>1690620.0</v>
      </c>
      <c r="E1277" s="3"/>
    </row>
    <row r="1278">
      <c r="A1278" s="3" t="s">
        <v>1399</v>
      </c>
      <c r="B1278" s="3" t="s">
        <v>1025</v>
      </c>
      <c r="D1278" s="3">
        <v>1257051.0</v>
      </c>
      <c r="E1278" s="3"/>
      <c r="F1278" s="3" t="s">
        <v>1126</v>
      </c>
    </row>
    <row r="1279">
      <c r="A1279" s="3" t="s">
        <v>1400</v>
      </c>
      <c r="B1279" s="3" t="s">
        <v>1401</v>
      </c>
      <c r="D1279" s="3">
        <v>268400.0</v>
      </c>
      <c r="E1279" s="3"/>
    </row>
    <row r="1280">
      <c r="A1280" s="3" t="s">
        <v>1402</v>
      </c>
      <c r="B1280" s="3" t="s">
        <v>1403</v>
      </c>
      <c r="D1280" s="3">
        <v>149750.0</v>
      </c>
      <c r="E1280" s="3"/>
    </row>
    <row r="1281">
      <c r="A1281" s="3" t="s">
        <v>1394</v>
      </c>
      <c r="B1281" s="3" t="s">
        <v>1404</v>
      </c>
      <c r="D1281" s="3">
        <v>130000.0</v>
      </c>
      <c r="E1281" s="3"/>
      <c r="F1281" s="3" t="s">
        <v>1405</v>
      </c>
    </row>
    <row r="1282">
      <c r="A1282" s="3" t="s">
        <v>1406</v>
      </c>
      <c r="B1282" s="3" t="s">
        <v>1137</v>
      </c>
      <c r="D1282" s="3">
        <v>152140.0</v>
      </c>
      <c r="E1282" s="3"/>
    </row>
    <row r="1283">
      <c r="B1283" s="3" t="s">
        <v>928</v>
      </c>
      <c r="D1283" s="3">
        <v>15000.0</v>
      </c>
      <c r="E1283" s="3"/>
    </row>
    <row r="1284">
      <c r="A1284" s="3" t="s">
        <v>1407</v>
      </c>
      <c r="B1284" s="3" t="s">
        <v>727</v>
      </c>
      <c r="D1284" s="3">
        <v>167344.0</v>
      </c>
      <c r="E1284" s="3"/>
    </row>
    <row r="1285">
      <c r="B1285" s="3" t="s">
        <v>648</v>
      </c>
      <c r="D1285" s="3">
        <v>132000.0</v>
      </c>
      <c r="E1285" s="3"/>
    </row>
    <row r="1286">
      <c r="B1286" s="3" t="s">
        <v>493</v>
      </c>
      <c r="D1286" s="3">
        <v>250000.0</v>
      </c>
      <c r="E1286" s="3"/>
    </row>
    <row r="1287">
      <c r="B1287" s="3" t="s">
        <v>1076</v>
      </c>
      <c r="D1287" s="3">
        <v>9439055.0</v>
      </c>
      <c r="E1287" s="3"/>
    </row>
    <row r="1288">
      <c r="A1288" s="3" t="s">
        <v>1408</v>
      </c>
      <c r="B1288" s="3" t="s">
        <v>1409</v>
      </c>
      <c r="D1288" s="3">
        <v>1600000.0</v>
      </c>
      <c r="E1288" s="3"/>
      <c r="F1288" s="3" t="s">
        <v>1410</v>
      </c>
    </row>
    <row r="1289">
      <c r="B1289" s="3" t="s">
        <v>1411</v>
      </c>
      <c r="D1289" s="3">
        <v>89000.0</v>
      </c>
      <c r="E1289" s="3"/>
      <c r="F1289" s="3" t="s">
        <v>1412</v>
      </c>
    </row>
    <row r="1290">
      <c r="A1290" s="3" t="s">
        <v>1413</v>
      </c>
      <c r="B1290" s="3" t="s">
        <v>1152</v>
      </c>
      <c r="D1290" s="3">
        <v>154000.0</v>
      </c>
      <c r="E1290" s="3"/>
    </row>
    <row r="1291">
      <c r="A1291" s="3" t="s">
        <v>1414</v>
      </c>
      <c r="B1291" s="3" t="s">
        <v>737</v>
      </c>
      <c r="D1291" s="3">
        <v>1767710.0</v>
      </c>
      <c r="E1291" s="3"/>
    </row>
    <row r="1292">
      <c r="A1292" s="3" t="s">
        <v>1415</v>
      </c>
      <c r="B1292" s="3" t="s">
        <v>1212</v>
      </c>
      <c r="D1292" s="3">
        <v>1522350.0</v>
      </c>
      <c r="E1292" s="3"/>
    </row>
    <row r="1293">
      <c r="A1293" s="3" t="s">
        <v>1415</v>
      </c>
      <c r="B1293" s="3" t="s">
        <v>280</v>
      </c>
      <c r="D1293" s="3">
        <v>1853630.0</v>
      </c>
      <c r="E1293" s="3"/>
    </row>
    <row r="1294">
      <c r="A1294" s="3" t="s">
        <v>1416</v>
      </c>
      <c r="B1294" s="3" t="s">
        <v>246</v>
      </c>
      <c r="D1294" s="3">
        <v>2013417.0</v>
      </c>
      <c r="E1294" s="3"/>
    </row>
    <row r="1295">
      <c r="A1295" s="3" t="s">
        <v>1417</v>
      </c>
      <c r="B1295" s="3" t="s">
        <v>1021</v>
      </c>
      <c r="D1295" s="3">
        <v>1690620.0</v>
      </c>
      <c r="E1295" s="3"/>
    </row>
    <row r="1296">
      <c r="A1296" s="3" t="s">
        <v>1416</v>
      </c>
      <c r="B1296" s="3" t="s">
        <v>1418</v>
      </c>
      <c r="D1296" s="3">
        <v>892560.0</v>
      </c>
      <c r="E1296" s="3"/>
    </row>
    <row r="1297">
      <c r="B1297" s="3" t="s">
        <v>1418</v>
      </c>
      <c r="D1297" s="3">
        <v>1143870.0</v>
      </c>
      <c r="E1297" s="3"/>
    </row>
    <row r="1298">
      <c r="B1298" s="3" t="s">
        <v>1418</v>
      </c>
      <c r="D1298" s="3">
        <v>134500.0</v>
      </c>
      <c r="E1298" s="3"/>
    </row>
    <row r="1299">
      <c r="B1299" s="3" t="s">
        <v>1418</v>
      </c>
      <c r="D1299" s="3">
        <v>67690.0</v>
      </c>
      <c r="E1299" s="3"/>
    </row>
    <row r="1300">
      <c r="B1300" s="3" t="s">
        <v>1137</v>
      </c>
      <c r="D1300" s="3">
        <v>150840.0</v>
      </c>
      <c r="E1300" s="3"/>
    </row>
    <row r="1301">
      <c r="B1301" s="3" t="s">
        <v>928</v>
      </c>
      <c r="D1301" s="3">
        <v>15000.0</v>
      </c>
      <c r="E1301" s="3"/>
    </row>
    <row r="1302">
      <c r="A1302" s="3" t="s">
        <v>1419</v>
      </c>
      <c r="B1302" s="3" t="s">
        <v>727</v>
      </c>
      <c r="D1302" s="3">
        <v>83069.0</v>
      </c>
      <c r="E1302" s="3"/>
    </row>
    <row r="1303">
      <c r="A1303" s="3" t="s">
        <v>1419</v>
      </c>
      <c r="B1303" s="3" t="s">
        <v>648</v>
      </c>
      <c r="D1303" s="3">
        <v>132000.0</v>
      </c>
      <c r="E1303" s="3"/>
    </row>
    <row r="1304">
      <c r="A1304" s="3" t="s">
        <v>1417</v>
      </c>
      <c r="B1304" s="3" t="s">
        <v>493</v>
      </c>
      <c r="D1304" s="3">
        <v>250000.0</v>
      </c>
      <c r="E1304" s="3"/>
    </row>
    <row r="1305">
      <c r="A1305" s="3" t="s">
        <v>1419</v>
      </c>
      <c r="B1305" s="3" t="s">
        <v>1076</v>
      </c>
      <c r="D1305" s="3">
        <v>9493115.0</v>
      </c>
      <c r="E1305" s="3"/>
    </row>
    <row r="1306">
      <c r="A1306" s="3" t="s">
        <v>1420</v>
      </c>
      <c r="B1306" s="3" t="s">
        <v>737</v>
      </c>
      <c r="D1306" s="3">
        <v>1767710.0</v>
      </c>
      <c r="E1306" s="3"/>
    </row>
    <row r="1307">
      <c r="A1307" s="3" t="s">
        <v>1421</v>
      </c>
      <c r="B1307" s="3" t="s">
        <v>1212</v>
      </c>
      <c r="D1307" s="3">
        <v>1522350.0</v>
      </c>
      <c r="E1307" s="3"/>
    </row>
    <row r="1308">
      <c r="A1308" s="3" t="s">
        <v>1422</v>
      </c>
      <c r="B1308" s="3" t="s">
        <v>280</v>
      </c>
      <c r="D1308" s="3">
        <v>1853630.0</v>
      </c>
      <c r="E1308" s="3"/>
    </row>
    <row r="1309">
      <c r="A1309" s="3" t="s">
        <v>1423</v>
      </c>
      <c r="B1309" s="3" t="s">
        <v>246</v>
      </c>
      <c r="D1309" s="3">
        <v>2013417.0</v>
      </c>
      <c r="E1309" s="3"/>
    </row>
    <row r="1310">
      <c r="A1310" s="3" t="s">
        <v>1424</v>
      </c>
      <c r="B1310" s="3" t="s">
        <v>1021</v>
      </c>
      <c r="D1310" s="3">
        <v>1690620.0</v>
      </c>
      <c r="E1310" s="3"/>
    </row>
    <row r="1311">
      <c r="A1311" s="3" t="s">
        <v>1425</v>
      </c>
      <c r="B1311" s="3" t="s">
        <v>1025</v>
      </c>
      <c r="D1311" s="3">
        <v>2547350.0</v>
      </c>
      <c r="E1311" s="3"/>
      <c r="F1311" s="3" t="s">
        <v>1126</v>
      </c>
    </row>
    <row r="1312">
      <c r="A1312" s="3" t="s">
        <v>1426</v>
      </c>
      <c r="B1312" s="3" t="s">
        <v>1227</v>
      </c>
      <c r="D1312" s="3">
        <v>2388479.0</v>
      </c>
      <c r="E1312" s="3"/>
      <c r="F1312" s="3" t="s">
        <v>1304</v>
      </c>
    </row>
    <row r="1313">
      <c r="A1313" s="3" t="s">
        <v>1427</v>
      </c>
      <c r="B1313" s="3" t="s">
        <v>1137</v>
      </c>
      <c r="D1313" s="3">
        <v>160660.0</v>
      </c>
      <c r="E1313" s="3"/>
    </row>
    <row r="1314">
      <c r="B1314" s="3" t="s">
        <v>928</v>
      </c>
      <c r="D1314" s="3">
        <v>15000.0</v>
      </c>
      <c r="E1314" s="3"/>
    </row>
    <row r="1315">
      <c r="A1315" s="3" t="s">
        <v>1428</v>
      </c>
      <c r="B1315" s="3" t="s">
        <v>727</v>
      </c>
      <c r="D1315" s="3">
        <v>105576.0</v>
      </c>
      <c r="E1315" s="3"/>
    </row>
    <row r="1316">
      <c r="B1316" s="3" t="s">
        <v>648</v>
      </c>
      <c r="D1316" s="3">
        <v>132000.0</v>
      </c>
      <c r="E1316" s="3"/>
    </row>
    <row r="1317">
      <c r="B1317" s="3" t="s">
        <v>493</v>
      </c>
      <c r="D1317" s="3">
        <v>250000.0</v>
      </c>
      <c r="E1317" s="3"/>
    </row>
    <row r="1318">
      <c r="B1318" s="3" t="s">
        <v>1076</v>
      </c>
      <c r="D1318" s="3">
        <v>9477509.0</v>
      </c>
      <c r="E1318" s="3"/>
    </row>
    <row r="1319">
      <c r="A1319" s="3" t="s">
        <v>1428</v>
      </c>
      <c r="B1319" s="3" t="s">
        <v>1331</v>
      </c>
      <c r="D1319" s="3">
        <v>335820.0</v>
      </c>
      <c r="E1319" s="3"/>
    </row>
    <row r="1320">
      <c r="A1320" s="3" t="s">
        <v>1424</v>
      </c>
      <c r="B1320" s="3" t="s">
        <v>1025</v>
      </c>
      <c r="D1320" s="3">
        <v>2547350.0</v>
      </c>
      <c r="E1320" s="3"/>
      <c r="F1320" s="3" t="s">
        <v>1126</v>
      </c>
    </row>
    <row r="1321">
      <c r="A1321" s="3" t="s">
        <v>1429</v>
      </c>
      <c r="B1321" s="3" t="s">
        <v>737</v>
      </c>
      <c r="D1321" s="3">
        <v>1767710.0</v>
      </c>
      <c r="E1321" s="3"/>
    </row>
    <row r="1322">
      <c r="A1322" s="3" t="s">
        <v>1430</v>
      </c>
      <c r="B1322" s="3" t="s">
        <v>1212</v>
      </c>
      <c r="D1322" s="3">
        <v>1522350.0</v>
      </c>
      <c r="E1322" s="3"/>
    </row>
    <row r="1323">
      <c r="A1323" s="3" t="s">
        <v>1431</v>
      </c>
      <c r="B1323" s="3" t="s">
        <v>280</v>
      </c>
      <c r="D1323" s="3">
        <v>1853630.0</v>
      </c>
      <c r="E1323" s="3"/>
    </row>
    <row r="1324">
      <c r="A1324" s="3" t="s">
        <v>1432</v>
      </c>
      <c r="B1324" s="3" t="s">
        <v>246</v>
      </c>
      <c r="D1324" s="3">
        <v>2013417.0</v>
      </c>
      <c r="E1324" s="3"/>
    </row>
    <row r="1325">
      <c r="A1325" s="3" t="s">
        <v>1433</v>
      </c>
      <c r="B1325" s="3" t="s">
        <v>1021</v>
      </c>
      <c r="D1325" s="3">
        <v>1690620.0</v>
      </c>
      <c r="E1325" s="3"/>
    </row>
    <row r="1326">
      <c r="A1326" s="3" t="s">
        <v>1434</v>
      </c>
      <c r="B1326" s="3" t="s">
        <v>1137</v>
      </c>
      <c r="D1326" s="3">
        <v>150280.0</v>
      </c>
      <c r="E1326" s="3"/>
    </row>
    <row r="1327">
      <c r="B1327" s="3" t="s">
        <v>928</v>
      </c>
      <c r="D1327" s="3">
        <v>15000.0</v>
      </c>
      <c r="E1327" s="3"/>
    </row>
    <row r="1328">
      <c r="A1328" s="3" t="s">
        <v>1435</v>
      </c>
      <c r="B1328" s="3" t="s">
        <v>727</v>
      </c>
      <c r="D1328" s="3">
        <v>139164.0</v>
      </c>
      <c r="E1328" s="3"/>
    </row>
    <row r="1329">
      <c r="B1329" s="3" t="s">
        <v>648</v>
      </c>
      <c r="D1329" s="3">
        <v>132000.0</v>
      </c>
      <c r="E1329" s="3"/>
    </row>
    <row r="1330">
      <c r="B1330" s="3" t="s">
        <v>493</v>
      </c>
      <c r="D1330" s="3">
        <v>250000.0</v>
      </c>
      <c r="E1330" s="3"/>
    </row>
    <row r="1331">
      <c r="B1331" s="3" t="s">
        <v>1076</v>
      </c>
      <c r="D1331" s="3">
        <v>9406841.0</v>
      </c>
      <c r="E1331" s="3"/>
    </row>
    <row r="1332">
      <c r="A1332" s="3" t="s">
        <v>1435</v>
      </c>
      <c r="B1332" s="3" t="s">
        <v>843</v>
      </c>
      <c r="D1332" s="3">
        <v>600000.0</v>
      </c>
      <c r="E1332" s="3"/>
    </row>
    <row r="1333">
      <c r="A1333" s="3" t="s">
        <v>1436</v>
      </c>
      <c r="B1333" s="3" t="s">
        <v>1025</v>
      </c>
      <c r="D1333" s="3">
        <v>2547350.0</v>
      </c>
      <c r="E1333" s="3"/>
      <c r="F1333" s="3" t="s">
        <v>1126</v>
      </c>
    </row>
    <row r="1334">
      <c r="A1334" s="3" t="s">
        <v>1437</v>
      </c>
      <c r="B1334" s="3" t="s">
        <v>737</v>
      </c>
      <c r="D1334" s="3">
        <v>1767710.0</v>
      </c>
      <c r="E1334" s="3"/>
    </row>
    <row r="1335">
      <c r="A1335" s="3" t="s">
        <v>1438</v>
      </c>
      <c r="B1335" s="3" t="s">
        <v>1212</v>
      </c>
      <c r="D1335" s="3">
        <v>1522350.0</v>
      </c>
      <c r="E1335" s="3"/>
    </row>
    <row r="1336">
      <c r="A1336" s="3" t="s">
        <v>1439</v>
      </c>
      <c r="B1336" s="3" t="s">
        <v>280</v>
      </c>
      <c r="D1336" s="3">
        <v>1853630.0</v>
      </c>
      <c r="E1336" s="3"/>
    </row>
    <row r="1337">
      <c r="A1337" s="3" t="s">
        <v>1440</v>
      </c>
      <c r="B1337" s="3" t="s">
        <v>246</v>
      </c>
      <c r="D1337" s="3">
        <v>2013417.0</v>
      </c>
      <c r="E1337" s="3"/>
    </row>
    <row r="1338">
      <c r="A1338" s="3" t="s">
        <v>1441</v>
      </c>
      <c r="B1338" s="3" t="s">
        <v>1021</v>
      </c>
      <c r="D1338" s="3">
        <v>1690620.0</v>
      </c>
      <c r="E1338" s="3"/>
    </row>
    <row r="1339">
      <c r="A1339" s="3" t="s">
        <v>1438</v>
      </c>
      <c r="B1339" s="3" t="s">
        <v>1364</v>
      </c>
      <c r="D1339" s="3">
        <v>113470.0</v>
      </c>
      <c r="E1339" s="3"/>
      <c r="F1339" s="4" t="s">
        <v>1365</v>
      </c>
    </row>
    <row r="1340">
      <c r="A1340" s="3" t="s">
        <v>1442</v>
      </c>
      <c r="B1340" s="3" t="s">
        <v>1294</v>
      </c>
      <c r="D1340" s="3">
        <v>8067000.0</v>
      </c>
      <c r="E1340" s="3"/>
    </row>
    <row r="1341">
      <c r="B1341" s="3" t="s">
        <v>1137</v>
      </c>
      <c r="D1341" s="3">
        <v>154980.0</v>
      </c>
      <c r="E1341" s="3"/>
    </row>
    <row r="1342">
      <c r="A1342" s="3" t="s">
        <v>1443</v>
      </c>
      <c r="B1342" s="3" t="s">
        <v>928</v>
      </c>
      <c r="D1342" s="3">
        <v>15000.0</v>
      </c>
      <c r="E1342" s="3"/>
    </row>
    <row r="1343">
      <c r="A1343" s="3" t="s">
        <v>1444</v>
      </c>
      <c r="B1343" s="3" t="s">
        <v>727</v>
      </c>
      <c r="D1343" s="3">
        <v>214032.0</v>
      </c>
      <c r="E1343" s="3"/>
    </row>
    <row r="1344">
      <c r="B1344" s="3" t="s">
        <v>648</v>
      </c>
      <c r="D1344" s="3">
        <v>132000.0</v>
      </c>
      <c r="E1344" s="3"/>
    </row>
    <row r="1345">
      <c r="B1345" s="3" t="s">
        <v>493</v>
      </c>
      <c r="D1345" s="3">
        <v>250000.0</v>
      </c>
      <c r="E1345" s="3"/>
    </row>
    <row r="1346">
      <c r="B1346" s="3" t="s">
        <v>1076</v>
      </c>
      <c r="D1346" s="3">
        <v>9574403.0</v>
      </c>
      <c r="E1346" s="3"/>
    </row>
    <row r="1347">
      <c r="A1347" s="3" t="s">
        <v>1445</v>
      </c>
      <c r="B1347" s="3" t="s">
        <v>843</v>
      </c>
      <c r="D1347" s="3">
        <v>300000.0</v>
      </c>
      <c r="E1347" s="3"/>
    </row>
    <row r="1348">
      <c r="A1348" s="3" t="s">
        <v>1446</v>
      </c>
      <c r="B1348" s="3" t="s">
        <v>1025</v>
      </c>
      <c r="D1348" s="3">
        <v>2485160.0</v>
      </c>
      <c r="E1348" s="3"/>
      <c r="F1348" s="3" t="s">
        <v>1126</v>
      </c>
    </row>
    <row r="1349">
      <c r="A1349" s="3" t="s">
        <v>1447</v>
      </c>
      <c r="B1349" s="3" t="s">
        <v>737</v>
      </c>
      <c r="D1349" s="3">
        <v>1826120.0</v>
      </c>
      <c r="E1349" s="3"/>
    </row>
    <row r="1350">
      <c r="A1350" s="3" t="s">
        <v>1448</v>
      </c>
      <c r="B1350" s="3" t="s">
        <v>1212</v>
      </c>
      <c r="D1350" s="3">
        <v>1661940.0</v>
      </c>
      <c r="E1350" s="3"/>
    </row>
    <row r="1351">
      <c r="A1351" s="3" t="s">
        <v>1449</v>
      </c>
      <c r="B1351" s="3" t="s">
        <v>280</v>
      </c>
      <c r="D1351" s="3">
        <v>1858790.0</v>
      </c>
      <c r="E1351" s="3"/>
    </row>
    <row r="1352">
      <c r="A1352" s="3" t="s">
        <v>1450</v>
      </c>
      <c r="B1352" s="3" t="s">
        <v>246</v>
      </c>
      <c r="D1352" s="3">
        <v>2016357.0</v>
      </c>
      <c r="E1352" s="3"/>
    </row>
    <row r="1353">
      <c r="A1353" s="3" t="s">
        <v>1451</v>
      </c>
      <c r="B1353" s="3" t="s">
        <v>1021</v>
      </c>
      <c r="D1353" s="3">
        <v>1694050.0</v>
      </c>
      <c r="E1353" s="3"/>
    </row>
    <row r="1354">
      <c r="A1354" s="3" t="s">
        <v>1451</v>
      </c>
      <c r="B1354" s="3" t="s">
        <v>727</v>
      </c>
      <c r="D1354" s="3">
        <v>32516.0</v>
      </c>
      <c r="E1354" s="3"/>
    </row>
    <row r="1355">
      <c r="B1355" s="3" t="s">
        <v>648</v>
      </c>
      <c r="D1355" s="3">
        <v>132000.0</v>
      </c>
      <c r="E1355" s="3"/>
    </row>
    <row r="1356">
      <c r="B1356" s="3" t="s">
        <v>493</v>
      </c>
      <c r="D1356" s="3">
        <v>280000.0</v>
      </c>
      <c r="E1356" s="3"/>
    </row>
    <row r="1357">
      <c r="B1357" s="3" t="s">
        <v>1076</v>
      </c>
      <c r="D1357" s="3">
        <v>9319725.0</v>
      </c>
      <c r="E1357" s="3"/>
    </row>
    <row r="1358">
      <c r="A1358" s="3" t="s">
        <v>1450</v>
      </c>
      <c r="B1358" s="3" t="s">
        <v>1137</v>
      </c>
      <c r="D1358" s="3">
        <v>150200.0</v>
      </c>
      <c r="E1358" s="3"/>
    </row>
    <row r="1359">
      <c r="B1359" s="3" t="s">
        <v>928</v>
      </c>
      <c r="D1359" s="3">
        <v>15000.0</v>
      </c>
      <c r="E1359" s="3"/>
    </row>
    <row r="1360">
      <c r="A1360" s="3" t="s">
        <v>1452</v>
      </c>
      <c r="B1360" s="3" t="s">
        <v>1227</v>
      </c>
      <c r="D1360" s="3">
        <v>2388480.0</v>
      </c>
      <c r="E1360" s="3"/>
      <c r="F1360" s="3" t="s">
        <v>1304</v>
      </c>
    </row>
    <row r="1361">
      <c r="A1361" s="3" t="s">
        <v>1453</v>
      </c>
      <c r="B1361" s="3" t="s">
        <v>843</v>
      </c>
      <c r="D1361" s="3">
        <v>300000.0</v>
      </c>
      <c r="E1361" s="3"/>
    </row>
    <row r="1362">
      <c r="B1362" s="3" t="s">
        <v>1331</v>
      </c>
      <c r="D1362" s="3">
        <v>300000.0</v>
      </c>
      <c r="E1362" s="3"/>
    </row>
    <row r="1363">
      <c r="A1363" s="3" t="s">
        <v>1454</v>
      </c>
      <c r="B1363" s="3" t="s">
        <v>1025</v>
      </c>
      <c r="D1363" s="3">
        <v>2489880.0</v>
      </c>
      <c r="E1363" s="3"/>
      <c r="F1363" s="3" t="s">
        <v>1126</v>
      </c>
    </row>
    <row r="1364">
      <c r="A1364" s="3" t="s">
        <v>1455</v>
      </c>
      <c r="B1364" s="3" t="s">
        <v>737</v>
      </c>
      <c r="D1364" s="3">
        <v>1826120.0</v>
      </c>
      <c r="E1364" s="3"/>
    </row>
    <row r="1365">
      <c r="A1365" s="3" t="s">
        <v>1456</v>
      </c>
      <c r="B1365" s="3" t="s">
        <v>1212</v>
      </c>
      <c r="D1365" s="3">
        <v>1569850.0</v>
      </c>
      <c r="E1365" s="3"/>
    </row>
    <row r="1366">
      <c r="A1366" s="3" t="s">
        <v>1457</v>
      </c>
      <c r="B1366" s="3" t="s">
        <v>280</v>
      </c>
      <c r="D1366" s="3">
        <v>1858790.0</v>
      </c>
      <c r="E1366" s="3"/>
    </row>
    <row r="1367">
      <c r="A1367" s="3" t="s">
        <v>1458</v>
      </c>
      <c r="B1367" s="3" t="s">
        <v>246</v>
      </c>
      <c r="D1367" s="3">
        <v>2016357.0</v>
      </c>
      <c r="E1367" s="3"/>
    </row>
    <row r="1368">
      <c r="A1368" s="3" t="s">
        <v>1459</v>
      </c>
      <c r="B1368" s="3" t="s">
        <v>1021</v>
      </c>
      <c r="D1368" s="3">
        <v>1694050.0</v>
      </c>
      <c r="E1368" s="3"/>
    </row>
    <row r="1369">
      <c r="A1369" s="3" t="s">
        <v>1460</v>
      </c>
      <c r="B1369" s="3" t="s">
        <v>1137</v>
      </c>
      <c r="D1369" s="3">
        <v>251510.0</v>
      </c>
      <c r="E1369" s="3"/>
    </row>
    <row r="1370">
      <c r="B1370" s="3" t="s">
        <v>928</v>
      </c>
      <c r="D1370" s="3">
        <v>15000.0</v>
      </c>
      <c r="E1370" s="3"/>
    </row>
    <row r="1371">
      <c r="B1371" s="3" t="s">
        <v>1166</v>
      </c>
      <c r="D1371" s="3">
        <v>27000.0</v>
      </c>
      <c r="E1371" s="3"/>
    </row>
    <row r="1372">
      <c r="B1372" s="3" t="s">
        <v>870</v>
      </c>
      <c r="D1372" s="3">
        <v>22720.0</v>
      </c>
      <c r="E1372" s="3"/>
    </row>
    <row r="1373">
      <c r="A1373" s="3" t="s">
        <v>1461</v>
      </c>
      <c r="B1373" s="3" t="s">
        <v>727</v>
      </c>
      <c r="D1373" s="3">
        <v>70972.0</v>
      </c>
      <c r="E1373" s="3"/>
    </row>
    <row r="1374">
      <c r="B1374" s="3" t="s">
        <v>648</v>
      </c>
      <c r="D1374" s="3">
        <v>132000.0</v>
      </c>
      <c r="E1374" s="3"/>
    </row>
    <row r="1375">
      <c r="B1375" s="3" t="s">
        <v>493</v>
      </c>
      <c r="D1375" s="3">
        <v>280000.0</v>
      </c>
      <c r="E1375" s="3"/>
    </row>
    <row r="1376">
      <c r="B1376" s="3" t="s">
        <v>1076</v>
      </c>
      <c r="D1376" s="3">
        <v>9361937.0</v>
      </c>
      <c r="E1376" s="3"/>
    </row>
    <row r="1377">
      <c r="A1377" s="3" t="s">
        <v>1462</v>
      </c>
      <c r="B1377" s="3" t="s">
        <v>843</v>
      </c>
      <c r="D1377" s="3">
        <v>100000.0</v>
      </c>
      <c r="E1377" s="3"/>
    </row>
    <row r="1378">
      <c r="A1378" s="3" t="s">
        <v>1463</v>
      </c>
      <c r="B1378" s="3" t="s">
        <v>1464</v>
      </c>
      <c r="D1378" s="3">
        <v>232000.0</v>
      </c>
      <c r="E1378" s="3"/>
      <c r="F1378" s="3" t="s">
        <v>1465</v>
      </c>
    </row>
    <row r="1379">
      <c r="A1379" s="3" t="s">
        <v>1466</v>
      </c>
      <c r="B1379" s="3" t="s">
        <v>1467</v>
      </c>
      <c r="D1379" s="3">
        <v>23200.0</v>
      </c>
      <c r="E1379" s="3"/>
    </row>
    <row r="1380">
      <c r="A1380" s="3" t="s">
        <v>1468</v>
      </c>
      <c r="B1380" s="3" t="s">
        <v>1025</v>
      </c>
      <c r="D1380" s="3">
        <v>2511020.0</v>
      </c>
      <c r="E1380" s="3"/>
      <c r="F1380" s="3" t="s">
        <v>1126</v>
      </c>
    </row>
    <row r="1381">
      <c r="A1381" s="3" t="s">
        <v>1469</v>
      </c>
      <c r="B1381" s="3" t="s">
        <v>737</v>
      </c>
      <c r="D1381" s="3">
        <v>1825110.0</v>
      </c>
      <c r="E1381" s="3"/>
    </row>
    <row r="1382">
      <c r="A1382" s="3" t="s">
        <v>1469</v>
      </c>
      <c r="B1382" s="3" t="s">
        <v>1212</v>
      </c>
      <c r="D1382" s="3">
        <v>1569010.0</v>
      </c>
      <c r="E1382" s="3"/>
    </row>
    <row r="1383">
      <c r="A1383" s="3" t="s">
        <v>1470</v>
      </c>
      <c r="B1383" s="3" t="s">
        <v>280</v>
      </c>
      <c r="D1383" s="3">
        <v>1857760.0</v>
      </c>
      <c r="E1383" s="3"/>
    </row>
    <row r="1384">
      <c r="A1384" s="3" t="s">
        <v>1471</v>
      </c>
      <c r="B1384" s="3" t="s">
        <v>246</v>
      </c>
      <c r="D1384" s="3">
        <v>2015237.0</v>
      </c>
      <c r="E1384" s="3"/>
    </row>
    <row r="1385">
      <c r="A1385" s="3" t="s">
        <v>1472</v>
      </c>
      <c r="B1385" s="3" t="s">
        <v>1021</v>
      </c>
      <c r="D1385" s="3">
        <v>1693110.0</v>
      </c>
      <c r="E1385" s="3"/>
    </row>
    <row r="1386">
      <c r="A1386" s="3" t="s">
        <v>1473</v>
      </c>
      <c r="B1386" s="3" t="s">
        <v>1137</v>
      </c>
      <c r="D1386" s="3">
        <v>163820.0</v>
      </c>
      <c r="E1386" s="3"/>
    </row>
    <row r="1387">
      <c r="B1387" s="3" t="s">
        <v>928</v>
      </c>
      <c r="D1387" s="3">
        <v>15000.0</v>
      </c>
      <c r="E1387" s="3"/>
    </row>
    <row r="1388">
      <c r="A1388" s="3" t="s">
        <v>1472</v>
      </c>
      <c r="B1388" s="3" t="s">
        <v>727</v>
      </c>
      <c r="D1388" s="3">
        <v>142408.0</v>
      </c>
      <c r="E1388" s="3"/>
    </row>
    <row r="1389">
      <c r="B1389" s="3" t="s">
        <v>648</v>
      </c>
      <c r="D1389" s="3">
        <v>132000.0</v>
      </c>
      <c r="E1389" s="3"/>
    </row>
    <row r="1390">
      <c r="B1390" s="3" t="s">
        <v>493</v>
      </c>
      <c r="D1390" s="3">
        <v>280000.0</v>
      </c>
      <c r="E1390" s="3"/>
    </row>
    <row r="1391">
      <c r="B1391" s="3" t="s">
        <v>1076</v>
      </c>
      <c r="D1391" s="3">
        <v>9575963.0</v>
      </c>
      <c r="E1391" s="3"/>
    </row>
    <row r="1392">
      <c r="A1392" s="3" t="s">
        <v>1471</v>
      </c>
      <c r="B1392" s="3" t="s">
        <v>1331</v>
      </c>
      <c r="D1392" s="3">
        <v>200000.0</v>
      </c>
      <c r="E1392" s="3"/>
    </row>
    <row r="1393">
      <c r="B1393" s="3" t="s">
        <v>843</v>
      </c>
      <c r="D1393" s="3">
        <v>203260.0</v>
      </c>
      <c r="E1393" s="3"/>
    </row>
    <row r="1394">
      <c r="A1394" s="3" t="s">
        <v>1474</v>
      </c>
      <c r="B1394" s="3" t="s">
        <v>1025</v>
      </c>
      <c r="D1394" s="3">
        <v>2511020.0</v>
      </c>
      <c r="E1394" s="3"/>
      <c r="F1394" s="3" t="s">
        <v>1126</v>
      </c>
    </row>
    <row r="1395">
      <c r="A1395" s="3" t="s">
        <v>1475</v>
      </c>
      <c r="B1395" s="3" t="s">
        <v>737</v>
      </c>
      <c r="D1395" s="3">
        <v>1914300.0</v>
      </c>
      <c r="E1395" s="3"/>
    </row>
    <row r="1396">
      <c r="A1396" s="3" t="s">
        <v>1475</v>
      </c>
      <c r="B1396" s="3" t="s">
        <v>1212</v>
      </c>
      <c r="D1396" s="3">
        <v>1574040.0</v>
      </c>
      <c r="E1396" s="3"/>
    </row>
    <row r="1397">
      <c r="A1397" s="3" t="s">
        <v>1476</v>
      </c>
      <c r="B1397" s="3" t="s">
        <v>280</v>
      </c>
      <c r="D1397" s="3">
        <v>1937483.0</v>
      </c>
      <c r="E1397" s="3"/>
    </row>
    <row r="1398">
      <c r="A1398" s="3" t="s">
        <v>1477</v>
      </c>
      <c r="B1398" s="3" t="s">
        <v>246</v>
      </c>
      <c r="D1398" s="3">
        <v>2319780.0</v>
      </c>
      <c r="E1398" s="3"/>
    </row>
    <row r="1399">
      <c r="A1399" s="3" t="s">
        <v>1478</v>
      </c>
      <c r="B1399" s="3" t="s">
        <v>1021</v>
      </c>
      <c r="D1399" s="3">
        <v>1765320.0</v>
      </c>
      <c r="E1399" s="3"/>
    </row>
    <row r="1400">
      <c r="A1400" s="3" t="s">
        <v>1479</v>
      </c>
      <c r="B1400" s="3" t="s">
        <v>1480</v>
      </c>
      <c r="D1400" s="3">
        <v>865830.0</v>
      </c>
      <c r="E1400" s="3"/>
      <c r="F1400" s="3" t="s">
        <v>1481</v>
      </c>
    </row>
    <row r="1401">
      <c r="A1401" s="3" t="s">
        <v>1482</v>
      </c>
      <c r="B1401" s="3" t="s">
        <v>1137</v>
      </c>
      <c r="D1401" s="3">
        <v>164430.0</v>
      </c>
      <c r="E1401" s="3"/>
    </row>
    <row r="1402">
      <c r="B1402" s="3" t="s">
        <v>928</v>
      </c>
      <c r="D1402" s="3">
        <v>15000.0</v>
      </c>
      <c r="E1402" s="3"/>
    </row>
    <row r="1403">
      <c r="A1403" s="3" t="s">
        <v>1483</v>
      </c>
      <c r="B1403" s="3" t="s">
        <v>727</v>
      </c>
      <c r="D1403" s="3">
        <v>135928.0</v>
      </c>
      <c r="E1403" s="3"/>
    </row>
    <row r="1404">
      <c r="B1404" s="3" t="s">
        <v>648</v>
      </c>
      <c r="D1404" s="3">
        <v>132000.0</v>
      </c>
      <c r="E1404" s="3"/>
    </row>
    <row r="1405">
      <c r="B1405" s="3" t="s">
        <v>493</v>
      </c>
      <c r="D1405" s="3">
        <v>280000.0</v>
      </c>
      <c r="E1405" s="3"/>
    </row>
    <row r="1406">
      <c r="B1406" s="3" t="s">
        <v>1076</v>
      </c>
      <c r="D1406" s="3">
        <v>9577719.0</v>
      </c>
      <c r="E1406" s="3"/>
    </row>
    <row r="1407">
      <c r="A1407" s="3" t="s">
        <v>1482</v>
      </c>
      <c r="B1407" s="3" t="s">
        <v>843</v>
      </c>
      <c r="D1407" s="3">
        <v>300000.0</v>
      </c>
      <c r="E1407" s="3"/>
    </row>
    <row r="1408">
      <c r="A1408" s="3" t="s">
        <v>1477</v>
      </c>
      <c r="B1408" s="3" t="s">
        <v>1227</v>
      </c>
      <c r="D1408" s="3">
        <v>2402872.0</v>
      </c>
      <c r="E1408" s="3"/>
      <c r="F1408" s="3" t="s">
        <v>1304</v>
      </c>
    </row>
    <row r="1409">
      <c r="A1409" s="3" t="s">
        <v>1484</v>
      </c>
      <c r="B1409" s="3" t="s">
        <v>1025</v>
      </c>
      <c r="D1409" s="3">
        <v>2518820.0</v>
      </c>
      <c r="E1409" s="3"/>
      <c r="F1409" s="3" t="s">
        <v>1126</v>
      </c>
    </row>
    <row r="1410">
      <c r="A1410" s="3" t="s">
        <v>1485</v>
      </c>
      <c r="B1410" s="3" t="s">
        <v>737</v>
      </c>
      <c r="D1410" s="3">
        <v>1825110.0</v>
      </c>
      <c r="E1410" s="3"/>
    </row>
    <row r="1411">
      <c r="A1411" s="3" t="s">
        <v>1486</v>
      </c>
      <c r="B1411" s="3" t="s">
        <v>1212</v>
      </c>
      <c r="D1411" s="3">
        <v>1569010.0</v>
      </c>
      <c r="E1411" s="3"/>
    </row>
    <row r="1412">
      <c r="A1412" s="3" t="s">
        <v>1487</v>
      </c>
      <c r="B1412" s="3" t="s">
        <v>280</v>
      </c>
      <c r="D1412" s="3">
        <v>1912703.0</v>
      </c>
      <c r="E1412" s="3"/>
    </row>
    <row r="1413">
      <c r="A1413" s="3" t="s">
        <v>1488</v>
      </c>
      <c r="B1413" s="3" t="s">
        <v>246</v>
      </c>
      <c r="D1413" s="3">
        <v>2073640.0</v>
      </c>
      <c r="E1413" s="3"/>
    </row>
    <row r="1414">
      <c r="A1414" s="3" t="s">
        <v>1489</v>
      </c>
      <c r="B1414" s="3" t="s">
        <v>1021</v>
      </c>
      <c r="D1414" s="3">
        <v>1693110.0</v>
      </c>
      <c r="E1414" s="3"/>
    </row>
    <row r="1415">
      <c r="A1415" s="3" t="s">
        <v>1490</v>
      </c>
      <c r="B1415" s="3" t="s">
        <v>1137</v>
      </c>
      <c r="D1415" s="3">
        <v>164120.0</v>
      </c>
      <c r="E1415" s="3"/>
    </row>
    <row r="1416">
      <c r="B1416" s="3" t="s">
        <v>928</v>
      </c>
      <c r="D1416" s="3">
        <v>15000.0</v>
      </c>
      <c r="E1416" s="3"/>
    </row>
    <row r="1417">
      <c r="A1417" s="3" t="s">
        <v>1491</v>
      </c>
      <c r="B1417" s="3" t="s">
        <v>727</v>
      </c>
      <c r="D1417" s="3">
        <v>206288.0</v>
      </c>
      <c r="E1417" s="3"/>
    </row>
    <row r="1418">
      <c r="B1418" s="3" t="s">
        <v>648</v>
      </c>
      <c r="D1418" s="3">
        <v>132000.0</v>
      </c>
      <c r="E1418" s="3"/>
    </row>
    <row r="1419">
      <c r="B1419" s="3" t="s">
        <v>493</v>
      </c>
      <c r="D1419" s="3">
        <v>280000.0</v>
      </c>
      <c r="E1419" s="3"/>
    </row>
    <row r="1420">
      <c r="B1420" s="3" t="s">
        <v>1076</v>
      </c>
      <c r="D1420" s="3">
        <v>9554647.0</v>
      </c>
      <c r="E1420" s="3"/>
    </row>
    <row r="1421">
      <c r="A1421" s="3" t="s">
        <v>1490</v>
      </c>
      <c r="B1421" s="3" t="s">
        <v>1492</v>
      </c>
      <c r="D1421" s="3">
        <v>150000.0</v>
      </c>
      <c r="E1421" s="3"/>
    </row>
    <row r="1422">
      <c r="B1422" s="3" t="s">
        <v>1493</v>
      </c>
      <c r="D1422" s="3">
        <v>30000.0</v>
      </c>
      <c r="E1422" s="3"/>
    </row>
    <row r="1423">
      <c r="A1423" s="3" t="s">
        <v>1494</v>
      </c>
      <c r="B1423" s="3" t="s">
        <v>843</v>
      </c>
      <c r="D1423" s="3">
        <v>200000.0</v>
      </c>
      <c r="E1423" s="3"/>
    </row>
    <row r="1424">
      <c r="A1424" s="3" t="s">
        <v>1491</v>
      </c>
      <c r="B1424" s="3" t="s">
        <v>1331</v>
      </c>
      <c r="D1424" s="3">
        <v>200000.0</v>
      </c>
      <c r="E1424" s="3"/>
    </row>
    <row r="1425">
      <c r="A1425" s="3" t="s">
        <v>1495</v>
      </c>
      <c r="B1425" s="3" t="s">
        <v>1025</v>
      </c>
      <c r="D1425" s="3">
        <v>2788300.0</v>
      </c>
      <c r="E1425" s="3"/>
      <c r="F1425" s="3" t="s">
        <v>1126</v>
      </c>
    </row>
    <row r="1426">
      <c r="A1426" s="3" t="s">
        <v>1496</v>
      </c>
      <c r="B1426" s="3" t="s">
        <v>737</v>
      </c>
      <c r="D1426" s="3">
        <v>1826820.0</v>
      </c>
      <c r="E1426" s="3"/>
    </row>
    <row r="1427">
      <c r="A1427" s="3" t="s">
        <v>1497</v>
      </c>
      <c r="B1427" s="3" t="s">
        <v>1212</v>
      </c>
      <c r="D1427" s="3">
        <v>1572480.0</v>
      </c>
      <c r="E1427" s="3"/>
    </row>
    <row r="1428">
      <c r="A1428" s="3" t="s">
        <v>1497</v>
      </c>
      <c r="B1428" s="3" t="s">
        <v>280</v>
      </c>
      <c r="D1428" s="3">
        <v>1912703.0</v>
      </c>
      <c r="E1428" s="3"/>
    </row>
    <row r="1429">
      <c r="A1429" s="3" t="s">
        <v>1498</v>
      </c>
      <c r="B1429" s="3" t="s">
        <v>246</v>
      </c>
      <c r="D1429" s="3">
        <v>2073640.0</v>
      </c>
      <c r="E1429" s="3"/>
    </row>
    <row r="1430">
      <c r="A1430" s="3" t="s">
        <v>1499</v>
      </c>
      <c r="B1430" s="3" t="s">
        <v>1021</v>
      </c>
      <c r="D1430" s="3">
        <v>1693890.0</v>
      </c>
      <c r="E1430" s="3"/>
    </row>
    <row r="1431">
      <c r="A1431" s="3" t="s">
        <v>1500</v>
      </c>
      <c r="B1431" s="3" t="s">
        <v>1501</v>
      </c>
      <c r="D1431" s="3">
        <v>792000.0</v>
      </c>
      <c r="E1431" s="3"/>
      <c r="F1431" s="3" t="s">
        <v>1147</v>
      </c>
    </row>
    <row r="1432">
      <c r="B1432" s="3" t="s">
        <v>1137</v>
      </c>
      <c r="D1432" s="3">
        <v>163240.0</v>
      </c>
      <c r="E1432" s="3"/>
    </row>
    <row r="1433">
      <c r="B1433" s="3" t="s">
        <v>928</v>
      </c>
      <c r="D1433" s="3">
        <v>15000.0</v>
      </c>
      <c r="E1433" s="3"/>
    </row>
    <row r="1434">
      <c r="A1434" s="3" t="s">
        <v>1499</v>
      </c>
      <c r="B1434" s="3" t="s">
        <v>727</v>
      </c>
      <c r="D1434" s="3">
        <v>171908.0</v>
      </c>
      <c r="E1434" s="3"/>
    </row>
    <row r="1435">
      <c r="B1435" s="3" t="s">
        <v>648</v>
      </c>
      <c r="D1435" s="3">
        <v>132000.0</v>
      </c>
      <c r="E1435" s="3"/>
    </row>
    <row r="1436">
      <c r="B1436" s="3" t="s">
        <v>493</v>
      </c>
      <c r="D1436" s="3">
        <v>280000.0</v>
      </c>
      <c r="E1436" s="3"/>
    </row>
    <row r="1437">
      <c r="B1437" s="3" t="s">
        <v>1076</v>
      </c>
      <c r="D1437" s="3">
        <v>9498348.0</v>
      </c>
      <c r="E1437" s="3"/>
    </row>
    <row r="1438">
      <c r="A1438" s="3" t="s">
        <v>1502</v>
      </c>
      <c r="B1438" s="3" t="s">
        <v>843</v>
      </c>
      <c r="D1438" s="3">
        <v>200000.0</v>
      </c>
      <c r="E1438" s="3"/>
    </row>
    <row r="1439">
      <c r="A1439" s="3" t="s">
        <v>1503</v>
      </c>
      <c r="B1439" s="3" t="s">
        <v>1223</v>
      </c>
      <c r="D1439" s="3">
        <v>1540000.0</v>
      </c>
      <c r="E1439" s="3"/>
    </row>
    <row r="1440">
      <c r="B1440" s="3" t="s">
        <v>769</v>
      </c>
      <c r="D1440" s="3">
        <v>1.456032E7</v>
      </c>
      <c r="E1440" s="3"/>
    </row>
    <row r="1441">
      <c r="B1441" s="3" t="s">
        <v>1224</v>
      </c>
      <c r="D1441" s="3">
        <v>2262730.0</v>
      </c>
      <c r="E1441" s="3"/>
    </row>
    <row r="1442">
      <c r="A1442" s="3" t="s">
        <v>1499</v>
      </c>
      <c r="B1442" s="3" t="s">
        <v>1364</v>
      </c>
      <c r="D1442" s="3">
        <v>99560.0</v>
      </c>
      <c r="E1442" s="3"/>
      <c r="F1442" s="4" t="s">
        <v>1365</v>
      </c>
    </row>
    <row r="1443">
      <c r="B1443" s="3" t="s">
        <v>544</v>
      </c>
      <c r="D1443" s="3">
        <v>172290.0</v>
      </c>
      <c r="E1443" s="3"/>
      <c r="F1443" s="3" t="s">
        <v>1029</v>
      </c>
    </row>
    <row r="1444">
      <c r="A1444" s="3" t="s">
        <v>1504</v>
      </c>
      <c r="B1444" s="3" t="s">
        <v>1025</v>
      </c>
      <c r="D1444" s="3">
        <v>2527240.0</v>
      </c>
      <c r="E1444" s="3"/>
      <c r="F1444" s="3" t="s">
        <v>1126</v>
      </c>
    </row>
    <row r="1445">
      <c r="A1445" s="3" t="s">
        <v>1505</v>
      </c>
      <c r="B1445" s="3" t="s">
        <v>737</v>
      </c>
      <c r="D1445" s="3">
        <v>1826820.0</v>
      </c>
      <c r="E1445" s="3"/>
    </row>
    <row r="1446">
      <c r="A1446" s="3" t="s">
        <v>1506</v>
      </c>
      <c r="B1446" s="3" t="s">
        <v>1212</v>
      </c>
      <c r="D1446" s="3">
        <v>1669880.0</v>
      </c>
      <c r="E1446" s="3"/>
    </row>
    <row r="1447">
      <c r="A1447" s="3" t="s">
        <v>1507</v>
      </c>
      <c r="B1447" s="3" t="s">
        <v>280</v>
      </c>
      <c r="D1447" s="3">
        <v>1912703.0</v>
      </c>
      <c r="E1447" s="3"/>
    </row>
    <row r="1448">
      <c r="A1448" s="3" t="s">
        <v>1508</v>
      </c>
      <c r="B1448" s="3" t="s">
        <v>246</v>
      </c>
      <c r="D1448" s="3">
        <v>2073640.0</v>
      </c>
      <c r="E1448" s="3"/>
    </row>
    <row r="1449">
      <c r="A1449" s="3" t="s">
        <v>1509</v>
      </c>
      <c r="B1449" s="3" t="s">
        <v>1021</v>
      </c>
      <c r="D1449" s="3">
        <v>1752573.0</v>
      </c>
      <c r="E1449" s="3"/>
    </row>
    <row r="1450">
      <c r="A1450" s="3" t="s">
        <v>1510</v>
      </c>
      <c r="B1450" s="3" t="s">
        <v>1511</v>
      </c>
      <c r="D1450" s="3">
        <v>300000.0</v>
      </c>
      <c r="E1450" s="3"/>
    </row>
    <row r="1451">
      <c r="A1451" s="3" t="s">
        <v>1508</v>
      </c>
      <c r="B1451" s="3" t="s">
        <v>870</v>
      </c>
      <c r="D1451" s="3">
        <v>348540.0</v>
      </c>
      <c r="E1451" s="3"/>
    </row>
    <row r="1452">
      <c r="B1452" s="3" t="s">
        <v>1137</v>
      </c>
      <c r="D1452" s="3">
        <v>163030.0</v>
      </c>
      <c r="E1452" s="3"/>
    </row>
    <row r="1453">
      <c r="B1453" s="3" t="s">
        <v>928</v>
      </c>
      <c r="D1453" s="3">
        <v>15000.0</v>
      </c>
      <c r="E1453" s="3"/>
    </row>
    <row r="1454">
      <c r="A1454" s="3" t="s">
        <v>1512</v>
      </c>
      <c r="B1454" s="3" t="s">
        <v>727</v>
      </c>
      <c r="D1454" s="3">
        <v>48904.0</v>
      </c>
      <c r="E1454" s="3"/>
    </row>
    <row r="1455">
      <c r="B1455" s="3" t="s">
        <v>648</v>
      </c>
      <c r="D1455" s="3">
        <v>132000.0</v>
      </c>
      <c r="E1455" s="3"/>
    </row>
    <row r="1456">
      <c r="B1456" s="3" t="s">
        <v>493</v>
      </c>
      <c r="D1456" s="3">
        <v>280000.0</v>
      </c>
      <c r="E1456" s="3"/>
    </row>
    <row r="1457">
      <c r="B1457" s="3" t="s">
        <v>1076</v>
      </c>
      <c r="D1457" s="3">
        <v>9543962.0</v>
      </c>
      <c r="E1457" s="3"/>
      <c r="F1457" s="1" t="s">
        <v>1513</v>
      </c>
    </row>
    <row r="1458">
      <c r="A1458" s="3" t="s">
        <v>1514</v>
      </c>
      <c r="B1458" s="3" t="s">
        <v>1025</v>
      </c>
      <c r="D1458" s="3">
        <v>3179020.0</v>
      </c>
      <c r="E1458" s="3"/>
      <c r="F1458" s="3" t="s">
        <v>1126</v>
      </c>
    </row>
    <row r="1459">
      <c r="A1459" s="3" t="s">
        <v>1515</v>
      </c>
      <c r="B1459" s="3" t="s">
        <v>737</v>
      </c>
      <c r="D1459" s="3">
        <v>1826820.0</v>
      </c>
      <c r="E1459" s="3"/>
    </row>
    <row r="1460">
      <c r="A1460" s="3" t="s">
        <v>1516</v>
      </c>
      <c r="B1460" s="3" t="s">
        <v>1212</v>
      </c>
      <c r="D1460" s="3">
        <v>1638270.0</v>
      </c>
      <c r="E1460" s="3"/>
    </row>
    <row r="1461">
      <c r="A1461" s="3" t="s">
        <v>1517</v>
      </c>
      <c r="B1461" s="3" t="s">
        <v>280</v>
      </c>
      <c r="D1461" s="3">
        <v>1912703.0</v>
      </c>
      <c r="E1461" s="3"/>
    </row>
    <row r="1462">
      <c r="A1462" s="3" t="s">
        <v>1518</v>
      </c>
      <c r="B1462" s="3" t="s">
        <v>246</v>
      </c>
      <c r="D1462" s="3">
        <v>2073640.0</v>
      </c>
      <c r="E1462" s="3"/>
    </row>
    <row r="1463">
      <c r="A1463" s="3" t="s">
        <v>1519</v>
      </c>
      <c r="B1463" s="3" t="s">
        <v>1021</v>
      </c>
      <c r="D1463" s="3">
        <v>1752573.0</v>
      </c>
      <c r="E1463" s="3"/>
    </row>
    <row r="1464">
      <c r="A1464" s="3" t="s">
        <v>1520</v>
      </c>
      <c r="B1464" s="3" t="s">
        <v>1521</v>
      </c>
      <c r="D1464" s="3">
        <v>181500.0</v>
      </c>
      <c r="E1464" s="3"/>
      <c r="F1464" s="3" t="s">
        <v>1522</v>
      </c>
    </row>
    <row r="1465">
      <c r="A1465" s="3" t="s">
        <v>1523</v>
      </c>
      <c r="B1465" s="3" t="s">
        <v>1411</v>
      </c>
      <c r="D1465" s="3">
        <v>89000.0</v>
      </c>
      <c r="E1465" s="3"/>
      <c r="F1465" s="3" t="s">
        <v>1524</v>
      </c>
    </row>
    <row r="1466">
      <c r="B1466" s="3" t="s">
        <v>1137</v>
      </c>
      <c r="D1466" s="3">
        <v>164800.0</v>
      </c>
      <c r="E1466" s="3"/>
    </row>
    <row r="1467">
      <c r="B1467" s="3" t="s">
        <v>928</v>
      </c>
      <c r="D1467" s="3">
        <v>15000.0</v>
      </c>
      <c r="E1467" s="3"/>
    </row>
    <row r="1468">
      <c r="B1468" s="3" t="s">
        <v>727</v>
      </c>
      <c r="D1468" s="3">
        <v>102068.0</v>
      </c>
      <c r="E1468" s="3"/>
    </row>
    <row r="1469">
      <c r="B1469" s="3" t="s">
        <v>648</v>
      </c>
      <c r="D1469" s="3">
        <v>132000.0</v>
      </c>
      <c r="E1469" s="3"/>
    </row>
    <row r="1470">
      <c r="B1470" s="3" t="s">
        <v>493</v>
      </c>
      <c r="D1470" s="3">
        <v>280000.0</v>
      </c>
      <c r="E1470" s="3"/>
    </row>
    <row r="1471">
      <c r="B1471" s="3" t="s">
        <v>1076</v>
      </c>
      <c r="D1471" s="3">
        <v>9528778.0</v>
      </c>
      <c r="E1471" s="3"/>
      <c r="F1471" s="1" t="s">
        <v>1525</v>
      </c>
    </row>
    <row r="1472">
      <c r="A1472" s="3" t="s">
        <v>1526</v>
      </c>
      <c r="B1472" s="3" t="s">
        <v>1227</v>
      </c>
      <c r="D1472" s="3">
        <v>2432873.0</v>
      </c>
      <c r="E1472" s="3"/>
      <c r="F1472" s="3" t="s">
        <v>1304</v>
      </c>
    </row>
    <row r="1473">
      <c r="B1473" s="3" t="s">
        <v>1527</v>
      </c>
      <c r="D1473" s="3">
        <v>1089000.0</v>
      </c>
      <c r="E1473" s="3"/>
      <c r="F1473" s="3" t="s">
        <v>1147</v>
      </c>
    </row>
    <row r="1474">
      <c r="A1474" s="3" t="s">
        <v>1528</v>
      </c>
      <c r="B1474" s="3" t="s">
        <v>267</v>
      </c>
      <c r="D1474" s="3">
        <v>302000.0</v>
      </c>
      <c r="E1474" s="3"/>
      <c r="F1474" s="3" t="s">
        <v>1529</v>
      </c>
      <c r="G1474" s="1" t="s">
        <v>1530</v>
      </c>
    </row>
    <row r="1475">
      <c r="A1475" s="3" t="s">
        <v>1531</v>
      </c>
      <c r="B1475" s="3" t="s">
        <v>737</v>
      </c>
      <c r="D1475" s="3">
        <v>1825610.0</v>
      </c>
      <c r="E1475" s="3"/>
    </row>
    <row r="1476">
      <c r="A1476" s="3" t="s">
        <v>1531</v>
      </c>
      <c r="B1476" s="3" t="s">
        <v>1212</v>
      </c>
      <c r="D1476" s="3">
        <v>1626300.0</v>
      </c>
      <c r="E1476" s="3"/>
    </row>
    <row r="1477">
      <c r="A1477" s="3" t="s">
        <v>1532</v>
      </c>
      <c r="B1477" s="3" t="s">
        <v>280</v>
      </c>
      <c r="D1477" s="3">
        <v>1907523.0</v>
      </c>
      <c r="E1477" s="3"/>
    </row>
    <row r="1478">
      <c r="A1478" s="3" t="s">
        <v>1533</v>
      </c>
      <c r="B1478" s="3" t="s">
        <v>246</v>
      </c>
      <c r="D1478" s="3">
        <v>2070350.0</v>
      </c>
      <c r="E1478" s="3"/>
    </row>
    <row r="1479">
      <c r="A1479" s="3" t="s">
        <v>1534</v>
      </c>
      <c r="B1479" s="3" t="s">
        <v>1021</v>
      </c>
      <c r="D1479" s="3">
        <v>1749553.0</v>
      </c>
      <c r="E1479" s="3"/>
    </row>
    <row r="1480">
      <c r="A1480" s="3" t="s">
        <v>1535</v>
      </c>
      <c r="B1480" s="3" t="s">
        <v>1227</v>
      </c>
      <c r="D1480" s="3">
        <v>96718.0</v>
      </c>
      <c r="E1480" s="3"/>
      <c r="F1480" s="3" t="s">
        <v>1536</v>
      </c>
    </row>
    <row r="1481">
      <c r="B1481" s="3" t="s">
        <v>1025</v>
      </c>
      <c r="D1481" s="3">
        <v>2673300.0</v>
      </c>
      <c r="E1481" s="3"/>
      <c r="F1481" s="3" t="s">
        <v>1126</v>
      </c>
    </row>
    <row r="1482">
      <c r="A1482" s="3" t="s">
        <v>1537</v>
      </c>
      <c r="B1482" s="3" t="s">
        <v>1152</v>
      </c>
      <c r="D1482" s="3">
        <v>77000.0</v>
      </c>
      <c r="E1482" s="3"/>
      <c r="F1482" s="3" t="s">
        <v>1295</v>
      </c>
    </row>
    <row r="1483">
      <c r="A1483" s="3" t="s">
        <v>1533</v>
      </c>
      <c r="B1483" s="3" t="s">
        <v>1137</v>
      </c>
      <c r="D1483" s="3">
        <v>169380.0</v>
      </c>
      <c r="E1483" s="3"/>
    </row>
    <row r="1484">
      <c r="B1484" s="3" t="s">
        <v>928</v>
      </c>
      <c r="D1484" s="3">
        <v>15000.0</v>
      </c>
      <c r="E1484" s="3"/>
    </row>
    <row r="1485">
      <c r="A1485" s="3" t="s">
        <v>1538</v>
      </c>
      <c r="B1485" s="3" t="s">
        <v>727</v>
      </c>
      <c r="D1485" s="3">
        <v>138972.0</v>
      </c>
      <c r="E1485" s="3"/>
    </row>
    <row r="1486">
      <c r="B1486" s="3" t="s">
        <v>648</v>
      </c>
      <c r="D1486" s="3">
        <v>132000.0</v>
      </c>
      <c r="E1486" s="3"/>
    </row>
    <row r="1487">
      <c r="B1487" s="3" t="s">
        <v>493</v>
      </c>
      <c r="D1487" s="3">
        <v>280000.0</v>
      </c>
      <c r="E1487" s="3"/>
    </row>
    <row r="1488">
      <c r="B1488" s="1" t="s">
        <v>1539</v>
      </c>
      <c r="D1488" s="3">
        <v>9203505.0</v>
      </c>
      <c r="E1488" s="3"/>
    </row>
    <row r="1489">
      <c r="A1489" s="3" t="s">
        <v>1533</v>
      </c>
      <c r="B1489" s="3" t="s">
        <v>1331</v>
      </c>
      <c r="D1489" s="3">
        <v>300000.0</v>
      </c>
      <c r="E1489" s="3"/>
    </row>
    <row r="1490">
      <c r="A1490" s="3" t="s">
        <v>1540</v>
      </c>
      <c r="B1490" s="3" t="s">
        <v>1541</v>
      </c>
      <c r="D1490" s="3">
        <v>516000.0</v>
      </c>
      <c r="E1490" s="3"/>
      <c r="F1490" s="3" t="s">
        <v>1542</v>
      </c>
    </row>
    <row r="1491">
      <c r="A1491" s="3" t="s">
        <v>1543</v>
      </c>
      <c r="B1491" s="3" t="s">
        <v>737</v>
      </c>
      <c r="D1491" s="3">
        <v>725350.0</v>
      </c>
      <c r="E1491" s="3"/>
    </row>
    <row r="1492">
      <c r="A1492" s="3" t="s">
        <v>1544</v>
      </c>
      <c r="B1492" s="3" t="s">
        <v>1212</v>
      </c>
      <c r="D1492" s="3">
        <v>1626300.0</v>
      </c>
      <c r="E1492" s="3"/>
    </row>
    <row r="1493">
      <c r="A1493" s="3" t="s">
        <v>1545</v>
      </c>
      <c r="B1493" s="3" t="s">
        <v>280</v>
      </c>
      <c r="D1493" s="3">
        <v>1907523.0</v>
      </c>
      <c r="E1493" s="3"/>
    </row>
    <row r="1494">
      <c r="A1494" s="3" t="s">
        <v>1546</v>
      </c>
      <c r="B1494" s="3" t="s">
        <v>246</v>
      </c>
      <c r="D1494" s="3">
        <v>2070350.0</v>
      </c>
      <c r="E1494" s="3"/>
    </row>
    <row r="1495">
      <c r="A1495" s="3" t="s">
        <v>1547</v>
      </c>
      <c r="B1495" s="3" t="s">
        <v>1021</v>
      </c>
      <c r="D1495" s="3">
        <v>1749553.0</v>
      </c>
      <c r="E1495" s="3"/>
    </row>
    <row r="1496">
      <c r="A1496" s="3" t="s">
        <v>1540</v>
      </c>
      <c r="B1496" s="3" t="s">
        <v>1025</v>
      </c>
      <c r="D1496" s="3">
        <v>2725720.0</v>
      </c>
      <c r="E1496" s="3"/>
      <c r="F1496" s="3" t="s">
        <v>1126</v>
      </c>
    </row>
    <row r="1497">
      <c r="A1497" s="3" t="s">
        <v>1543</v>
      </c>
      <c r="B1497" s="3" t="s">
        <v>544</v>
      </c>
      <c r="D1497" s="3">
        <v>89480.0</v>
      </c>
      <c r="E1497" s="3"/>
      <c r="F1497" s="4" t="s">
        <v>1365</v>
      </c>
    </row>
    <row r="1498">
      <c r="D1498" s="3">
        <v>109500.0</v>
      </c>
      <c r="E1498" s="3"/>
      <c r="F1498" s="4" t="s">
        <v>1548</v>
      </c>
    </row>
    <row r="1499">
      <c r="A1499" s="3" t="s">
        <v>1549</v>
      </c>
      <c r="B1499" s="3" t="s">
        <v>340</v>
      </c>
      <c r="D1499" s="3">
        <v>330000.0</v>
      </c>
      <c r="E1499" s="3"/>
      <c r="F1499" s="3" t="s">
        <v>1147</v>
      </c>
    </row>
    <row r="1500">
      <c r="A1500" s="3" t="s">
        <v>1550</v>
      </c>
      <c r="B1500" s="3" t="s">
        <v>1551</v>
      </c>
      <c r="D1500" s="3">
        <v>650000.0</v>
      </c>
      <c r="E1500" s="3"/>
    </row>
    <row r="1501">
      <c r="B1501" s="3" t="s">
        <v>1552</v>
      </c>
      <c r="D1501" s="3">
        <v>625000.0</v>
      </c>
      <c r="E1501" s="3"/>
    </row>
    <row r="1502">
      <c r="A1502" s="3" t="s">
        <v>1553</v>
      </c>
      <c r="B1502" s="3" t="s">
        <v>1137</v>
      </c>
      <c r="D1502" s="3">
        <v>168520.0</v>
      </c>
      <c r="E1502" s="3"/>
    </row>
    <row r="1503">
      <c r="B1503" s="3" t="s">
        <v>928</v>
      </c>
      <c r="D1503" s="3">
        <v>15000.0</v>
      </c>
      <c r="E1503" s="3"/>
    </row>
    <row r="1504">
      <c r="A1504" s="3" t="s">
        <v>1554</v>
      </c>
      <c r="B1504" s="3" t="s">
        <v>727</v>
      </c>
      <c r="D1504" s="3">
        <v>131652.0</v>
      </c>
      <c r="E1504" s="3"/>
    </row>
    <row r="1505">
      <c r="B1505" s="3" t="s">
        <v>648</v>
      </c>
      <c r="D1505" s="3">
        <v>132000.0</v>
      </c>
      <c r="E1505" s="3"/>
    </row>
    <row r="1506">
      <c r="B1506" s="3" t="s">
        <v>493</v>
      </c>
      <c r="D1506" s="3">
        <v>280000.0</v>
      </c>
      <c r="E1506" s="3"/>
    </row>
    <row r="1507">
      <c r="B1507" s="1" t="s">
        <v>1539</v>
      </c>
      <c r="D1507" s="3">
        <v>9387365.0</v>
      </c>
      <c r="E1507" s="3"/>
    </row>
    <row r="1508">
      <c r="A1508" s="3" t="s">
        <v>1547</v>
      </c>
      <c r="B1508" s="3" t="s">
        <v>1025</v>
      </c>
      <c r="D1508" s="3">
        <v>2398530.0</v>
      </c>
      <c r="E1508" s="3"/>
      <c r="F1508" s="3" t="s">
        <v>1126</v>
      </c>
    </row>
    <row r="1509">
      <c r="A1509" s="3" t="s">
        <v>1555</v>
      </c>
      <c r="B1509" s="3" t="s">
        <v>737</v>
      </c>
      <c r="D1509" s="3">
        <v>665340.0</v>
      </c>
      <c r="E1509" s="3"/>
    </row>
    <row r="1510">
      <c r="A1510" s="3" t="s">
        <v>1556</v>
      </c>
      <c r="B1510" s="3" t="s">
        <v>1212</v>
      </c>
      <c r="D1510" s="3">
        <v>1626300.0</v>
      </c>
      <c r="E1510" s="3"/>
    </row>
    <row r="1511">
      <c r="A1511" s="3" t="s">
        <v>1557</v>
      </c>
      <c r="B1511" s="3" t="s">
        <v>280</v>
      </c>
      <c r="D1511" s="3">
        <v>764613.0</v>
      </c>
      <c r="E1511" s="3"/>
    </row>
    <row r="1512">
      <c r="A1512" s="3" t="s">
        <v>1558</v>
      </c>
      <c r="B1512" s="3" t="s">
        <v>246</v>
      </c>
      <c r="D1512" s="3">
        <v>2070350.0</v>
      </c>
      <c r="E1512" s="3"/>
    </row>
    <row r="1513">
      <c r="A1513" s="3" t="s">
        <v>1559</v>
      </c>
      <c r="B1513" s="3" t="s">
        <v>1021</v>
      </c>
      <c r="D1513" s="3">
        <v>1749553.0</v>
      </c>
      <c r="E1513" s="3"/>
    </row>
    <row r="1514">
      <c r="A1514" s="3" t="s">
        <v>1556</v>
      </c>
      <c r="B1514" s="3" t="s">
        <v>1541</v>
      </c>
      <c r="D1514" s="3">
        <v>368000.0</v>
      </c>
      <c r="E1514" s="3"/>
      <c r="F1514" s="3" t="s">
        <v>1542</v>
      </c>
    </row>
    <row r="1515">
      <c r="A1515" s="3" t="s">
        <v>1560</v>
      </c>
      <c r="B1515" s="3" t="s">
        <v>1561</v>
      </c>
      <c r="D1515" s="3">
        <v>546000.0</v>
      </c>
      <c r="E1515" s="3"/>
      <c r="F1515" s="3" t="s">
        <v>1562</v>
      </c>
    </row>
    <row r="1516">
      <c r="B1516" s="3" t="s">
        <v>1552</v>
      </c>
      <c r="D1516" s="3">
        <v>525000.0</v>
      </c>
      <c r="E1516" s="3"/>
      <c r="F1516" s="3" t="s">
        <v>1563</v>
      </c>
    </row>
    <row r="1517">
      <c r="B1517" s="3" t="s">
        <v>1564</v>
      </c>
      <c r="D1517" s="3">
        <v>567000.0</v>
      </c>
      <c r="E1517" s="3"/>
      <c r="F1517" s="3" t="s">
        <v>1565</v>
      </c>
    </row>
    <row r="1518">
      <c r="A1518" s="3"/>
      <c r="B1518" s="1" t="s">
        <v>1566</v>
      </c>
      <c r="D1518" s="1">
        <v>200000.0</v>
      </c>
      <c r="E1518" s="1"/>
      <c r="F1518" s="3"/>
    </row>
    <row r="1519">
      <c r="A1519" s="3"/>
      <c r="B1519" s="1" t="s">
        <v>1567</v>
      </c>
      <c r="D1519" s="1">
        <v>200000.0</v>
      </c>
      <c r="E1519" s="1"/>
      <c r="F1519" s="3"/>
    </row>
    <row r="1520">
      <c r="A1520" s="3" t="s">
        <v>1560</v>
      </c>
      <c r="B1520" s="3" t="s">
        <v>1227</v>
      </c>
      <c r="D1520" s="3">
        <v>2471914.0</v>
      </c>
      <c r="E1520" s="3"/>
      <c r="F1520" s="3" t="s">
        <v>1304</v>
      </c>
    </row>
    <row r="1521">
      <c r="B1521" s="3" t="s">
        <v>843</v>
      </c>
      <c r="D1521" s="3">
        <v>400000.0</v>
      </c>
      <c r="E1521" s="3"/>
    </row>
    <row r="1522">
      <c r="A1522" s="3" t="s">
        <v>1558</v>
      </c>
      <c r="B1522" s="3" t="s">
        <v>1137</v>
      </c>
      <c r="D1522" s="3">
        <v>166970.0</v>
      </c>
      <c r="E1522" s="3"/>
    </row>
    <row r="1523">
      <c r="B1523" s="3" t="s">
        <v>928</v>
      </c>
      <c r="D1523" s="3">
        <v>15000.0</v>
      </c>
      <c r="E1523" s="3"/>
    </row>
    <row r="1524">
      <c r="A1524" s="3" t="s">
        <v>1559</v>
      </c>
      <c r="B1524" s="3" t="s">
        <v>727</v>
      </c>
      <c r="D1524" s="3">
        <v>121440.0</v>
      </c>
      <c r="E1524" s="3"/>
    </row>
    <row r="1525">
      <c r="B1525" s="3" t="s">
        <v>648</v>
      </c>
      <c r="D1525" s="3">
        <v>132000.0</v>
      </c>
      <c r="E1525" s="3"/>
    </row>
    <row r="1526">
      <c r="B1526" s="3" t="s">
        <v>493</v>
      </c>
      <c r="D1526" s="3">
        <v>280000.0</v>
      </c>
      <c r="E1526" s="3"/>
      <c r="F1526" s="3" t="s">
        <v>1568</v>
      </c>
    </row>
    <row r="1527">
      <c r="B1527" s="1" t="s">
        <v>1539</v>
      </c>
      <c r="D1527" s="3">
        <v>9478991.0</v>
      </c>
      <c r="E1527" s="3"/>
    </row>
    <row r="1528">
      <c r="A1528" s="3" t="s">
        <v>1558</v>
      </c>
      <c r="B1528" s="3" t="s">
        <v>1331</v>
      </c>
      <c r="D1528" s="3">
        <v>200000.0</v>
      </c>
      <c r="E1528" s="3"/>
    </row>
    <row r="1529">
      <c r="A1529" s="3" t="s">
        <v>1569</v>
      </c>
      <c r="B1529" s="3" t="s">
        <v>267</v>
      </c>
      <c r="D1529" s="3">
        <v>358000.0</v>
      </c>
      <c r="E1529" s="3"/>
    </row>
    <row r="1530">
      <c r="A1530" s="3" t="s">
        <v>1570</v>
      </c>
      <c r="B1530" s="3" t="s">
        <v>737</v>
      </c>
      <c r="D1530" s="3">
        <v>37520.0</v>
      </c>
      <c r="E1530" s="3"/>
    </row>
    <row r="1531">
      <c r="A1531" s="3" t="s">
        <v>1570</v>
      </c>
      <c r="B1531" s="3" t="s">
        <v>1212</v>
      </c>
      <c r="D1531" s="3">
        <v>1626300.0</v>
      </c>
      <c r="E1531" s="3"/>
    </row>
    <row r="1532">
      <c r="A1532" s="3" t="s">
        <v>1571</v>
      </c>
      <c r="B1532" s="3" t="s">
        <v>280</v>
      </c>
      <c r="D1532" s="3">
        <v>755703.0</v>
      </c>
      <c r="E1532" s="3"/>
    </row>
    <row r="1533">
      <c r="A1533" s="3" t="s">
        <v>1572</v>
      </c>
      <c r="B1533" s="3" t="s">
        <v>246</v>
      </c>
      <c r="D1533" s="3">
        <v>2070350.0</v>
      </c>
      <c r="E1533" s="3"/>
    </row>
    <row r="1534">
      <c r="A1534" s="3" t="s">
        <v>1573</v>
      </c>
      <c r="B1534" s="3" t="s">
        <v>1021</v>
      </c>
      <c r="D1534" s="3">
        <v>1749553.0</v>
      </c>
      <c r="E1534" s="3"/>
    </row>
    <row r="1535">
      <c r="A1535" s="3" t="s">
        <v>1569</v>
      </c>
      <c r="B1535" s="3" t="s">
        <v>1025</v>
      </c>
      <c r="D1535" s="3">
        <v>2222080.0</v>
      </c>
      <c r="E1535" s="3"/>
      <c r="F1535" s="3" t="s">
        <v>1126</v>
      </c>
    </row>
    <row r="1536">
      <c r="A1536" s="3" t="s">
        <v>1574</v>
      </c>
      <c r="B1536" s="3" t="s">
        <v>1575</v>
      </c>
      <c r="D1536" s="3">
        <v>702000.0</v>
      </c>
      <c r="E1536" s="3"/>
      <c r="F1536" s="3" t="s">
        <v>1576</v>
      </c>
    </row>
    <row r="1537">
      <c r="B1537" s="3" t="s">
        <v>1552</v>
      </c>
      <c r="D1537" s="3">
        <v>675000.0</v>
      </c>
      <c r="E1537" s="3"/>
      <c r="F1537" s="3" t="s">
        <v>1577</v>
      </c>
    </row>
    <row r="1538">
      <c r="B1538" s="3" t="s">
        <v>1578</v>
      </c>
      <c r="D1538" s="3">
        <v>783000.0</v>
      </c>
      <c r="E1538" s="3"/>
      <c r="F1538" s="3" t="s">
        <v>1579</v>
      </c>
    </row>
    <row r="1539">
      <c r="A1539" s="3" t="s">
        <v>1580</v>
      </c>
      <c r="B1539" s="3" t="s">
        <v>1137</v>
      </c>
      <c r="D1539" s="3">
        <v>170170.0</v>
      </c>
      <c r="E1539" s="3"/>
    </row>
    <row r="1540">
      <c r="B1540" s="3" t="s">
        <v>928</v>
      </c>
      <c r="D1540" s="3">
        <v>15000.0</v>
      </c>
      <c r="E1540" s="3"/>
    </row>
    <row r="1541">
      <c r="B1541" s="3" t="s">
        <v>1294</v>
      </c>
      <c r="D1541" s="3">
        <v>1.1303E7</v>
      </c>
      <c r="E1541" s="3"/>
    </row>
    <row r="1542">
      <c r="A1542" s="3" t="s">
        <v>1581</v>
      </c>
      <c r="B1542" s="3" t="s">
        <v>727</v>
      </c>
      <c r="D1542" s="3">
        <v>139100.0</v>
      </c>
      <c r="E1542" s="3"/>
    </row>
    <row r="1543">
      <c r="B1543" s="3" t="s">
        <v>648</v>
      </c>
      <c r="D1543" s="3">
        <v>132000.0</v>
      </c>
      <c r="E1543" s="3"/>
    </row>
    <row r="1544">
      <c r="B1544" s="3" t="s">
        <v>493</v>
      </c>
      <c r="D1544" s="3">
        <v>280000.0</v>
      </c>
      <c r="E1544" s="3"/>
    </row>
    <row r="1545">
      <c r="B1545" s="1" t="s">
        <v>1539</v>
      </c>
      <c r="D1545" s="3">
        <v>9155269.0</v>
      </c>
      <c r="E1545" s="3"/>
    </row>
    <row r="1546">
      <c r="A1546" s="3" t="s">
        <v>1572</v>
      </c>
      <c r="B1546" s="3" t="s">
        <v>843</v>
      </c>
      <c r="D1546" s="3">
        <v>200000.0</v>
      </c>
      <c r="E1546" s="3"/>
    </row>
    <row r="1547">
      <c r="A1547" s="3" t="s">
        <v>1582</v>
      </c>
      <c r="B1547" s="3" t="s">
        <v>267</v>
      </c>
      <c r="D1547" s="3">
        <v>360000.0</v>
      </c>
      <c r="E1547" s="3"/>
    </row>
    <row r="1548">
      <c r="A1548" s="3" t="s">
        <v>1583</v>
      </c>
      <c r="B1548" s="3" t="s">
        <v>1152</v>
      </c>
      <c r="D1548" s="3">
        <v>77000.0</v>
      </c>
      <c r="E1548" s="3"/>
      <c r="F1548" s="3" t="s">
        <v>1295</v>
      </c>
    </row>
    <row r="1549">
      <c r="B1549" s="4" t="s">
        <v>1365</v>
      </c>
      <c r="D1549" s="3">
        <v>72310.0</v>
      </c>
      <c r="E1549" s="3"/>
    </row>
    <row r="1550">
      <c r="A1550" s="3" t="s">
        <v>1584</v>
      </c>
      <c r="B1550" s="3" t="s">
        <v>1025</v>
      </c>
      <c r="D1550" s="3">
        <v>2392280.0</v>
      </c>
      <c r="E1550" s="3"/>
      <c r="F1550" s="3" t="s">
        <v>1126</v>
      </c>
    </row>
    <row r="1551">
      <c r="A1551" s="3" t="s">
        <v>1585</v>
      </c>
      <c r="B1551" s="3" t="s">
        <v>737</v>
      </c>
      <c r="D1551" s="3">
        <v>1697919.0</v>
      </c>
      <c r="E1551" s="3"/>
    </row>
    <row r="1552">
      <c r="A1552" s="3" t="s">
        <v>1586</v>
      </c>
      <c r="B1552" s="3" t="s">
        <v>1212</v>
      </c>
      <c r="D1552" s="3">
        <v>1626300.0</v>
      </c>
      <c r="E1552" s="3"/>
    </row>
    <row r="1553">
      <c r="A1553" s="3" t="s">
        <v>1587</v>
      </c>
      <c r="B1553" s="3" t="s">
        <v>280</v>
      </c>
      <c r="D1553" s="3">
        <v>34364.0</v>
      </c>
      <c r="E1553" s="3"/>
    </row>
    <row r="1554">
      <c r="A1554" s="3" t="s">
        <v>1588</v>
      </c>
      <c r="B1554" s="3" t="s">
        <v>246</v>
      </c>
      <c r="D1554" s="3">
        <v>2070350.0</v>
      </c>
      <c r="E1554" s="3"/>
    </row>
    <row r="1555">
      <c r="A1555" s="3" t="s">
        <v>1589</v>
      </c>
      <c r="B1555" s="3" t="s">
        <v>1021</v>
      </c>
      <c r="D1555" s="3">
        <v>1749553.0</v>
      </c>
      <c r="E1555" s="3"/>
    </row>
    <row r="1556">
      <c r="A1556" s="3" t="s">
        <v>1590</v>
      </c>
      <c r="B1556" s="3" t="s">
        <v>843</v>
      </c>
      <c r="D1556" s="3">
        <v>200000.0</v>
      </c>
      <c r="E1556" s="3"/>
    </row>
    <row r="1557">
      <c r="A1557" s="3" t="s">
        <v>1591</v>
      </c>
      <c r="B1557" s="3" t="s">
        <v>1592</v>
      </c>
      <c r="D1557" s="3">
        <v>702000.0</v>
      </c>
      <c r="E1557" s="3"/>
      <c r="F1557" s="3" t="s">
        <v>1593</v>
      </c>
    </row>
    <row r="1558">
      <c r="B1558" s="3" t="s">
        <v>1227</v>
      </c>
      <c r="D1558" s="3">
        <v>2471912.0</v>
      </c>
      <c r="E1558" s="3"/>
      <c r="F1558" s="3" t="s">
        <v>1304</v>
      </c>
    </row>
    <row r="1559">
      <c r="A1559" s="3" t="s">
        <v>1594</v>
      </c>
      <c r="B1559" s="3" t="s">
        <v>1331</v>
      </c>
      <c r="D1559" s="3">
        <v>209630.0</v>
      </c>
      <c r="E1559" s="3"/>
      <c r="F1559" s="3" t="s">
        <v>1332</v>
      </c>
    </row>
    <row r="1560">
      <c r="A1560" s="3" t="s">
        <v>1589</v>
      </c>
      <c r="B1560" s="3" t="s">
        <v>727</v>
      </c>
      <c r="D1560" s="3">
        <v>122676.0</v>
      </c>
      <c r="E1560" s="3"/>
    </row>
    <row r="1561">
      <c r="B1561" s="3" t="s">
        <v>648</v>
      </c>
      <c r="D1561" s="3">
        <v>132000.0</v>
      </c>
      <c r="E1561" s="3"/>
    </row>
    <row r="1562">
      <c r="B1562" s="3" t="s">
        <v>493</v>
      </c>
      <c r="D1562" s="3">
        <v>280000.0</v>
      </c>
      <c r="E1562" s="3"/>
    </row>
    <row r="1563">
      <c r="B1563" s="1" t="s">
        <v>1539</v>
      </c>
      <c r="D1563" s="3">
        <v>9155884.0</v>
      </c>
      <c r="E1563" s="3"/>
    </row>
    <row r="1564">
      <c r="A1564" s="3" t="s">
        <v>1595</v>
      </c>
      <c r="B1564" s="3" t="s">
        <v>267</v>
      </c>
      <c r="D1564" s="3">
        <v>460000.0</v>
      </c>
      <c r="E1564" s="3"/>
    </row>
    <row r="1565">
      <c r="A1565" s="3" t="s">
        <v>1595</v>
      </c>
      <c r="B1565" s="3" t="s">
        <v>1025</v>
      </c>
      <c r="D1565" s="3">
        <v>2555800.0</v>
      </c>
      <c r="E1565" s="3"/>
      <c r="F1565" s="3" t="s">
        <v>1126</v>
      </c>
    </row>
    <row r="1566">
      <c r="A1566" s="3" t="s">
        <v>1596</v>
      </c>
      <c r="B1566" s="3" t="s">
        <v>737</v>
      </c>
      <c r="D1566" s="3">
        <v>1882137.0</v>
      </c>
      <c r="E1566" s="3"/>
    </row>
    <row r="1567">
      <c r="A1567" s="3" t="s">
        <v>1597</v>
      </c>
      <c r="B1567" s="3" t="s">
        <v>1212</v>
      </c>
      <c r="D1567" s="3">
        <v>1626300.0</v>
      </c>
      <c r="E1567" s="3"/>
    </row>
    <row r="1568">
      <c r="A1568" s="3" t="s">
        <v>1597</v>
      </c>
      <c r="B1568" s="3" t="s">
        <v>280</v>
      </c>
      <c r="D1568" s="3">
        <v>1796246.0</v>
      </c>
      <c r="E1568" s="3"/>
    </row>
    <row r="1569">
      <c r="A1569" s="3" t="s">
        <v>1598</v>
      </c>
      <c r="B1569" s="3" t="s">
        <v>246</v>
      </c>
      <c r="D1569" s="3">
        <v>2070350.0</v>
      </c>
      <c r="E1569" s="3"/>
    </row>
    <row r="1570">
      <c r="A1570" s="3" t="s">
        <v>1599</v>
      </c>
      <c r="B1570" s="3" t="s">
        <v>1021</v>
      </c>
      <c r="D1570" s="3">
        <v>1749553.0</v>
      </c>
      <c r="E1570" s="3"/>
    </row>
    <row r="1571">
      <c r="A1571" s="3" t="s">
        <v>1598</v>
      </c>
      <c r="B1571" s="3" t="s">
        <v>1600</v>
      </c>
      <c r="D1571" s="3">
        <v>164430.0</v>
      </c>
      <c r="E1571" s="3"/>
    </row>
    <row r="1572">
      <c r="B1572" s="3" t="s">
        <v>1137</v>
      </c>
      <c r="D1572" s="3">
        <v>170650.0</v>
      </c>
      <c r="E1572" s="3"/>
    </row>
    <row r="1573">
      <c r="B1573" s="3" t="s">
        <v>928</v>
      </c>
      <c r="D1573" s="3">
        <v>30000.0</v>
      </c>
      <c r="E1573" s="3"/>
    </row>
    <row r="1574">
      <c r="A1574" s="3" t="s">
        <v>1599</v>
      </c>
      <c r="B1574" s="3" t="s">
        <v>727</v>
      </c>
      <c r="D1574" s="3">
        <v>195440.0</v>
      </c>
      <c r="E1574" s="3"/>
    </row>
    <row r="1575">
      <c r="B1575" s="3" t="s">
        <v>648</v>
      </c>
      <c r="D1575" s="3">
        <v>132000.0</v>
      </c>
      <c r="E1575" s="3"/>
    </row>
    <row r="1576">
      <c r="B1576" s="3" t="s">
        <v>493</v>
      </c>
      <c r="D1576" s="3">
        <v>280000.0</v>
      </c>
      <c r="E1576" s="3"/>
    </row>
    <row r="1577">
      <c r="B1577" s="3" t="s">
        <v>1539</v>
      </c>
      <c r="D1577" s="3">
        <v>9199941.0</v>
      </c>
      <c r="E1577" s="3"/>
    </row>
    <row r="1578">
      <c r="A1578" s="3" t="s">
        <v>1601</v>
      </c>
      <c r="B1578" s="3" t="s">
        <v>340</v>
      </c>
      <c r="D1578" s="3">
        <v>200000.0</v>
      </c>
      <c r="E1578" s="3"/>
      <c r="F1578" s="3" t="s">
        <v>1147</v>
      </c>
    </row>
    <row r="1579">
      <c r="A1579" s="3" t="s">
        <v>1602</v>
      </c>
      <c r="B1579" s="3" t="s">
        <v>843</v>
      </c>
      <c r="D1579" s="3">
        <v>50000.0</v>
      </c>
      <c r="E1579" s="3"/>
    </row>
    <row r="1580">
      <c r="A1580" s="3" t="s">
        <v>1603</v>
      </c>
      <c r="B1580" s="3" t="s">
        <v>737</v>
      </c>
      <c r="D1580" s="3">
        <v>1881347.0</v>
      </c>
      <c r="E1580" s="3"/>
    </row>
    <row r="1581">
      <c r="A1581" s="3" t="s">
        <v>1604</v>
      </c>
      <c r="B1581" s="3" t="s">
        <v>1212</v>
      </c>
      <c r="D1581" s="3">
        <v>1625680.0</v>
      </c>
      <c r="E1581" s="3"/>
    </row>
    <row r="1582">
      <c r="A1582" s="3" t="s">
        <v>1605</v>
      </c>
      <c r="B1582" s="3" t="s">
        <v>280</v>
      </c>
      <c r="D1582" s="3">
        <v>1906683.0</v>
      </c>
      <c r="E1582" s="3"/>
    </row>
    <row r="1583">
      <c r="A1583" s="3" t="s">
        <v>1606</v>
      </c>
      <c r="B1583" s="3" t="s">
        <v>246</v>
      </c>
      <c r="D1583" s="3">
        <v>2069430.0</v>
      </c>
      <c r="E1583" s="3"/>
    </row>
    <row r="1584">
      <c r="A1584" s="3" t="s">
        <v>1607</v>
      </c>
      <c r="B1584" s="3" t="s">
        <v>1021</v>
      </c>
      <c r="D1584" s="3">
        <v>1748813.0</v>
      </c>
      <c r="E1584" s="3"/>
    </row>
    <row r="1585">
      <c r="A1585" s="3" t="s">
        <v>1608</v>
      </c>
      <c r="B1585" s="3" t="s">
        <v>1025</v>
      </c>
      <c r="D1585" s="3">
        <v>2743720.0</v>
      </c>
      <c r="E1585" s="3"/>
      <c r="F1585" s="3" t="s">
        <v>1126</v>
      </c>
    </row>
    <row r="1586">
      <c r="A1586" s="3" t="s">
        <v>1609</v>
      </c>
      <c r="B1586" s="3" t="s">
        <v>1541</v>
      </c>
      <c r="D1586" s="3">
        <v>428000.0</v>
      </c>
      <c r="E1586" s="3"/>
      <c r="F1586" s="3" t="s">
        <v>1542</v>
      </c>
    </row>
    <row r="1587">
      <c r="A1587" s="1" t="s">
        <v>1610</v>
      </c>
      <c r="B1587" s="3" t="s">
        <v>1137</v>
      </c>
      <c r="D1587" s="1">
        <v>165210.0</v>
      </c>
      <c r="E1587" s="1"/>
    </row>
    <row r="1588">
      <c r="B1588" s="3" t="s">
        <v>928</v>
      </c>
      <c r="D1588" s="3">
        <v>15000.0</v>
      </c>
      <c r="E1588" s="3"/>
    </row>
    <row r="1589">
      <c r="A1589" s="1" t="s">
        <v>1607</v>
      </c>
      <c r="B1589" s="3" t="s">
        <v>727</v>
      </c>
      <c r="D1589" s="1">
        <v>312512.0</v>
      </c>
      <c r="E1589" s="1"/>
    </row>
    <row r="1590">
      <c r="B1590" s="3" t="s">
        <v>648</v>
      </c>
      <c r="D1590" s="3">
        <v>132000.0</v>
      </c>
      <c r="E1590" s="3"/>
    </row>
    <row r="1591">
      <c r="B1591" s="3" t="s">
        <v>493</v>
      </c>
      <c r="D1591" s="3">
        <v>280000.0</v>
      </c>
      <c r="E1591" s="3"/>
    </row>
    <row r="1592">
      <c r="B1592" s="3" t="s">
        <v>1539</v>
      </c>
      <c r="D1592" s="1">
        <v>9450621.0</v>
      </c>
      <c r="E1592" s="1"/>
    </row>
    <row r="1593">
      <c r="A1593" s="1" t="s">
        <v>1611</v>
      </c>
      <c r="B1593" s="3" t="s">
        <v>843</v>
      </c>
      <c r="D1593" s="3">
        <v>50000.0</v>
      </c>
      <c r="E1593" s="3"/>
    </row>
    <row r="1594">
      <c r="A1594" s="1" t="s">
        <v>1607</v>
      </c>
      <c r="B1594" s="1" t="s">
        <v>1612</v>
      </c>
      <c r="D1594" s="1">
        <v>187000.0</v>
      </c>
      <c r="E1594" s="1"/>
      <c r="F1594" s="1" t="s">
        <v>1613</v>
      </c>
    </row>
    <row r="1595">
      <c r="A1595" s="1" t="s">
        <v>1614</v>
      </c>
      <c r="B1595" s="3" t="s">
        <v>1025</v>
      </c>
      <c r="D1595" s="3">
        <v>2743720.0</v>
      </c>
      <c r="E1595" s="3"/>
      <c r="F1595" s="3" t="s">
        <v>1126</v>
      </c>
    </row>
    <row r="1596">
      <c r="B1596" s="3" t="s">
        <v>1541</v>
      </c>
      <c r="D1596" s="1">
        <v>430000.0</v>
      </c>
      <c r="E1596" s="1"/>
      <c r="F1596" s="3" t="s">
        <v>1542</v>
      </c>
    </row>
    <row r="1597">
      <c r="A1597" s="1" t="s">
        <v>1615</v>
      </c>
      <c r="B1597" s="3" t="s">
        <v>737</v>
      </c>
      <c r="D1597" s="3">
        <v>1881347.0</v>
      </c>
      <c r="E1597" s="3"/>
    </row>
    <row r="1598">
      <c r="A1598" s="1" t="s">
        <v>1616</v>
      </c>
      <c r="B1598" s="3" t="s">
        <v>1212</v>
      </c>
      <c r="D1598" s="3">
        <v>1625680.0</v>
      </c>
      <c r="E1598" s="3"/>
    </row>
    <row r="1599">
      <c r="A1599" s="1" t="s">
        <v>1617</v>
      </c>
      <c r="B1599" s="3" t="s">
        <v>280</v>
      </c>
      <c r="D1599" s="1">
        <v>1963156.0</v>
      </c>
      <c r="E1599" s="1"/>
    </row>
    <row r="1600">
      <c r="A1600" s="1" t="s">
        <v>1618</v>
      </c>
      <c r="B1600" s="3" t="s">
        <v>246</v>
      </c>
      <c r="D1600" s="1">
        <v>2107760.0</v>
      </c>
      <c r="E1600" s="1"/>
    </row>
    <row r="1601">
      <c r="A1601" s="1" t="s">
        <v>1619</v>
      </c>
      <c r="B1601" s="3" t="s">
        <v>1021</v>
      </c>
      <c r="D1601" s="3">
        <v>1748813.0</v>
      </c>
      <c r="E1601" s="3"/>
    </row>
    <row r="1602">
      <c r="A1602" s="1" t="s">
        <v>1620</v>
      </c>
      <c r="B1602" s="3" t="s">
        <v>1480</v>
      </c>
      <c r="D1602" s="1">
        <v>710504.0</v>
      </c>
      <c r="E1602" s="1"/>
      <c r="F1602" s="3" t="s">
        <v>1481</v>
      </c>
    </row>
    <row r="1603">
      <c r="A1603" s="1" t="s">
        <v>1621</v>
      </c>
      <c r="B1603" s="1" t="s">
        <v>1622</v>
      </c>
      <c r="D1603" s="1">
        <v>249000.0</v>
      </c>
      <c r="E1603" s="1"/>
      <c r="F1603" s="1" t="s">
        <v>1623</v>
      </c>
    </row>
    <row r="1604">
      <c r="A1604" s="1" t="s">
        <v>1624</v>
      </c>
      <c r="B1604" s="3" t="s">
        <v>544</v>
      </c>
      <c r="D1604" s="1">
        <v>87580.0</v>
      </c>
      <c r="E1604" s="1"/>
      <c r="F1604" s="1" t="s">
        <v>1625</v>
      </c>
    </row>
    <row r="1605">
      <c r="A1605" s="1" t="s">
        <v>1626</v>
      </c>
      <c r="B1605" s="3" t="s">
        <v>1137</v>
      </c>
      <c r="D1605" s="1">
        <v>162700.0</v>
      </c>
      <c r="E1605" s="1"/>
    </row>
    <row r="1606">
      <c r="B1606" s="3" t="s">
        <v>928</v>
      </c>
      <c r="D1606" s="3">
        <v>15000.0</v>
      </c>
      <c r="E1606" s="3"/>
    </row>
    <row r="1607">
      <c r="A1607" s="1" t="s">
        <v>1627</v>
      </c>
      <c r="B1607" s="3" t="s">
        <v>727</v>
      </c>
      <c r="D1607" s="1">
        <v>167288.0</v>
      </c>
      <c r="E1607" s="1"/>
    </row>
    <row r="1608">
      <c r="B1608" s="3" t="s">
        <v>648</v>
      </c>
      <c r="D1608" s="3">
        <v>132000.0</v>
      </c>
      <c r="E1608" s="3"/>
    </row>
    <row r="1609">
      <c r="B1609" s="3" t="s">
        <v>493</v>
      </c>
      <c r="D1609" s="3">
        <v>280000.0</v>
      </c>
      <c r="E1609" s="3"/>
    </row>
    <row r="1610">
      <c r="B1610" s="3" t="s">
        <v>1539</v>
      </c>
      <c r="D1610" s="1">
        <v>9541931.0</v>
      </c>
      <c r="E1610" s="1"/>
    </row>
    <row r="1611">
      <c r="A1611" s="1" t="s">
        <v>1628</v>
      </c>
      <c r="B1611" s="3" t="s">
        <v>1227</v>
      </c>
      <c r="D1611" s="1">
        <v>2486291.0</v>
      </c>
      <c r="E1611" s="1"/>
      <c r="F1611" s="3" t="s">
        <v>1304</v>
      </c>
    </row>
    <row r="1612">
      <c r="B1612" s="3" t="s">
        <v>843</v>
      </c>
      <c r="D1612" s="1">
        <v>30000.0</v>
      </c>
      <c r="E1612" s="1"/>
      <c r="F1612" s="1" t="s">
        <v>1629</v>
      </c>
    </row>
    <row r="1613">
      <c r="A1613" s="1" t="s">
        <v>1630</v>
      </c>
      <c r="B1613" s="3" t="s">
        <v>1541</v>
      </c>
      <c r="D1613" s="1">
        <v>420000.0</v>
      </c>
      <c r="E1613" s="1"/>
      <c r="F1613" s="3" t="s">
        <v>1542</v>
      </c>
    </row>
    <row r="1614">
      <c r="B1614" s="1" t="s">
        <v>1631</v>
      </c>
      <c r="D1614" s="1">
        <v>100000.0</v>
      </c>
      <c r="E1614" s="1"/>
      <c r="F1614" s="1" t="s">
        <v>1632</v>
      </c>
    </row>
    <row r="1615">
      <c r="B1615" s="1" t="s">
        <v>1633</v>
      </c>
      <c r="D1615" s="1">
        <v>30000.0</v>
      </c>
      <c r="E1615" s="1"/>
      <c r="F1615" s="1" t="s">
        <v>1632</v>
      </c>
    </row>
    <row r="1616">
      <c r="A1616" s="1" t="s">
        <v>1634</v>
      </c>
      <c r="B1616" s="1" t="s">
        <v>1152</v>
      </c>
      <c r="D1616" s="1">
        <v>154000.0</v>
      </c>
      <c r="E1616" s="1"/>
      <c r="F1616" s="3" t="s">
        <v>1295</v>
      </c>
    </row>
    <row r="1617">
      <c r="B1617" s="3" t="s">
        <v>1025</v>
      </c>
      <c r="D1617" s="3">
        <v>2743720.0</v>
      </c>
      <c r="E1617" s="3"/>
      <c r="F1617" s="3" t="s">
        <v>1126</v>
      </c>
    </row>
    <row r="1618">
      <c r="A1618" s="1" t="s">
        <v>1635</v>
      </c>
      <c r="B1618" s="3" t="s">
        <v>737</v>
      </c>
      <c r="D1618" s="1">
        <v>2033447.0</v>
      </c>
      <c r="E1618" s="1"/>
    </row>
    <row r="1619">
      <c r="A1619" s="1" t="s">
        <v>1636</v>
      </c>
      <c r="B1619" s="3" t="s">
        <v>1212</v>
      </c>
      <c r="D1619" s="1">
        <v>1672411.0</v>
      </c>
      <c r="E1619" s="1"/>
    </row>
    <row r="1620">
      <c r="A1620" s="1" t="s">
        <v>1637</v>
      </c>
      <c r="B1620" s="3" t="s">
        <v>280</v>
      </c>
      <c r="D1620" s="1">
        <v>2136196.0</v>
      </c>
      <c r="E1620" s="1"/>
    </row>
    <row r="1621">
      <c r="A1621" s="1" t="s">
        <v>1638</v>
      </c>
      <c r="B1621" s="3" t="s">
        <v>246</v>
      </c>
      <c r="D1621" s="1">
        <v>2409520.0</v>
      </c>
      <c r="E1621" s="1"/>
    </row>
    <row r="1622">
      <c r="A1622" s="1" t="s">
        <v>1639</v>
      </c>
      <c r="B1622" s="3" t="s">
        <v>1021</v>
      </c>
      <c r="D1622" s="1">
        <v>1937023.0</v>
      </c>
      <c r="E1622" s="1"/>
    </row>
    <row r="1623">
      <c r="A1623" s="1" t="s">
        <v>1640</v>
      </c>
      <c r="B1623" s="3" t="s">
        <v>1137</v>
      </c>
      <c r="D1623" s="1">
        <v>164660.0</v>
      </c>
      <c r="E1623" s="1"/>
    </row>
    <row r="1624">
      <c r="B1624" s="3" t="s">
        <v>928</v>
      </c>
      <c r="D1624" s="3">
        <v>15000.0</v>
      </c>
      <c r="E1624" s="3"/>
    </row>
    <row r="1625">
      <c r="A1625" s="1" t="s">
        <v>1641</v>
      </c>
      <c r="B1625" s="3" t="s">
        <v>727</v>
      </c>
      <c r="D1625" s="1">
        <v>134708.0</v>
      </c>
      <c r="E1625" s="1"/>
    </row>
    <row r="1626">
      <c r="B1626" s="3" t="s">
        <v>648</v>
      </c>
      <c r="D1626" s="3">
        <v>132000.0</v>
      </c>
      <c r="E1626" s="3"/>
    </row>
    <row r="1627">
      <c r="B1627" s="3" t="s">
        <v>493</v>
      </c>
      <c r="D1627" s="3">
        <v>280000.0</v>
      </c>
      <c r="E1627" s="3"/>
    </row>
    <row r="1628">
      <c r="B1628" s="3" t="s">
        <v>1539</v>
      </c>
      <c r="D1628" s="1">
        <v>9371794.0</v>
      </c>
      <c r="E1628" s="1"/>
    </row>
    <row r="1629">
      <c r="A1629" s="1" t="s">
        <v>1642</v>
      </c>
      <c r="B1629" s="1" t="s">
        <v>1643</v>
      </c>
      <c r="D1629" s="1">
        <v>20000.0</v>
      </c>
      <c r="E1629" s="1"/>
      <c r="F1629" s="1" t="s">
        <v>1629</v>
      </c>
    </row>
    <row r="1630">
      <c r="A1630" s="1" t="s">
        <v>1644</v>
      </c>
      <c r="B1630" s="3" t="s">
        <v>1541</v>
      </c>
      <c r="D1630" s="1">
        <v>300000.0</v>
      </c>
      <c r="E1630" s="1"/>
      <c r="F1630" s="3" t="s">
        <v>1542</v>
      </c>
    </row>
    <row r="1631">
      <c r="A1631" s="1" t="s">
        <v>1645</v>
      </c>
      <c r="B1631" s="3" t="s">
        <v>1025</v>
      </c>
      <c r="D1631" s="1">
        <v>2252350.0</v>
      </c>
      <c r="E1631" s="1"/>
      <c r="F1631" s="3" t="s">
        <v>1126</v>
      </c>
    </row>
    <row r="1632">
      <c r="A1632" s="1" t="s">
        <v>1646</v>
      </c>
      <c r="B1632" s="3" t="s">
        <v>737</v>
      </c>
      <c r="D1632" s="1">
        <v>2019607.0</v>
      </c>
      <c r="E1632" s="1"/>
    </row>
    <row r="1633">
      <c r="A1633" s="1" t="s">
        <v>1647</v>
      </c>
      <c r="B1633" s="3" t="s">
        <v>1212</v>
      </c>
      <c r="D1633" s="1">
        <v>1566860.0</v>
      </c>
      <c r="E1633" s="1"/>
    </row>
    <row r="1634">
      <c r="A1634" s="1" t="s">
        <v>1648</v>
      </c>
      <c r="B1634" s="3" t="s">
        <v>280</v>
      </c>
      <c r="D1634" s="1">
        <v>2116096.0</v>
      </c>
      <c r="E1634" s="1"/>
    </row>
    <row r="1635">
      <c r="A1635" s="1" t="s">
        <v>1649</v>
      </c>
      <c r="B1635" s="3" t="s">
        <v>246</v>
      </c>
      <c r="D1635" s="1">
        <v>2108000.0</v>
      </c>
      <c r="E1635" s="1"/>
    </row>
    <row r="1636">
      <c r="A1636" s="1" t="s">
        <v>1650</v>
      </c>
      <c r="B1636" s="3" t="s">
        <v>1021</v>
      </c>
      <c r="D1636" s="1">
        <v>1726953.0</v>
      </c>
      <c r="E1636" s="1"/>
    </row>
    <row r="1637">
      <c r="A1637" s="1" t="s">
        <v>1646</v>
      </c>
      <c r="B1637" s="3" t="s">
        <v>1137</v>
      </c>
      <c r="D1637" s="1">
        <v>163050.0</v>
      </c>
      <c r="E1637" s="1"/>
    </row>
    <row r="1638">
      <c r="B1638" s="3" t="s">
        <v>928</v>
      </c>
      <c r="D1638" s="3">
        <v>15000.0</v>
      </c>
      <c r="E1638" s="3"/>
    </row>
    <row r="1639">
      <c r="A1639" s="1" t="s">
        <v>1651</v>
      </c>
      <c r="B1639" s="3" t="s">
        <v>727</v>
      </c>
      <c r="D1639" s="1">
        <v>90756.0</v>
      </c>
      <c r="E1639" s="1"/>
    </row>
    <row r="1640">
      <c r="B1640" s="3" t="s">
        <v>648</v>
      </c>
      <c r="D1640" s="3">
        <v>132000.0</v>
      </c>
      <c r="E1640" s="3"/>
    </row>
    <row r="1641">
      <c r="B1641" s="3" t="s">
        <v>493</v>
      </c>
      <c r="D1641" s="3">
        <v>280000.0</v>
      </c>
      <c r="E1641" s="3"/>
    </row>
    <row r="1642">
      <c r="B1642" s="3" t="s">
        <v>1539</v>
      </c>
      <c r="D1642" s="1">
        <v>9359738.0</v>
      </c>
      <c r="E1642" s="1"/>
    </row>
    <row r="1643">
      <c r="A1643" s="1" t="s">
        <v>1652</v>
      </c>
      <c r="B1643" s="3" t="s">
        <v>1331</v>
      </c>
      <c r="D1643" s="1">
        <v>209990.0</v>
      </c>
      <c r="E1643" s="1"/>
      <c r="F1643" s="1" t="s">
        <v>1332</v>
      </c>
    </row>
    <row r="1644">
      <c r="A1644" s="1" t="s">
        <v>1653</v>
      </c>
      <c r="B1644" s="1" t="s">
        <v>1654</v>
      </c>
      <c r="D1644" s="1">
        <v>1550000.0</v>
      </c>
      <c r="E1644" s="1"/>
      <c r="F1644" s="1" t="s">
        <v>1655</v>
      </c>
    </row>
    <row r="1645">
      <c r="A1645" s="1" t="s">
        <v>1656</v>
      </c>
      <c r="B1645" s="3" t="s">
        <v>1025</v>
      </c>
      <c r="D1645" s="1">
        <v>2831930.0</v>
      </c>
      <c r="E1645" s="1"/>
      <c r="F1645" s="3" t="s">
        <v>1126</v>
      </c>
    </row>
    <row r="1646">
      <c r="A1646" s="1" t="s">
        <v>1657</v>
      </c>
      <c r="B1646" s="3" t="s">
        <v>737</v>
      </c>
      <c r="D1646" s="1">
        <v>1863757.0</v>
      </c>
      <c r="E1646" s="1"/>
    </row>
    <row r="1647">
      <c r="A1647" s="1" t="s">
        <v>1658</v>
      </c>
      <c r="B1647" s="3" t="s">
        <v>1212</v>
      </c>
      <c r="D1647" s="1">
        <v>1685423.0</v>
      </c>
      <c r="E1647" s="1"/>
    </row>
    <row r="1648">
      <c r="A1648" s="1" t="s">
        <v>1659</v>
      </c>
      <c r="B1648" s="3" t="s">
        <v>280</v>
      </c>
      <c r="D1648" s="1">
        <v>1947196.0</v>
      </c>
      <c r="E1648" s="1"/>
    </row>
    <row r="1649">
      <c r="A1649" s="1" t="s">
        <v>1660</v>
      </c>
      <c r="B1649" s="3" t="s">
        <v>246</v>
      </c>
      <c r="D1649" s="1">
        <v>2104840.0</v>
      </c>
      <c r="E1649" s="1"/>
    </row>
    <row r="1650">
      <c r="A1650" s="1" t="s">
        <v>1661</v>
      </c>
      <c r="B1650" s="3" t="s">
        <v>1021</v>
      </c>
      <c r="D1650" s="1">
        <v>1801937.0</v>
      </c>
      <c r="E1650" s="1"/>
      <c r="F1650" s="1" t="s">
        <v>1662</v>
      </c>
    </row>
    <row r="1651">
      <c r="A1651" s="1" t="s">
        <v>1663</v>
      </c>
      <c r="B1651" s="3" t="s">
        <v>1541</v>
      </c>
      <c r="D1651" s="1">
        <v>340000.0</v>
      </c>
      <c r="E1651" s="1"/>
      <c r="F1651" s="3" t="s">
        <v>1542</v>
      </c>
    </row>
    <row r="1652">
      <c r="A1652" s="1" t="s">
        <v>1664</v>
      </c>
      <c r="B1652" s="3" t="s">
        <v>1152</v>
      </c>
      <c r="D1652" s="3">
        <v>77000.0</v>
      </c>
      <c r="E1652" s="3"/>
      <c r="F1652" s="3" t="s">
        <v>1295</v>
      </c>
    </row>
    <row r="1653">
      <c r="A1653" s="1" t="s">
        <v>1665</v>
      </c>
      <c r="B1653" s="3" t="s">
        <v>1137</v>
      </c>
      <c r="D1653" s="1">
        <v>169280.0</v>
      </c>
      <c r="E1653" s="1"/>
    </row>
    <row r="1654">
      <c r="B1654" s="3" t="s">
        <v>928</v>
      </c>
      <c r="D1654" s="3">
        <v>15000.0</v>
      </c>
      <c r="E1654" s="3"/>
    </row>
    <row r="1655">
      <c r="A1655" s="1" t="s">
        <v>1666</v>
      </c>
      <c r="B1655" s="3" t="s">
        <v>727</v>
      </c>
      <c r="D1655" s="1">
        <v>117880.0</v>
      </c>
      <c r="E1655" s="1"/>
    </row>
    <row r="1656">
      <c r="B1656" s="3" t="s">
        <v>648</v>
      </c>
      <c r="D1656" s="3">
        <v>132000.0</v>
      </c>
      <c r="E1656" s="3"/>
    </row>
    <row r="1657">
      <c r="B1657" s="3" t="s">
        <v>493</v>
      </c>
      <c r="D1657" s="3">
        <v>280000.0</v>
      </c>
      <c r="E1657" s="3"/>
    </row>
    <row r="1658">
      <c r="B1658" s="3" t="s">
        <v>1539</v>
      </c>
      <c r="D1658" s="1">
        <v>9346488.0</v>
      </c>
      <c r="E1658" s="1"/>
    </row>
    <row r="1659">
      <c r="A1659" s="1" t="s">
        <v>1667</v>
      </c>
      <c r="B1659" s="3" t="s">
        <v>1227</v>
      </c>
      <c r="D1659" s="1">
        <v>2510523.0</v>
      </c>
      <c r="E1659" s="1"/>
      <c r="F1659" s="3" t="s">
        <v>1304</v>
      </c>
    </row>
    <row r="1660">
      <c r="A1660" s="1" t="s">
        <v>1666</v>
      </c>
      <c r="B1660" s="1" t="s">
        <v>1668</v>
      </c>
      <c r="D1660" s="1">
        <v>1485000.0</v>
      </c>
      <c r="E1660" s="1"/>
    </row>
    <row r="1661">
      <c r="B1661" s="1" t="s">
        <v>1669</v>
      </c>
      <c r="D1661" s="1">
        <v>1760000.0</v>
      </c>
      <c r="E1661" s="1"/>
    </row>
    <row r="1662">
      <c r="A1662" s="1" t="s">
        <v>1667</v>
      </c>
      <c r="B1662" s="1" t="s">
        <v>1670</v>
      </c>
      <c r="D1662" s="1">
        <v>1.174278E7</v>
      </c>
      <c r="E1662" s="1"/>
    </row>
    <row r="1663">
      <c r="A1663" s="1"/>
      <c r="B1663" s="1" t="s">
        <v>1671</v>
      </c>
      <c r="D1663" s="1">
        <v>3479860.0</v>
      </c>
      <c r="E1663" s="1"/>
    </row>
    <row r="1664">
      <c r="A1664" s="1" t="s">
        <v>1672</v>
      </c>
      <c r="B1664" s="3" t="s">
        <v>1541</v>
      </c>
      <c r="D1664" s="1">
        <v>350000.0</v>
      </c>
      <c r="E1664" s="1"/>
      <c r="F1664" s="3" t="s">
        <v>1542</v>
      </c>
    </row>
    <row r="1665">
      <c r="A1665" s="1"/>
      <c r="B1665" s="3" t="s">
        <v>1025</v>
      </c>
      <c r="D1665" s="1">
        <v>2795020.0</v>
      </c>
      <c r="E1665" s="1"/>
      <c r="F1665" s="3" t="s">
        <v>1126</v>
      </c>
    </row>
    <row r="1666">
      <c r="A1666" s="1" t="s">
        <v>1673</v>
      </c>
      <c r="B1666" s="3" t="s">
        <v>737</v>
      </c>
      <c r="D1666" s="1">
        <v>554657.0</v>
      </c>
      <c r="E1666" s="1"/>
    </row>
    <row r="1667">
      <c r="A1667" s="1" t="s">
        <v>1674</v>
      </c>
      <c r="B1667" s="3" t="s">
        <v>1212</v>
      </c>
      <c r="D1667" s="1">
        <v>1673883.0</v>
      </c>
      <c r="E1667" s="1"/>
    </row>
    <row r="1668">
      <c r="A1668" s="1" t="s">
        <v>1675</v>
      </c>
      <c r="B1668" s="3" t="s">
        <v>280</v>
      </c>
      <c r="D1668" s="1">
        <v>1961276.0</v>
      </c>
      <c r="E1668" s="1"/>
    </row>
    <row r="1669">
      <c r="A1669" s="1" t="s">
        <v>1676</v>
      </c>
      <c r="B1669" s="3" t="s">
        <v>246</v>
      </c>
      <c r="D1669" s="1">
        <v>2106470.0</v>
      </c>
      <c r="E1669" s="1"/>
    </row>
    <row r="1670">
      <c r="A1670" s="1" t="s">
        <v>1677</v>
      </c>
      <c r="B1670" s="3" t="s">
        <v>1021</v>
      </c>
      <c r="D1670" s="1">
        <v>1802727.0</v>
      </c>
      <c r="E1670" s="1"/>
    </row>
    <row r="1671">
      <c r="A1671" s="1" t="s">
        <v>1678</v>
      </c>
      <c r="B1671" s="1" t="s">
        <v>1679</v>
      </c>
      <c r="D1671" s="1">
        <v>728000.0</v>
      </c>
      <c r="E1671" s="1"/>
      <c r="F1671" s="1" t="s">
        <v>1680</v>
      </c>
    </row>
    <row r="1672">
      <c r="A1672" s="1"/>
      <c r="B1672" s="3" t="s">
        <v>1552</v>
      </c>
      <c r="D1672" s="1">
        <v>700000.0</v>
      </c>
      <c r="E1672" s="1"/>
      <c r="F1672" s="1" t="s">
        <v>1681</v>
      </c>
    </row>
    <row r="1673">
      <c r="A1673" s="1" t="s">
        <v>1676</v>
      </c>
      <c r="B1673" s="3" t="s">
        <v>1137</v>
      </c>
      <c r="D1673" s="1">
        <v>165190.0</v>
      </c>
      <c r="E1673" s="1"/>
    </row>
    <row r="1674">
      <c r="A1674" s="1"/>
      <c r="B1674" s="3" t="s">
        <v>928</v>
      </c>
      <c r="D1674" s="3">
        <v>15000.0</v>
      </c>
      <c r="E1674" s="3"/>
    </row>
    <row r="1675">
      <c r="A1675" s="1" t="s">
        <v>1677</v>
      </c>
      <c r="B1675" s="3" t="s">
        <v>727</v>
      </c>
      <c r="D1675" s="1">
        <v>174796.0</v>
      </c>
      <c r="E1675" s="1"/>
    </row>
    <row r="1676">
      <c r="B1676" s="3" t="s">
        <v>648</v>
      </c>
      <c r="D1676" s="3">
        <v>132000.0</v>
      </c>
      <c r="E1676" s="3"/>
    </row>
    <row r="1677">
      <c r="B1677" s="3" t="s">
        <v>493</v>
      </c>
      <c r="D1677" s="3">
        <v>280000.0</v>
      </c>
      <c r="E1677" s="3"/>
    </row>
    <row r="1678">
      <c r="B1678" s="3" t="s">
        <v>1539</v>
      </c>
      <c r="D1678" s="1">
        <v>9464073.0</v>
      </c>
      <c r="E1678" s="1"/>
    </row>
    <row r="1679">
      <c r="A1679" s="1" t="s">
        <v>1682</v>
      </c>
      <c r="B1679" s="3" t="s">
        <v>1541</v>
      </c>
      <c r="D1679" s="1">
        <v>470000.0</v>
      </c>
      <c r="E1679" s="1"/>
      <c r="F1679" s="3" t="s">
        <v>1542</v>
      </c>
    </row>
    <row r="1680">
      <c r="A1680" s="1" t="s">
        <v>1683</v>
      </c>
      <c r="B1680" s="3" t="s">
        <v>1025</v>
      </c>
      <c r="D1680" s="1">
        <v>5677320.0</v>
      </c>
      <c r="E1680" s="1"/>
      <c r="F1680" s="3" t="s">
        <v>1126</v>
      </c>
    </row>
    <row r="1681">
      <c r="A1681" s="1" t="s">
        <v>1684</v>
      </c>
      <c r="B1681" s="3" t="s">
        <v>737</v>
      </c>
      <c r="D1681" s="1">
        <v>718177.0</v>
      </c>
      <c r="E1681" s="1"/>
    </row>
    <row r="1682">
      <c r="A1682" s="1" t="s">
        <v>1684</v>
      </c>
      <c r="B1682" s="3" t="s">
        <v>1212</v>
      </c>
      <c r="D1682" s="1">
        <v>1666453.0</v>
      </c>
      <c r="E1682" s="1"/>
    </row>
    <row r="1683">
      <c r="A1683" s="1" t="s">
        <v>1685</v>
      </c>
      <c r="B1683" s="3" t="s">
        <v>280</v>
      </c>
      <c r="D1683" s="1">
        <v>1961276.0</v>
      </c>
      <c r="E1683" s="1"/>
    </row>
    <row r="1684">
      <c r="A1684" s="1" t="s">
        <v>1686</v>
      </c>
      <c r="B1684" s="3" t="s">
        <v>246</v>
      </c>
      <c r="D1684" s="1">
        <v>2103680.0</v>
      </c>
      <c r="E1684" s="1"/>
    </row>
    <row r="1685">
      <c r="A1685" s="1" t="s">
        <v>1687</v>
      </c>
      <c r="B1685" s="3" t="s">
        <v>1021</v>
      </c>
      <c r="D1685" s="1">
        <v>1800167.0</v>
      </c>
      <c r="E1685" s="1"/>
    </row>
    <row r="1686">
      <c r="A1686" s="1" t="s">
        <v>1688</v>
      </c>
      <c r="B1686" s="1" t="s">
        <v>1689</v>
      </c>
      <c r="D1686" s="1">
        <v>728000.0</v>
      </c>
      <c r="E1686" s="1"/>
      <c r="F1686" s="1" t="s">
        <v>1680</v>
      </c>
    </row>
    <row r="1687">
      <c r="A1687" s="1"/>
      <c r="B1687" s="3" t="s">
        <v>1552</v>
      </c>
      <c r="D1687" s="1">
        <v>700000.0</v>
      </c>
      <c r="E1687" s="1"/>
      <c r="F1687" s="1" t="s">
        <v>1681</v>
      </c>
    </row>
    <row r="1688">
      <c r="A1688" s="1"/>
      <c r="B1688" s="1" t="s">
        <v>1690</v>
      </c>
      <c r="D1688" s="1">
        <v>100000.0</v>
      </c>
      <c r="E1688" s="1"/>
    </row>
    <row r="1689">
      <c r="A1689" s="1" t="s">
        <v>1685</v>
      </c>
      <c r="B1689" s="3" t="s">
        <v>1411</v>
      </c>
      <c r="D1689" s="1">
        <v>98380.0</v>
      </c>
      <c r="E1689" s="1"/>
      <c r="F1689" s="1" t="s">
        <v>1691</v>
      </c>
    </row>
    <row r="1690">
      <c r="A1690" s="1" t="s">
        <v>1686</v>
      </c>
      <c r="B1690" s="1" t="s">
        <v>1692</v>
      </c>
      <c r="D1690" s="1">
        <v>1.174278E7</v>
      </c>
      <c r="E1690" s="1"/>
    </row>
    <row r="1691">
      <c r="A1691" s="1"/>
      <c r="B1691" s="3" t="s">
        <v>1137</v>
      </c>
      <c r="D1691" s="1">
        <v>187250.0</v>
      </c>
      <c r="E1691" s="1"/>
    </row>
    <row r="1692">
      <c r="A1692" s="1"/>
      <c r="B1692" s="3" t="s">
        <v>928</v>
      </c>
      <c r="D1692" s="3">
        <v>15000.0</v>
      </c>
      <c r="E1692" s="3"/>
    </row>
    <row r="1693">
      <c r="A1693" s="1" t="s">
        <v>1693</v>
      </c>
      <c r="B1693" s="3" t="s">
        <v>1331</v>
      </c>
      <c r="D1693" s="1">
        <v>300000.0</v>
      </c>
      <c r="E1693" s="1"/>
      <c r="F1693" s="1" t="s">
        <v>1332</v>
      </c>
    </row>
    <row r="1694">
      <c r="A1694" s="1" t="s">
        <v>1694</v>
      </c>
      <c r="B1694" s="3" t="s">
        <v>727</v>
      </c>
      <c r="D1694" s="1">
        <v>256704.0</v>
      </c>
      <c r="E1694" s="1"/>
    </row>
    <row r="1695">
      <c r="B1695" s="3" t="s">
        <v>648</v>
      </c>
      <c r="D1695" s="3">
        <v>132000.0</v>
      </c>
      <c r="E1695" s="3"/>
    </row>
    <row r="1696">
      <c r="B1696" s="3" t="s">
        <v>493</v>
      </c>
      <c r="D1696" s="3">
        <v>280000.0</v>
      </c>
      <c r="E1696" s="3"/>
    </row>
    <row r="1697">
      <c r="A1697" s="1" t="s">
        <v>1687</v>
      </c>
      <c r="B1697" s="3" t="s">
        <v>1539</v>
      </c>
      <c r="D1697" s="1">
        <v>9491219.0</v>
      </c>
      <c r="E1697" s="1"/>
    </row>
    <row r="1698">
      <c r="A1698" s="1" t="s">
        <v>1695</v>
      </c>
      <c r="B1698" s="3" t="s">
        <v>1541</v>
      </c>
      <c r="D1698" s="1">
        <v>350000.0</v>
      </c>
      <c r="E1698" s="1"/>
      <c r="F1698" s="3" t="s">
        <v>1542</v>
      </c>
    </row>
    <row r="1699">
      <c r="A1699" s="1" t="s">
        <v>1696</v>
      </c>
      <c r="B1699" s="3" t="s">
        <v>1025</v>
      </c>
      <c r="D1699" s="1">
        <v>2867480.0</v>
      </c>
      <c r="E1699" s="1"/>
      <c r="F1699" s="3" t="s">
        <v>1126</v>
      </c>
    </row>
    <row r="1700">
      <c r="A1700" s="1" t="s">
        <v>1697</v>
      </c>
      <c r="B1700" s="3" t="s">
        <v>737</v>
      </c>
      <c r="D1700" s="1">
        <v>0.0</v>
      </c>
      <c r="E1700" s="1"/>
      <c r="F1700" s="1" t="s">
        <v>1698</v>
      </c>
    </row>
    <row r="1701">
      <c r="A1701" s="1" t="s">
        <v>1699</v>
      </c>
      <c r="B1701" s="3" t="s">
        <v>1212</v>
      </c>
      <c r="D1701" s="1">
        <v>1666453.0</v>
      </c>
      <c r="E1701" s="1"/>
    </row>
    <row r="1702">
      <c r="A1702" s="1" t="s">
        <v>1700</v>
      </c>
      <c r="B1702" s="3" t="s">
        <v>280</v>
      </c>
      <c r="D1702" s="1">
        <v>1961276.0</v>
      </c>
      <c r="E1702" s="1"/>
    </row>
    <row r="1703">
      <c r="A1703" s="1" t="s">
        <v>1701</v>
      </c>
      <c r="B1703" s="3" t="s">
        <v>246</v>
      </c>
      <c r="D1703" s="1">
        <v>2103680.0</v>
      </c>
      <c r="E1703" s="1"/>
    </row>
    <row r="1704">
      <c r="A1704" s="1" t="s">
        <v>1702</v>
      </c>
      <c r="B1704" s="3" t="s">
        <v>1021</v>
      </c>
      <c r="D1704" s="1">
        <v>1800167.0</v>
      </c>
      <c r="E1704" s="1"/>
    </row>
    <row r="1705">
      <c r="A1705" s="1" t="s">
        <v>1703</v>
      </c>
      <c r="B1705" s="1" t="s">
        <v>1689</v>
      </c>
      <c r="D1705" s="1">
        <v>675000.0</v>
      </c>
      <c r="E1705" s="1"/>
      <c r="F1705" s="1" t="s">
        <v>1704</v>
      </c>
    </row>
    <row r="1706">
      <c r="A1706" s="1"/>
      <c r="B1706" s="3" t="s">
        <v>1552</v>
      </c>
      <c r="D1706" s="1">
        <v>650000.0</v>
      </c>
      <c r="E1706" s="1"/>
      <c r="F1706" s="1" t="s">
        <v>1705</v>
      </c>
    </row>
    <row r="1707">
      <c r="A1707" s="1" t="s">
        <v>1703</v>
      </c>
      <c r="B1707" s="1" t="s">
        <v>1706</v>
      </c>
      <c r="D1707" s="1">
        <v>297000.0</v>
      </c>
      <c r="E1707" s="1"/>
      <c r="F1707" s="1" t="s">
        <v>1632</v>
      </c>
    </row>
    <row r="1708">
      <c r="A1708" s="1" t="s">
        <v>1700</v>
      </c>
      <c r="B1708" s="3" t="s">
        <v>1404</v>
      </c>
      <c r="D1708" s="1">
        <v>254100.0</v>
      </c>
      <c r="E1708" s="1"/>
      <c r="F1708" s="3" t="s">
        <v>1405</v>
      </c>
    </row>
    <row r="1709">
      <c r="A1709" s="1" t="s">
        <v>1701</v>
      </c>
      <c r="B1709" s="3" t="s">
        <v>1137</v>
      </c>
      <c r="D1709" s="1">
        <v>169110.0</v>
      </c>
      <c r="E1709" s="1"/>
    </row>
    <row r="1710">
      <c r="A1710" s="1"/>
      <c r="B1710" s="3" t="s">
        <v>928</v>
      </c>
      <c r="D1710" s="3">
        <v>15000.0</v>
      </c>
      <c r="E1710" s="3"/>
    </row>
    <row r="1711">
      <c r="A1711" s="1" t="s">
        <v>1707</v>
      </c>
      <c r="B1711" s="3" t="s">
        <v>727</v>
      </c>
      <c r="D1711" s="1">
        <v>116060.0</v>
      </c>
      <c r="E1711" s="1"/>
    </row>
    <row r="1712">
      <c r="B1712" s="3" t="s">
        <v>648</v>
      </c>
      <c r="D1712" s="3">
        <v>132000.0</v>
      </c>
      <c r="E1712" s="3"/>
    </row>
    <row r="1713">
      <c r="B1713" s="3" t="s">
        <v>493</v>
      </c>
      <c r="D1713" s="3">
        <v>280000.0</v>
      </c>
      <c r="E1713" s="3"/>
    </row>
    <row r="1714">
      <c r="A1714" s="1"/>
      <c r="B1714" s="3" t="s">
        <v>1539</v>
      </c>
      <c r="D1714" s="1">
        <v>9601586.0</v>
      </c>
      <c r="E1714" s="1"/>
    </row>
    <row r="1715">
      <c r="A1715" s="1" t="s">
        <v>1702</v>
      </c>
      <c r="B1715" s="1" t="s">
        <v>1708</v>
      </c>
      <c r="D1715" s="1">
        <v>70000.0</v>
      </c>
      <c r="E1715" s="1"/>
    </row>
    <row r="1716">
      <c r="A1716" s="1" t="s">
        <v>1709</v>
      </c>
      <c r="B1716" s="3" t="s">
        <v>1541</v>
      </c>
      <c r="D1716" s="1">
        <v>340000.0</v>
      </c>
      <c r="E1716" s="1"/>
      <c r="F1716" s="3" t="s">
        <v>1542</v>
      </c>
    </row>
    <row r="1717">
      <c r="B1717" s="3" t="s">
        <v>1025</v>
      </c>
      <c r="D1717" s="1">
        <v>2867480.0</v>
      </c>
      <c r="E1717" s="1"/>
      <c r="F1717" s="3" t="s">
        <v>1126</v>
      </c>
    </row>
    <row r="1718">
      <c r="A1718" s="1" t="s">
        <v>1710</v>
      </c>
      <c r="B1718" s="3" t="s">
        <v>737</v>
      </c>
      <c r="D1718" s="1">
        <v>1958257.0</v>
      </c>
      <c r="E1718" s="1"/>
    </row>
    <row r="1719">
      <c r="A1719" s="1" t="s">
        <v>1711</v>
      </c>
      <c r="B1719" s="3" t="s">
        <v>1212</v>
      </c>
      <c r="D1719" s="1">
        <v>1666453.0</v>
      </c>
      <c r="E1719" s="1"/>
    </row>
    <row r="1720">
      <c r="A1720" s="1" t="s">
        <v>1711</v>
      </c>
      <c r="B1720" s="3" t="s">
        <v>280</v>
      </c>
      <c r="D1720" s="1">
        <v>1961276.0</v>
      </c>
      <c r="E1720" s="1"/>
    </row>
    <row r="1721">
      <c r="A1721" s="1" t="s">
        <v>1712</v>
      </c>
      <c r="B1721" s="3" t="s">
        <v>246</v>
      </c>
      <c r="D1721" s="1">
        <v>2103680.0</v>
      </c>
      <c r="E1721" s="1"/>
    </row>
    <row r="1722">
      <c r="A1722" s="1" t="s">
        <v>1713</v>
      </c>
      <c r="B1722" s="3" t="s">
        <v>1021</v>
      </c>
      <c r="D1722" s="1">
        <v>1800167.0</v>
      </c>
      <c r="E1722" s="1"/>
    </row>
    <row r="1723">
      <c r="A1723" s="1" t="s">
        <v>1711</v>
      </c>
      <c r="B1723" s="1" t="s">
        <v>1714</v>
      </c>
      <c r="D1723" s="1">
        <v>49400.0</v>
      </c>
      <c r="E1723" s="1"/>
    </row>
    <row r="1724">
      <c r="B1724" s="1" t="s">
        <v>1715</v>
      </c>
      <c r="D1724" s="1">
        <v>396000.0</v>
      </c>
      <c r="E1724" s="1"/>
      <c r="F1724" s="3" t="s">
        <v>1147</v>
      </c>
    </row>
    <row r="1725">
      <c r="A1725" s="1" t="s">
        <v>1712</v>
      </c>
      <c r="B1725" s="1" t="s">
        <v>1716</v>
      </c>
      <c r="D1725" s="1">
        <v>148551.0</v>
      </c>
      <c r="E1725" s="1"/>
      <c r="F1725" s="1" t="s">
        <v>1717</v>
      </c>
    </row>
    <row r="1726">
      <c r="A1726" s="1" t="s">
        <v>1718</v>
      </c>
      <c r="B1726" s="3" t="s">
        <v>1331</v>
      </c>
      <c r="D1726" s="1">
        <v>15660.0</v>
      </c>
      <c r="E1726" s="1"/>
      <c r="F1726" s="1" t="s">
        <v>1332</v>
      </c>
    </row>
    <row r="1727">
      <c r="A1727" s="1" t="s">
        <v>1719</v>
      </c>
      <c r="B1727" s="3" t="s">
        <v>1137</v>
      </c>
      <c r="D1727" s="1">
        <v>162900.0</v>
      </c>
      <c r="E1727" s="1"/>
    </row>
    <row r="1728">
      <c r="A1728" s="1"/>
      <c r="B1728" s="3" t="s">
        <v>928</v>
      </c>
      <c r="D1728" s="1">
        <v>15000.0</v>
      </c>
      <c r="E1728" s="1"/>
    </row>
    <row r="1729">
      <c r="A1729" s="1" t="s">
        <v>1707</v>
      </c>
      <c r="B1729" s="3" t="s">
        <v>727</v>
      </c>
      <c r="D1729" s="1">
        <v>101096.0</v>
      </c>
      <c r="E1729" s="1"/>
    </row>
    <row r="1730">
      <c r="B1730" s="3" t="s">
        <v>648</v>
      </c>
      <c r="D1730" s="3">
        <v>132000.0</v>
      </c>
      <c r="E1730" s="3"/>
    </row>
    <row r="1731">
      <c r="B1731" s="3" t="s">
        <v>493</v>
      </c>
      <c r="D1731" s="1">
        <v>280000.0</v>
      </c>
      <c r="E1731" s="1"/>
    </row>
    <row r="1732">
      <c r="A1732" s="1"/>
      <c r="B1732" s="3" t="s">
        <v>1539</v>
      </c>
      <c r="D1732" s="1">
        <v>9690708.0</v>
      </c>
      <c r="E1732" s="1"/>
    </row>
    <row r="1733">
      <c r="A1733" s="1" t="s">
        <v>1720</v>
      </c>
      <c r="B1733" s="1" t="s">
        <v>1721</v>
      </c>
      <c r="D1733" s="1">
        <v>110000.0</v>
      </c>
      <c r="E1733" s="1"/>
      <c r="F1733" s="3" t="s">
        <v>1405</v>
      </c>
    </row>
    <row r="1734">
      <c r="A1734" s="1" t="s">
        <v>1722</v>
      </c>
      <c r="B1734" s="1" t="s">
        <v>1723</v>
      </c>
      <c r="D1734" s="1">
        <v>495000.0</v>
      </c>
      <c r="E1734" s="1"/>
      <c r="F1734" s="3" t="s">
        <v>1147</v>
      </c>
    </row>
    <row r="1735">
      <c r="B1735" s="1" t="s">
        <v>1724</v>
      </c>
      <c r="D1735" s="1">
        <v>396000.0</v>
      </c>
      <c r="E1735" s="1"/>
      <c r="F1735" s="3" t="s">
        <v>1147</v>
      </c>
    </row>
    <row r="1736">
      <c r="A1736" s="1" t="s">
        <v>1725</v>
      </c>
      <c r="B1736" s="3" t="s">
        <v>1541</v>
      </c>
      <c r="D1736" s="1">
        <v>408000.0</v>
      </c>
      <c r="E1736" s="1"/>
      <c r="F1736" s="3" t="s">
        <v>1542</v>
      </c>
    </row>
    <row r="1737">
      <c r="A1737" s="1" t="s">
        <v>1726</v>
      </c>
      <c r="B1737" s="3" t="s">
        <v>1025</v>
      </c>
      <c r="D1737" s="1">
        <v>3031000.0</v>
      </c>
      <c r="E1737" s="1"/>
      <c r="F1737" s="3" t="s">
        <v>1126</v>
      </c>
    </row>
    <row r="1738">
      <c r="A1738" s="1" t="s">
        <v>1727</v>
      </c>
      <c r="B1738" s="3" t="s">
        <v>737</v>
      </c>
      <c r="D1738" s="1">
        <v>1876497.0</v>
      </c>
      <c r="E1738" s="1"/>
    </row>
    <row r="1739">
      <c r="A1739" s="1" t="s">
        <v>1728</v>
      </c>
      <c r="B1739" s="3" t="s">
        <v>1212</v>
      </c>
      <c r="D1739" s="1">
        <v>1666453.0</v>
      </c>
      <c r="E1739" s="1"/>
    </row>
    <row r="1740">
      <c r="A1740" s="1" t="s">
        <v>1729</v>
      </c>
      <c r="B1740" s="3" t="s">
        <v>280</v>
      </c>
      <c r="D1740" s="1">
        <v>1961276.0</v>
      </c>
      <c r="E1740" s="1"/>
    </row>
    <row r="1741">
      <c r="A1741" s="1" t="s">
        <v>1730</v>
      </c>
      <c r="B1741" s="3" t="s">
        <v>246</v>
      </c>
      <c r="D1741" s="1">
        <v>2103680.0</v>
      </c>
      <c r="E1741" s="1"/>
    </row>
    <row r="1742">
      <c r="A1742" s="1" t="s">
        <v>1731</v>
      </c>
      <c r="B1742" s="3" t="s">
        <v>1021</v>
      </c>
      <c r="D1742" s="1">
        <v>1800167.0</v>
      </c>
      <c r="E1742" s="1"/>
    </row>
    <row r="1743">
      <c r="A1743" s="1" t="s">
        <v>1732</v>
      </c>
      <c r="B1743" s="1" t="s">
        <v>1733</v>
      </c>
      <c r="D1743" s="1">
        <v>280000.0</v>
      </c>
      <c r="E1743" s="1"/>
    </row>
    <row r="1744">
      <c r="A1744" s="1" t="s">
        <v>1734</v>
      </c>
      <c r="B1744" s="1" t="s">
        <v>1294</v>
      </c>
      <c r="D1744" s="1">
        <v>1.7399E7</v>
      </c>
      <c r="E1744" s="1"/>
    </row>
    <row r="1745">
      <c r="B1745" s="3" t="s">
        <v>1137</v>
      </c>
      <c r="D1745" s="1">
        <v>169860.0</v>
      </c>
      <c r="E1745" s="1"/>
    </row>
    <row r="1746">
      <c r="B1746" s="3" t="s">
        <v>928</v>
      </c>
      <c r="D1746" s="1">
        <v>15000.0</v>
      </c>
      <c r="E1746" s="1"/>
    </row>
    <row r="1747">
      <c r="A1747" s="1" t="s">
        <v>1735</v>
      </c>
      <c r="B1747" s="3" t="s">
        <v>727</v>
      </c>
      <c r="D1747" s="1">
        <v>172800.0</v>
      </c>
      <c r="E1747" s="1"/>
    </row>
    <row r="1748">
      <c r="B1748" s="3" t="s">
        <v>648</v>
      </c>
      <c r="D1748" s="3">
        <v>132000.0</v>
      </c>
      <c r="E1748" s="3"/>
    </row>
    <row r="1749">
      <c r="B1749" s="3" t="s">
        <v>493</v>
      </c>
      <c r="D1749" s="1">
        <v>280000.0</v>
      </c>
      <c r="E1749" s="1"/>
    </row>
    <row r="1750">
      <c r="B1750" s="3" t="s">
        <v>1539</v>
      </c>
      <c r="D1750" s="1">
        <v>9328321.0</v>
      </c>
      <c r="E1750" s="1"/>
    </row>
    <row r="1751">
      <c r="A1751" s="1" t="s">
        <v>1736</v>
      </c>
      <c r="B1751" s="1" t="s">
        <v>1737</v>
      </c>
      <c r="D1751" s="1">
        <v>28000.0</v>
      </c>
      <c r="E1751" s="1"/>
      <c r="F1751" s="1" t="s">
        <v>1738</v>
      </c>
    </row>
    <row r="1752">
      <c r="B1752" s="5" t="s">
        <v>1739</v>
      </c>
      <c r="D1752" s="1">
        <v>1050000.0</v>
      </c>
      <c r="E1752" s="1"/>
    </row>
    <row r="1753">
      <c r="B1753" s="1" t="s">
        <v>1740</v>
      </c>
      <c r="D1753" s="1">
        <v>127550.0</v>
      </c>
      <c r="E1753" s="1"/>
      <c r="F1753" s="1" t="s">
        <v>1632</v>
      </c>
    </row>
    <row r="1754">
      <c r="A1754" s="1" t="s">
        <v>1741</v>
      </c>
      <c r="B1754" s="1" t="s">
        <v>340</v>
      </c>
      <c r="D1754" s="1">
        <v>99000.0</v>
      </c>
      <c r="E1754" s="1"/>
      <c r="F1754" s="3" t="s">
        <v>1147</v>
      </c>
    </row>
    <row r="1755">
      <c r="B1755" s="3" t="s">
        <v>1541</v>
      </c>
      <c r="D1755" s="1">
        <v>440000.0</v>
      </c>
      <c r="E1755" s="1"/>
      <c r="F1755" s="3" t="s">
        <v>1542</v>
      </c>
    </row>
    <row r="1756">
      <c r="A1756" s="1" t="s">
        <v>1742</v>
      </c>
      <c r="B1756" s="3" t="s">
        <v>1025</v>
      </c>
      <c r="D1756" s="1">
        <v>3031000.0</v>
      </c>
      <c r="E1756" s="1"/>
      <c r="F1756" s="3" t="s">
        <v>1126</v>
      </c>
    </row>
    <row r="1757">
      <c r="A1757" s="1" t="s">
        <v>1743</v>
      </c>
      <c r="B1757" s="3" t="s">
        <v>737</v>
      </c>
      <c r="D1757" s="1">
        <v>1930760.0</v>
      </c>
      <c r="E1757" s="1"/>
    </row>
    <row r="1758">
      <c r="A1758" s="1" t="s">
        <v>1744</v>
      </c>
      <c r="B1758" s="3" t="s">
        <v>1212</v>
      </c>
      <c r="D1758" s="1">
        <v>1666453.0</v>
      </c>
      <c r="E1758" s="1"/>
    </row>
    <row r="1759">
      <c r="A1759" s="1" t="s">
        <v>1745</v>
      </c>
      <c r="B1759" s="3" t="s">
        <v>280</v>
      </c>
      <c r="D1759" s="1">
        <v>1961276.0</v>
      </c>
      <c r="E1759" s="1"/>
    </row>
    <row r="1760">
      <c r="A1760" s="1" t="s">
        <v>1746</v>
      </c>
      <c r="B1760" s="3" t="s">
        <v>246</v>
      </c>
      <c r="D1760" s="1">
        <v>2103680.0</v>
      </c>
      <c r="E1760" s="1"/>
    </row>
    <row r="1761">
      <c r="A1761" s="1" t="s">
        <v>1747</v>
      </c>
      <c r="B1761" s="3" t="s">
        <v>1021</v>
      </c>
      <c r="D1761" s="1">
        <v>1800167.0</v>
      </c>
      <c r="E1761" s="1"/>
    </row>
    <row r="1762">
      <c r="A1762" s="1" t="s">
        <v>1744</v>
      </c>
      <c r="B1762" s="3" t="s">
        <v>1152</v>
      </c>
      <c r="D1762" s="3">
        <v>77000.0</v>
      </c>
      <c r="E1762" s="3"/>
      <c r="F1762" s="3" t="s">
        <v>1295</v>
      </c>
    </row>
    <row r="1763">
      <c r="A1763" s="1" t="s">
        <v>1748</v>
      </c>
      <c r="B1763" s="1" t="s">
        <v>843</v>
      </c>
      <c r="D1763" s="1">
        <v>400000.0</v>
      </c>
      <c r="E1763" s="1"/>
      <c r="F1763" s="1" t="s">
        <v>1749</v>
      </c>
    </row>
    <row r="1764">
      <c r="A1764" s="1" t="s">
        <v>1746</v>
      </c>
      <c r="B1764" s="3" t="s">
        <v>1137</v>
      </c>
      <c r="D1764" s="1">
        <v>163130.0</v>
      </c>
      <c r="E1764" s="1"/>
    </row>
    <row r="1765">
      <c r="B1765" s="3" t="s">
        <v>928</v>
      </c>
      <c r="D1765" s="1">
        <v>15000.0</v>
      </c>
      <c r="E1765" s="1"/>
    </row>
    <row r="1766">
      <c r="A1766" s="1" t="s">
        <v>1747</v>
      </c>
      <c r="B1766" s="3" t="s">
        <v>727</v>
      </c>
      <c r="D1766" s="1">
        <v>111496.0</v>
      </c>
      <c r="E1766" s="1"/>
    </row>
    <row r="1767">
      <c r="B1767" s="3" t="s">
        <v>648</v>
      </c>
      <c r="D1767" s="3">
        <v>132000.0</v>
      </c>
      <c r="E1767" s="3"/>
    </row>
    <row r="1768">
      <c r="B1768" s="3" t="s">
        <v>493</v>
      </c>
      <c r="D1768" s="1">
        <v>280000.0</v>
      </c>
      <c r="E1768" s="1"/>
    </row>
    <row r="1769">
      <c r="B1769" s="3" t="s">
        <v>1539</v>
      </c>
      <c r="D1769" s="1">
        <v>9383276.0</v>
      </c>
      <c r="E1769" s="1"/>
    </row>
    <row r="1770">
      <c r="A1770" s="1" t="s">
        <v>1750</v>
      </c>
      <c r="B1770" s="1" t="s">
        <v>1751</v>
      </c>
      <c r="D1770" s="1">
        <v>101325.0</v>
      </c>
      <c r="E1770" s="1"/>
      <c r="F1770" s="6" t="s">
        <v>1752</v>
      </c>
    </row>
    <row r="1771">
      <c r="A1771" s="1" t="s">
        <v>1753</v>
      </c>
      <c r="B1771" s="1" t="s">
        <v>1754</v>
      </c>
      <c r="D1771" s="1">
        <v>5106509.0</v>
      </c>
      <c r="E1771" s="1"/>
      <c r="F1771" s="3" t="s">
        <v>1304</v>
      </c>
    </row>
    <row r="1772">
      <c r="A1772" s="1" t="s">
        <v>1755</v>
      </c>
      <c r="B1772" s="3" t="s">
        <v>1025</v>
      </c>
      <c r="D1772" s="1">
        <v>3031000.0</v>
      </c>
      <c r="E1772" s="1"/>
      <c r="F1772" s="3" t="s">
        <v>1126</v>
      </c>
    </row>
    <row r="1773">
      <c r="A1773" s="1" t="s">
        <v>1756</v>
      </c>
      <c r="B1773" s="3" t="s">
        <v>1541</v>
      </c>
      <c r="D1773" s="1">
        <v>400000.0</v>
      </c>
      <c r="E1773" s="1"/>
      <c r="F1773" s="3" t="s">
        <v>1542</v>
      </c>
    </row>
    <row r="1774">
      <c r="A1774" s="1" t="s">
        <v>1757</v>
      </c>
      <c r="B1774" s="3" t="s">
        <v>737</v>
      </c>
      <c r="D1774" s="1">
        <v>1932650.0</v>
      </c>
      <c r="E1774" s="1"/>
    </row>
    <row r="1775">
      <c r="A1775" s="1" t="s">
        <v>1758</v>
      </c>
      <c r="B1775" s="3" t="s">
        <v>1212</v>
      </c>
      <c r="D1775" s="1">
        <v>1666453.0</v>
      </c>
      <c r="E1775" s="1"/>
    </row>
    <row r="1776">
      <c r="A1776" s="1" t="s">
        <v>1759</v>
      </c>
      <c r="B1776" s="3" t="s">
        <v>280</v>
      </c>
      <c r="D1776" s="1">
        <v>1961276.0</v>
      </c>
      <c r="E1776" s="1"/>
    </row>
    <row r="1777">
      <c r="A1777" s="1" t="s">
        <v>1760</v>
      </c>
      <c r="B1777" s="3" t="s">
        <v>246</v>
      </c>
      <c r="D1777" s="1">
        <v>2103680.0</v>
      </c>
      <c r="E1777" s="1"/>
    </row>
    <row r="1778">
      <c r="A1778" s="1" t="s">
        <v>1761</v>
      </c>
      <c r="B1778" s="3" t="s">
        <v>1021</v>
      </c>
      <c r="D1778" s="1">
        <v>1800167.0</v>
      </c>
      <c r="E1778" s="1"/>
    </row>
    <row r="1779">
      <c r="A1779" s="1" t="s">
        <v>1762</v>
      </c>
      <c r="B1779" s="3" t="s">
        <v>1331</v>
      </c>
      <c r="D1779" s="1">
        <v>204320.0</v>
      </c>
      <c r="E1779" s="1"/>
      <c r="F1779" s="1" t="s">
        <v>1332</v>
      </c>
    </row>
    <row r="1780">
      <c r="A1780" s="1" t="s">
        <v>1760</v>
      </c>
      <c r="B1780" s="3" t="s">
        <v>1137</v>
      </c>
      <c r="D1780" s="1">
        <v>164620.0</v>
      </c>
      <c r="E1780" s="1"/>
    </row>
    <row r="1781">
      <c r="B1781" s="3" t="s">
        <v>928</v>
      </c>
      <c r="D1781" s="1">
        <v>15000.0</v>
      </c>
      <c r="E1781" s="1"/>
    </row>
    <row r="1782">
      <c r="A1782" s="1" t="s">
        <v>1763</v>
      </c>
      <c r="B1782" s="3" t="s">
        <v>727</v>
      </c>
      <c r="D1782" s="1">
        <v>85840.0</v>
      </c>
      <c r="E1782" s="1"/>
    </row>
    <row r="1783">
      <c r="B1783" s="3" t="s">
        <v>648</v>
      </c>
      <c r="D1783" s="3">
        <v>132000.0</v>
      </c>
      <c r="E1783" s="3"/>
    </row>
    <row r="1784">
      <c r="B1784" s="3" t="s">
        <v>493</v>
      </c>
      <c r="D1784" s="1">
        <v>280000.0</v>
      </c>
      <c r="E1784" s="1"/>
    </row>
    <row r="1785">
      <c r="B1785" s="3" t="s">
        <v>1539</v>
      </c>
      <c r="D1785" s="1">
        <v>9381517.0</v>
      </c>
      <c r="E1785" s="1"/>
    </row>
    <row r="1786">
      <c r="A1786" s="1" t="s">
        <v>1764</v>
      </c>
      <c r="B1786" s="3" t="s">
        <v>1541</v>
      </c>
      <c r="D1786" s="1">
        <v>420000.0</v>
      </c>
      <c r="E1786" s="1"/>
      <c r="F1786" s="3" t="s">
        <v>1542</v>
      </c>
    </row>
    <row r="1787">
      <c r="A1787" s="1" t="s">
        <v>1765</v>
      </c>
      <c r="B1787" s="3" t="s">
        <v>1025</v>
      </c>
      <c r="D1787" s="1">
        <v>3042250.0</v>
      </c>
      <c r="E1787" s="1"/>
      <c r="F1787" s="3" t="s">
        <v>1126</v>
      </c>
    </row>
    <row r="1788">
      <c r="A1788" s="1" t="s">
        <v>1766</v>
      </c>
      <c r="B1788" s="3" t="s">
        <v>1152</v>
      </c>
      <c r="D1788" s="3">
        <v>77000.0</v>
      </c>
      <c r="E1788" s="3"/>
      <c r="F1788" s="3" t="s">
        <v>1295</v>
      </c>
    </row>
    <row r="1789">
      <c r="A1789" s="1" t="s">
        <v>1767</v>
      </c>
      <c r="B1789" s="3" t="s">
        <v>1212</v>
      </c>
      <c r="D1789" s="1">
        <v>1665993.0</v>
      </c>
      <c r="E1789" s="1"/>
    </row>
    <row r="1790">
      <c r="A1790" s="1" t="s">
        <v>1768</v>
      </c>
      <c r="B1790" s="3" t="s">
        <v>280</v>
      </c>
      <c r="D1790" s="1">
        <v>1960726.0</v>
      </c>
      <c r="E1790" s="1"/>
    </row>
    <row r="1791">
      <c r="A1791" s="1"/>
      <c r="B1791" s="1" t="s">
        <v>1769</v>
      </c>
      <c r="D1791" s="1">
        <v>1195800.0</v>
      </c>
      <c r="E1791" s="1"/>
    </row>
    <row r="1792">
      <c r="A1792" s="1" t="s">
        <v>1770</v>
      </c>
      <c r="B1792" s="3" t="s">
        <v>246</v>
      </c>
      <c r="D1792" s="1">
        <v>2103080.0</v>
      </c>
      <c r="E1792" s="1"/>
    </row>
    <row r="1793">
      <c r="A1793" s="1" t="s">
        <v>1771</v>
      </c>
      <c r="B1793" s="3" t="s">
        <v>1021</v>
      </c>
      <c r="D1793" s="1">
        <v>1799687.0</v>
      </c>
      <c r="E1793" s="1"/>
    </row>
    <row r="1794">
      <c r="A1794" s="1" t="s">
        <v>1772</v>
      </c>
      <c r="B1794" s="3" t="s">
        <v>1137</v>
      </c>
      <c r="D1794" s="1">
        <v>164960.0</v>
      </c>
      <c r="E1794" s="1"/>
    </row>
    <row r="1795">
      <c r="B1795" s="3" t="s">
        <v>928</v>
      </c>
      <c r="D1795" s="1">
        <v>15000.0</v>
      </c>
      <c r="E1795" s="1"/>
    </row>
    <row r="1796">
      <c r="A1796" s="1" t="s">
        <v>1771</v>
      </c>
      <c r="B1796" s="3" t="s">
        <v>727</v>
      </c>
      <c r="D1796" s="1">
        <v>138264.0</v>
      </c>
      <c r="E1796" s="1"/>
    </row>
    <row r="1797">
      <c r="B1797" s="3" t="s">
        <v>648</v>
      </c>
      <c r="D1797" s="3">
        <v>132000.0</v>
      </c>
      <c r="E1797" s="3"/>
    </row>
    <row r="1798">
      <c r="B1798" s="3" t="s">
        <v>493</v>
      </c>
      <c r="D1798" s="1">
        <v>280000.0</v>
      </c>
      <c r="E1798" s="1"/>
    </row>
    <row r="1799">
      <c r="B1799" s="3" t="s">
        <v>1539</v>
      </c>
      <c r="D1799" s="1">
        <v>9403072.0</v>
      </c>
      <c r="E1799" s="1"/>
    </row>
    <row r="1800">
      <c r="A1800" s="1" t="s">
        <v>1773</v>
      </c>
      <c r="B1800" s="1" t="s">
        <v>1774</v>
      </c>
      <c r="D1800" s="1">
        <v>245494.0</v>
      </c>
      <c r="E1800" s="1"/>
    </row>
    <row r="1801">
      <c r="A1801" s="1" t="s">
        <v>1775</v>
      </c>
      <c r="B1801" s="1" t="s">
        <v>1776</v>
      </c>
      <c r="D1801" s="1">
        <v>396000.0</v>
      </c>
      <c r="E1801" s="1"/>
      <c r="F1801" s="3" t="s">
        <v>1147</v>
      </c>
    </row>
    <row r="1802">
      <c r="A1802" s="1" t="s">
        <v>1771</v>
      </c>
      <c r="B1802" s="1" t="s">
        <v>843</v>
      </c>
      <c r="D1802" s="1">
        <v>200000.0</v>
      </c>
      <c r="E1802" s="1"/>
      <c r="F1802" s="1" t="s">
        <v>1749</v>
      </c>
    </row>
    <row r="1803">
      <c r="A1803" s="1" t="s">
        <v>1777</v>
      </c>
      <c r="B1803" s="3" t="s">
        <v>1541</v>
      </c>
      <c r="D1803" s="1">
        <v>500000.0</v>
      </c>
      <c r="E1803" s="1"/>
      <c r="F1803" s="3" t="s">
        <v>1542</v>
      </c>
    </row>
    <row r="1804">
      <c r="A1804" s="1" t="s">
        <v>1778</v>
      </c>
      <c r="B1804" s="3" t="s">
        <v>1025</v>
      </c>
      <c r="D1804" s="1">
        <v>2647750.0</v>
      </c>
      <c r="E1804" s="1"/>
      <c r="F1804" s="3" t="s">
        <v>1126</v>
      </c>
    </row>
    <row r="1805">
      <c r="A1805" s="1" t="s">
        <v>1779</v>
      </c>
      <c r="B1805" s="3" t="s">
        <v>1212</v>
      </c>
      <c r="D1805" s="1">
        <v>1665993.0</v>
      </c>
      <c r="E1805" s="1"/>
    </row>
    <row r="1806">
      <c r="A1806" s="1" t="s">
        <v>1780</v>
      </c>
      <c r="B1806" s="3" t="s">
        <v>280</v>
      </c>
      <c r="D1806" s="1">
        <v>1960726.0</v>
      </c>
      <c r="E1806" s="1"/>
    </row>
    <row r="1807">
      <c r="A1807" s="1"/>
      <c r="B1807" s="1" t="s">
        <v>1769</v>
      </c>
      <c r="D1807" s="1">
        <v>1195800.0</v>
      </c>
      <c r="E1807" s="1"/>
    </row>
    <row r="1808">
      <c r="A1808" s="1" t="s">
        <v>1781</v>
      </c>
      <c r="B1808" s="3" t="s">
        <v>246</v>
      </c>
      <c r="D1808" s="1">
        <v>2103080.0</v>
      </c>
      <c r="E1808" s="1"/>
    </row>
    <row r="1809">
      <c r="A1809" s="1" t="s">
        <v>1782</v>
      </c>
      <c r="B1809" s="3" t="s">
        <v>1021</v>
      </c>
      <c r="D1809" s="1">
        <v>1799687.0</v>
      </c>
      <c r="E1809" s="1"/>
    </row>
    <row r="1810">
      <c r="A1810" s="1" t="s">
        <v>1780</v>
      </c>
      <c r="B1810" s="1" t="s">
        <v>1783</v>
      </c>
      <c r="D1810" s="1">
        <v>109920.0</v>
      </c>
      <c r="E1810" s="1"/>
    </row>
    <row r="1811">
      <c r="B1811" s="3" t="s">
        <v>280</v>
      </c>
      <c r="D1811" s="1">
        <v>128480.0</v>
      </c>
      <c r="E1811" s="1"/>
    </row>
    <row r="1812">
      <c r="B1812" s="3" t="s">
        <v>246</v>
      </c>
      <c r="D1812" s="1">
        <v>320820.0</v>
      </c>
      <c r="E1812" s="1"/>
    </row>
    <row r="1813">
      <c r="B1813" s="3" t="s">
        <v>1021</v>
      </c>
      <c r="D1813" s="1">
        <v>194150.0</v>
      </c>
      <c r="E1813" s="1"/>
    </row>
    <row r="1814">
      <c r="B1814" s="1" t="s">
        <v>737</v>
      </c>
      <c r="D1814" s="1">
        <v>174630.0</v>
      </c>
      <c r="E1814" s="1"/>
    </row>
    <row r="1815">
      <c r="A1815" s="1" t="s">
        <v>1784</v>
      </c>
      <c r="B1815" s="1" t="s">
        <v>1227</v>
      </c>
      <c r="D1815" s="1">
        <v>2133777.0</v>
      </c>
      <c r="E1815" s="1"/>
      <c r="F1815" s="3" t="s">
        <v>1304</v>
      </c>
    </row>
    <row r="1816">
      <c r="B1816" s="3" t="s">
        <v>1331</v>
      </c>
      <c r="D1816" s="1">
        <v>193720.0</v>
      </c>
      <c r="E1816" s="1"/>
      <c r="F1816" s="1" t="s">
        <v>1332</v>
      </c>
    </row>
    <row r="1817">
      <c r="A1817" s="1" t="s">
        <v>1785</v>
      </c>
      <c r="B1817" s="3" t="s">
        <v>1137</v>
      </c>
      <c r="D1817" s="1">
        <v>162640.0</v>
      </c>
      <c r="E1817" s="1"/>
    </row>
    <row r="1818">
      <c r="B1818" s="3" t="s">
        <v>928</v>
      </c>
      <c r="D1818" s="1">
        <v>15000.0</v>
      </c>
      <c r="E1818" s="1"/>
    </row>
    <row r="1819">
      <c r="A1819" s="1" t="s">
        <v>1786</v>
      </c>
      <c r="B1819" s="3" t="s">
        <v>727</v>
      </c>
      <c r="D1819" s="1">
        <v>73936.0</v>
      </c>
      <c r="E1819" s="1"/>
    </row>
    <row r="1820">
      <c r="B1820" s="3" t="s">
        <v>648</v>
      </c>
      <c r="D1820" s="3">
        <v>132000.0</v>
      </c>
      <c r="E1820" s="3"/>
    </row>
    <row r="1821">
      <c r="B1821" s="3" t="s">
        <v>493</v>
      </c>
      <c r="D1821" s="1">
        <v>310000.0</v>
      </c>
      <c r="E1821" s="1"/>
      <c r="F1821" s="1" t="s">
        <v>1787</v>
      </c>
    </row>
    <row r="1822">
      <c r="B1822" s="3" t="s">
        <v>1539</v>
      </c>
      <c r="D1822" s="1">
        <v>9409520.0</v>
      </c>
      <c r="E1822" s="1"/>
    </row>
    <row r="1823">
      <c r="B1823" s="1" t="s">
        <v>1788</v>
      </c>
      <c r="D1823" s="1">
        <v>99000.0</v>
      </c>
      <c r="E1823" s="1"/>
      <c r="F1823" s="1" t="s">
        <v>1789</v>
      </c>
    </row>
    <row r="1824">
      <c r="A1824" s="1" t="s">
        <v>1790</v>
      </c>
      <c r="B1824" s="3" t="s">
        <v>1541</v>
      </c>
      <c r="D1824" s="1">
        <v>430000.0</v>
      </c>
      <c r="E1824" s="1"/>
      <c r="F1824" s="3" t="s">
        <v>1542</v>
      </c>
    </row>
    <row r="1825">
      <c r="A1825" s="1" t="s">
        <v>1791</v>
      </c>
      <c r="B1825" s="3" t="s">
        <v>1025</v>
      </c>
      <c r="D1825" s="1">
        <v>2920160.0</v>
      </c>
      <c r="E1825" s="1"/>
      <c r="F1825" s="3" t="s">
        <v>1126</v>
      </c>
    </row>
    <row r="1826">
      <c r="A1826" s="1" t="s">
        <v>1792</v>
      </c>
      <c r="B1826" s="3" t="s">
        <v>1212</v>
      </c>
      <c r="D1826" s="1">
        <v>1665993.0</v>
      </c>
      <c r="E1826" s="1"/>
    </row>
    <row r="1827">
      <c r="A1827" s="1" t="s">
        <v>1793</v>
      </c>
      <c r="B1827" s="3" t="s">
        <v>280</v>
      </c>
      <c r="D1827" s="1">
        <v>2012740.0</v>
      </c>
      <c r="E1827" s="1"/>
    </row>
    <row r="1828">
      <c r="A1828" s="1"/>
      <c r="B1828" s="1" t="s">
        <v>1769</v>
      </c>
      <c r="D1828" s="1">
        <v>1616843.0</v>
      </c>
      <c r="E1828" s="1"/>
    </row>
    <row r="1829">
      <c r="A1829" s="1" t="s">
        <v>1794</v>
      </c>
      <c r="B1829" s="3" t="s">
        <v>246</v>
      </c>
      <c r="D1829" s="1">
        <v>2103080.0</v>
      </c>
      <c r="E1829" s="1"/>
    </row>
    <row r="1830">
      <c r="A1830" s="1" t="s">
        <v>1795</v>
      </c>
      <c r="B1830" s="3" t="s">
        <v>1021</v>
      </c>
      <c r="D1830" s="1">
        <v>1799687.0</v>
      </c>
      <c r="E1830" s="1"/>
    </row>
    <row r="1831">
      <c r="A1831" s="1" t="s">
        <v>1796</v>
      </c>
      <c r="B1831" s="1" t="s">
        <v>1797</v>
      </c>
      <c r="D1831" s="1">
        <v>300000.0</v>
      </c>
      <c r="E1831" s="1"/>
    </row>
    <row r="1832">
      <c r="B1832" s="1" t="s">
        <v>1798</v>
      </c>
      <c r="D1832" s="1">
        <v>557840.0</v>
      </c>
      <c r="E1832" s="1"/>
      <c r="F1832" s="1" t="s">
        <v>993</v>
      </c>
    </row>
    <row r="1833">
      <c r="A1833" s="1" t="s">
        <v>1799</v>
      </c>
      <c r="B1833" s="3" t="s">
        <v>1137</v>
      </c>
      <c r="D1833" s="1">
        <v>165400.0</v>
      </c>
      <c r="E1833" s="1"/>
    </row>
    <row r="1834">
      <c r="A1834" s="1" t="s">
        <v>1800</v>
      </c>
      <c r="B1834" s="3" t="s">
        <v>928</v>
      </c>
      <c r="D1834" s="1">
        <v>15000.0</v>
      </c>
      <c r="E1834" s="1"/>
    </row>
    <row r="1835">
      <c r="A1835" s="1" t="s">
        <v>1801</v>
      </c>
      <c r="B1835" s="3" t="s">
        <v>727</v>
      </c>
      <c r="D1835" s="1">
        <v>156536.0</v>
      </c>
      <c r="E1835" s="1"/>
    </row>
    <row r="1836">
      <c r="B1836" s="3" t="s">
        <v>648</v>
      </c>
      <c r="D1836" s="3">
        <v>132000.0</v>
      </c>
      <c r="E1836" s="3"/>
    </row>
    <row r="1837">
      <c r="B1837" s="3" t="s">
        <v>493</v>
      </c>
      <c r="D1837" s="1">
        <v>290000.0</v>
      </c>
      <c r="E1837" s="1"/>
    </row>
    <row r="1838">
      <c r="B1838" s="3" t="s">
        <v>1539</v>
      </c>
      <c r="D1838" s="1">
        <v>9366693.0</v>
      </c>
      <c r="E1838" s="1"/>
    </row>
    <row r="1839">
      <c r="B1839" s="3" t="s">
        <v>1152</v>
      </c>
      <c r="D1839" s="1">
        <v>154000.0</v>
      </c>
      <c r="E1839" s="1"/>
      <c r="F1839" s="3" t="s">
        <v>1295</v>
      </c>
    </row>
    <row r="1840">
      <c r="A1840" s="1" t="s">
        <v>1802</v>
      </c>
      <c r="B1840" s="3" t="s">
        <v>1025</v>
      </c>
      <c r="D1840" s="1">
        <v>2935120.0</v>
      </c>
      <c r="E1840" s="1"/>
      <c r="F1840" s="3" t="s">
        <v>1126</v>
      </c>
    </row>
    <row r="1841">
      <c r="A1841" s="1" t="s">
        <v>1803</v>
      </c>
      <c r="B1841" s="3" t="s">
        <v>1212</v>
      </c>
      <c r="D1841" s="1">
        <v>1646603.0</v>
      </c>
      <c r="E1841" s="1"/>
    </row>
    <row r="1842">
      <c r="A1842" s="1" t="s">
        <v>1804</v>
      </c>
      <c r="B1842" s="3" t="s">
        <v>280</v>
      </c>
      <c r="D1842" s="1">
        <v>2020060.0</v>
      </c>
      <c r="E1842" s="1"/>
    </row>
    <row r="1843">
      <c r="A1843" s="1"/>
      <c r="B1843" s="1" t="s">
        <v>1769</v>
      </c>
      <c r="D1843" s="1">
        <v>1616843.0</v>
      </c>
      <c r="E1843" s="1"/>
    </row>
    <row r="1844">
      <c r="A1844" s="1" t="s">
        <v>1805</v>
      </c>
      <c r="B1844" s="3" t="s">
        <v>246</v>
      </c>
      <c r="D1844" s="1">
        <v>2101950.0</v>
      </c>
      <c r="E1844" s="1"/>
    </row>
    <row r="1845">
      <c r="A1845" s="1" t="s">
        <v>1806</v>
      </c>
      <c r="B1845" s="3" t="s">
        <v>1021</v>
      </c>
      <c r="D1845" s="1">
        <v>1777367.0</v>
      </c>
      <c r="E1845" s="1"/>
    </row>
    <row r="1846">
      <c r="A1846" s="1" t="s">
        <v>1807</v>
      </c>
      <c r="B1846" s="3" t="s">
        <v>1541</v>
      </c>
      <c r="D1846" s="1">
        <v>450000.0</v>
      </c>
      <c r="E1846" s="1"/>
      <c r="F1846" s="3" t="s">
        <v>1542</v>
      </c>
    </row>
    <row r="1847">
      <c r="B1847" s="1" t="s">
        <v>1808</v>
      </c>
      <c r="D1847" s="1">
        <v>200000.0</v>
      </c>
      <c r="E1847" s="1"/>
      <c r="F1847" s="3" t="s">
        <v>1147</v>
      </c>
    </row>
    <row r="1848">
      <c r="A1848" s="1" t="s">
        <v>1809</v>
      </c>
      <c r="B1848" s="1" t="s">
        <v>1810</v>
      </c>
      <c r="D1848" s="1">
        <v>100000.0</v>
      </c>
      <c r="E1848" s="1"/>
    </row>
    <row r="1849">
      <c r="B1849" s="1" t="s">
        <v>1811</v>
      </c>
      <c r="D1849" s="1">
        <v>400000.0</v>
      </c>
      <c r="E1849" s="1"/>
    </row>
    <row r="1850">
      <c r="A1850" s="1"/>
      <c r="B1850" s="1" t="s">
        <v>1812</v>
      </c>
      <c r="D1850" s="1">
        <v>1000000.0</v>
      </c>
      <c r="E1850" s="1"/>
    </row>
    <row r="1851">
      <c r="A1851" s="1" t="s">
        <v>1800</v>
      </c>
      <c r="B1851" s="3" t="s">
        <v>1137</v>
      </c>
      <c r="D1851" s="1">
        <v>163950.0</v>
      </c>
      <c r="E1851" s="1"/>
    </row>
    <row r="1852">
      <c r="B1852" s="3" t="s">
        <v>928</v>
      </c>
      <c r="D1852" s="1">
        <v>15000.0</v>
      </c>
      <c r="E1852" s="1"/>
    </row>
    <row r="1853">
      <c r="A1853" s="1" t="s">
        <v>1813</v>
      </c>
      <c r="B1853" s="3" t="s">
        <v>727</v>
      </c>
      <c r="D1853" s="1">
        <v>138688.0</v>
      </c>
      <c r="E1853" s="1"/>
    </row>
    <row r="1854">
      <c r="B1854" s="3" t="s">
        <v>648</v>
      </c>
      <c r="D1854" s="3">
        <v>132000.0</v>
      </c>
      <c r="E1854" s="3"/>
    </row>
    <row r="1855">
      <c r="B1855" s="3" t="s">
        <v>493</v>
      </c>
      <c r="D1855" s="1">
        <v>290000.0</v>
      </c>
      <c r="E1855" s="1"/>
    </row>
    <row r="1856">
      <c r="B1856" s="3" t="s">
        <v>1539</v>
      </c>
      <c r="D1856" s="1">
        <v>9336981.0</v>
      </c>
      <c r="E1856" s="1"/>
    </row>
    <row r="1857">
      <c r="B1857" s="1" t="s">
        <v>1814</v>
      </c>
      <c r="D1857" s="1">
        <v>1040000.0</v>
      </c>
      <c r="E1857" s="1"/>
      <c r="F1857" s="3" t="s">
        <v>1147</v>
      </c>
    </row>
    <row r="1858">
      <c r="B1858" s="1" t="s">
        <v>1740</v>
      </c>
      <c r="D1858" s="1">
        <v>147190.0</v>
      </c>
      <c r="E1858" s="1"/>
      <c r="F1858" s="1" t="s">
        <v>1632</v>
      </c>
    </row>
    <row r="1859">
      <c r="A1859" s="1" t="s">
        <v>1815</v>
      </c>
      <c r="B1859" s="3" t="s">
        <v>1541</v>
      </c>
      <c r="D1859" s="1">
        <v>350000.0</v>
      </c>
      <c r="E1859" s="1"/>
      <c r="F1859" s="3" t="s">
        <v>1542</v>
      </c>
    </row>
    <row r="1860">
      <c r="A1860" s="1" t="s">
        <v>1816</v>
      </c>
      <c r="B1860" s="3" t="s">
        <v>1025</v>
      </c>
      <c r="D1860" s="1">
        <v>2923910.0</v>
      </c>
      <c r="E1860" s="1"/>
      <c r="F1860" s="3" t="s">
        <v>1126</v>
      </c>
    </row>
    <row r="1861">
      <c r="A1861" s="1" t="s">
        <v>1817</v>
      </c>
      <c r="B1861" s="3" t="s">
        <v>1212</v>
      </c>
      <c r="D1861" s="1">
        <v>1666793.0</v>
      </c>
      <c r="E1861" s="1"/>
    </row>
    <row r="1862">
      <c r="A1862" s="1" t="s">
        <v>1818</v>
      </c>
      <c r="B1862" s="3" t="s">
        <v>280</v>
      </c>
      <c r="D1862" s="1">
        <v>2015500.0</v>
      </c>
      <c r="E1862" s="1"/>
    </row>
    <row r="1863">
      <c r="A1863" s="1"/>
      <c r="B1863" s="1" t="s">
        <v>1769</v>
      </c>
      <c r="D1863" s="1">
        <v>1588603.0</v>
      </c>
      <c r="E1863" s="1"/>
    </row>
    <row r="1864">
      <c r="A1864" s="1" t="s">
        <v>1819</v>
      </c>
      <c r="B1864" s="3" t="s">
        <v>246</v>
      </c>
      <c r="D1864" s="1">
        <v>2103300.0</v>
      </c>
      <c r="E1864" s="1"/>
    </row>
    <row r="1865">
      <c r="A1865" s="1" t="s">
        <v>1820</v>
      </c>
      <c r="B1865" s="3" t="s">
        <v>1021</v>
      </c>
      <c r="D1865" s="1">
        <v>1798577.0</v>
      </c>
      <c r="E1865" s="1"/>
    </row>
    <row r="1866">
      <c r="A1866" s="1" t="s">
        <v>1658</v>
      </c>
      <c r="B1866" s="1" t="s">
        <v>1821</v>
      </c>
      <c r="D1866" s="1">
        <v>1000000.0</v>
      </c>
      <c r="E1866" s="1"/>
    </row>
    <row r="1867">
      <c r="A1867" s="1" t="s">
        <v>1822</v>
      </c>
      <c r="B1867" s="1" t="s">
        <v>1227</v>
      </c>
      <c r="D1867" s="1">
        <v>2133777.0</v>
      </c>
      <c r="E1867" s="1"/>
      <c r="F1867" s="3" t="s">
        <v>1304</v>
      </c>
    </row>
    <row r="1868">
      <c r="A1868" s="1" t="s">
        <v>1823</v>
      </c>
      <c r="B1868" s="3" t="s">
        <v>1137</v>
      </c>
      <c r="D1868" s="1">
        <v>163770.0</v>
      </c>
      <c r="E1868" s="1"/>
    </row>
    <row r="1869">
      <c r="B1869" s="3" t="s">
        <v>928</v>
      </c>
      <c r="D1869" s="1">
        <v>15000.0</v>
      </c>
      <c r="E1869" s="1"/>
    </row>
    <row r="1870">
      <c r="B1870" s="1" t="s">
        <v>870</v>
      </c>
      <c r="D1870" s="1">
        <v>309810.0</v>
      </c>
      <c r="E1870" s="1"/>
    </row>
    <row r="1871">
      <c r="A1871" s="1" t="s">
        <v>1819</v>
      </c>
      <c r="B1871" s="1" t="s">
        <v>1824</v>
      </c>
      <c r="D1871" s="1">
        <v>396000.0</v>
      </c>
      <c r="E1871" s="1"/>
      <c r="F1871" s="3" t="s">
        <v>1147</v>
      </c>
    </row>
    <row r="1872">
      <c r="A1872" s="1" t="s">
        <v>1825</v>
      </c>
      <c r="B1872" s="3" t="s">
        <v>727</v>
      </c>
      <c r="D1872" s="1">
        <v>191824.0</v>
      </c>
      <c r="E1872" s="1"/>
    </row>
    <row r="1873">
      <c r="B1873" s="3" t="s">
        <v>648</v>
      </c>
      <c r="D1873" s="3">
        <v>132000.0</v>
      </c>
      <c r="E1873" s="3"/>
    </row>
    <row r="1874">
      <c r="B1874" s="3" t="s">
        <v>493</v>
      </c>
      <c r="D1874" s="1">
        <v>290000.0</v>
      </c>
      <c r="E1874" s="1"/>
    </row>
    <row r="1875">
      <c r="B1875" s="3" t="s">
        <v>1539</v>
      </c>
      <c r="D1875" s="1">
        <v>9347405.0</v>
      </c>
      <c r="E1875" s="1"/>
    </row>
    <row r="1876">
      <c r="A1876" s="1" t="s">
        <v>1826</v>
      </c>
      <c r="B1876" s="1" t="s">
        <v>1827</v>
      </c>
      <c r="D1876" s="1">
        <v>1.037707E7</v>
      </c>
      <c r="E1876" s="1"/>
    </row>
    <row r="1877">
      <c r="B1877" s="1" t="s">
        <v>1224</v>
      </c>
      <c r="D1877" s="1">
        <v>3815470.0</v>
      </c>
      <c r="E1877" s="1"/>
    </row>
    <row r="1878">
      <c r="A1878" s="1"/>
      <c r="B1878" s="1" t="s">
        <v>1828</v>
      </c>
      <c r="D1878" s="1">
        <v>1555400.0</v>
      </c>
      <c r="E1878" s="1"/>
    </row>
    <row r="1879">
      <c r="A1879" s="1"/>
      <c r="B1879" s="1" t="s">
        <v>1829</v>
      </c>
      <c r="D1879" s="1">
        <v>1760000.0</v>
      </c>
      <c r="E1879" s="1"/>
    </row>
    <row r="1880">
      <c r="A1880" s="1" t="s">
        <v>1830</v>
      </c>
      <c r="B1880" s="3" t="s">
        <v>1541</v>
      </c>
      <c r="D1880" s="1">
        <v>398000.0</v>
      </c>
      <c r="E1880" s="1"/>
      <c r="F1880" s="3" t="s">
        <v>1542</v>
      </c>
    </row>
    <row r="1881">
      <c r="A1881" s="1" t="s">
        <v>1831</v>
      </c>
      <c r="B1881" s="3" t="s">
        <v>1025</v>
      </c>
      <c r="D1881" s="1">
        <v>2905660.0</v>
      </c>
      <c r="E1881" s="1"/>
      <c r="F1881" s="3" t="s">
        <v>1126</v>
      </c>
    </row>
    <row r="1882">
      <c r="A1882" s="1"/>
      <c r="B1882" s="1" t="s">
        <v>1832</v>
      </c>
      <c r="D1882" s="1">
        <v>94620.0</v>
      </c>
      <c r="E1882" s="1"/>
    </row>
    <row r="1883">
      <c r="A1883" s="1" t="s">
        <v>1833</v>
      </c>
      <c r="B1883" s="1" t="s">
        <v>544</v>
      </c>
      <c r="D1883" s="1">
        <v>73880.0</v>
      </c>
      <c r="E1883" s="1"/>
      <c r="F1883" s="6" t="s">
        <v>1365</v>
      </c>
    </row>
    <row r="1884">
      <c r="A1884" s="1"/>
      <c r="B1884" s="3" t="s">
        <v>1152</v>
      </c>
      <c r="D1884" s="1">
        <v>154000.0</v>
      </c>
      <c r="E1884" s="1"/>
      <c r="F1884" s="3" t="s">
        <v>1295</v>
      </c>
    </row>
    <row r="1885">
      <c r="A1885" s="1"/>
      <c r="B1885" s="1" t="s">
        <v>1834</v>
      </c>
      <c r="D1885" s="1">
        <v>254100.0</v>
      </c>
      <c r="E1885" s="1"/>
      <c r="F1885" s="1" t="s">
        <v>1092</v>
      </c>
    </row>
    <row r="1886">
      <c r="A1886" s="1"/>
      <c r="B1886" s="7" t="s">
        <v>1411</v>
      </c>
      <c r="C1886" s="8"/>
      <c r="D1886" s="9">
        <v>89000.0</v>
      </c>
      <c r="E1886" s="9"/>
      <c r="F1886" s="10" t="s">
        <v>1524</v>
      </c>
    </row>
    <row r="1887">
      <c r="A1887" s="1" t="s">
        <v>1835</v>
      </c>
      <c r="B1887" s="3" t="s">
        <v>1212</v>
      </c>
      <c r="D1887" s="1">
        <v>1722137.0</v>
      </c>
      <c r="E1887" s="1"/>
    </row>
    <row r="1888">
      <c r="A1888" s="1" t="s">
        <v>1836</v>
      </c>
      <c r="B1888" s="3" t="s">
        <v>280</v>
      </c>
      <c r="D1888" s="1">
        <v>2015500.0</v>
      </c>
      <c r="E1888" s="1"/>
    </row>
    <row r="1889">
      <c r="A1889" s="1"/>
      <c r="B1889" s="1" t="s">
        <v>1769</v>
      </c>
      <c r="D1889" s="1">
        <v>1602723.0</v>
      </c>
      <c r="E1889" s="1"/>
    </row>
    <row r="1890">
      <c r="A1890" s="1" t="s">
        <v>1837</v>
      </c>
      <c r="B1890" s="3" t="s">
        <v>246</v>
      </c>
      <c r="D1890" s="1">
        <v>2103300.0</v>
      </c>
      <c r="E1890" s="1"/>
    </row>
    <row r="1891">
      <c r="A1891" s="1" t="s">
        <v>1838</v>
      </c>
      <c r="B1891" s="3" t="s">
        <v>1021</v>
      </c>
      <c r="D1891" s="1">
        <v>1853940.0</v>
      </c>
      <c r="E1891" s="1"/>
    </row>
    <row r="1892">
      <c r="A1892" s="1" t="s">
        <v>1839</v>
      </c>
      <c r="B1892" s="1" t="s">
        <v>1840</v>
      </c>
      <c r="D1892" s="1">
        <v>1000000.0</v>
      </c>
      <c r="E1892" s="1"/>
    </row>
    <row r="1893">
      <c r="A1893" s="1" t="s">
        <v>1841</v>
      </c>
      <c r="B1893" s="3" t="s">
        <v>1331</v>
      </c>
      <c r="D1893" s="1">
        <v>244570.0</v>
      </c>
      <c r="E1893" s="1"/>
      <c r="F1893" s="1" t="s">
        <v>1332</v>
      </c>
    </row>
    <row r="1894">
      <c r="A1894" s="1" t="s">
        <v>1837</v>
      </c>
      <c r="B1894" s="3" t="s">
        <v>1137</v>
      </c>
      <c r="D1894" s="1">
        <v>164810.0</v>
      </c>
      <c r="E1894" s="1"/>
    </row>
    <row r="1895">
      <c r="A1895" s="1"/>
      <c r="B1895" s="3" t="s">
        <v>928</v>
      </c>
      <c r="D1895" s="1">
        <v>15000.0</v>
      </c>
      <c r="E1895" s="1"/>
    </row>
    <row r="1896">
      <c r="A1896" s="1" t="s">
        <v>1842</v>
      </c>
      <c r="B1896" s="3" t="s">
        <v>727</v>
      </c>
      <c r="D1896" s="1">
        <v>178240.0</v>
      </c>
      <c r="E1896" s="1"/>
    </row>
    <row r="1897">
      <c r="B1897" s="3" t="s">
        <v>648</v>
      </c>
      <c r="D1897" s="3">
        <v>132000.0</v>
      </c>
      <c r="E1897" s="3"/>
    </row>
    <row r="1898">
      <c r="B1898" s="3" t="s">
        <v>493</v>
      </c>
      <c r="D1898" s="1">
        <v>290000.0</v>
      </c>
      <c r="E1898" s="1"/>
    </row>
    <row r="1899">
      <c r="B1899" s="3" t="s">
        <v>1539</v>
      </c>
      <c r="D1899" s="1">
        <v>9454109.0</v>
      </c>
      <c r="E1899" s="1"/>
    </row>
    <row r="1900">
      <c r="A1900" s="1" t="s">
        <v>1843</v>
      </c>
      <c r="B1900" s="3" t="s">
        <v>1541</v>
      </c>
      <c r="D1900" s="1">
        <v>374000.0</v>
      </c>
      <c r="E1900" s="1"/>
      <c r="F1900" s="3" t="s">
        <v>1542</v>
      </c>
    </row>
    <row r="1901">
      <c r="A1901" s="1" t="s">
        <v>1844</v>
      </c>
      <c r="B1901" s="7" t="s">
        <v>1411</v>
      </c>
      <c r="C1901" s="8"/>
      <c r="D1901" s="11">
        <v>97980.0</v>
      </c>
      <c r="E1901" s="11"/>
      <c r="F1901" s="12" t="s">
        <v>1691</v>
      </c>
      <c r="G1901" s="1" t="s">
        <v>1845</v>
      </c>
    </row>
    <row r="1902">
      <c r="A1902" s="1" t="s">
        <v>1846</v>
      </c>
      <c r="B1902" s="3" t="s">
        <v>1025</v>
      </c>
      <c r="D1902" s="1">
        <v>4811960.0</v>
      </c>
      <c r="E1902" s="1"/>
      <c r="F1902" s="3" t="s">
        <v>1126</v>
      </c>
    </row>
    <row r="1903">
      <c r="A1903" s="1" t="s">
        <v>1847</v>
      </c>
      <c r="B1903" s="3" t="s">
        <v>1212</v>
      </c>
      <c r="D1903" s="1">
        <v>1718807.0</v>
      </c>
      <c r="E1903" s="1"/>
    </row>
    <row r="1904">
      <c r="A1904" s="1" t="s">
        <v>1848</v>
      </c>
      <c r="B1904" s="3" t="s">
        <v>280</v>
      </c>
      <c r="D1904" s="1">
        <v>2010820.0</v>
      </c>
      <c r="E1904" s="1"/>
    </row>
    <row r="1905">
      <c r="A1905" s="1"/>
      <c r="B1905" s="1" t="s">
        <v>1769</v>
      </c>
      <c r="D1905" s="1">
        <v>1602723.0</v>
      </c>
      <c r="E1905" s="1"/>
    </row>
    <row r="1906">
      <c r="A1906" s="1" t="s">
        <v>1849</v>
      </c>
      <c r="B1906" s="3" t="s">
        <v>246</v>
      </c>
      <c r="D1906" s="1">
        <v>2101370.0</v>
      </c>
      <c r="E1906" s="1"/>
    </row>
    <row r="1907">
      <c r="A1907" s="1" t="s">
        <v>1850</v>
      </c>
      <c r="B1907" s="3" t="s">
        <v>1021</v>
      </c>
      <c r="D1907" s="1">
        <v>1851330.0</v>
      </c>
      <c r="E1907" s="1"/>
    </row>
    <row r="1908">
      <c r="A1908" s="1" t="s">
        <v>1851</v>
      </c>
      <c r="B1908" s="1" t="s">
        <v>1852</v>
      </c>
      <c r="D1908" s="1">
        <v>1.037707E7</v>
      </c>
      <c r="E1908" s="1"/>
      <c r="F1908" s="1" t="s">
        <v>1853</v>
      </c>
    </row>
    <row r="1909">
      <c r="A1909" s="1" t="s">
        <v>1854</v>
      </c>
      <c r="B1909" s="3" t="s">
        <v>1137</v>
      </c>
      <c r="D1909" s="1">
        <v>167500.0</v>
      </c>
      <c r="E1909" s="1"/>
    </row>
    <row r="1910">
      <c r="A1910" s="1"/>
      <c r="B1910" s="3" t="s">
        <v>928</v>
      </c>
      <c r="D1910" s="1"/>
      <c r="E1910" s="1"/>
    </row>
    <row r="1911">
      <c r="A1911" s="1"/>
      <c r="B1911" s="3" t="s">
        <v>727</v>
      </c>
      <c r="D1911" s="1">
        <v>119936.0</v>
      </c>
      <c r="E1911" s="1"/>
    </row>
    <row r="1912">
      <c r="A1912" s="1"/>
      <c r="B1912" s="3" t="s">
        <v>648</v>
      </c>
      <c r="D1912" s="3">
        <v>132000.0</v>
      </c>
      <c r="E1912" s="3"/>
    </row>
    <row r="1913">
      <c r="A1913" s="1"/>
      <c r="B1913" s="3" t="s">
        <v>493</v>
      </c>
      <c r="D1913" s="1">
        <v>290000.0</v>
      </c>
      <c r="E1913" s="1"/>
    </row>
    <row r="1914">
      <c r="A1914" s="1"/>
      <c r="B1914" s="3" t="s">
        <v>1539</v>
      </c>
      <c r="D1914" s="1">
        <v>9510791.0</v>
      </c>
      <c r="E1914" s="1"/>
    </row>
    <row r="1915">
      <c r="A1915" s="1" t="s">
        <v>1855</v>
      </c>
      <c r="B1915" s="1" t="s">
        <v>1856</v>
      </c>
      <c r="D1915" s="1">
        <v>880000.0</v>
      </c>
      <c r="E1915" s="1"/>
      <c r="F1915" s="1" t="s">
        <v>1857</v>
      </c>
    </row>
    <row r="1916">
      <c r="A1916" s="1"/>
      <c r="B1916" s="3" t="s">
        <v>1541</v>
      </c>
      <c r="D1916" s="1">
        <v>490000.0</v>
      </c>
      <c r="E1916" s="1"/>
      <c r="F1916" s="3" t="s">
        <v>1542</v>
      </c>
    </row>
    <row r="1917">
      <c r="A1917" s="1" t="s">
        <v>1858</v>
      </c>
      <c r="B1917" s="3" t="s">
        <v>1025</v>
      </c>
      <c r="D1917" s="1">
        <v>3012486.0</v>
      </c>
      <c r="E1917" s="1"/>
      <c r="F1917" s="3" t="s">
        <v>1126</v>
      </c>
    </row>
    <row r="1918">
      <c r="A1918" s="1" t="s">
        <v>1859</v>
      </c>
      <c r="B1918" s="3" t="s">
        <v>1212</v>
      </c>
      <c r="D1918" s="1">
        <v>1718807.0</v>
      </c>
      <c r="E1918" s="1"/>
    </row>
    <row r="1919">
      <c r="A1919" s="1" t="s">
        <v>1859</v>
      </c>
      <c r="B1919" s="3" t="s">
        <v>280</v>
      </c>
      <c r="D1919" s="1">
        <v>2010820.0</v>
      </c>
      <c r="E1919" s="1"/>
    </row>
    <row r="1920">
      <c r="A1920" s="1"/>
      <c r="B1920" s="1" t="s">
        <v>1769</v>
      </c>
      <c r="D1920" s="1">
        <v>1602723.0</v>
      </c>
      <c r="E1920" s="1"/>
    </row>
    <row r="1921">
      <c r="A1921" s="1" t="s">
        <v>1860</v>
      </c>
      <c r="B1921" s="3" t="s">
        <v>246</v>
      </c>
      <c r="D1921" s="1">
        <v>2101370.0</v>
      </c>
      <c r="E1921" s="1"/>
    </row>
    <row r="1922">
      <c r="A1922" s="1" t="s">
        <v>1861</v>
      </c>
      <c r="B1922" s="3" t="s">
        <v>1021</v>
      </c>
      <c r="D1922" s="1">
        <v>1851330.0</v>
      </c>
      <c r="E1922" s="1"/>
    </row>
    <row r="1923">
      <c r="A1923" s="1" t="s">
        <v>1862</v>
      </c>
      <c r="B1923" s="1" t="s">
        <v>1863</v>
      </c>
      <c r="D1923" s="1">
        <v>73200.0</v>
      </c>
      <c r="E1923" s="1"/>
      <c r="F1923" s="1" t="s">
        <v>1864</v>
      </c>
    </row>
    <row r="1924">
      <c r="A1924" s="1" t="s">
        <v>1865</v>
      </c>
      <c r="B1924" s="3" t="s">
        <v>1137</v>
      </c>
      <c r="D1924" s="1">
        <v>168800.0</v>
      </c>
      <c r="E1924" s="1"/>
    </row>
    <row r="1925">
      <c r="B1925" s="3" t="s">
        <v>928</v>
      </c>
      <c r="D1925" s="1">
        <v>30000.0</v>
      </c>
      <c r="E1925" s="1"/>
    </row>
    <row r="1926">
      <c r="A1926" s="1" t="s">
        <v>1861</v>
      </c>
      <c r="B1926" s="3" t="s">
        <v>727</v>
      </c>
      <c r="D1926" s="1">
        <v>108976.0</v>
      </c>
      <c r="E1926" s="1"/>
    </row>
    <row r="1927">
      <c r="B1927" s="3" t="s">
        <v>648</v>
      </c>
      <c r="D1927" s="3">
        <v>132000.0</v>
      </c>
      <c r="E1927" s="3"/>
    </row>
    <row r="1928">
      <c r="B1928" s="3" t="s">
        <v>493</v>
      </c>
      <c r="D1928" s="1">
        <v>290000.0</v>
      </c>
      <c r="E1928" s="1"/>
    </row>
    <row r="1929">
      <c r="B1929" s="3" t="s">
        <v>1539</v>
      </c>
      <c r="D1929" s="1">
        <v>9502537.0</v>
      </c>
      <c r="E1929" s="1"/>
    </row>
    <row r="1930">
      <c r="B1930" s="3" t="s">
        <v>1152</v>
      </c>
      <c r="D1930" s="1">
        <v>154000.0</v>
      </c>
      <c r="E1930" s="1"/>
      <c r="F1930" s="3" t="s">
        <v>1295</v>
      </c>
    </row>
    <row r="1931">
      <c r="A1931" s="1" t="s">
        <v>1866</v>
      </c>
      <c r="B1931" s="3" t="s">
        <v>1541</v>
      </c>
      <c r="D1931" s="1">
        <v>474000.0</v>
      </c>
      <c r="E1931" s="1"/>
      <c r="F1931" s="3" t="s">
        <v>1542</v>
      </c>
    </row>
    <row r="1932">
      <c r="B1932" s="3" t="s">
        <v>1025</v>
      </c>
      <c r="D1932" s="1">
        <v>3012840.0</v>
      </c>
      <c r="E1932" s="1"/>
      <c r="F1932" s="3" t="s">
        <v>1126</v>
      </c>
    </row>
    <row r="1933">
      <c r="A1933" s="1" t="s">
        <v>1867</v>
      </c>
      <c r="B1933" s="3" t="s">
        <v>1212</v>
      </c>
      <c r="D1933" s="1">
        <v>1718807.0</v>
      </c>
      <c r="E1933" s="1"/>
    </row>
    <row r="1934">
      <c r="A1934" s="1" t="s">
        <v>1868</v>
      </c>
      <c r="B1934" s="3" t="s">
        <v>280</v>
      </c>
      <c r="D1934" s="1">
        <v>2010820.0</v>
      </c>
      <c r="E1934" s="1"/>
    </row>
    <row r="1935">
      <c r="A1935" s="1"/>
      <c r="B1935" s="1" t="s">
        <v>1769</v>
      </c>
      <c r="D1935" s="1">
        <v>1602723.0</v>
      </c>
      <c r="E1935" s="1"/>
    </row>
    <row r="1936">
      <c r="A1936" s="1" t="s">
        <v>1869</v>
      </c>
      <c r="B1936" s="3" t="s">
        <v>246</v>
      </c>
      <c r="D1936" s="1">
        <v>2101370.0</v>
      </c>
      <c r="E1936" s="1"/>
    </row>
    <row r="1937">
      <c r="A1937" s="1" t="s">
        <v>1870</v>
      </c>
      <c r="B1937" s="3" t="s">
        <v>1021</v>
      </c>
      <c r="D1937" s="1">
        <v>1851330.0</v>
      </c>
      <c r="E1937" s="1"/>
    </row>
    <row r="1938">
      <c r="A1938" s="1" t="s">
        <v>1869</v>
      </c>
      <c r="B1938" s="3" t="s">
        <v>1137</v>
      </c>
      <c r="D1938" s="1">
        <v>168550.0</v>
      </c>
      <c r="E1938" s="1"/>
    </row>
    <row r="1939">
      <c r="B1939" s="3" t="s">
        <v>928</v>
      </c>
      <c r="D1939" s="1">
        <v>15000.0</v>
      </c>
      <c r="E1939" s="1"/>
    </row>
    <row r="1940">
      <c r="A1940" s="1" t="s">
        <v>1871</v>
      </c>
      <c r="B1940" s="3" t="s">
        <v>727</v>
      </c>
      <c r="D1940" s="1">
        <v>149568.0</v>
      </c>
      <c r="E1940" s="1"/>
    </row>
    <row r="1941">
      <c r="B1941" s="3" t="s">
        <v>648</v>
      </c>
      <c r="D1941" s="3">
        <v>132000.0</v>
      </c>
      <c r="E1941" s="3"/>
    </row>
    <row r="1942">
      <c r="B1942" s="3" t="s">
        <v>493</v>
      </c>
      <c r="D1942" s="1">
        <v>290000.0</v>
      </c>
      <c r="E1942" s="1"/>
    </row>
    <row r="1943">
      <c r="B1943" s="3" t="s">
        <v>1539</v>
      </c>
      <c r="D1943" s="1">
        <v>9689339.0</v>
      </c>
      <c r="E1943" s="1"/>
    </row>
    <row r="1944">
      <c r="A1944" s="1" t="s">
        <v>1872</v>
      </c>
      <c r="B1944" s="1" t="s">
        <v>843</v>
      </c>
      <c r="D1944" s="1">
        <v>1000000.0</v>
      </c>
      <c r="E1944" s="1"/>
      <c r="F1944" s="1" t="s">
        <v>1749</v>
      </c>
    </row>
    <row r="1945">
      <c r="A1945" s="1" t="s">
        <v>1871</v>
      </c>
      <c r="B1945" s="1" t="s">
        <v>1873</v>
      </c>
      <c r="D1945" s="1">
        <v>396000.0</v>
      </c>
      <c r="E1945" s="1"/>
      <c r="F1945" s="3" t="s">
        <v>1147</v>
      </c>
    </row>
    <row r="1946">
      <c r="A1946" s="1" t="s">
        <v>1874</v>
      </c>
      <c r="B1946" s="3" t="s">
        <v>1541</v>
      </c>
      <c r="D1946" s="1">
        <v>264000.0</v>
      </c>
      <c r="E1946" s="1"/>
      <c r="F1946" s="3" t="s">
        <v>1542</v>
      </c>
    </row>
    <row r="1947">
      <c r="A1947" s="1" t="s">
        <v>1875</v>
      </c>
      <c r="B1947" s="3" t="s">
        <v>1025</v>
      </c>
      <c r="D1947" s="1">
        <v>3012840.0</v>
      </c>
      <c r="E1947" s="1"/>
      <c r="F1947" s="3" t="s">
        <v>1126</v>
      </c>
    </row>
    <row r="1948">
      <c r="A1948" s="1" t="s">
        <v>1876</v>
      </c>
      <c r="B1948" s="1" t="s">
        <v>1877</v>
      </c>
      <c r="D1948" s="1">
        <v>110000.0</v>
      </c>
      <c r="E1948" s="1"/>
      <c r="F1948" s="1" t="s">
        <v>1092</v>
      </c>
    </row>
    <row r="1949">
      <c r="A1949" s="1" t="s">
        <v>1878</v>
      </c>
      <c r="B1949" s="3" t="s">
        <v>1212</v>
      </c>
      <c r="D1949" s="1">
        <v>1718807.0</v>
      </c>
      <c r="E1949" s="1"/>
    </row>
    <row r="1950">
      <c r="A1950" s="1" t="s">
        <v>1879</v>
      </c>
      <c r="B1950" s="3" t="s">
        <v>280</v>
      </c>
      <c r="D1950" s="1">
        <v>2010820.0</v>
      </c>
      <c r="E1950" s="1"/>
    </row>
    <row r="1951">
      <c r="A1951" s="1"/>
      <c r="B1951" s="1" t="s">
        <v>1769</v>
      </c>
      <c r="D1951" s="1">
        <v>1602723.0</v>
      </c>
      <c r="E1951" s="1"/>
    </row>
    <row r="1952">
      <c r="A1952" s="1" t="s">
        <v>1880</v>
      </c>
      <c r="B1952" s="3" t="s">
        <v>246</v>
      </c>
      <c r="D1952" s="1">
        <v>2101370.0</v>
      </c>
      <c r="E1952" s="1"/>
    </row>
    <row r="1953">
      <c r="A1953" s="1" t="s">
        <v>1881</v>
      </c>
      <c r="B1953" s="3" t="s">
        <v>1021</v>
      </c>
      <c r="D1953" s="1">
        <v>1851330.0</v>
      </c>
      <c r="E1953" s="1"/>
    </row>
    <row r="1954">
      <c r="A1954" s="1" t="s">
        <v>1882</v>
      </c>
      <c r="B1954" s="3" t="s">
        <v>1137</v>
      </c>
      <c r="D1954" s="1">
        <v>164070.0</v>
      </c>
      <c r="E1954" s="1"/>
    </row>
    <row r="1955">
      <c r="B1955" s="3" t="s">
        <v>928</v>
      </c>
      <c r="D1955" s="1">
        <v>15000.0</v>
      </c>
      <c r="E1955" s="1"/>
    </row>
    <row r="1956">
      <c r="A1956" s="1" t="s">
        <v>1883</v>
      </c>
      <c r="B1956" s="1" t="s">
        <v>843</v>
      </c>
      <c r="D1956" s="1">
        <v>595000.0</v>
      </c>
      <c r="E1956" s="1"/>
      <c r="F1956" s="1" t="s">
        <v>1749</v>
      </c>
    </row>
    <row r="1957">
      <c r="A1957" s="1" t="s">
        <v>1884</v>
      </c>
      <c r="B1957" s="3" t="s">
        <v>727</v>
      </c>
      <c r="D1957" s="1">
        <v>134752.0</v>
      </c>
      <c r="E1957" s="1"/>
    </row>
    <row r="1958">
      <c r="B1958" s="3" t="s">
        <v>648</v>
      </c>
      <c r="D1958" s="3">
        <v>132000.0</v>
      </c>
      <c r="E1958" s="3"/>
      <c r="F1958" s="1" t="s">
        <v>1885</v>
      </c>
    </row>
    <row r="1959">
      <c r="B1959" s="3" t="s">
        <v>493</v>
      </c>
      <c r="D1959" s="1">
        <v>290000.0</v>
      </c>
      <c r="E1959" s="1"/>
    </row>
    <row r="1960">
      <c r="B1960" s="3" t="s">
        <v>1539</v>
      </c>
      <c r="D1960" s="1">
        <v>9341013.0</v>
      </c>
      <c r="E1960" s="1"/>
    </row>
    <row r="1961">
      <c r="A1961" s="1" t="s">
        <v>1886</v>
      </c>
      <c r="B1961" s="1" t="s">
        <v>1887</v>
      </c>
      <c r="D1961" s="1">
        <v>1.0E7</v>
      </c>
      <c r="E1961" s="1"/>
      <c r="F1961" s="1" t="s">
        <v>1888</v>
      </c>
    </row>
    <row r="1962">
      <c r="B1962" s="3" t="s">
        <v>1331</v>
      </c>
      <c r="D1962" s="1">
        <v>151020.0</v>
      </c>
      <c r="E1962" s="1"/>
      <c r="F1962" s="1" t="s">
        <v>1332</v>
      </c>
    </row>
    <row r="1963">
      <c r="A1963" s="1" t="s">
        <v>1889</v>
      </c>
      <c r="B1963" s="3" t="s">
        <v>1541</v>
      </c>
      <c r="D1963" s="1">
        <v>264000.0</v>
      </c>
      <c r="E1963" s="1"/>
      <c r="F1963" s="3" t="s">
        <v>1542</v>
      </c>
    </row>
    <row r="1964">
      <c r="A1964" s="1" t="s">
        <v>1890</v>
      </c>
      <c r="B1964" s="3" t="s">
        <v>1025</v>
      </c>
      <c r="D1964" s="1">
        <v>3012840.0</v>
      </c>
      <c r="E1964" s="1"/>
      <c r="F1964" s="3" t="s">
        <v>1126</v>
      </c>
    </row>
    <row r="1965">
      <c r="A1965" s="1" t="s">
        <v>1891</v>
      </c>
      <c r="B1965" s="3" t="s">
        <v>1212</v>
      </c>
      <c r="D1965" s="1">
        <v>1718807.0</v>
      </c>
      <c r="E1965" s="1"/>
    </row>
    <row r="1966">
      <c r="A1966" s="1" t="s">
        <v>1891</v>
      </c>
      <c r="B1966" s="3" t="s">
        <v>280</v>
      </c>
      <c r="D1966" s="1">
        <v>2010820.0</v>
      </c>
      <c r="E1966" s="1"/>
    </row>
    <row r="1967">
      <c r="A1967" s="1"/>
      <c r="B1967" s="1" t="s">
        <v>1769</v>
      </c>
      <c r="D1967" s="1">
        <v>1602723.0</v>
      </c>
      <c r="E1967" s="1"/>
    </row>
    <row r="1968">
      <c r="A1968" s="1" t="s">
        <v>1892</v>
      </c>
      <c r="B1968" s="3" t="s">
        <v>246</v>
      </c>
      <c r="D1968" s="1">
        <v>2101370.0</v>
      </c>
      <c r="E1968" s="1"/>
    </row>
    <row r="1969">
      <c r="A1969" s="1" t="s">
        <v>1893</v>
      </c>
      <c r="B1969" s="3" t="s">
        <v>1021</v>
      </c>
      <c r="D1969" s="1">
        <v>1851330.0</v>
      </c>
      <c r="E1969" s="1"/>
    </row>
    <row r="1970">
      <c r="A1970" s="1" t="s">
        <v>1894</v>
      </c>
      <c r="B1970" s="1" t="s">
        <v>1895</v>
      </c>
      <c r="D1970" s="13">
        <v>2.508E7</v>
      </c>
      <c r="E1970" s="14"/>
      <c r="F1970" s="15" t="s">
        <v>1896</v>
      </c>
      <c r="G1970" s="16" t="s">
        <v>1897</v>
      </c>
    </row>
    <row r="1971">
      <c r="A1971" s="1" t="s">
        <v>1898</v>
      </c>
      <c r="B1971" s="3" t="s">
        <v>1137</v>
      </c>
      <c r="D1971" s="1">
        <v>163890.0</v>
      </c>
      <c r="E1971" s="1"/>
      <c r="F1971" s="17">
        <v>2.28E7</v>
      </c>
      <c r="G1971" s="18">
        <f t="shared" ref="G1971:G1974" si="3">F1971*1.1</f>
        <v>25080000</v>
      </c>
    </row>
    <row r="1972">
      <c r="B1972" s="3" t="s">
        <v>928</v>
      </c>
      <c r="D1972" s="1">
        <v>15000.0</v>
      </c>
      <c r="E1972" s="1"/>
      <c r="F1972" s="17">
        <v>3.04E7</v>
      </c>
      <c r="G1972" s="18">
        <f t="shared" si="3"/>
        <v>33440000</v>
      </c>
    </row>
    <row r="1973">
      <c r="A1973" s="1" t="s">
        <v>1899</v>
      </c>
      <c r="B1973" s="3" t="s">
        <v>727</v>
      </c>
      <c r="D1973" s="1">
        <v>140352.0</v>
      </c>
      <c r="E1973" s="1"/>
      <c r="F1973" s="17">
        <v>2.28E7</v>
      </c>
      <c r="G1973" s="18">
        <f t="shared" si="3"/>
        <v>25080000</v>
      </c>
    </row>
    <row r="1974">
      <c r="A1974" s="1" t="s">
        <v>1893</v>
      </c>
      <c r="B1974" s="3" t="s">
        <v>648</v>
      </c>
      <c r="D1974" s="3">
        <v>132000.0</v>
      </c>
      <c r="E1974" s="3"/>
      <c r="F1974" s="19">
        <f>SUM(F1971:F1973)</f>
        <v>76000000</v>
      </c>
      <c r="G1974" s="20">
        <f t="shared" si="3"/>
        <v>83600000</v>
      </c>
    </row>
    <row r="1975">
      <c r="B1975" s="21" t="s">
        <v>493</v>
      </c>
      <c r="D1975" s="1">
        <v>290000.0</v>
      </c>
      <c r="E1975" s="1"/>
    </row>
    <row r="1976">
      <c r="B1976" s="3" t="s">
        <v>1539</v>
      </c>
      <c r="D1976" s="1">
        <v>9367004.0</v>
      </c>
      <c r="E1976" s="1"/>
    </row>
    <row r="1977">
      <c r="A1977" s="1" t="s">
        <v>1898</v>
      </c>
      <c r="B1977" s="1" t="s">
        <v>870</v>
      </c>
      <c r="D1977" s="1">
        <v>290440.0</v>
      </c>
      <c r="E1977" s="1"/>
    </row>
    <row r="1978">
      <c r="A1978" s="1" t="s">
        <v>1900</v>
      </c>
      <c r="B1978" s="1" t="s">
        <v>1227</v>
      </c>
      <c r="D1978" s="1">
        <v>2493744.0</v>
      </c>
      <c r="E1978" s="1"/>
      <c r="F1978" s="3" t="s">
        <v>1304</v>
      </c>
    </row>
    <row r="1979">
      <c r="A1979" s="1" t="s">
        <v>1899</v>
      </c>
      <c r="B1979" s="1" t="s">
        <v>1227</v>
      </c>
      <c r="D1979" s="1">
        <v>2503340.0</v>
      </c>
      <c r="E1979" s="1"/>
      <c r="F1979" s="3" t="s">
        <v>1304</v>
      </c>
    </row>
    <row r="1980">
      <c r="A1980" s="1" t="s">
        <v>1901</v>
      </c>
      <c r="B1980" s="3" t="s">
        <v>1541</v>
      </c>
      <c r="D1980" s="1">
        <v>310000.0</v>
      </c>
      <c r="E1980" s="1"/>
      <c r="F1980" s="3" t="s">
        <v>1542</v>
      </c>
    </row>
    <row r="1981">
      <c r="A1981" s="1" t="s">
        <v>1902</v>
      </c>
      <c r="B1981" s="1" t="s">
        <v>1903</v>
      </c>
      <c r="D1981" s="1">
        <v>2640000.0</v>
      </c>
      <c r="E1981" s="1"/>
      <c r="F1981" s="1" t="s">
        <v>1904</v>
      </c>
      <c r="G1981" s="1" t="s">
        <v>1905</v>
      </c>
    </row>
    <row r="1982">
      <c r="A1982" s="1" t="s">
        <v>1906</v>
      </c>
      <c r="B1982" s="3" t="s">
        <v>1212</v>
      </c>
      <c r="D1982" s="1">
        <v>1718807.0</v>
      </c>
      <c r="E1982" s="1"/>
    </row>
    <row r="1983">
      <c r="A1983" s="1" t="s">
        <v>1907</v>
      </c>
      <c r="B1983" s="3" t="s">
        <v>280</v>
      </c>
      <c r="D1983" s="1">
        <v>2010820.0</v>
      </c>
      <c r="E1983" s="1"/>
    </row>
    <row r="1984">
      <c r="B1984" s="1" t="s">
        <v>1769</v>
      </c>
      <c r="D1984" s="1">
        <v>1602723.0</v>
      </c>
      <c r="E1984" s="1"/>
    </row>
    <row r="1985">
      <c r="A1985" s="1" t="s">
        <v>1908</v>
      </c>
      <c r="B1985" s="3" t="s">
        <v>246</v>
      </c>
      <c r="D1985" s="1">
        <v>2101370.0</v>
      </c>
      <c r="E1985" s="1"/>
    </row>
    <row r="1986">
      <c r="A1986" s="1" t="s">
        <v>1909</v>
      </c>
      <c r="B1986" s="3" t="s">
        <v>1021</v>
      </c>
      <c r="D1986" s="1">
        <v>1851330.0</v>
      </c>
      <c r="E1986" s="1"/>
    </row>
    <row r="1987">
      <c r="A1987" s="1" t="s">
        <v>1910</v>
      </c>
      <c r="B1987" s="3" t="s">
        <v>1025</v>
      </c>
      <c r="D1987" s="1">
        <v>3012840.0</v>
      </c>
      <c r="E1987" s="1"/>
      <c r="F1987" s="3" t="s">
        <v>1126</v>
      </c>
    </row>
    <row r="1988">
      <c r="A1988" s="1" t="s">
        <v>1911</v>
      </c>
      <c r="B1988" s="1" t="s">
        <v>1912</v>
      </c>
      <c r="D1988" s="22">
        <v>3.344E7</v>
      </c>
      <c r="E1988" s="22"/>
      <c r="F1988" s="16" t="s">
        <v>1897</v>
      </c>
    </row>
    <row r="1989">
      <c r="A1989" s="1" t="s">
        <v>1906</v>
      </c>
      <c r="B1989" s="1" t="s">
        <v>1913</v>
      </c>
      <c r="D1989" s="1">
        <v>1760000.0</v>
      </c>
      <c r="E1989" s="1"/>
      <c r="F1989" s="1" t="s">
        <v>1904</v>
      </c>
      <c r="G1989" s="1" t="s">
        <v>1914</v>
      </c>
    </row>
    <row r="1990">
      <c r="A1990" s="1" t="s">
        <v>1915</v>
      </c>
      <c r="B1990" s="1" t="s">
        <v>1916</v>
      </c>
      <c r="D1990" s="1">
        <v>200000.0</v>
      </c>
      <c r="E1990" s="1"/>
      <c r="F1990" s="1" t="s">
        <v>1917</v>
      </c>
    </row>
    <row r="1991">
      <c r="B1991" s="1" t="s">
        <v>1918</v>
      </c>
      <c r="D1991" s="1">
        <v>80000.0</v>
      </c>
      <c r="E1991" s="1"/>
    </row>
    <row r="1992">
      <c r="A1992" s="1" t="s">
        <v>1907</v>
      </c>
      <c r="B1992" s="1" t="s">
        <v>1919</v>
      </c>
      <c r="D1992" s="1">
        <v>55400.0</v>
      </c>
      <c r="E1992" s="1"/>
      <c r="F1992" s="1" t="s">
        <v>1016</v>
      </c>
    </row>
    <row r="1993">
      <c r="B1993" s="1" t="s">
        <v>1920</v>
      </c>
      <c r="D1993" s="1">
        <v>110800.0</v>
      </c>
      <c r="E1993" s="1"/>
    </row>
    <row r="1994">
      <c r="B1994" s="1" t="s">
        <v>1920</v>
      </c>
      <c r="D1994" s="1">
        <v>100800.0</v>
      </c>
      <c r="E1994" s="1"/>
    </row>
    <row r="1995">
      <c r="B1995" s="1" t="s">
        <v>1921</v>
      </c>
      <c r="D1995" s="1">
        <v>9790000.0</v>
      </c>
      <c r="E1995" s="1"/>
      <c r="F1995" s="1" t="s">
        <v>1922</v>
      </c>
    </row>
    <row r="1996">
      <c r="A1996" s="1" t="s">
        <v>1908</v>
      </c>
      <c r="B1996" s="1" t="s">
        <v>1923</v>
      </c>
      <c r="D1996" s="1">
        <v>9076000.0</v>
      </c>
      <c r="E1996" s="1"/>
      <c r="F1996" s="1" t="s">
        <v>275</v>
      </c>
    </row>
    <row r="1997">
      <c r="B1997" s="3" t="s">
        <v>1331</v>
      </c>
      <c r="D1997" s="1">
        <v>186940.0</v>
      </c>
      <c r="E1997" s="1"/>
      <c r="F1997" s="1" t="s">
        <v>1924</v>
      </c>
    </row>
    <row r="1998">
      <c r="B1998" s="3" t="s">
        <v>1137</v>
      </c>
      <c r="D1998" s="1">
        <v>164090.0</v>
      </c>
      <c r="E1998" s="1"/>
    </row>
    <row r="1999">
      <c r="A1999" s="1" t="s">
        <v>1906</v>
      </c>
      <c r="B1999" s="3" t="s">
        <v>648</v>
      </c>
      <c r="D1999" s="3">
        <v>132000.0</v>
      </c>
      <c r="E1999" s="3"/>
    </row>
    <row r="2000">
      <c r="B2000" s="3" t="s">
        <v>727</v>
      </c>
      <c r="D2000" s="23"/>
      <c r="E2000" s="1"/>
    </row>
    <row r="2001">
      <c r="B2001" s="3" t="s">
        <v>928</v>
      </c>
      <c r="D2001" s="23"/>
      <c r="E2001" s="1"/>
    </row>
    <row r="2002">
      <c r="A2002" s="1" t="s">
        <v>1925</v>
      </c>
      <c r="B2002" s="1" t="s">
        <v>1926</v>
      </c>
      <c r="D2002" s="1">
        <v>8228000.0</v>
      </c>
      <c r="E2002" s="1"/>
      <c r="F2002" s="1" t="s">
        <v>1927</v>
      </c>
    </row>
    <row r="2003">
      <c r="A2003" s="1" t="s">
        <v>1928</v>
      </c>
      <c r="B2003" s="3" t="s">
        <v>1539</v>
      </c>
      <c r="D2003" s="1">
        <v>9613329.0</v>
      </c>
      <c r="E2003" s="1"/>
      <c r="F2003" s="1" t="s">
        <v>1929</v>
      </c>
    </row>
    <row r="2004">
      <c r="A2004" s="1"/>
      <c r="B2004" s="1" t="s">
        <v>1930</v>
      </c>
      <c r="C2004" s="1">
        <v>1.2E8</v>
      </c>
      <c r="D2004" s="1"/>
      <c r="E2004" s="1"/>
      <c r="F2004" s="1"/>
    </row>
    <row r="2005">
      <c r="A2005" s="1" t="s">
        <v>1931</v>
      </c>
      <c r="B2005" s="1" t="s">
        <v>1932</v>
      </c>
      <c r="D2005" s="1">
        <v>4047178.0</v>
      </c>
      <c r="E2005" s="1"/>
      <c r="F2005" s="1" t="s">
        <v>1933</v>
      </c>
    </row>
    <row r="2006">
      <c r="A2006" s="1" t="s">
        <v>1934</v>
      </c>
      <c r="B2006" s="1" t="s">
        <v>1935</v>
      </c>
      <c r="D2006" s="1">
        <v>143000.0</v>
      </c>
      <c r="E2006" s="1"/>
      <c r="F2006" s="1" t="s">
        <v>1092</v>
      </c>
    </row>
    <row r="2007">
      <c r="B2007" s="1" t="s">
        <v>1936</v>
      </c>
      <c r="D2007" s="1">
        <v>880000.0</v>
      </c>
      <c r="E2007" s="1"/>
      <c r="F2007" s="1" t="s">
        <v>1937</v>
      </c>
    </row>
    <row r="2008">
      <c r="A2008" s="1" t="s">
        <v>1938</v>
      </c>
      <c r="B2008" s="3" t="s">
        <v>1025</v>
      </c>
      <c r="D2008" s="1">
        <v>3012840.0</v>
      </c>
      <c r="E2008" s="1"/>
      <c r="F2008" s="3" t="s">
        <v>1126</v>
      </c>
    </row>
    <row r="2009">
      <c r="A2009" s="1" t="s">
        <v>1939</v>
      </c>
      <c r="B2009" s="3" t="s">
        <v>1212</v>
      </c>
      <c r="D2009" s="1">
        <v>1718807.0</v>
      </c>
      <c r="E2009" s="1"/>
    </row>
    <row r="2010">
      <c r="A2010" s="1" t="s">
        <v>1940</v>
      </c>
      <c r="B2010" s="3" t="s">
        <v>280</v>
      </c>
      <c r="D2010" s="1">
        <v>2010820.0</v>
      </c>
      <c r="E2010" s="1"/>
    </row>
    <row r="2011">
      <c r="B2011" s="1" t="s">
        <v>1769</v>
      </c>
      <c r="D2011" s="1">
        <v>1602723.0</v>
      </c>
      <c r="E2011" s="1"/>
    </row>
    <row r="2012">
      <c r="A2012" s="1" t="s">
        <v>1941</v>
      </c>
      <c r="B2012" s="3" t="s">
        <v>246</v>
      </c>
      <c r="D2012" s="1">
        <v>2101370.0</v>
      </c>
      <c r="E2012" s="1"/>
    </row>
    <row r="2013">
      <c r="A2013" s="1" t="s">
        <v>1942</v>
      </c>
      <c r="B2013" s="3" t="s">
        <v>1021</v>
      </c>
      <c r="D2013" s="1">
        <v>1851330.0</v>
      </c>
      <c r="E2013" s="1"/>
    </row>
    <row r="2014">
      <c r="A2014" s="1" t="s">
        <v>1943</v>
      </c>
      <c r="B2014" s="1" t="s">
        <v>1944</v>
      </c>
      <c r="D2014" s="1">
        <v>216000.0</v>
      </c>
      <c r="E2014" s="1"/>
      <c r="F2014" s="3" t="s">
        <v>1542</v>
      </c>
    </row>
    <row r="2015">
      <c r="A2015" s="1" t="s">
        <v>1945</v>
      </c>
      <c r="B2015" s="1" t="s">
        <v>1946</v>
      </c>
      <c r="D2015" s="1">
        <v>2860000.0</v>
      </c>
      <c r="E2015" s="1"/>
      <c r="F2015" s="1" t="s">
        <v>1947</v>
      </c>
    </row>
    <row r="2016">
      <c r="A2016" s="1" t="s">
        <v>1948</v>
      </c>
      <c r="B2016" s="1" t="s">
        <v>1949</v>
      </c>
      <c r="D2016" s="1">
        <v>280000.0</v>
      </c>
      <c r="E2016" s="1"/>
      <c r="F2016" s="1" t="s">
        <v>1031</v>
      </c>
    </row>
    <row r="2017">
      <c r="A2017" s="1" t="s">
        <v>1950</v>
      </c>
      <c r="B2017" s="1" t="s">
        <v>1951</v>
      </c>
      <c r="D2017" s="1">
        <v>330000.0</v>
      </c>
      <c r="E2017" s="1"/>
      <c r="F2017" s="1" t="s">
        <v>1952</v>
      </c>
    </row>
    <row r="2018">
      <c r="B2018" s="1" t="s">
        <v>1953</v>
      </c>
      <c r="D2018" s="1">
        <v>4172365.0</v>
      </c>
      <c r="E2018" s="1"/>
      <c r="F2018" s="1" t="s">
        <v>1954</v>
      </c>
    </row>
    <row r="2019">
      <c r="B2019" s="1" t="s">
        <v>1955</v>
      </c>
      <c r="D2019" s="1">
        <v>396000.0</v>
      </c>
      <c r="E2019" s="1"/>
      <c r="F2019" s="3" t="s">
        <v>1147</v>
      </c>
    </row>
    <row r="2020">
      <c r="B2020" s="3" t="s">
        <v>1137</v>
      </c>
      <c r="D2020" s="1">
        <v>133360.0</v>
      </c>
      <c r="E2020" s="1"/>
    </row>
    <row r="2021">
      <c r="A2021" s="1" t="s">
        <v>1942</v>
      </c>
      <c r="B2021" s="3" t="s">
        <v>648</v>
      </c>
      <c r="D2021" s="3">
        <v>132000.0</v>
      </c>
      <c r="E2021" s="3"/>
    </row>
    <row r="2022">
      <c r="B2022" s="3" t="s">
        <v>727</v>
      </c>
      <c r="D2022" s="23">
        <v>267324.0</v>
      </c>
      <c r="E2022" s="1"/>
    </row>
    <row r="2023">
      <c r="A2023" s="1" t="s">
        <v>1950</v>
      </c>
      <c r="B2023" s="1" t="s">
        <v>1956</v>
      </c>
      <c r="D2023" s="1">
        <v>80000.0</v>
      </c>
      <c r="E2023" s="1"/>
      <c r="F2023" s="1" t="s">
        <v>1957</v>
      </c>
    </row>
    <row r="2024">
      <c r="B2024" s="1" t="s">
        <v>1958</v>
      </c>
      <c r="D2024" s="1">
        <v>80000.0</v>
      </c>
      <c r="E2024" s="1"/>
    </row>
    <row r="2025">
      <c r="B2025" s="1" t="s">
        <v>1959</v>
      </c>
      <c r="D2025" s="1">
        <v>30000.0</v>
      </c>
      <c r="E2025" s="1"/>
    </row>
    <row r="2026">
      <c r="A2026" s="1" t="s">
        <v>1960</v>
      </c>
      <c r="B2026" s="3" t="s">
        <v>1025</v>
      </c>
      <c r="D2026" s="1">
        <v>3012840.0</v>
      </c>
      <c r="E2026" s="1"/>
      <c r="F2026" s="3" t="s">
        <v>1126</v>
      </c>
    </row>
    <row r="2027">
      <c r="A2027" s="1" t="s">
        <v>1961</v>
      </c>
      <c r="B2027" s="3" t="s">
        <v>1212</v>
      </c>
      <c r="D2027" s="1">
        <v>1855577.0</v>
      </c>
      <c r="E2027" s="1"/>
    </row>
    <row r="2028">
      <c r="A2028" s="1" t="s">
        <v>1962</v>
      </c>
      <c r="B2028" s="3" t="s">
        <v>280</v>
      </c>
      <c r="D2028" s="1">
        <v>2237143.0</v>
      </c>
      <c r="E2028" s="1"/>
    </row>
    <row r="2029">
      <c r="B2029" s="1" t="s">
        <v>1769</v>
      </c>
      <c r="D2029" s="1">
        <v>1636603.0</v>
      </c>
      <c r="E2029" s="1"/>
    </row>
    <row r="2030">
      <c r="A2030" s="1" t="s">
        <v>1963</v>
      </c>
      <c r="B2030" s="3" t="s">
        <v>246</v>
      </c>
      <c r="D2030" s="1">
        <v>2425010.0</v>
      </c>
      <c r="E2030" s="1"/>
    </row>
    <row r="2031">
      <c r="A2031" s="1" t="s">
        <v>1964</v>
      </c>
      <c r="B2031" s="3" t="s">
        <v>1021</v>
      </c>
      <c r="D2031" s="1">
        <v>1986460.0</v>
      </c>
      <c r="E2031" s="1"/>
    </row>
    <row r="2032">
      <c r="A2032" s="1" t="s">
        <v>1965</v>
      </c>
      <c r="B2032" s="1" t="s">
        <v>1966</v>
      </c>
      <c r="D2032" s="1">
        <v>660000.0</v>
      </c>
      <c r="E2032" s="1"/>
      <c r="F2032" s="3" t="s">
        <v>1147</v>
      </c>
    </row>
    <row r="2033">
      <c r="B2033" s="3" t="s">
        <v>1152</v>
      </c>
      <c r="D2033" s="1">
        <v>77000.0</v>
      </c>
      <c r="E2033" s="1"/>
      <c r="F2033" s="3" t="s">
        <v>1295</v>
      </c>
    </row>
    <row r="2034">
      <c r="B2034" s="3" t="s">
        <v>1331</v>
      </c>
      <c r="D2034" s="1">
        <v>309830.0</v>
      </c>
      <c r="E2034" s="1"/>
      <c r="F2034" s="1" t="s">
        <v>1967</v>
      </c>
    </row>
    <row r="2035">
      <c r="A2035" s="1" t="s">
        <v>1968</v>
      </c>
      <c r="B2035" s="1" t="s">
        <v>1969</v>
      </c>
      <c r="D2035" s="1">
        <v>280000.0</v>
      </c>
      <c r="E2035" s="1"/>
      <c r="F2035" s="1" t="s">
        <v>1031</v>
      </c>
    </row>
    <row r="2036">
      <c r="B2036" s="1" t="s">
        <v>1970</v>
      </c>
      <c r="D2036" s="1">
        <v>48258.0</v>
      </c>
      <c r="E2036" s="1"/>
      <c r="F2036" s="1" t="s">
        <v>1971</v>
      </c>
    </row>
    <row r="2037">
      <c r="B2037" s="1" t="s">
        <v>1972</v>
      </c>
      <c r="D2037" s="1">
        <v>88000.0</v>
      </c>
      <c r="E2037" s="1"/>
      <c r="F2037" s="1" t="s">
        <v>1971</v>
      </c>
    </row>
    <row r="2038">
      <c r="B2038" s="1" t="s">
        <v>843</v>
      </c>
      <c r="D2038" s="1">
        <v>900000.0</v>
      </c>
      <c r="E2038" s="1"/>
      <c r="F2038" s="1" t="s">
        <v>1749</v>
      </c>
    </row>
    <row r="2039">
      <c r="A2039" s="1" t="s">
        <v>1973</v>
      </c>
      <c r="B2039" s="1" t="s">
        <v>1953</v>
      </c>
      <c r="D2039" s="1">
        <v>4093882.0</v>
      </c>
      <c r="E2039" s="1"/>
      <c r="F2039" s="1" t="s">
        <v>1974</v>
      </c>
    </row>
    <row r="2040">
      <c r="B2040" s="1" t="s">
        <v>1975</v>
      </c>
      <c r="D2040" s="1">
        <v>48923.0</v>
      </c>
      <c r="E2040" s="1"/>
      <c r="F2040" s="1" t="s">
        <v>1954</v>
      </c>
    </row>
    <row r="2041">
      <c r="B2041" s="3" t="s">
        <v>648</v>
      </c>
      <c r="D2041" s="3">
        <v>132000.0</v>
      </c>
      <c r="E2041" s="3"/>
      <c r="F2041" s="1"/>
    </row>
    <row r="2042">
      <c r="B2042" s="3" t="s">
        <v>727</v>
      </c>
      <c r="D2042" s="1">
        <v>127108.0</v>
      </c>
      <c r="E2042" s="1"/>
    </row>
    <row r="2043">
      <c r="A2043" s="1" t="s">
        <v>1976</v>
      </c>
      <c r="B2043" s="1" t="s">
        <v>1227</v>
      </c>
      <c r="D2043" s="1">
        <v>2508136.0</v>
      </c>
      <c r="E2043" s="1"/>
      <c r="F2043" s="3" t="s">
        <v>1304</v>
      </c>
    </row>
    <row r="2044">
      <c r="A2044" s="1" t="s">
        <v>1977</v>
      </c>
      <c r="B2044" s="1" t="s">
        <v>1978</v>
      </c>
      <c r="D2044" s="1">
        <v>88000.0</v>
      </c>
      <c r="E2044" s="1"/>
      <c r="F2044" s="1" t="s">
        <v>1971</v>
      </c>
    </row>
    <row r="2045">
      <c r="A2045" s="1" t="s">
        <v>1979</v>
      </c>
      <c r="B2045" s="3" t="s">
        <v>1025</v>
      </c>
      <c r="D2045" s="1">
        <v>3022180.0</v>
      </c>
      <c r="E2045" s="1"/>
      <c r="F2045" s="3" t="s">
        <v>1126</v>
      </c>
    </row>
    <row r="2046">
      <c r="A2046" s="1" t="s">
        <v>1980</v>
      </c>
      <c r="B2046" s="1" t="s">
        <v>1981</v>
      </c>
      <c r="D2046" s="1">
        <v>547200.0</v>
      </c>
      <c r="E2046" s="1"/>
    </row>
    <row r="2047">
      <c r="A2047" s="1" t="s">
        <v>1982</v>
      </c>
      <c r="B2047" s="3" t="s">
        <v>1212</v>
      </c>
      <c r="D2047" s="1">
        <v>1718807.0</v>
      </c>
      <c r="E2047" s="1"/>
    </row>
    <row r="2048">
      <c r="A2048" s="1" t="s">
        <v>1983</v>
      </c>
      <c r="B2048" s="3" t="s">
        <v>280</v>
      </c>
      <c r="D2048" s="1">
        <v>2061993.0</v>
      </c>
      <c r="E2048" s="1"/>
    </row>
    <row r="2049">
      <c r="B2049" s="1" t="s">
        <v>1769</v>
      </c>
      <c r="D2049" s="1">
        <v>1659317.0</v>
      </c>
      <c r="E2049" s="1"/>
    </row>
    <row r="2050">
      <c r="A2050" s="1" t="s">
        <v>1984</v>
      </c>
      <c r="B2050" s="3" t="s">
        <v>246</v>
      </c>
      <c r="D2050" s="1">
        <v>2101370.0</v>
      </c>
      <c r="E2050" s="1"/>
    </row>
    <row r="2051">
      <c r="A2051" s="1" t="s">
        <v>1985</v>
      </c>
      <c r="B2051" s="3" t="s">
        <v>1021</v>
      </c>
      <c r="D2051" s="1">
        <v>1851330.0</v>
      </c>
      <c r="E2051" s="1"/>
    </row>
    <row r="2052">
      <c r="A2052" s="1" t="s">
        <v>1986</v>
      </c>
      <c r="B2052" s="1" t="s">
        <v>1987</v>
      </c>
      <c r="D2052" s="1">
        <v>88000.0</v>
      </c>
      <c r="E2052" s="1"/>
      <c r="F2052" s="1" t="s">
        <v>1971</v>
      </c>
    </row>
    <row r="2053">
      <c r="A2053" s="1" t="s">
        <v>1988</v>
      </c>
      <c r="B2053" s="1" t="s">
        <v>1969</v>
      </c>
      <c r="D2053" s="1">
        <v>280000.0</v>
      </c>
      <c r="E2053" s="1"/>
      <c r="F2053" s="24" t="s">
        <v>1989</v>
      </c>
    </row>
    <row r="2054">
      <c r="A2054" s="1" t="s">
        <v>1990</v>
      </c>
      <c r="B2054" s="3" t="s">
        <v>1152</v>
      </c>
      <c r="D2054" s="1">
        <v>154000.0</v>
      </c>
      <c r="E2054" s="1"/>
      <c r="F2054" s="3" t="s">
        <v>1295</v>
      </c>
    </row>
    <row r="2055">
      <c r="A2055" s="1" t="s">
        <v>1991</v>
      </c>
      <c r="B2055" s="1" t="s">
        <v>1953</v>
      </c>
      <c r="D2055" s="1">
        <v>4037218.0</v>
      </c>
      <c r="E2055" s="1"/>
      <c r="F2055" s="1" t="s">
        <v>1974</v>
      </c>
    </row>
    <row r="2056">
      <c r="B2056" s="3" t="s">
        <v>648</v>
      </c>
      <c r="D2056" s="3">
        <v>132000.0</v>
      </c>
      <c r="E2056" s="3"/>
      <c r="F2056" s="1"/>
    </row>
    <row r="2057">
      <c r="B2057" s="3" t="s">
        <v>727</v>
      </c>
      <c r="D2057" s="1">
        <v>100560.0</v>
      </c>
      <c r="E2057" s="1"/>
      <c r="F2057" s="1"/>
    </row>
    <row r="2058">
      <c r="A2058" s="1"/>
      <c r="B2058" s="1" t="s">
        <v>1992</v>
      </c>
      <c r="D2058" s="1">
        <v>173333.0</v>
      </c>
      <c r="E2058" s="1"/>
      <c r="F2058" s="1" t="s">
        <v>1993</v>
      </c>
    </row>
    <row r="2059">
      <c r="B2059" s="1" t="s">
        <v>843</v>
      </c>
      <c r="D2059" s="1">
        <v>783000.0</v>
      </c>
      <c r="E2059" s="1"/>
      <c r="F2059" s="1" t="s">
        <v>1749</v>
      </c>
    </row>
    <row r="2060">
      <c r="A2060" s="1" t="s">
        <v>1994</v>
      </c>
      <c r="B2060" s="3" t="s">
        <v>1331</v>
      </c>
      <c r="D2060" s="1">
        <v>157440.0</v>
      </c>
      <c r="E2060" s="1"/>
      <c r="F2060" s="1" t="s">
        <v>1995</v>
      </c>
    </row>
    <row r="2061">
      <c r="A2061" s="1" t="s">
        <v>1986</v>
      </c>
      <c r="B2061" s="3" t="s">
        <v>1025</v>
      </c>
      <c r="D2061" s="1">
        <v>3251630.0</v>
      </c>
      <c r="E2061" s="1"/>
      <c r="F2061" s="3" t="s">
        <v>1126</v>
      </c>
    </row>
    <row r="2062">
      <c r="A2062" s="1" t="s">
        <v>1996</v>
      </c>
      <c r="B2062" s="3" t="s">
        <v>1212</v>
      </c>
      <c r="D2062" s="1">
        <v>1698457.0</v>
      </c>
      <c r="E2062" s="1"/>
      <c r="F2062" s="1"/>
    </row>
    <row r="2063">
      <c r="A2063" s="1" t="s">
        <v>1997</v>
      </c>
      <c r="B2063" s="3" t="s">
        <v>280</v>
      </c>
      <c r="D2063" s="1">
        <v>2037123.0</v>
      </c>
      <c r="E2063" s="1"/>
      <c r="F2063" s="1"/>
    </row>
    <row r="2064">
      <c r="B2064" s="1" t="s">
        <v>1769</v>
      </c>
      <c r="D2064" s="1">
        <v>1661917.0</v>
      </c>
      <c r="E2064" s="1"/>
      <c r="F2064" s="1"/>
    </row>
    <row r="2065">
      <c r="A2065" s="1" t="s">
        <v>1998</v>
      </c>
      <c r="B2065" s="3" t="s">
        <v>1021</v>
      </c>
      <c r="D2065" s="1">
        <v>1825380.0</v>
      </c>
      <c r="E2065" s="1"/>
      <c r="F2065" s="1"/>
    </row>
    <row r="2066">
      <c r="A2066" s="1" t="s">
        <v>1999</v>
      </c>
      <c r="B2066" s="1" t="s">
        <v>2000</v>
      </c>
      <c r="D2066" s="1">
        <v>6000000.0</v>
      </c>
      <c r="E2066" s="1"/>
      <c r="F2066" s="1" t="s">
        <v>2001</v>
      </c>
    </row>
    <row r="2067">
      <c r="A2067" s="1" t="s">
        <v>2002</v>
      </c>
      <c r="B2067" s="1" t="s">
        <v>2003</v>
      </c>
      <c r="D2067" s="1">
        <v>459000.0</v>
      </c>
      <c r="E2067" s="1"/>
      <c r="F2067" s="1" t="s">
        <v>2004</v>
      </c>
    </row>
    <row r="2068">
      <c r="B2068" s="1" t="s">
        <v>2005</v>
      </c>
      <c r="D2068" s="1">
        <v>406113.0</v>
      </c>
      <c r="E2068" s="1"/>
      <c r="F2068" s="1" t="s">
        <v>2004</v>
      </c>
    </row>
    <row r="2069">
      <c r="A2069" s="1" t="s">
        <v>2006</v>
      </c>
      <c r="B2069" s="1" t="s">
        <v>1969</v>
      </c>
      <c r="D2069" s="1">
        <v>280000.0</v>
      </c>
      <c r="E2069" s="1"/>
      <c r="F2069" s="24" t="s">
        <v>1989</v>
      </c>
    </row>
    <row r="2070">
      <c r="A2070" s="1" t="s">
        <v>2007</v>
      </c>
      <c r="B2070" s="1" t="s">
        <v>2008</v>
      </c>
      <c r="D2070" s="1">
        <v>4028795.0</v>
      </c>
      <c r="E2070" s="1"/>
      <c r="F2070" s="1"/>
    </row>
    <row r="2071">
      <c r="B2071" s="3" t="s">
        <v>648</v>
      </c>
      <c r="D2071" s="1">
        <v>132000.0</v>
      </c>
      <c r="E2071" s="1"/>
      <c r="F2071" s="1"/>
    </row>
    <row r="2072">
      <c r="B2072" s="3" t="s">
        <v>727</v>
      </c>
      <c r="D2072" s="23"/>
      <c r="E2072" s="1"/>
      <c r="F2072" s="1" t="s">
        <v>2009</v>
      </c>
    </row>
    <row r="2073">
      <c r="A2073" s="1" t="s">
        <v>2010</v>
      </c>
      <c r="B2073" s="1" t="s">
        <v>2003</v>
      </c>
      <c r="D2073" s="1">
        <v>189000.0</v>
      </c>
      <c r="E2073" s="1"/>
      <c r="F2073" s="1" t="s">
        <v>2011</v>
      </c>
    </row>
    <row r="2074">
      <c r="B2074" s="1" t="s">
        <v>2005</v>
      </c>
      <c r="D2074" s="1">
        <v>238890.0</v>
      </c>
      <c r="E2074" s="1"/>
      <c r="F2074" s="1" t="s">
        <v>2012</v>
      </c>
    </row>
    <row r="2075">
      <c r="A2075" s="1" t="s">
        <v>2013</v>
      </c>
      <c r="B2075" s="3" t="s">
        <v>1025</v>
      </c>
      <c r="D2075" s="1">
        <v>2623700.0</v>
      </c>
      <c r="E2075" s="1"/>
      <c r="F2075" s="3" t="s">
        <v>1126</v>
      </c>
    </row>
    <row r="2076">
      <c r="A2076" s="1" t="s">
        <v>2014</v>
      </c>
      <c r="B2076" s="3" t="s">
        <v>1212</v>
      </c>
      <c r="D2076" s="1">
        <v>566152.0</v>
      </c>
      <c r="E2076" s="1"/>
      <c r="F2076" s="1" t="s">
        <v>2015</v>
      </c>
    </row>
    <row r="2077">
      <c r="A2077" s="1" t="s">
        <v>2014</v>
      </c>
      <c r="B2077" s="3" t="s">
        <v>280</v>
      </c>
      <c r="D2077" s="1">
        <v>2061993.0</v>
      </c>
      <c r="E2077" s="1"/>
      <c r="F2077" s="1"/>
    </row>
    <row r="2078">
      <c r="B2078" s="1" t="s">
        <v>1769</v>
      </c>
      <c r="D2078" s="1">
        <v>1661887.0</v>
      </c>
      <c r="E2078" s="1"/>
      <c r="F2078" s="1"/>
    </row>
    <row r="2079">
      <c r="A2079" s="1" t="s">
        <v>2016</v>
      </c>
      <c r="B2079" s="3" t="s">
        <v>1021</v>
      </c>
      <c r="D2079" s="1">
        <v>1849590.0</v>
      </c>
      <c r="E2079" s="1"/>
      <c r="F2079" s="1"/>
    </row>
    <row r="2080">
      <c r="A2080" s="1" t="s">
        <v>2017</v>
      </c>
      <c r="B2080" s="1" t="s">
        <v>1969</v>
      </c>
      <c r="D2080" s="1">
        <v>280000.0</v>
      </c>
      <c r="E2080" s="1"/>
      <c r="F2080" s="24" t="s">
        <v>1989</v>
      </c>
    </row>
    <row r="2081">
      <c r="A2081" s="1" t="s">
        <v>2018</v>
      </c>
      <c r="B2081" s="1" t="s">
        <v>2019</v>
      </c>
      <c r="D2081" s="1">
        <v>452664.0</v>
      </c>
      <c r="E2081" s="1"/>
      <c r="F2081" s="1" t="s">
        <v>2020</v>
      </c>
    </row>
    <row r="2082">
      <c r="B2082" s="1" t="s">
        <v>2003</v>
      </c>
      <c r="D2082" s="1">
        <v>472500.0</v>
      </c>
      <c r="E2082" s="1"/>
      <c r="F2082" s="1" t="s">
        <v>2021</v>
      </c>
    </row>
    <row r="2083">
      <c r="B2083" s="1" t="s">
        <v>2005</v>
      </c>
      <c r="D2083" s="1">
        <v>418056.0</v>
      </c>
      <c r="E2083" s="1"/>
      <c r="F2083" s="1" t="s">
        <v>2021</v>
      </c>
    </row>
    <row r="2084">
      <c r="A2084" s="1" t="s">
        <v>2022</v>
      </c>
      <c r="B2084" s="1" t="s">
        <v>2003</v>
      </c>
      <c r="D2084" s="1">
        <v>44448.0</v>
      </c>
      <c r="E2084" s="1"/>
      <c r="F2084" s="1" t="s">
        <v>2023</v>
      </c>
    </row>
    <row r="2085">
      <c r="B2085" s="1" t="s">
        <v>2005</v>
      </c>
      <c r="D2085" s="1">
        <v>29862.0</v>
      </c>
      <c r="E2085" s="1"/>
      <c r="F2085" s="1" t="s">
        <v>2023</v>
      </c>
    </row>
    <row r="2086">
      <c r="A2086" s="1" t="s">
        <v>2022</v>
      </c>
      <c r="B2086" s="1" t="s">
        <v>2024</v>
      </c>
      <c r="D2086" s="1">
        <v>88000.0</v>
      </c>
      <c r="E2086" s="1"/>
      <c r="F2086" s="1" t="s">
        <v>1971</v>
      </c>
    </row>
    <row r="2087">
      <c r="A2087" s="1" t="s">
        <v>2016</v>
      </c>
      <c r="B2087" s="1" t="s">
        <v>1953</v>
      </c>
      <c r="D2087" s="1">
        <v>3967461.0</v>
      </c>
      <c r="E2087" s="1"/>
      <c r="F2087" s="1"/>
    </row>
    <row r="2088">
      <c r="B2088" s="3" t="s">
        <v>648</v>
      </c>
      <c r="D2088" s="1">
        <v>132000.0</v>
      </c>
      <c r="E2088" s="1"/>
      <c r="F2088" s="1"/>
    </row>
    <row r="2089">
      <c r="B2089" s="3" t="s">
        <v>727</v>
      </c>
      <c r="D2089" s="23">
        <v>406928.0</v>
      </c>
      <c r="E2089" s="1"/>
      <c r="F2089" s="1" t="s">
        <v>2025</v>
      </c>
    </row>
    <row r="2090">
      <c r="A2090" s="1" t="s">
        <v>2026</v>
      </c>
      <c r="B2090" s="1" t="s">
        <v>2027</v>
      </c>
      <c r="D2090" s="1">
        <v>1.9423237E7</v>
      </c>
      <c r="E2090" s="1"/>
      <c r="F2090" s="1" t="s">
        <v>2028</v>
      </c>
    </row>
    <row r="2091">
      <c r="B2091" s="1" t="s">
        <v>1224</v>
      </c>
      <c r="D2091" s="1">
        <v>5792272.0</v>
      </c>
      <c r="E2091" s="1"/>
      <c r="F2091" s="1" t="s">
        <v>2029</v>
      </c>
    </row>
    <row r="2092">
      <c r="A2092" s="1" t="s">
        <v>2030</v>
      </c>
      <c r="B2092" s="1" t="s">
        <v>2019</v>
      </c>
      <c r="D2092" s="1">
        <v>604552.0</v>
      </c>
      <c r="E2092" s="1"/>
      <c r="F2092" s="1" t="s">
        <v>2031</v>
      </c>
    </row>
    <row r="2093">
      <c r="B2093" s="1" t="s">
        <v>2003</v>
      </c>
      <c r="D2093" s="1">
        <v>504172.0</v>
      </c>
      <c r="E2093" s="1"/>
      <c r="F2093" s="1" t="s">
        <v>2031</v>
      </c>
    </row>
    <row r="2094">
      <c r="B2094" s="1" t="s">
        <v>2005</v>
      </c>
      <c r="D2094" s="1">
        <v>433586.0</v>
      </c>
      <c r="E2094" s="1"/>
      <c r="F2094" s="1" t="s">
        <v>2031</v>
      </c>
    </row>
    <row r="2095">
      <c r="A2095" s="1" t="s">
        <v>2030</v>
      </c>
      <c r="B2095" s="1" t="s">
        <v>2032</v>
      </c>
      <c r="D2095" s="1">
        <v>1612490.0</v>
      </c>
      <c r="E2095" s="1"/>
      <c r="F2095" s="1"/>
    </row>
    <row r="2096">
      <c r="B2096" s="1" t="s">
        <v>2033</v>
      </c>
      <c r="D2096" s="1">
        <v>1569370.0</v>
      </c>
      <c r="E2096" s="1"/>
      <c r="F2096" s="1"/>
    </row>
    <row r="2097">
      <c r="A2097" s="1" t="s">
        <v>2034</v>
      </c>
      <c r="B2097" s="1" t="s">
        <v>1227</v>
      </c>
      <c r="D2097" s="1">
        <v>1499167.0</v>
      </c>
      <c r="E2097" s="1"/>
      <c r="F2097" s="3" t="s">
        <v>1304</v>
      </c>
    </row>
    <row r="2098">
      <c r="A2098" s="1" t="s">
        <v>2035</v>
      </c>
      <c r="B2098" s="1" t="s">
        <v>1955</v>
      </c>
      <c r="D2098" s="1">
        <v>396000.0</v>
      </c>
      <c r="E2098" s="1"/>
      <c r="F2098" s="3" t="s">
        <v>1147</v>
      </c>
    </row>
    <row r="2099">
      <c r="B2099" s="3" t="s">
        <v>1025</v>
      </c>
      <c r="D2099" s="1">
        <v>2321250.0</v>
      </c>
      <c r="E2099" s="1"/>
      <c r="F2099" s="3" t="s">
        <v>1126</v>
      </c>
    </row>
    <row r="2100">
      <c r="A2100" s="1" t="s">
        <v>2036</v>
      </c>
      <c r="B2100" s="3" t="s">
        <v>280</v>
      </c>
      <c r="D2100" s="1">
        <v>2061993.0</v>
      </c>
      <c r="E2100" s="1"/>
      <c r="F2100" s="1"/>
    </row>
    <row r="2101">
      <c r="B2101" s="1" t="s">
        <v>1769</v>
      </c>
      <c r="D2101" s="1">
        <v>1661887.0</v>
      </c>
      <c r="E2101" s="1"/>
      <c r="F2101" s="1"/>
    </row>
    <row r="2102">
      <c r="A2102" s="1" t="s">
        <v>2037</v>
      </c>
      <c r="B2102" s="3" t="s">
        <v>1021</v>
      </c>
      <c r="D2102" s="1">
        <v>1906123.0</v>
      </c>
      <c r="E2102" s="1"/>
      <c r="F2102" s="1"/>
    </row>
    <row r="2103">
      <c r="A2103" s="1" t="s">
        <v>2038</v>
      </c>
      <c r="B2103" s="1" t="s">
        <v>2039</v>
      </c>
      <c r="D2103" s="1">
        <v>88000.0</v>
      </c>
      <c r="E2103" s="1"/>
      <c r="F2103" s="1" t="s">
        <v>1971</v>
      </c>
    </row>
    <row r="2104">
      <c r="A2104" s="1" t="s">
        <v>2040</v>
      </c>
      <c r="B2104" s="1" t="s">
        <v>2041</v>
      </c>
      <c r="D2104" s="1">
        <v>850000.0</v>
      </c>
      <c r="E2104" s="1"/>
      <c r="F2104" s="1" t="s">
        <v>1332</v>
      </c>
    </row>
    <row r="2105">
      <c r="A2105" s="1" t="s">
        <v>2036</v>
      </c>
      <c r="B2105" s="1" t="s">
        <v>2042</v>
      </c>
      <c r="D2105" s="1">
        <v>290400.0</v>
      </c>
      <c r="E2105" s="1"/>
      <c r="F2105" s="1" t="s">
        <v>1092</v>
      </c>
    </row>
    <row r="2106">
      <c r="A2106" s="1" t="s">
        <v>2043</v>
      </c>
      <c r="B2106" s="1" t="s">
        <v>2044</v>
      </c>
      <c r="D2106" s="1">
        <v>280000.0</v>
      </c>
      <c r="E2106" s="1"/>
      <c r="F2106" s="24" t="s">
        <v>1989</v>
      </c>
    </row>
    <row r="2107">
      <c r="A2107" s="1" t="s">
        <v>2045</v>
      </c>
      <c r="B2107" s="1" t="s">
        <v>2008</v>
      </c>
      <c r="D2107" s="1">
        <v>4098996.0</v>
      </c>
      <c r="E2107" s="1"/>
      <c r="F2107" s="1"/>
    </row>
    <row r="2108">
      <c r="B2108" s="3" t="s">
        <v>648</v>
      </c>
      <c r="D2108" s="1">
        <v>132000.0</v>
      </c>
      <c r="E2108" s="1"/>
      <c r="F2108" s="1"/>
    </row>
    <row r="2109">
      <c r="B2109" s="3" t="s">
        <v>727</v>
      </c>
      <c r="D2109" s="1">
        <v>294466.0</v>
      </c>
      <c r="E2109" s="1"/>
      <c r="F2109" s="1"/>
    </row>
    <row r="2110">
      <c r="A2110" s="1" t="s">
        <v>2046</v>
      </c>
      <c r="B2110" s="1" t="s">
        <v>2019</v>
      </c>
      <c r="D2110" s="1">
        <v>603552.0</v>
      </c>
      <c r="E2110" s="1"/>
      <c r="F2110" s="1" t="s">
        <v>2047</v>
      </c>
    </row>
    <row r="2111">
      <c r="B2111" s="1" t="s">
        <v>2003</v>
      </c>
      <c r="D2111" s="1">
        <v>504172.0</v>
      </c>
      <c r="E2111" s="1"/>
      <c r="F2111" s="1" t="s">
        <v>2047</v>
      </c>
    </row>
    <row r="2112">
      <c r="B2112" s="1" t="s">
        <v>2005</v>
      </c>
      <c r="D2112" s="1">
        <v>433586.0</v>
      </c>
      <c r="E2112" s="1"/>
      <c r="F2112" s="1" t="s">
        <v>2047</v>
      </c>
    </row>
    <row r="2113">
      <c r="A2113" s="1" t="s">
        <v>2048</v>
      </c>
      <c r="B2113" s="1" t="s">
        <v>2049</v>
      </c>
      <c r="D2113" s="1">
        <v>277724.0</v>
      </c>
      <c r="E2113" s="1"/>
      <c r="F2113" s="3" t="s">
        <v>1304</v>
      </c>
    </row>
    <row r="2114">
      <c r="A2114" s="1" t="s">
        <v>2037</v>
      </c>
      <c r="B2114" s="1" t="s">
        <v>2019</v>
      </c>
      <c r="D2114" s="1">
        <v>603552.0</v>
      </c>
      <c r="E2114" s="1"/>
      <c r="F2114" s="1" t="s">
        <v>2050</v>
      </c>
    </row>
    <row r="2115">
      <c r="B2115" s="1" t="s">
        <v>2003</v>
      </c>
      <c r="D2115" s="1">
        <v>473616.0</v>
      </c>
      <c r="E2115" s="1"/>
      <c r="F2115" s="1" t="s">
        <v>2051</v>
      </c>
    </row>
    <row r="2116">
      <c r="B2116" s="1" t="s">
        <v>2005</v>
      </c>
      <c r="D2116" s="1">
        <v>407308.0</v>
      </c>
      <c r="E2116" s="1"/>
      <c r="F2116" s="1" t="s">
        <v>2051</v>
      </c>
    </row>
    <row r="2117">
      <c r="A2117" s="1" t="s">
        <v>2052</v>
      </c>
      <c r="B2117" s="3" t="s">
        <v>1025</v>
      </c>
      <c r="D2117" s="1">
        <v>5294060.0</v>
      </c>
      <c r="E2117" s="1"/>
      <c r="F2117" s="3" t="s">
        <v>1126</v>
      </c>
    </row>
    <row r="2118">
      <c r="A2118" s="1"/>
      <c r="B2118" s="1" t="s">
        <v>2053</v>
      </c>
      <c r="D2118" s="1">
        <v>88000.0</v>
      </c>
      <c r="E2118" s="1"/>
      <c r="F2118" s="1" t="s">
        <v>1971</v>
      </c>
    </row>
    <row r="2119">
      <c r="A2119" s="1" t="s">
        <v>2054</v>
      </c>
      <c r="B2119" s="3" t="s">
        <v>280</v>
      </c>
      <c r="D2119" s="1">
        <v>2048323.0</v>
      </c>
      <c r="E2119" s="1"/>
      <c r="F2119" s="1"/>
    </row>
    <row r="2120">
      <c r="B2120" s="1" t="s">
        <v>1769</v>
      </c>
      <c r="D2120" s="1">
        <v>1637047.0</v>
      </c>
      <c r="E2120" s="1"/>
      <c r="F2120" s="1"/>
    </row>
    <row r="2121">
      <c r="A2121" s="1" t="s">
        <v>2055</v>
      </c>
      <c r="B2121" s="3" t="s">
        <v>1021</v>
      </c>
      <c r="D2121" s="1">
        <v>1887033.0</v>
      </c>
      <c r="E2121" s="1"/>
      <c r="F2121" s="1"/>
    </row>
    <row r="2122">
      <c r="A2122" s="1" t="s">
        <v>2056</v>
      </c>
      <c r="B2122" s="1" t="s">
        <v>2057</v>
      </c>
      <c r="D2122" s="1">
        <v>116010.0</v>
      </c>
      <c r="E2122" s="1"/>
      <c r="F2122" s="1" t="s">
        <v>2058</v>
      </c>
    </row>
    <row r="2123">
      <c r="A2123" s="1" t="s">
        <v>2059</v>
      </c>
      <c r="B2123" s="1" t="s">
        <v>2044</v>
      </c>
      <c r="D2123" s="1">
        <v>280000.0</v>
      </c>
      <c r="E2123" s="1"/>
      <c r="F2123" s="1"/>
    </row>
    <row r="2124">
      <c r="A2124" s="1" t="s">
        <v>2060</v>
      </c>
      <c r="B2124" s="1" t="s">
        <v>1953</v>
      </c>
      <c r="D2124" s="1">
        <v>4023855.0</v>
      </c>
      <c r="E2124" s="1"/>
      <c r="F2124" s="1"/>
      <c r="G2124">
        <f>SUM(D2136:D2150)</f>
        <v>15053210</v>
      </c>
    </row>
    <row r="2125">
      <c r="B2125" s="3" t="s">
        <v>648</v>
      </c>
      <c r="D2125" s="1">
        <v>132000.0</v>
      </c>
      <c r="E2125" s="1"/>
      <c r="F2125" s="1"/>
    </row>
    <row r="2126">
      <c r="B2126" s="3" t="s">
        <v>727</v>
      </c>
      <c r="D2126" s="1">
        <v>130984.0</v>
      </c>
      <c r="E2126" s="1"/>
      <c r="F2126" s="1"/>
    </row>
    <row r="2127">
      <c r="A2127" s="1" t="s">
        <v>2061</v>
      </c>
      <c r="B2127" s="1" t="s">
        <v>2019</v>
      </c>
      <c r="D2127" s="1">
        <v>414942.0</v>
      </c>
      <c r="E2127" s="1"/>
      <c r="F2127" s="1" t="s">
        <v>2062</v>
      </c>
    </row>
    <row r="2128">
      <c r="B2128" s="1" t="s">
        <v>2003</v>
      </c>
      <c r="D2128" s="1">
        <v>351392.0</v>
      </c>
      <c r="E2128" s="1"/>
      <c r="F2128" s="1" t="s">
        <v>2062</v>
      </c>
    </row>
    <row r="2129">
      <c r="B2129" s="1" t="s">
        <v>2005</v>
      </c>
      <c r="D2129" s="1">
        <v>302196.0</v>
      </c>
      <c r="E2129" s="1"/>
      <c r="F2129" s="1" t="s">
        <v>2062</v>
      </c>
    </row>
    <row r="2130">
      <c r="A2130" s="1" t="s">
        <v>2059</v>
      </c>
      <c r="B2130" s="1" t="s">
        <v>2063</v>
      </c>
      <c r="D2130" s="1">
        <v>1.942122E7</v>
      </c>
      <c r="E2130" s="1"/>
      <c r="F2130" s="1" t="s">
        <v>275</v>
      </c>
    </row>
    <row r="2131">
      <c r="B2131" s="1" t="s">
        <v>2064</v>
      </c>
      <c r="D2131" s="1">
        <v>62500.0</v>
      </c>
      <c r="E2131" s="1"/>
      <c r="F2131" s="1" t="s">
        <v>275</v>
      </c>
    </row>
    <row r="2132">
      <c r="A2132" s="1" t="s">
        <v>2065</v>
      </c>
      <c r="B2132" s="3" t="s">
        <v>1331</v>
      </c>
      <c r="D2132" s="1">
        <v>422330.0</v>
      </c>
      <c r="E2132" s="1"/>
      <c r="F2132" s="1" t="s">
        <v>1995</v>
      </c>
    </row>
    <row r="2133">
      <c r="A2133" s="1" t="s">
        <v>2055</v>
      </c>
      <c r="B2133" s="1" t="s">
        <v>2019</v>
      </c>
      <c r="D2133" s="1">
        <v>641274.0</v>
      </c>
      <c r="E2133" s="1"/>
      <c r="F2133" s="1" t="s">
        <v>2066</v>
      </c>
    </row>
    <row r="2134">
      <c r="B2134" s="1" t="s">
        <v>2003</v>
      </c>
      <c r="D2134" s="1">
        <v>534728.0</v>
      </c>
      <c r="E2134" s="1"/>
      <c r="F2134" s="1" t="s">
        <v>2066</v>
      </c>
    </row>
    <row r="2135">
      <c r="B2135" s="1" t="s">
        <v>2005</v>
      </c>
      <c r="D2135" s="1">
        <v>459864.0</v>
      </c>
      <c r="E2135" s="1"/>
      <c r="F2135" s="1" t="s">
        <v>2066</v>
      </c>
    </row>
    <row r="2136">
      <c r="A2136" s="1" t="s">
        <v>2067</v>
      </c>
      <c r="B2136" s="3" t="s">
        <v>1025</v>
      </c>
      <c r="D2136" s="1">
        <v>2164710.0</v>
      </c>
      <c r="E2136" s="1"/>
      <c r="F2136" s="3" t="s">
        <v>1126</v>
      </c>
    </row>
    <row r="2137">
      <c r="B2137" s="1" t="s">
        <v>2068</v>
      </c>
      <c r="D2137" s="1">
        <v>88000.0</v>
      </c>
      <c r="E2137" s="1"/>
      <c r="F2137" s="1" t="s">
        <v>1971</v>
      </c>
    </row>
    <row r="2138">
      <c r="A2138" s="1" t="s">
        <v>2069</v>
      </c>
      <c r="B2138" s="3" t="s">
        <v>280</v>
      </c>
      <c r="D2138" s="1">
        <v>1869823.0</v>
      </c>
      <c r="E2138" s="1"/>
      <c r="F2138" s="1"/>
    </row>
    <row r="2139">
      <c r="B2139" s="1" t="s">
        <v>1769</v>
      </c>
      <c r="D2139" s="1">
        <v>1576627.0</v>
      </c>
      <c r="E2139" s="1"/>
      <c r="F2139" s="1"/>
    </row>
    <row r="2140">
      <c r="A2140" s="1" t="s">
        <v>2070</v>
      </c>
      <c r="B2140" s="3" t="s">
        <v>1021</v>
      </c>
      <c r="D2140" s="1">
        <v>1778163.0</v>
      </c>
      <c r="E2140" s="1"/>
      <c r="F2140" s="1"/>
    </row>
    <row r="2141">
      <c r="A2141" s="1" t="s">
        <v>2071</v>
      </c>
      <c r="B2141" s="1" t="s">
        <v>2072</v>
      </c>
      <c r="D2141" s="1">
        <v>350000.0</v>
      </c>
      <c r="E2141" s="1"/>
      <c r="F2141" s="1" t="s">
        <v>2073</v>
      </c>
    </row>
    <row r="2142">
      <c r="A2142" s="1" t="s">
        <v>2069</v>
      </c>
      <c r="B2142" s="1" t="s">
        <v>2019</v>
      </c>
      <c r="D2142" s="1">
        <v>546969.0</v>
      </c>
      <c r="E2142" s="1"/>
      <c r="F2142" s="1" t="s">
        <v>2074</v>
      </c>
    </row>
    <row r="2143">
      <c r="B2143" s="1" t="s">
        <v>2003</v>
      </c>
      <c r="D2143" s="1">
        <v>488894.0</v>
      </c>
      <c r="E2143" s="1"/>
      <c r="F2143" s="1" t="s">
        <v>2075</v>
      </c>
    </row>
    <row r="2144">
      <c r="B2144" s="1" t="s">
        <v>2005</v>
      </c>
      <c r="D2144" s="1">
        <v>407282.0</v>
      </c>
      <c r="E2144" s="1"/>
      <c r="F2144" s="1" t="s">
        <v>2076</v>
      </c>
    </row>
    <row r="2145">
      <c r="A2145" s="1" t="s">
        <v>2070</v>
      </c>
      <c r="B2145" s="1" t="s">
        <v>2008</v>
      </c>
      <c r="D2145" s="1">
        <v>4078881.0</v>
      </c>
      <c r="E2145" s="1"/>
      <c r="F2145" s="1"/>
    </row>
    <row r="2146">
      <c r="B2146" s="3" t="s">
        <v>648</v>
      </c>
      <c r="D2146" s="1">
        <v>132000.0</v>
      </c>
      <c r="E2146" s="1"/>
      <c r="F2146" s="1"/>
    </row>
    <row r="2147">
      <c r="B2147" s="3" t="s">
        <v>727</v>
      </c>
      <c r="D2147" s="1">
        <v>128716.0</v>
      </c>
      <c r="E2147" s="1"/>
      <c r="F2147" s="1"/>
    </row>
    <row r="2148">
      <c r="A2148" s="1" t="s">
        <v>2069</v>
      </c>
      <c r="B2148" s="1" t="s">
        <v>2019</v>
      </c>
      <c r="D2148" s="1">
        <v>546969.0</v>
      </c>
      <c r="E2148" s="1"/>
      <c r="F2148" s="1" t="s">
        <v>2077</v>
      </c>
    </row>
    <row r="2149">
      <c r="B2149" s="1" t="s">
        <v>2003</v>
      </c>
      <c r="D2149" s="1">
        <v>488894.0</v>
      </c>
      <c r="E2149" s="1"/>
      <c r="F2149" s="1" t="s">
        <v>2078</v>
      </c>
    </row>
    <row r="2150">
      <c r="B2150" s="1" t="s">
        <v>2005</v>
      </c>
      <c r="D2150" s="1">
        <v>407282.0</v>
      </c>
      <c r="E2150" s="1"/>
      <c r="F2150" s="1" t="s">
        <v>2079</v>
      </c>
    </row>
    <row r="2151">
      <c r="A2151" s="1" t="s">
        <v>2080</v>
      </c>
      <c r="B2151" s="1" t="s">
        <v>2081</v>
      </c>
      <c r="D2151" s="1">
        <v>2501970.0</v>
      </c>
      <c r="E2151" s="1"/>
      <c r="F2151" s="3" t="s">
        <v>1126</v>
      </c>
    </row>
    <row r="2152">
      <c r="B2152" s="1" t="s">
        <v>843</v>
      </c>
      <c r="D2152" s="1">
        <v>500000.0</v>
      </c>
      <c r="E2152" s="1"/>
      <c r="F2152" s="1" t="s">
        <v>1749</v>
      </c>
    </row>
    <row r="2153">
      <c r="A2153" s="1" t="s">
        <v>2082</v>
      </c>
      <c r="B2153" s="1" t="s">
        <v>2083</v>
      </c>
      <c r="D2153" s="1">
        <v>88000.0</v>
      </c>
      <c r="E2153" s="1"/>
      <c r="F2153" s="1" t="s">
        <v>1971</v>
      </c>
    </row>
    <row r="2154">
      <c r="A2154" s="1" t="s">
        <v>2084</v>
      </c>
      <c r="B2154" s="3" t="s">
        <v>280</v>
      </c>
      <c r="D2154" s="1">
        <v>1943593.0</v>
      </c>
      <c r="E2154" s="1"/>
      <c r="F2154" s="1"/>
    </row>
    <row r="2155">
      <c r="B2155" s="1" t="s">
        <v>1769</v>
      </c>
      <c r="D2155" s="1">
        <v>1607767.0</v>
      </c>
      <c r="E2155" s="1"/>
      <c r="F2155" s="1"/>
    </row>
    <row r="2156">
      <c r="A2156" s="1" t="s">
        <v>2085</v>
      </c>
      <c r="B2156" s="3" t="s">
        <v>1021</v>
      </c>
      <c r="D2156" s="1">
        <v>1821933.0</v>
      </c>
      <c r="E2156" s="1"/>
      <c r="F2156" s="1"/>
    </row>
    <row r="2157">
      <c r="A2157" s="1" t="s">
        <v>2086</v>
      </c>
      <c r="B2157" s="1" t="s">
        <v>2019</v>
      </c>
      <c r="D2157" s="1">
        <v>603552.0</v>
      </c>
      <c r="E2157" s="1"/>
      <c r="F2157" s="1"/>
    </row>
    <row r="2158">
      <c r="A2158" s="1"/>
      <c r="B2158" s="1" t="s">
        <v>2003</v>
      </c>
      <c r="D2158" s="1">
        <v>412504.0</v>
      </c>
      <c r="E2158" s="1"/>
      <c r="F2158" s="1"/>
    </row>
    <row r="2159">
      <c r="A2159" s="1"/>
      <c r="B2159" s="1" t="s">
        <v>2005</v>
      </c>
      <c r="D2159" s="1">
        <v>420447.0</v>
      </c>
      <c r="E2159" s="1"/>
      <c r="F2159" s="1"/>
    </row>
    <row r="2160">
      <c r="A2160" s="1" t="s">
        <v>2087</v>
      </c>
      <c r="B2160" s="1" t="s">
        <v>2019</v>
      </c>
      <c r="D2160" s="1">
        <v>301776.0</v>
      </c>
      <c r="E2160" s="1"/>
      <c r="F2160" s="1" t="s">
        <v>2088</v>
      </c>
    </row>
    <row r="2161">
      <c r="B2161" s="1" t="s">
        <v>2003</v>
      </c>
      <c r="D2161" s="1">
        <v>259724.0</v>
      </c>
      <c r="E2161" s="1"/>
      <c r="F2161" s="1" t="s">
        <v>2088</v>
      </c>
    </row>
    <row r="2162">
      <c r="B2162" s="1" t="s">
        <v>2005</v>
      </c>
      <c r="D2162" s="1">
        <v>223362.0</v>
      </c>
      <c r="E2162" s="1"/>
      <c r="F2162" s="1" t="s">
        <v>2088</v>
      </c>
    </row>
    <row r="2163">
      <c r="A2163" s="1" t="s">
        <v>2089</v>
      </c>
      <c r="B2163" s="1" t="s">
        <v>2044</v>
      </c>
      <c r="D2163" s="1">
        <v>280000.0</v>
      </c>
      <c r="E2163" s="1"/>
      <c r="F2163" s="1"/>
    </row>
    <row r="2164">
      <c r="A2164" s="1" t="s">
        <v>2090</v>
      </c>
      <c r="B2164" s="1" t="s">
        <v>1953</v>
      </c>
      <c r="D2164" s="1">
        <v>3975568.0</v>
      </c>
      <c r="E2164" s="1"/>
      <c r="F2164" s="1"/>
    </row>
    <row r="2165">
      <c r="B2165" s="3" t="s">
        <v>648</v>
      </c>
      <c r="D2165" s="1">
        <v>132000.0</v>
      </c>
      <c r="E2165" s="1"/>
      <c r="F2165" s="1"/>
    </row>
    <row r="2166">
      <c r="B2166" s="3" t="s">
        <v>727</v>
      </c>
      <c r="D2166" s="1">
        <v>105908.0</v>
      </c>
      <c r="E2166" s="1"/>
      <c r="F2166" s="1"/>
    </row>
    <row r="2167">
      <c r="A2167" s="1" t="s">
        <v>2091</v>
      </c>
      <c r="B2167" s="1" t="s">
        <v>2092</v>
      </c>
      <c r="D2167" s="1">
        <v>154000.0</v>
      </c>
      <c r="E2167" s="1"/>
      <c r="F2167" s="1" t="s">
        <v>2093</v>
      </c>
    </row>
    <row r="2168">
      <c r="A2168" s="1" t="s">
        <v>2094</v>
      </c>
      <c r="B2168" s="1" t="s">
        <v>2095</v>
      </c>
      <c r="D2168" s="1">
        <v>60000.0</v>
      </c>
      <c r="E2168" s="1"/>
      <c r="F2168" s="1"/>
    </row>
    <row r="2169">
      <c r="B2169" s="1" t="s">
        <v>2096</v>
      </c>
      <c r="D2169" s="1">
        <v>65000.0</v>
      </c>
      <c r="E2169" s="1"/>
      <c r="F2169" s="1"/>
    </row>
    <row r="2170">
      <c r="A2170" s="1" t="s">
        <v>2097</v>
      </c>
      <c r="B2170" s="1" t="s">
        <v>2098</v>
      </c>
      <c r="D2170" s="1">
        <v>176000.0</v>
      </c>
      <c r="E2170" s="1"/>
      <c r="F2170" s="1" t="s">
        <v>1332</v>
      </c>
    </row>
    <row r="2171">
      <c r="B2171" s="1" t="s">
        <v>1227</v>
      </c>
      <c r="D2171" s="1">
        <v>2111286.0</v>
      </c>
      <c r="E2171" s="1"/>
      <c r="F2171" s="3" t="s">
        <v>1304</v>
      </c>
    </row>
    <row r="2172">
      <c r="B2172" s="3" t="s">
        <v>1331</v>
      </c>
      <c r="D2172" s="1">
        <v>176340.0</v>
      </c>
      <c r="E2172" s="1"/>
      <c r="F2172" s="1" t="s">
        <v>1995</v>
      </c>
    </row>
    <row r="2173">
      <c r="A2173" s="1" t="s">
        <v>2099</v>
      </c>
      <c r="B2173" s="1" t="s">
        <v>843</v>
      </c>
      <c r="D2173" s="1">
        <v>500000.0</v>
      </c>
      <c r="E2173" s="1"/>
      <c r="F2173" s="1" t="s">
        <v>1749</v>
      </c>
    </row>
    <row r="2174">
      <c r="A2174" s="1" t="s">
        <v>2100</v>
      </c>
      <c r="B2174" s="1" t="s">
        <v>2019</v>
      </c>
      <c r="D2174" s="1">
        <v>641274.0</v>
      </c>
      <c r="E2174" s="1"/>
      <c r="F2174" s="1" t="s">
        <v>2101</v>
      </c>
    </row>
    <row r="2175">
      <c r="B2175" s="1" t="s">
        <v>2003</v>
      </c>
      <c r="D2175" s="1">
        <v>504172.0</v>
      </c>
      <c r="E2175" s="1"/>
      <c r="F2175" s="1" t="s">
        <v>2102</v>
      </c>
    </row>
    <row r="2176">
      <c r="B2176" s="1" t="s">
        <v>2005</v>
      </c>
      <c r="D2176" s="1">
        <v>433586.0</v>
      </c>
      <c r="E2176" s="1"/>
      <c r="F2176" s="1" t="s">
        <v>2102</v>
      </c>
    </row>
    <row r="2177">
      <c r="A2177" s="1" t="s">
        <v>2103</v>
      </c>
      <c r="B2177" s="3" t="s">
        <v>280</v>
      </c>
      <c r="D2177" s="1">
        <v>1981383.0</v>
      </c>
      <c r="E2177" s="1"/>
      <c r="F2177" s="1"/>
    </row>
    <row r="2178">
      <c r="B2178" s="1" t="s">
        <v>1769</v>
      </c>
      <c r="D2178" s="1">
        <v>1626577.0</v>
      </c>
      <c r="E2178" s="1"/>
      <c r="F2178" s="1"/>
    </row>
    <row r="2179">
      <c r="A2179" s="1" t="s">
        <v>2104</v>
      </c>
      <c r="B2179" s="3" t="s">
        <v>1021</v>
      </c>
      <c r="D2179" s="1">
        <v>1857633.0</v>
      </c>
      <c r="E2179" s="1"/>
      <c r="F2179" s="1"/>
    </row>
    <row r="2180">
      <c r="A2180" s="1" t="s">
        <v>2105</v>
      </c>
      <c r="B2180" s="1" t="s">
        <v>2044</v>
      </c>
      <c r="D2180" s="1">
        <v>280000.0</v>
      </c>
      <c r="E2180" s="1"/>
      <c r="F2180" s="1"/>
    </row>
    <row r="2181">
      <c r="A2181" s="1" t="s">
        <v>2106</v>
      </c>
      <c r="B2181" s="1" t="s">
        <v>2107</v>
      </c>
      <c r="D2181" s="1">
        <v>2501970.0</v>
      </c>
      <c r="E2181" s="1"/>
      <c r="F2181" s="3" t="s">
        <v>1126</v>
      </c>
    </row>
    <row r="2182">
      <c r="A2182" s="1" t="s">
        <v>2103</v>
      </c>
      <c r="B2182" s="1" t="s">
        <v>2019</v>
      </c>
      <c r="D2182" s="1">
        <v>565830.0</v>
      </c>
      <c r="E2182" s="1"/>
      <c r="F2182" s="1" t="s">
        <v>2108</v>
      </c>
    </row>
    <row r="2183">
      <c r="B2183" s="1" t="s">
        <v>2003</v>
      </c>
      <c r="D2183" s="1">
        <v>473616.0</v>
      </c>
      <c r="E2183" s="1"/>
      <c r="F2183" s="1" t="s">
        <v>2108</v>
      </c>
    </row>
    <row r="2184">
      <c r="B2184" s="1" t="s">
        <v>2005</v>
      </c>
      <c r="D2184" s="1">
        <v>381030.0</v>
      </c>
      <c r="E2184" s="1"/>
      <c r="F2184" s="1" t="s">
        <v>2109</v>
      </c>
    </row>
    <row r="2185">
      <c r="A2185" s="1" t="s">
        <v>2105</v>
      </c>
      <c r="B2185" s="1" t="s">
        <v>2110</v>
      </c>
      <c r="D2185" s="1">
        <v>1.5E7</v>
      </c>
      <c r="E2185" s="1"/>
      <c r="F2185" s="1" t="s">
        <v>275</v>
      </c>
    </row>
    <row r="2186">
      <c r="A2186" s="1" t="s">
        <v>2111</v>
      </c>
      <c r="B2186" s="1" t="s">
        <v>1953</v>
      </c>
      <c r="D2186" s="1">
        <v>4064676.0</v>
      </c>
      <c r="E2186" s="1"/>
      <c r="F2186" s="1"/>
    </row>
    <row r="2187">
      <c r="B2187" s="3" t="s">
        <v>648</v>
      </c>
      <c r="D2187" s="1">
        <v>132000.0</v>
      </c>
      <c r="E2187" s="1"/>
      <c r="F2187" s="1"/>
    </row>
    <row r="2188">
      <c r="B2188" s="3" t="s">
        <v>727</v>
      </c>
      <c r="D2188" s="1">
        <v>205712.0</v>
      </c>
      <c r="E2188" s="1"/>
      <c r="F2188" s="1"/>
    </row>
    <row r="2189">
      <c r="A2189" s="1" t="s">
        <v>2112</v>
      </c>
      <c r="B2189" s="1" t="s">
        <v>2113</v>
      </c>
      <c r="D2189" s="1">
        <v>88000.0</v>
      </c>
      <c r="E2189" s="1"/>
      <c r="F2189" s="1" t="s">
        <v>1971</v>
      </c>
    </row>
    <row r="2190">
      <c r="A2190" s="1" t="s">
        <v>2111</v>
      </c>
      <c r="B2190" s="1" t="s">
        <v>843</v>
      </c>
      <c r="D2190" s="1">
        <v>300000.0</v>
      </c>
      <c r="E2190" s="1"/>
      <c r="F2190" s="1" t="s">
        <v>1749</v>
      </c>
    </row>
    <row r="2191">
      <c r="A2191" s="1" t="s">
        <v>2114</v>
      </c>
      <c r="B2191" s="1" t="s">
        <v>2019</v>
      </c>
      <c r="D2191" s="1">
        <v>603552.0</v>
      </c>
      <c r="E2191" s="1"/>
      <c r="F2191" s="1" t="s">
        <v>2115</v>
      </c>
    </row>
    <row r="2192">
      <c r="B2192" s="1" t="s">
        <v>2003</v>
      </c>
      <c r="D2192" s="25">
        <v>504172.0</v>
      </c>
      <c r="E2192" s="25"/>
      <c r="F2192" s="1" t="s">
        <v>2115</v>
      </c>
    </row>
    <row r="2193">
      <c r="B2193" s="1" t="s">
        <v>2005</v>
      </c>
      <c r="D2193" s="1">
        <v>433586.0</v>
      </c>
      <c r="E2193" s="1"/>
      <c r="F2193" s="1" t="s">
        <v>2115</v>
      </c>
    </row>
    <row r="2194">
      <c r="A2194" s="1" t="s">
        <v>2116</v>
      </c>
      <c r="B2194" s="1" t="s">
        <v>2117</v>
      </c>
      <c r="D2194" s="1">
        <v>88000.0</v>
      </c>
      <c r="E2194" s="1"/>
      <c r="F2194" s="1" t="s">
        <v>1971</v>
      </c>
    </row>
    <row r="2195">
      <c r="B2195" s="1" t="s">
        <v>1955</v>
      </c>
      <c r="D2195" s="1">
        <v>396000.0</v>
      </c>
      <c r="E2195" s="1"/>
      <c r="F2195" s="3" t="s">
        <v>1147</v>
      </c>
    </row>
    <row r="2196">
      <c r="B2196" s="1" t="s">
        <v>2118</v>
      </c>
      <c r="D2196" s="1">
        <v>2502870.0</v>
      </c>
      <c r="E2196" s="1"/>
      <c r="F2196" s="3" t="s">
        <v>1126</v>
      </c>
    </row>
    <row r="2197">
      <c r="A2197" s="1" t="s">
        <v>2119</v>
      </c>
      <c r="B2197" s="3" t="s">
        <v>280</v>
      </c>
      <c r="D2197" s="1">
        <v>1940783.0</v>
      </c>
      <c r="E2197" s="1"/>
      <c r="F2197" s="1"/>
    </row>
    <row r="2198">
      <c r="B2198" s="1" t="s">
        <v>1769</v>
      </c>
      <c r="D2198" s="1">
        <v>1612817.0</v>
      </c>
      <c r="E2198" s="1"/>
      <c r="F2198" s="1"/>
    </row>
    <row r="2199">
      <c r="A2199" s="1" t="s">
        <v>2120</v>
      </c>
      <c r="B2199" s="3" t="s">
        <v>1021</v>
      </c>
      <c r="D2199" s="1">
        <v>1826463.0</v>
      </c>
      <c r="E2199" s="1"/>
      <c r="F2199" s="1"/>
    </row>
    <row r="2200">
      <c r="A2200" s="1" t="s">
        <v>2121</v>
      </c>
      <c r="B2200" s="1" t="s">
        <v>2044</v>
      </c>
      <c r="D2200" s="1">
        <v>280000.0</v>
      </c>
      <c r="E2200" s="1"/>
      <c r="F2200" s="1"/>
    </row>
    <row r="2201">
      <c r="A2201" s="1" t="s">
        <v>2119</v>
      </c>
      <c r="B2201" s="1" t="s">
        <v>2019</v>
      </c>
      <c r="D2201" s="1">
        <v>603552.0</v>
      </c>
      <c r="E2201" s="1"/>
      <c r="F2201" s="1" t="s">
        <v>2122</v>
      </c>
    </row>
    <row r="2202">
      <c r="B2202" s="1" t="s">
        <v>2003</v>
      </c>
      <c r="D2202" s="1">
        <v>488894.0</v>
      </c>
      <c r="E2202" s="1"/>
      <c r="F2202" s="1" t="s">
        <v>2123</v>
      </c>
    </row>
    <row r="2203">
      <c r="B2203" s="1" t="s">
        <v>2005</v>
      </c>
      <c r="D2203" s="1">
        <v>420447.0</v>
      </c>
      <c r="E2203" s="1"/>
      <c r="F2203" s="1" t="s">
        <v>2123</v>
      </c>
    </row>
    <row r="2204">
      <c r="A2204" s="1" t="s">
        <v>2121</v>
      </c>
      <c r="B2204" s="1" t="s">
        <v>2124</v>
      </c>
      <c r="D2204" s="1">
        <v>55000.0</v>
      </c>
      <c r="E2204" s="1"/>
      <c r="F2204" s="1" t="s">
        <v>1092</v>
      </c>
    </row>
    <row r="2205">
      <c r="A2205" s="1" t="s">
        <v>2120</v>
      </c>
      <c r="B2205" s="1" t="s">
        <v>1953</v>
      </c>
      <c r="D2205" s="1">
        <v>4124178.0</v>
      </c>
      <c r="E2205" s="1"/>
      <c r="F2205" s="1"/>
    </row>
    <row r="2206">
      <c r="B2206" s="3" t="s">
        <v>648</v>
      </c>
      <c r="D2206" s="1">
        <v>132000.0</v>
      </c>
      <c r="E2206" s="1"/>
      <c r="F2206" s="1"/>
    </row>
    <row r="2207">
      <c r="B2207" s="3" t="s">
        <v>727</v>
      </c>
      <c r="D2207" s="1">
        <v>108670.0</v>
      </c>
      <c r="E2207" s="1"/>
      <c r="F2207" s="1"/>
    </row>
    <row r="2208">
      <c r="A2208" s="1" t="s">
        <v>2125</v>
      </c>
      <c r="B2208" s="1" t="s">
        <v>2019</v>
      </c>
      <c r="D2208" s="1">
        <v>528108.0</v>
      </c>
      <c r="E2208" s="1"/>
      <c r="F2208" s="1" t="s">
        <v>2126</v>
      </c>
    </row>
    <row r="2209">
      <c r="B2209" s="1" t="s">
        <v>2003</v>
      </c>
      <c r="D2209" s="25">
        <v>473616.0</v>
      </c>
      <c r="E2209" s="25"/>
      <c r="F2209" s="1" t="s">
        <v>2127</v>
      </c>
    </row>
    <row r="2210">
      <c r="B2210" s="1" t="s">
        <v>2005</v>
      </c>
      <c r="D2210" s="1">
        <v>407282.0</v>
      </c>
      <c r="E2210" s="1"/>
      <c r="F2210" s="1" t="s">
        <v>2127</v>
      </c>
    </row>
    <row r="2211">
      <c r="A2211" s="1" t="s">
        <v>2128</v>
      </c>
      <c r="B2211" s="3" t="s">
        <v>280</v>
      </c>
      <c r="D2211" s="1">
        <v>1940783.0</v>
      </c>
      <c r="E2211" s="1"/>
      <c r="F2211" s="1"/>
    </row>
    <row r="2212">
      <c r="B2212" s="1" t="s">
        <v>1769</v>
      </c>
      <c r="D2212" s="1">
        <v>1608807.0</v>
      </c>
      <c r="E2212" s="1"/>
      <c r="F2212" s="1"/>
    </row>
    <row r="2213">
      <c r="A2213" s="1" t="s">
        <v>2129</v>
      </c>
      <c r="B2213" s="3" t="s">
        <v>1021</v>
      </c>
      <c r="D2213" s="1">
        <v>1825433.0</v>
      </c>
      <c r="E2213" s="1"/>
      <c r="F2213" s="1"/>
    </row>
    <row r="2214">
      <c r="A2214" s="1" t="s">
        <v>2130</v>
      </c>
      <c r="B2214" s="1" t="s">
        <v>2044</v>
      </c>
      <c r="D2214" s="1">
        <v>280000.0</v>
      </c>
      <c r="E2214" s="1"/>
      <c r="F2214" s="1"/>
    </row>
    <row r="2215">
      <c r="A2215" s="1" t="s">
        <v>2131</v>
      </c>
      <c r="B2215" s="1" t="s">
        <v>2132</v>
      </c>
      <c r="D2215" s="1">
        <v>88000.0</v>
      </c>
      <c r="E2215" s="1"/>
      <c r="F2215" s="1" t="s">
        <v>1971</v>
      </c>
      <c r="G2215" s="1" t="s">
        <v>2133</v>
      </c>
    </row>
    <row r="2216">
      <c r="B2216" s="1" t="s">
        <v>2134</v>
      </c>
      <c r="D2216" s="1">
        <v>2502150.0</v>
      </c>
      <c r="E2216" s="1"/>
      <c r="F2216" s="3" t="s">
        <v>1126</v>
      </c>
    </row>
    <row r="2217">
      <c r="A2217" s="1" t="s">
        <v>2135</v>
      </c>
      <c r="B2217" s="1" t="s">
        <v>2019</v>
      </c>
      <c r="D2217" s="1">
        <v>414942.0</v>
      </c>
      <c r="E2217" s="1"/>
      <c r="F2217" s="1" t="s">
        <v>2136</v>
      </c>
    </row>
    <row r="2218">
      <c r="B2218" s="1" t="s">
        <v>2003</v>
      </c>
      <c r="D2218" s="25">
        <v>366672.0</v>
      </c>
      <c r="E2218" s="25"/>
      <c r="F2218" s="1" t="s">
        <v>2137</v>
      </c>
    </row>
    <row r="2219">
      <c r="B2219" s="1" t="s">
        <v>2005</v>
      </c>
      <c r="D2219" s="1">
        <v>302197.0</v>
      </c>
      <c r="E2219" s="1"/>
      <c r="F2219" s="1" t="s">
        <v>2138</v>
      </c>
    </row>
    <row r="2220">
      <c r="A2220" s="1" t="s">
        <v>2139</v>
      </c>
      <c r="B2220" s="1" t="s">
        <v>2140</v>
      </c>
      <c r="D2220" s="1">
        <v>1.3969E7</v>
      </c>
      <c r="E2220" s="1"/>
      <c r="F2220" s="1" t="s">
        <v>275</v>
      </c>
    </row>
    <row r="2221">
      <c r="B2221" s="1" t="s">
        <v>1166</v>
      </c>
      <c r="D2221" s="1">
        <v>27000.0</v>
      </c>
      <c r="E2221" s="1"/>
      <c r="F2221" s="1" t="s">
        <v>275</v>
      </c>
    </row>
    <row r="2222">
      <c r="A2222" s="1" t="s">
        <v>2141</v>
      </c>
      <c r="B2222" s="3" t="s">
        <v>1331</v>
      </c>
      <c r="D2222" s="1">
        <v>200000.0</v>
      </c>
      <c r="E2222" s="1"/>
      <c r="F2222" s="1" t="s">
        <v>1995</v>
      </c>
    </row>
    <row r="2223">
      <c r="A2223" s="1" t="s">
        <v>2142</v>
      </c>
      <c r="B2223" s="1" t="s">
        <v>1953</v>
      </c>
      <c r="D2223" s="1">
        <v>4213018.0</v>
      </c>
      <c r="E2223" s="1"/>
      <c r="F2223" s="1"/>
    </row>
    <row r="2224">
      <c r="B2224" s="3" t="s">
        <v>648</v>
      </c>
      <c r="D2224" s="1">
        <v>132000.0</v>
      </c>
      <c r="E2224" s="1"/>
      <c r="F2224" s="1"/>
    </row>
    <row r="2225">
      <c r="B2225" s="3" t="s">
        <v>727</v>
      </c>
      <c r="D2225" s="1">
        <v>57330.0</v>
      </c>
      <c r="E2225" s="1"/>
      <c r="F2225" s="1"/>
    </row>
    <row r="2226">
      <c r="A2226" s="1" t="s">
        <v>2143</v>
      </c>
      <c r="B2226" s="1" t="s">
        <v>2144</v>
      </c>
      <c r="D2226" s="1">
        <v>2195734.0</v>
      </c>
      <c r="E2226" s="1"/>
      <c r="F2226" s="3" t="s">
        <v>1304</v>
      </c>
    </row>
    <row r="2227">
      <c r="A2227" s="1" t="s">
        <v>2145</v>
      </c>
      <c r="B2227" s="1" t="s">
        <v>2019</v>
      </c>
      <c r="D2227" s="1">
        <v>528108.0</v>
      </c>
      <c r="E2227" s="1"/>
      <c r="F2227" s="1" t="s">
        <v>2146</v>
      </c>
    </row>
    <row r="2228">
      <c r="B2228" s="1" t="s">
        <v>2003</v>
      </c>
      <c r="D2228" s="25">
        <v>397228.0</v>
      </c>
      <c r="E2228" s="25"/>
      <c r="F2228" s="1" t="s">
        <v>2147</v>
      </c>
    </row>
    <row r="2229">
      <c r="B2229" s="1" t="s">
        <v>2005</v>
      </c>
      <c r="D2229" s="1">
        <v>341614.0</v>
      </c>
      <c r="E2229" s="1"/>
      <c r="F2229" s="1" t="s">
        <v>2147</v>
      </c>
    </row>
    <row r="2230">
      <c r="A2230" s="1" t="s">
        <v>2148</v>
      </c>
      <c r="B2230" s="1" t="s">
        <v>1970</v>
      </c>
      <c r="D2230" s="1">
        <v>93500.0</v>
      </c>
      <c r="E2230" s="1"/>
      <c r="F2230" s="1" t="s">
        <v>1971</v>
      </c>
      <c r="G2230" s="1" t="s">
        <v>2149</v>
      </c>
    </row>
    <row r="2231">
      <c r="B2231" s="1" t="s">
        <v>2150</v>
      </c>
      <c r="D2231" s="1">
        <v>2554590.0</v>
      </c>
      <c r="E2231" s="1"/>
      <c r="F2231" s="3" t="s">
        <v>1126</v>
      </c>
    </row>
    <row r="2232">
      <c r="A2232" s="1" t="s">
        <v>2151</v>
      </c>
      <c r="B2232" s="1" t="s">
        <v>2019</v>
      </c>
      <c r="D2232" s="1">
        <v>396081.0</v>
      </c>
      <c r="E2232" s="1"/>
      <c r="F2232" s="1" t="s">
        <v>2152</v>
      </c>
    </row>
    <row r="2233">
      <c r="B2233" s="1" t="s">
        <v>2003</v>
      </c>
      <c r="D2233" s="25">
        <v>366672.0</v>
      </c>
      <c r="E2233" s="25"/>
      <c r="F2233" s="1" t="s">
        <v>2153</v>
      </c>
    </row>
    <row r="2234">
      <c r="B2234" s="1" t="s">
        <v>2005</v>
      </c>
      <c r="D2234" s="1">
        <v>315336.0</v>
      </c>
      <c r="E2234" s="1"/>
      <c r="F2234" s="1" t="s">
        <v>2153</v>
      </c>
    </row>
    <row r="2235">
      <c r="B2235" s="3" t="s">
        <v>280</v>
      </c>
      <c r="D2235" s="1">
        <v>1975413.0</v>
      </c>
      <c r="E2235" s="1"/>
      <c r="F2235" s="1"/>
    </row>
    <row r="2236">
      <c r="B2236" s="1" t="s">
        <v>1769</v>
      </c>
      <c r="D2236" s="1">
        <v>1620977.0</v>
      </c>
      <c r="E2236" s="1"/>
      <c r="F2236" s="1"/>
    </row>
    <row r="2237">
      <c r="A2237" s="1" t="s">
        <v>2154</v>
      </c>
      <c r="B2237" s="3" t="s">
        <v>1021</v>
      </c>
      <c r="D2237" s="1">
        <v>1838753.0</v>
      </c>
      <c r="E2237" s="1"/>
      <c r="F2237" s="1"/>
    </row>
    <row r="2238">
      <c r="A2238" s="1" t="s">
        <v>2151</v>
      </c>
      <c r="B2238" s="1" t="s">
        <v>2044</v>
      </c>
      <c r="D2238" s="1">
        <v>330000.0</v>
      </c>
      <c r="E2238" s="1"/>
    </row>
    <row r="2239">
      <c r="D2239" s="1">
        <v>100000.0</v>
      </c>
      <c r="E2239" s="1"/>
      <c r="F2239" s="1" t="s">
        <v>2155</v>
      </c>
    </row>
    <row r="2240">
      <c r="A2240" s="1" t="s">
        <v>2154</v>
      </c>
      <c r="B2240" s="1" t="s">
        <v>1953</v>
      </c>
      <c r="D2240" s="1">
        <v>4195761.0</v>
      </c>
      <c r="E2240" s="1"/>
      <c r="F2240" s="1"/>
    </row>
    <row r="2241">
      <c r="B2241" s="3" t="s">
        <v>648</v>
      </c>
      <c r="D2241" s="1">
        <v>132000.0</v>
      </c>
      <c r="E2241" s="1"/>
      <c r="F2241" s="1"/>
    </row>
    <row r="2242">
      <c r="B2242" s="3" t="s">
        <v>727</v>
      </c>
      <c r="D2242" s="1">
        <v>154994.0</v>
      </c>
      <c r="E2242" s="1"/>
      <c r="F2242" s="1"/>
    </row>
    <row r="2243">
      <c r="A2243" s="1" t="s">
        <v>2156</v>
      </c>
      <c r="B2243" s="1" t="s">
        <v>2092</v>
      </c>
      <c r="D2243" s="1">
        <v>154000.0</v>
      </c>
      <c r="E2243" s="1"/>
      <c r="F2243" s="1" t="s">
        <v>2093</v>
      </c>
      <c r="G2243" s="1" t="s">
        <v>2157</v>
      </c>
      <c r="H2243" s="1" t="s">
        <v>2158</v>
      </c>
    </row>
    <row r="2244">
      <c r="A2244" s="1" t="s">
        <v>2159</v>
      </c>
      <c r="B2244" s="1" t="s">
        <v>2019</v>
      </c>
      <c r="D2244" s="1">
        <v>396081.0</v>
      </c>
      <c r="E2244" s="1"/>
      <c r="F2244" s="1" t="s">
        <v>2160</v>
      </c>
      <c r="G2244" s="24">
        <v>339498.0</v>
      </c>
      <c r="H2244">
        <f t="shared" ref="H2244:H2246" si="4">D2244-G2244</f>
        <v>56583</v>
      </c>
    </row>
    <row r="2245">
      <c r="B2245" s="1" t="s">
        <v>2003</v>
      </c>
      <c r="D2245" s="25">
        <v>366672.0</v>
      </c>
      <c r="E2245" s="25"/>
      <c r="F2245" s="1" t="s">
        <v>2160</v>
      </c>
      <c r="G2245" s="24">
        <v>275004.0</v>
      </c>
      <c r="H2245">
        <f t="shared" si="4"/>
        <v>91668</v>
      </c>
    </row>
    <row r="2246">
      <c r="B2246" s="1" t="s">
        <v>2005</v>
      </c>
      <c r="D2246" s="1">
        <v>315336.0</v>
      </c>
      <c r="E2246" s="1"/>
      <c r="F2246" s="1" t="s">
        <v>2160</v>
      </c>
      <c r="G2246" s="24">
        <v>236502.0</v>
      </c>
      <c r="H2246">
        <f t="shared" si="4"/>
        <v>78834</v>
      </c>
    </row>
    <row r="2247">
      <c r="A2247" s="1" t="s">
        <v>2161</v>
      </c>
      <c r="B2247" s="3" t="s">
        <v>280</v>
      </c>
      <c r="D2247" s="1">
        <v>2298093.0</v>
      </c>
      <c r="E2247" s="1"/>
      <c r="F2247" s="1"/>
      <c r="H2247" s="1" t="s">
        <v>2162</v>
      </c>
    </row>
    <row r="2248">
      <c r="B2248" s="1" t="s">
        <v>1769</v>
      </c>
      <c r="D2248" s="1">
        <v>1770467.0</v>
      </c>
      <c r="E2248" s="1"/>
      <c r="F2248" s="1"/>
    </row>
    <row r="2249">
      <c r="A2249" s="1" t="s">
        <v>2163</v>
      </c>
      <c r="B2249" s="3" t="s">
        <v>1021</v>
      </c>
      <c r="D2249" s="1">
        <v>2381613.0</v>
      </c>
      <c r="E2249" s="1"/>
      <c r="F2249" s="1"/>
    </row>
    <row r="2250">
      <c r="A2250" s="1" t="s">
        <v>2164</v>
      </c>
      <c r="B2250" s="1" t="s">
        <v>2044</v>
      </c>
      <c r="D2250" s="1">
        <v>330000.0</v>
      </c>
      <c r="E2250" s="1"/>
      <c r="F2250" s="1"/>
    </row>
    <row r="2251">
      <c r="B2251" s="1" t="s">
        <v>1972</v>
      </c>
      <c r="D2251" s="1">
        <v>185750.0</v>
      </c>
      <c r="E2251" s="1"/>
      <c r="F2251" s="1" t="s">
        <v>1971</v>
      </c>
      <c r="G2251" s="1" t="s">
        <v>2165</v>
      </c>
    </row>
    <row r="2252">
      <c r="A2252" s="1" t="s">
        <v>2166</v>
      </c>
      <c r="B2252" s="1" t="s">
        <v>2150</v>
      </c>
      <c r="D2252" s="1">
        <v>2434610.0</v>
      </c>
      <c r="E2252" s="1"/>
      <c r="F2252" s="3" t="s">
        <v>1126</v>
      </c>
    </row>
    <row r="2253">
      <c r="A2253" s="1" t="s">
        <v>2167</v>
      </c>
      <c r="B2253" s="1" t="s">
        <v>2168</v>
      </c>
      <c r="D2253" s="1">
        <v>63800.0</v>
      </c>
      <c r="E2253" s="1"/>
      <c r="F2253" s="1"/>
      <c r="H2253" s="1" t="s">
        <v>2169</v>
      </c>
    </row>
    <row r="2254">
      <c r="A2254" s="1" t="s">
        <v>2161</v>
      </c>
      <c r="B2254" s="1" t="s">
        <v>2019</v>
      </c>
      <c r="D2254" s="1">
        <v>396081.0</v>
      </c>
      <c r="E2254" s="1"/>
      <c r="F2254" s="1"/>
      <c r="H2254">
        <v>56583.0</v>
      </c>
    </row>
    <row r="2255">
      <c r="B2255" s="1" t="s">
        <v>2003</v>
      </c>
      <c r="D2255" s="1">
        <v>275004.0</v>
      </c>
      <c r="E2255" s="1"/>
      <c r="F2255" s="1"/>
      <c r="H2255">
        <v>91668.0</v>
      </c>
    </row>
    <row r="2256">
      <c r="B2256" s="1" t="s">
        <v>2005</v>
      </c>
      <c r="D2256" s="1">
        <v>223363.0</v>
      </c>
      <c r="E2256" s="1"/>
      <c r="F2256" s="1"/>
      <c r="H2256">
        <v>78834.0</v>
      </c>
    </row>
    <row r="2257">
      <c r="A2257" s="1" t="s">
        <v>2170</v>
      </c>
      <c r="B2257" s="1" t="s">
        <v>1953</v>
      </c>
      <c r="D2257" s="1">
        <v>4106613.0</v>
      </c>
      <c r="E2257" s="1"/>
      <c r="F2257" s="1"/>
    </row>
    <row r="2258">
      <c r="B2258" s="3" t="s">
        <v>648</v>
      </c>
      <c r="D2258" s="1">
        <v>132000.0</v>
      </c>
      <c r="E2258" s="1"/>
      <c r="F2258" s="1"/>
    </row>
    <row r="2259">
      <c r="A2259" s="23" t="s">
        <v>2171</v>
      </c>
      <c r="B2259" s="3" t="s">
        <v>727</v>
      </c>
      <c r="D2259" s="23">
        <v>222124.0</v>
      </c>
      <c r="E2259" s="1"/>
      <c r="F2259" s="1" t="s">
        <v>2172</v>
      </c>
    </row>
    <row r="2260">
      <c r="A2260" s="1" t="s">
        <v>2173</v>
      </c>
      <c r="B2260" s="1" t="s">
        <v>2019</v>
      </c>
      <c r="D2260" s="1">
        <v>503035.0</v>
      </c>
      <c r="E2260" s="1"/>
      <c r="F2260" s="1" t="s">
        <v>2174</v>
      </c>
    </row>
    <row r="2261">
      <c r="B2261" s="1" t="s">
        <v>2003</v>
      </c>
      <c r="D2261" s="25">
        <v>397228.0</v>
      </c>
      <c r="E2261" s="25"/>
      <c r="F2261" s="1" t="s">
        <v>2174</v>
      </c>
    </row>
    <row r="2262">
      <c r="B2262" s="1" t="s">
        <v>2005</v>
      </c>
      <c r="D2262" s="1">
        <v>352469.0</v>
      </c>
      <c r="E2262" s="1"/>
      <c r="F2262" s="1" t="s">
        <v>2174</v>
      </c>
    </row>
    <row r="2263">
      <c r="A2263" s="1" t="s">
        <v>2175</v>
      </c>
      <c r="B2263" s="3" t="s">
        <v>280</v>
      </c>
      <c r="D2263" s="1">
        <v>2043766.0</v>
      </c>
      <c r="E2263" s="1"/>
      <c r="F2263" s="1"/>
    </row>
    <row r="2264">
      <c r="B2264" s="1" t="s">
        <v>1769</v>
      </c>
      <c r="D2264" s="1">
        <v>1685590.0</v>
      </c>
      <c r="E2264" s="1"/>
      <c r="F2264" s="1"/>
    </row>
    <row r="2265">
      <c r="A2265" s="1" t="s">
        <v>2176</v>
      </c>
      <c r="B2265" s="3" t="s">
        <v>1021</v>
      </c>
      <c r="D2265" s="1">
        <v>1858873.0</v>
      </c>
      <c r="E2265" s="1"/>
      <c r="F2265" s="1"/>
    </row>
    <row r="2266">
      <c r="A2266" s="1" t="s">
        <v>2177</v>
      </c>
      <c r="B2266" s="1" t="s">
        <v>2150</v>
      </c>
      <c r="D2266" s="1">
        <v>2434610.0</v>
      </c>
      <c r="E2266" s="1"/>
      <c r="F2266" s="3" t="s">
        <v>1126</v>
      </c>
    </row>
    <row r="2267">
      <c r="A2267" s="1" t="s">
        <v>2178</v>
      </c>
      <c r="B2267" s="1" t="s">
        <v>2044</v>
      </c>
      <c r="D2267" s="1">
        <v>330000.0</v>
      </c>
      <c r="E2267" s="1"/>
      <c r="F2267" s="1"/>
    </row>
    <row r="2268">
      <c r="A2268" s="1" t="s">
        <v>2179</v>
      </c>
      <c r="B2268" s="1" t="s">
        <v>2019</v>
      </c>
      <c r="D2268" s="1">
        <v>444993.0</v>
      </c>
      <c r="E2268" s="1"/>
      <c r="F2268" s="1" t="s">
        <v>2180</v>
      </c>
    </row>
    <row r="2269">
      <c r="B2269" s="1" t="s">
        <v>2003</v>
      </c>
      <c r="D2269" s="25">
        <v>336116.0</v>
      </c>
      <c r="E2269" s="25"/>
      <c r="F2269" s="1" t="s">
        <v>2181</v>
      </c>
    </row>
    <row r="2270">
      <c r="B2270" s="1" t="s">
        <v>2005</v>
      </c>
      <c r="D2270" s="1">
        <v>298243.0</v>
      </c>
      <c r="E2270" s="1"/>
      <c r="F2270" s="1" t="s">
        <v>2181</v>
      </c>
    </row>
    <row r="2271">
      <c r="A2271" s="1" t="s">
        <v>2178</v>
      </c>
      <c r="B2271" s="1" t="s">
        <v>1955</v>
      </c>
      <c r="D2271" s="1">
        <v>396000.0</v>
      </c>
      <c r="E2271" s="1"/>
      <c r="F2271" s="3" t="s">
        <v>1147</v>
      </c>
    </row>
    <row r="2272">
      <c r="A2272" s="1" t="s">
        <v>2176</v>
      </c>
      <c r="B2272" s="1" t="s">
        <v>1953</v>
      </c>
      <c r="D2272" s="1">
        <v>3994774.0</v>
      </c>
      <c r="E2272" s="1"/>
      <c r="F2272" s="1"/>
    </row>
    <row r="2273">
      <c r="B2273" s="3" t="s">
        <v>648</v>
      </c>
      <c r="D2273" s="1">
        <v>132000.0</v>
      </c>
      <c r="E2273" s="1"/>
      <c r="F2273" s="1"/>
    </row>
    <row r="2274">
      <c r="B2274" s="3" t="s">
        <v>727</v>
      </c>
      <c r="D2274" s="1">
        <v>264716.0</v>
      </c>
      <c r="E2274" s="1"/>
      <c r="F2274" s="1"/>
    </row>
    <row r="2275">
      <c r="A2275" s="1" t="s">
        <v>2182</v>
      </c>
      <c r="B2275" s="1" t="s">
        <v>2057</v>
      </c>
      <c r="D2275" s="1">
        <v>100050.0</v>
      </c>
      <c r="E2275" s="1"/>
      <c r="F2275" s="1" t="s">
        <v>2058</v>
      </c>
    </row>
    <row r="2276">
      <c r="A2276" s="1" t="s">
        <v>2183</v>
      </c>
      <c r="B2276" s="1" t="s">
        <v>2019</v>
      </c>
      <c r="D2276" s="1">
        <v>483688.0</v>
      </c>
      <c r="E2276" s="1"/>
      <c r="F2276" s="1" t="s">
        <v>2184</v>
      </c>
    </row>
    <row r="2277">
      <c r="B2277" s="1" t="s">
        <v>2003</v>
      </c>
      <c r="D2277" s="25">
        <v>397228.0</v>
      </c>
      <c r="E2277" s="25"/>
      <c r="F2277" s="1" t="s">
        <v>2185</v>
      </c>
    </row>
    <row r="2278">
      <c r="B2278" s="1" t="s">
        <v>2005</v>
      </c>
      <c r="D2278" s="1">
        <v>325356.0</v>
      </c>
      <c r="E2278" s="1"/>
      <c r="F2278" s="1" t="s">
        <v>2186</v>
      </c>
    </row>
    <row r="2279">
      <c r="A2279" s="1" t="s">
        <v>2183</v>
      </c>
      <c r="B2279" s="1" t="s">
        <v>1824</v>
      </c>
      <c r="D2279" s="1">
        <v>330000.0</v>
      </c>
      <c r="E2279" s="1"/>
      <c r="F2279" s="3" t="s">
        <v>1147</v>
      </c>
    </row>
    <row r="2280">
      <c r="B2280" s="1" t="s">
        <v>1227</v>
      </c>
      <c r="D2280" s="1">
        <v>2162210.0</v>
      </c>
      <c r="E2280" s="1"/>
      <c r="F2280" s="1"/>
    </row>
    <row r="2281">
      <c r="A2281" s="1" t="s">
        <v>2187</v>
      </c>
      <c r="B2281" s="1" t="s">
        <v>2150</v>
      </c>
      <c r="D2281" s="1">
        <v>3039970.0</v>
      </c>
      <c r="E2281" s="1"/>
      <c r="F2281" s="3" t="s">
        <v>1126</v>
      </c>
    </row>
    <row r="2282">
      <c r="A2282" s="1" t="s">
        <v>2188</v>
      </c>
      <c r="B2282" s="1" t="s">
        <v>1978</v>
      </c>
      <c r="D2282" s="1">
        <v>93500.0</v>
      </c>
      <c r="E2282" s="1"/>
      <c r="F2282" s="1" t="s">
        <v>1971</v>
      </c>
    </row>
    <row r="2283">
      <c r="B2283" s="1" t="s">
        <v>1987</v>
      </c>
      <c r="D2283" s="1">
        <v>148500.0</v>
      </c>
      <c r="E2283" s="1"/>
      <c r="F2283" s="1" t="s">
        <v>1971</v>
      </c>
    </row>
    <row r="2284">
      <c r="A2284" s="1" t="s">
        <v>2189</v>
      </c>
      <c r="B2284" s="3" t="s">
        <v>280</v>
      </c>
      <c r="D2284" s="1">
        <v>1979076.0</v>
      </c>
      <c r="E2284" s="1"/>
      <c r="F2284" s="1"/>
    </row>
    <row r="2285">
      <c r="B2285" s="1" t="s">
        <v>1769</v>
      </c>
      <c r="D2285" s="1">
        <v>1629070.0</v>
      </c>
      <c r="E2285" s="1"/>
      <c r="F2285" s="1"/>
    </row>
    <row r="2286">
      <c r="A2286" s="1" t="s">
        <v>2190</v>
      </c>
      <c r="B2286" s="3" t="s">
        <v>1021</v>
      </c>
      <c r="D2286" s="1">
        <v>1790743.0</v>
      </c>
      <c r="E2286" s="1"/>
      <c r="F2286" s="1"/>
    </row>
    <row r="2287">
      <c r="A2287" s="1" t="s">
        <v>2191</v>
      </c>
      <c r="B2287" s="1" t="s">
        <v>2044</v>
      </c>
      <c r="D2287" s="1">
        <v>330000.0</v>
      </c>
      <c r="E2287" s="1"/>
      <c r="F2287" s="1"/>
    </row>
    <row r="2288">
      <c r="A2288" s="1" t="s">
        <v>2192</v>
      </c>
      <c r="B2288" s="1" t="s">
        <v>2008</v>
      </c>
      <c r="D2288" s="1">
        <v>4040129.0</v>
      </c>
      <c r="E2288" s="1"/>
      <c r="F2288" s="1"/>
    </row>
    <row r="2289">
      <c r="B2289" s="3" t="s">
        <v>648</v>
      </c>
      <c r="D2289" s="1">
        <v>132000.0</v>
      </c>
      <c r="E2289" s="1"/>
      <c r="F2289" s="1"/>
    </row>
    <row r="2290">
      <c r="B2290" s="3" t="s">
        <v>727</v>
      </c>
      <c r="D2290" s="1">
        <v>105204.0</v>
      </c>
      <c r="E2290" s="1"/>
      <c r="F2290" s="1"/>
    </row>
    <row r="2291">
      <c r="A2291" s="1" t="s">
        <v>2193</v>
      </c>
      <c r="B2291" s="1" t="s">
        <v>2019</v>
      </c>
      <c r="D2291" s="1">
        <v>425645.0</v>
      </c>
      <c r="E2291" s="1"/>
      <c r="F2291" s="1" t="s">
        <v>2194</v>
      </c>
    </row>
    <row r="2292">
      <c r="B2292" s="1" t="s">
        <v>2003</v>
      </c>
      <c r="D2292" s="25">
        <v>290282.0</v>
      </c>
      <c r="E2292" s="25"/>
      <c r="F2292" s="1" t="s">
        <v>2195</v>
      </c>
    </row>
    <row r="2293">
      <c r="B2293" s="1" t="s">
        <v>2005</v>
      </c>
      <c r="D2293" s="1">
        <v>284687.0</v>
      </c>
      <c r="E2293" s="1"/>
      <c r="F2293" s="1" t="s">
        <v>2196</v>
      </c>
    </row>
    <row r="2294">
      <c r="A2294" s="1" t="s">
        <v>2197</v>
      </c>
      <c r="B2294" s="1" t="s">
        <v>2198</v>
      </c>
      <c r="D2294" s="1">
        <v>290400.0</v>
      </c>
      <c r="E2294" s="1"/>
      <c r="F2294" s="1" t="s">
        <v>1092</v>
      </c>
    </row>
    <row r="2295">
      <c r="A2295" s="1" t="s">
        <v>2199</v>
      </c>
      <c r="B2295" s="1" t="s">
        <v>2019</v>
      </c>
      <c r="D2295" s="1">
        <v>444993.0</v>
      </c>
      <c r="E2295" s="1"/>
      <c r="F2295" s="1" t="s">
        <v>2200</v>
      </c>
    </row>
    <row r="2296">
      <c r="B2296" s="1" t="s">
        <v>2003</v>
      </c>
      <c r="D2296" s="25">
        <v>397228.0</v>
      </c>
      <c r="E2296" s="25"/>
      <c r="F2296" s="1" t="s">
        <v>2201</v>
      </c>
    </row>
    <row r="2297">
      <c r="B2297" s="1" t="s">
        <v>2005</v>
      </c>
      <c r="D2297" s="1">
        <v>325356.0</v>
      </c>
      <c r="E2297" s="1"/>
      <c r="F2297" s="1" t="s">
        <v>2202</v>
      </c>
    </row>
    <row r="2298">
      <c r="A2298" s="1" t="s">
        <v>2203</v>
      </c>
      <c r="B2298" s="3" t="s">
        <v>280</v>
      </c>
      <c r="D2298" s="1">
        <v>1984756.0</v>
      </c>
      <c r="E2298" s="1"/>
      <c r="F2298" s="1"/>
    </row>
    <row r="2299">
      <c r="B2299" s="1" t="s">
        <v>1769</v>
      </c>
      <c r="D2299" s="1">
        <v>1632140.0</v>
      </c>
      <c r="E2299" s="1"/>
      <c r="F2299" s="1"/>
    </row>
    <row r="2300">
      <c r="A2300" s="1" t="s">
        <v>2204</v>
      </c>
      <c r="B2300" s="3" t="s">
        <v>1021</v>
      </c>
      <c r="D2300" s="1">
        <v>1794863.0</v>
      </c>
      <c r="E2300" s="1"/>
      <c r="F2300" s="1" t="s">
        <v>2205</v>
      </c>
    </row>
    <row r="2301">
      <c r="A2301" s="1" t="s">
        <v>2206</v>
      </c>
      <c r="B2301" s="1" t="s">
        <v>2044</v>
      </c>
      <c r="D2301" s="1">
        <v>330000.0</v>
      </c>
      <c r="E2301" s="1"/>
      <c r="F2301" s="1"/>
    </row>
    <row r="2302">
      <c r="A2302" s="1" t="s">
        <v>2171</v>
      </c>
      <c r="B2302" s="1" t="s">
        <v>2150</v>
      </c>
      <c r="D2302" s="1">
        <v>3018310.0</v>
      </c>
      <c r="E2302" s="1"/>
      <c r="F2302" s="3" t="s">
        <v>1126</v>
      </c>
    </row>
    <row r="2303">
      <c r="B2303" s="1" t="s">
        <v>2024</v>
      </c>
      <c r="D2303" s="1">
        <v>93500.0</v>
      </c>
      <c r="E2303" s="1"/>
      <c r="F2303" s="1" t="s">
        <v>2207</v>
      </c>
    </row>
    <row r="2304">
      <c r="A2304" s="1" t="s">
        <v>2203</v>
      </c>
      <c r="B2304" s="1" t="s">
        <v>2019</v>
      </c>
      <c r="D2304" s="1">
        <v>367603.0</v>
      </c>
      <c r="E2304" s="1"/>
      <c r="F2304" s="1" t="s">
        <v>2208</v>
      </c>
    </row>
    <row r="2305">
      <c r="B2305" s="1" t="s">
        <v>2003</v>
      </c>
      <c r="D2305" s="25">
        <v>329816.0</v>
      </c>
      <c r="E2305" s="25"/>
      <c r="F2305" s="1" t="s">
        <v>2209</v>
      </c>
    </row>
    <row r="2306">
      <c r="B2306" s="1" t="s">
        <v>2005</v>
      </c>
      <c r="D2306" s="1">
        <v>298243.0</v>
      </c>
      <c r="E2306" s="1"/>
      <c r="F2306" s="1" t="s">
        <v>2210</v>
      </c>
    </row>
    <row r="2307">
      <c r="A2307" s="1" t="s">
        <v>2211</v>
      </c>
      <c r="B2307" s="1" t="s">
        <v>2019</v>
      </c>
      <c r="D2307" s="1">
        <v>232170.0</v>
      </c>
      <c r="E2307" s="1"/>
      <c r="F2307" s="1" t="s">
        <v>2212</v>
      </c>
    </row>
    <row r="2308">
      <c r="B2308" s="1" t="s">
        <v>2003</v>
      </c>
      <c r="D2308" s="25">
        <v>188466.0</v>
      </c>
      <c r="E2308" s="25"/>
      <c r="F2308" s="1" t="s">
        <v>2212</v>
      </c>
    </row>
    <row r="2309">
      <c r="B2309" s="1" t="s">
        <v>2005</v>
      </c>
      <c r="D2309" s="1">
        <v>162678.0</v>
      </c>
      <c r="E2309" s="1"/>
      <c r="F2309" s="1" t="s">
        <v>2212</v>
      </c>
    </row>
    <row r="2310">
      <c r="A2310" s="1" t="s">
        <v>2213</v>
      </c>
      <c r="B2310" s="1" t="s">
        <v>2214</v>
      </c>
      <c r="D2310" s="1">
        <v>2.136581E7</v>
      </c>
      <c r="E2310" s="1"/>
      <c r="F2310" s="1" t="s">
        <v>2215</v>
      </c>
    </row>
    <row r="2311">
      <c r="B2311" s="1" t="s">
        <v>2216</v>
      </c>
      <c r="D2311" s="1">
        <v>7170060.0</v>
      </c>
      <c r="E2311" s="1"/>
      <c r="F2311" s="1" t="s">
        <v>2217</v>
      </c>
    </row>
    <row r="2312">
      <c r="B2312" s="1" t="s">
        <v>651</v>
      </c>
      <c r="D2312" s="1">
        <v>1584000.0</v>
      </c>
      <c r="E2312" s="1"/>
      <c r="F2312" s="1"/>
    </row>
    <row r="2313">
      <c r="B2313" s="1" t="s">
        <v>2218</v>
      </c>
      <c r="D2313" s="1">
        <v>1134980.0</v>
      </c>
      <c r="E2313" s="1"/>
      <c r="F2313" s="1"/>
    </row>
    <row r="2314">
      <c r="A2314" s="1" t="s">
        <v>2204</v>
      </c>
      <c r="B2314" s="1" t="s">
        <v>2008</v>
      </c>
      <c r="D2314" s="1">
        <v>4016110.0</v>
      </c>
      <c r="E2314" s="1"/>
      <c r="F2314" s="1"/>
    </row>
    <row r="2315">
      <c r="B2315" s="3" t="s">
        <v>648</v>
      </c>
      <c r="D2315" s="1">
        <v>132000.0</v>
      </c>
      <c r="E2315" s="1"/>
      <c r="F2315" s="1"/>
    </row>
    <row r="2316">
      <c r="A2316" s="1" t="s">
        <v>2219</v>
      </c>
      <c r="B2316" s="3" t="s">
        <v>727</v>
      </c>
      <c r="D2316" s="1">
        <v>102880.0</v>
      </c>
      <c r="E2316" s="1"/>
      <c r="F2316" s="1"/>
    </row>
    <row r="2317">
      <c r="A2317" s="1" t="s">
        <v>2220</v>
      </c>
      <c r="B2317" s="3" t="s">
        <v>280</v>
      </c>
      <c r="D2317" s="1">
        <v>2037766.0</v>
      </c>
      <c r="E2317" s="1"/>
      <c r="F2317" s="1"/>
    </row>
    <row r="2318">
      <c r="B2318" s="1" t="s">
        <v>1769</v>
      </c>
      <c r="D2318" s="1">
        <v>1644320.0</v>
      </c>
      <c r="E2318" s="1"/>
      <c r="F2318" s="1"/>
    </row>
    <row r="2319">
      <c r="A2319" s="1" t="s">
        <v>2221</v>
      </c>
      <c r="B2319" s="3" t="s">
        <v>1021</v>
      </c>
      <c r="D2319" s="1">
        <v>1844097.0</v>
      </c>
      <c r="E2319" s="1"/>
      <c r="F2319" s="1"/>
    </row>
    <row r="2320">
      <c r="A2320" s="1" t="s">
        <v>2222</v>
      </c>
      <c r="B2320" s="1" t="s">
        <v>2044</v>
      </c>
      <c r="D2320" s="1">
        <v>330000.0</v>
      </c>
      <c r="E2320" s="1"/>
      <c r="F2320" s="1"/>
    </row>
    <row r="2321">
      <c r="A2321" s="1" t="s">
        <v>2223</v>
      </c>
      <c r="B2321" s="1" t="s">
        <v>2150</v>
      </c>
      <c r="D2321" s="1">
        <v>2885200.0</v>
      </c>
      <c r="E2321" s="1"/>
      <c r="F2321" s="3" t="s">
        <v>1126</v>
      </c>
    </row>
    <row r="2322">
      <c r="A2322" s="1" t="s">
        <v>2224</v>
      </c>
      <c r="B2322" s="1" t="s">
        <v>2039</v>
      </c>
      <c r="D2322" s="1">
        <v>93500.0</v>
      </c>
      <c r="E2322" s="1"/>
      <c r="F2322" s="1" t="s">
        <v>2207</v>
      </c>
    </row>
    <row r="2323">
      <c r="A2323" s="1" t="s">
        <v>2225</v>
      </c>
      <c r="B2323" s="1" t="s">
        <v>2019</v>
      </c>
      <c r="D2323" s="1">
        <v>425645.0</v>
      </c>
      <c r="E2323" s="1"/>
      <c r="F2323" s="1" t="s">
        <v>2226</v>
      </c>
    </row>
    <row r="2324">
      <c r="B2324" s="1" t="s">
        <v>2003</v>
      </c>
      <c r="D2324" s="25">
        <v>345521.0</v>
      </c>
      <c r="E2324" s="25"/>
      <c r="F2324" s="1" t="s">
        <v>2226</v>
      </c>
    </row>
    <row r="2325">
      <c r="B2325" s="1" t="s">
        <v>2005</v>
      </c>
      <c r="D2325" s="1">
        <v>298243.0</v>
      </c>
      <c r="E2325" s="1"/>
      <c r="F2325" s="1" t="s">
        <v>2226</v>
      </c>
    </row>
    <row r="2326">
      <c r="A2326" s="1" t="s">
        <v>2227</v>
      </c>
      <c r="B2326" s="1" t="s">
        <v>1824</v>
      </c>
      <c r="D2326" s="1">
        <v>110000.0</v>
      </c>
      <c r="E2326" s="1"/>
      <c r="F2326" s="3" t="s">
        <v>1147</v>
      </c>
    </row>
    <row r="2327">
      <c r="A2327" s="1" t="s">
        <v>2225</v>
      </c>
      <c r="B2327" s="1" t="s">
        <v>2228</v>
      </c>
      <c r="D2327" s="1">
        <v>1000000.0</v>
      </c>
      <c r="E2327" s="1"/>
      <c r="F2327" s="1" t="s">
        <v>2229</v>
      </c>
    </row>
    <row r="2328">
      <c r="A2328" s="1" t="s">
        <v>2230</v>
      </c>
      <c r="B2328" s="1" t="s">
        <v>1227</v>
      </c>
      <c r="D2328" s="1">
        <v>2077514.0</v>
      </c>
      <c r="E2328" s="1"/>
      <c r="F2328" s="1"/>
    </row>
    <row r="2329">
      <c r="B2329" s="1" t="s">
        <v>2231</v>
      </c>
      <c r="D2329" s="1">
        <v>380699.0</v>
      </c>
      <c r="E2329" s="1"/>
      <c r="F2329" s="1"/>
    </row>
    <row r="2330">
      <c r="A2330" s="1" t="s">
        <v>2232</v>
      </c>
      <c r="B2330" s="1" t="s">
        <v>2008</v>
      </c>
      <c r="D2330" s="1">
        <v>4086816.0</v>
      </c>
      <c r="E2330" s="1"/>
      <c r="F2330" s="1"/>
    </row>
    <row r="2331">
      <c r="B2331" s="3" t="s">
        <v>648</v>
      </c>
      <c r="D2331" s="1">
        <v>132000.0</v>
      </c>
      <c r="E2331" s="1"/>
      <c r="F2331" s="1"/>
    </row>
    <row r="2332">
      <c r="B2332" s="3" t="s">
        <v>727</v>
      </c>
      <c r="D2332" s="18"/>
      <c r="F2332" s="1"/>
    </row>
    <row r="2333">
      <c r="A2333" s="1" t="s">
        <v>2221</v>
      </c>
      <c r="B2333" s="1" t="s">
        <v>2019</v>
      </c>
      <c r="D2333" s="2">
        <v>503035.0</v>
      </c>
      <c r="E2333" s="2"/>
      <c r="F2333" s="1" t="s">
        <v>2233</v>
      </c>
    </row>
    <row r="2334">
      <c r="B2334" s="1" t="s">
        <v>2003</v>
      </c>
      <c r="D2334" s="25">
        <v>408343.0</v>
      </c>
      <c r="E2334" s="25"/>
      <c r="F2334" s="1" t="s">
        <v>2234</v>
      </c>
    </row>
    <row r="2335">
      <c r="B2335" s="1" t="s">
        <v>2005</v>
      </c>
      <c r="D2335" s="1">
        <v>352469.0</v>
      </c>
      <c r="E2335" s="1"/>
      <c r="F2335" s="1" t="s">
        <v>2234</v>
      </c>
    </row>
    <row r="2336">
      <c r="B2336" s="1" t="s">
        <v>2235</v>
      </c>
      <c r="D2336" s="26">
        <v>19348.0</v>
      </c>
      <c r="E2336" s="26"/>
      <c r="F2336" s="2" t="s">
        <v>2236</v>
      </c>
    </row>
    <row r="2337">
      <c r="A2337" s="1" t="s">
        <v>2237</v>
      </c>
      <c r="B2337" s="3" t="s">
        <v>280</v>
      </c>
      <c r="D2337" s="1">
        <v>1946896.0</v>
      </c>
      <c r="E2337" s="1"/>
      <c r="F2337" s="1"/>
    </row>
    <row r="2338">
      <c r="B2338" s="1" t="s">
        <v>1769</v>
      </c>
      <c r="D2338" s="1">
        <v>1578920.0</v>
      </c>
      <c r="E2338" s="1"/>
      <c r="F2338" s="1"/>
    </row>
    <row r="2339">
      <c r="A2339" s="1" t="s">
        <v>2238</v>
      </c>
      <c r="B2339" s="3" t="s">
        <v>1021</v>
      </c>
      <c r="D2339" s="1">
        <v>1860807.0</v>
      </c>
      <c r="E2339" s="1"/>
      <c r="F2339" s="1"/>
    </row>
    <row r="2340">
      <c r="A2340" s="1" t="s">
        <v>2239</v>
      </c>
      <c r="B2340" s="1" t="s">
        <v>2044</v>
      </c>
      <c r="D2340" s="1">
        <v>330000.0</v>
      </c>
      <c r="E2340" s="1"/>
      <c r="F2340" s="1"/>
    </row>
    <row r="2341">
      <c r="A2341" s="1" t="s">
        <v>2240</v>
      </c>
      <c r="B2341" s="1" t="s">
        <v>2150</v>
      </c>
      <c r="D2341" s="1">
        <v>5887870.0</v>
      </c>
      <c r="E2341" s="1"/>
      <c r="F2341" s="1" t="s">
        <v>2241</v>
      </c>
    </row>
    <row r="2342">
      <c r="A2342" s="1" t="s">
        <v>2242</v>
      </c>
      <c r="B2342" s="1" t="s">
        <v>2053</v>
      </c>
      <c r="D2342" s="1">
        <v>93500.0</v>
      </c>
      <c r="E2342" s="1"/>
      <c r="F2342" s="1" t="s">
        <v>2207</v>
      </c>
    </row>
    <row r="2343">
      <c r="A2343" s="1" t="s">
        <v>2237</v>
      </c>
      <c r="B2343" s="1" t="s">
        <v>2019</v>
      </c>
      <c r="D2343" s="1">
        <v>348255.0</v>
      </c>
      <c r="E2343" s="1"/>
      <c r="F2343" s="1" t="s">
        <v>2243</v>
      </c>
    </row>
    <row r="2344">
      <c r="B2344" s="1" t="s">
        <v>2003</v>
      </c>
      <c r="D2344" s="25">
        <v>282699.0</v>
      </c>
      <c r="E2344" s="25"/>
      <c r="F2344" s="1" t="s">
        <v>2243</v>
      </c>
    </row>
    <row r="2345">
      <c r="B2345" s="1" t="s">
        <v>2005</v>
      </c>
      <c r="D2345" s="1">
        <v>244017.0</v>
      </c>
      <c r="E2345" s="1"/>
      <c r="F2345" s="1" t="s">
        <v>2243</v>
      </c>
    </row>
    <row r="2346">
      <c r="A2346" s="1" t="s">
        <v>2244</v>
      </c>
      <c r="B2346" s="1" t="s">
        <v>2245</v>
      </c>
      <c r="D2346" s="1">
        <v>2.136581E7</v>
      </c>
      <c r="E2346" s="1"/>
      <c r="F2346" s="1" t="s">
        <v>2246</v>
      </c>
    </row>
    <row r="2347">
      <c r="B2347" s="1" t="s">
        <v>69</v>
      </c>
      <c r="D2347" s="1">
        <v>62500.0</v>
      </c>
      <c r="E2347" s="1"/>
      <c r="F2347" s="1" t="s">
        <v>275</v>
      </c>
    </row>
    <row r="2348">
      <c r="A2348" s="1" t="s">
        <v>2238</v>
      </c>
      <c r="B2348" s="1" t="s">
        <v>2008</v>
      </c>
      <c r="D2348" s="1">
        <v>4065419.0</v>
      </c>
      <c r="E2348" s="1"/>
      <c r="F2348" s="1"/>
    </row>
    <row r="2349">
      <c r="B2349" s="3" t="s">
        <v>648</v>
      </c>
      <c r="D2349" s="1">
        <v>132000.0</v>
      </c>
      <c r="E2349" s="1"/>
      <c r="F2349" s="1"/>
    </row>
    <row r="2350">
      <c r="B2350" s="3" t="s">
        <v>727</v>
      </c>
      <c r="D2350" s="18"/>
      <c r="F2350" s="1"/>
    </row>
    <row r="2351">
      <c r="A2351" s="1" t="s">
        <v>2247</v>
      </c>
      <c r="B2351" s="1" t="s">
        <v>2019</v>
      </c>
      <c r="D2351" s="1">
        <v>503035.0</v>
      </c>
      <c r="E2351" s="1"/>
      <c r="F2351" s="1" t="s">
        <v>2248</v>
      </c>
    </row>
    <row r="2352">
      <c r="B2352" s="1" t="s">
        <v>2003</v>
      </c>
      <c r="D2352" s="1">
        <v>408343.0</v>
      </c>
      <c r="E2352" s="1"/>
      <c r="F2352" s="1" t="s">
        <v>2248</v>
      </c>
    </row>
    <row r="2353">
      <c r="B2353" s="1" t="s">
        <v>2005</v>
      </c>
      <c r="D2353" s="1">
        <v>352469.0</v>
      </c>
      <c r="E2353" s="1"/>
      <c r="F2353" s="1" t="s">
        <v>2248</v>
      </c>
    </row>
    <row r="2354">
      <c r="A2354" s="1" t="s">
        <v>2249</v>
      </c>
      <c r="B2354" s="3" t="s">
        <v>280</v>
      </c>
      <c r="D2354" s="1">
        <v>1947536.0</v>
      </c>
      <c r="E2354" s="1"/>
      <c r="F2354" s="1"/>
    </row>
    <row r="2355">
      <c r="B2355" s="1" t="s">
        <v>1769</v>
      </c>
      <c r="D2355" s="1">
        <v>1592940.0</v>
      </c>
      <c r="E2355" s="1"/>
      <c r="F2355" s="1"/>
    </row>
    <row r="2356">
      <c r="A2356" s="1" t="s">
        <v>2250</v>
      </c>
      <c r="B2356" s="3" t="s">
        <v>1021</v>
      </c>
      <c r="D2356" s="1">
        <v>1822857.0</v>
      </c>
      <c r="E2356" s="1"/>
      <c r="F2356" s="1"/>
    </row>
    <row r="2357">
      <c r="A2357" s="1" t="s">
        <v>2251</v>
      </c>
      <c r="B2357" s="1" t="s">
        <v>2044</v>
      </c>
      <c r="D2357" s="1">
        <v>430000.0</v>
      </c>
      <c r="E2357" s="1"/>
      <c r="F2357" s="1" t="s">
        <v>2252</v>
      </c>
    </row>
    <row r="2358">
      <c r="A2358" s="1" t="s">
        <v>2253</v>
      </c>
      <c r="B2358" s="1" t="s">
        <v>1955</v>
      </c>
      <c r="D2358" s="1">
        <v>396000.0</v>
      </c>
      <c r="E2358" s="1"/>
      <c r="F2358" s="3" t="s">
        <v>1147</v>
      </c>
    </row>
    <row r="2359">
      <c r="B2359" s="1" t="s">
        <v>2068</v>
      </c>
      <c r="D2359" s="1">
        <v>93500.0</v>
      </c>
      <c r="E2359" s="1"/>
      <c r="F2359" s="1" t="s">
        <v>2207</v>
      </c>
    </row>
    <row r="2360">
      <c r="B2360" s="1" t="s">
        <v>2150</v>
      </c>
      <c r="D2360" s="1">
        <v>3258020.0</v>
      </c>
      <c r="E2360" s="1"/>
      <c r="F2360" s="1" t="s">
        <v>2241</v>
      </c>
    </row>
    <row r="2361">
      <c r="A2361" s="1" t="s">
        <v>2249</v>
      </c>
      <c r="B2361" s="1" t="s">
        <v>2019</v>
      </c>
      <c r="D2361" s="1">
        <v>464340.0</v>
      </c>
      <c r="E2361" s="1"/>
      <c r="F2361" s="1" t="s">
        <v>2254</v>
      </c>
    </row>
    <row r="2362">
      <c r="B2362" s="1" t="s">
        <v>2003</v>
      </c>
      <c r="D2362" s="1">
        <v>408343.0</v>
      </c>
      <c r="E2362" s="1"/>
      <c r="F2362" s="1" t="s">
        <v>2255</v>
      </c>
    </row>
    <row r="2363">
      <c r="B2363" s="1" t="s">
        <v>2005</v>
      </c>
      <c r="D2363" s="1">
        <v>338913.0</v>
      </c>
      <c r="E2363" s="1"/>
      <c r="F2363" s="1" t="s">
        <v>2256</v>
      </c>
    </row>
    <row r="2364">
      <c r="A2364" s="1" t="s">
        <v>2257</v>
      </c>
      <c r="B2364" s="1" t="s">
        <v>2008</v>
      </c>
      <c r="D2364" s="1">
        <v>4113166.0</v>
      </c>
      <c r="E2364" s="1"/>
      <c r="F2364" s="1"/>
    </row>
    <row r="2365">
      <c r="A2365" s="1" t="s">
        <v>2258</v>
      </c>
      <c r="B2365" s="3" t="s">
        <v>648</v>
      </c>
      <c r="D2365" s="1">
        <v>132000.0</v>
      </c>
      <c r="E2365" s="1"/>
      <c r="F2365" s="1"/>
    </row>
    <row r="2366">
      <c r="B2366" s="1" t="s">
        <v>2259</v>
      </c>
      <c r="D2366" s="1">
        <v>585910.0</v>
      </c>
      <c r="E2366" s="1"/>
      <c r="F2366" s="1"/>
    </row>
    <row r="2367">
      <c r="A2367" s="1" t="s">
        <v>2250</v>
      </c>
      <c r="B2367" s="1" t="s">
        <v>2019</v>
      </c>
      <c r="D2367" s="1">
        <v>328908.0</v>
      </c>
      <c r="E2367" s="1"/>
      <c r="F2367" s="1" t="s">
        <v>2260</v>
      </c>
    </row>
    <row r="2368">
      <c r="B2368" s="1" t="s">
        <v>2003</v>
      </c>
      <c r="D2368" s="1">
        <v>219877.0</v>
      </c>
      <c r="E2368" s="1"/>
      <c r="F2368" s="1" t="s">
        <v>2261</v>
      </c>
    </row>
    <row r="2369">
      <c r="B2369" s="1" t="s">
        <v>2005</v>
      </c>
      <c r="D2369" s="1">
        <v>230461.0</v>
      </c>
      <c r="E2369" s="1"/>
      <c r="F2369" s="1" t="s">
        <v>2260</v>
      </c>
    </row>
    <row r="2370">
      <c r="A2370" s="1" t="s">
        <v>2262</v>
      </c>
      <c r="B2370" s="1" t="s">
        <v>1227</v>
      </c>
      <c r="D2370" s="1">
        <v>2047722.0</v>
      </c>
      <c r="E2370" s="1"/>
      <c r="F2370" s="1"/>
    </row>
    <row r="2371">
      <c r="A2371" s="1" t="s">
        <v>2263</v>
      </c>
      <c r="B2371" s="1" t="s">
        <v>2150</v>
      </c>
      <c r="D2371" s="1">
        <v>3338780.0</v>
      </c>
      <c r="E2371" s="1"/>
      <c r="F2371" s="1" t="s">
        <v>2241</v>
      </c>
    </row>
    <row r="2372">
      <c r="A2372" s="1" t="s">
        <v>2264</v>
      </c>
      <c r="B2372" s="1" t="s">
        <v>2083</v>
      </c>
      <c r="D2372" s="1">
        <v>94600.0</v>
      </c>
      <c r="E2372" s="1"/>
      <c r="F2372" s="1" t="s">
        <v>2207</v>
      </c>
    </row>
    <row r="2373">
      <c r="A2373" s="1" t="s">
        <v>2265</v>
      </c>
      <c r="B2373" s="1" t="s">
        <v>2019</v>
      </c>
      <c r="D2373" s="1">
        <v>348255.0</v>
      </c>
      <c r="E2373" s="1"/>
      <c r="F2373" s="1" t="s">
        <v>2266</v>
      </c>
    </row>
    <row r="2374">
      <c r="B2374" s="1" t="s">
        <v>2003</v>
      </c>
      <c r="D2374" s="1">
        <v>314110.0</v>
      </c>
      <c r="E2374" s="1"/>
      <c r="F2374" s="1" t="s">
        <v>2267</v>
      </c>
    </row>
    <row r="2375">
      <c r="B2375" s="1" t="s">
        <v>2005</v>
      </c>
      <c r="D2375" s="1">
        <v>271130.0</v>
      </c>
      <c r="E2375" s="1"/>
      <c r="F2375" s="1" t="s">
        <v>2267</v>
      </c>
    </row>
    <row r="2376">
      <c r="A2376" s="1" t="s">
        <v>2268</v>
      </c>
      <c r="B2376" s="1" t="s">
        <v>2269</v>
      </c>
      <c r="D2376" s="1">
        <v>770000.0</v>
      </c>
      <c r="E2376" s="1"/>
      <c r="F2376" s="1" t="s">
        <v>2270</v>
      </c>
    </row>
    <row r="2377">
      <c r="A2377" s="1" t="s">
        <v>2265</v>
      </c>
      <c r="B2377" s="1" t="s">
        <v>2271</v>
      </c>
      <c r="D2377" s="1">
        <v>297000.0</v>
      </c>
      <c r="E2377" s="1"/>
      <c r="F2377" s="1" t="s">
        <v>2272</v>
      </c>
    </row>
    <row r="2378">
      <c r="A2378" s="1" t="s">
        <v>2273</v>
      </c>
      <c r="B2378" s="3" t="s">
        <v>280</v>
      </c>
      <c r="D2378" s="1">
        <v>1957636.0</v>
      </c>
      <c r="E2378" s="1"/>
      <c r="F2378" s="1"/>
    </row>
    <row r="2379">
      <c r="B2379" s="1" t="s">
        <v>1769</v>
      </c>
      <c r="D2379" s="1">
        <v>1613970.0</v>
      </c>
      <c r="E2379" s="1"/>
      <c r="F2379" s="1"/>
    </row>
    <row r="2380">
      <c r="A2380" s="1" t="s">
        <v>2274</v>
      </c>
      <c r="B2380" s="3" t="s">
        <v>1021</v>
      </c>
      <c r="D2380" s="1">
        <v>1836017.0</v>
      </c>
      <c r="E2380" s="1"/>
      <c r="F2380" s="1"/>
    </row>
    <row r="2381">
      <c r="A2381" s="1" t="s">
        <v>2275</v>
      </c>
      <c r="B2381" s="1" t="s">
        <v>2044</v>
      </c>
      <c r="D2381" s="1">
        <v>330000.0</v>
      </c>
      <c r="E2381" s="1"/>
      <c r="F2381" s="1"/>
    </row>
    <row r="2382">
      <c r="A2382" s="1" t="s">
        <v>2276</v>
      </c>
      <c r="B2382" s="1" t="s">
        <v>2008</v>
      </c>
      <c r="D2382" s="1">
        <v>3982037.0</v>
      </c>
      <c r="E2382" s="1"/>
      <c r="F2382" s="1"/>
    </row>
    <row r="2383">
      <c r="B2383" s="3" t="s">
        <v>648</v>
      </c>
      <c r="D2383" s="1">
        <v>132000.0</v>
      </c>
      <c r="E2383" s="1"/>
      <c r="F2383" s="1"/>
    </row>
    <row r="2384">
      <c r="A2384" s="1" t="s">
        <v>2277</v>
      </c>
      <c r="B2384" s="1" t="s">
        <v>2278</v>
      </c>
      <c r="D2384" s="1">
        <v>98820.0</v>
      </c>
      <c r="E2384" s="1"/>
      <c r="F2384" s="1"/>
    </row>
    <row r="2385">
      <c r="A2385" s="1" t="s">
        <v>2277</v>
      </c>
      <c r="B2385" s="1" t="s">
        <v>2019</v>
      </c>
      <c r="D2385" s="1">
        <v>503035.0</v>
      </c>
      <c r="E2385" s="1"/>
      <c r="F2385" s="1" t="s">
        <v>2279</v>
      </c>
    </row>
    <row r="2386">
      <c r="B2386" s="1" t="s">
        <v>2003</v>
      </c>
      <c r="D2386" s="1">
        <v>392638.0</v>
      </c>
      <c r="E2386" s="1"/>
      <c r="F2386" s="1" t="s">
        <v>2280</v>
      </c>
    </row>
    <row r="2387">
      <c r="B2387" s="1" t="s">
        <v>2005</v>
      </c>
      <c r="D2387" s="1">
        <v>338913.0</v>
      </c>
      <c r="E2387" s="1"/>
      <c r="F2387" s="1" t="s">
        <v>2280</v>
      </c>
    </row>
    <row r="2388">
      <c r="A2388" s="1" t="s">
        <v>2281</v>
      </c>
      <c r="B2388" s="1" t="s">
        <v>2113</v>
      </c>
      <c r="D2388" s="1">
        <v>96800.0</v>
      </c>
      <c r="E2388" s="1"/>
      <c r="F2388" s="1" t="s">
        <v>2207</v>
      </c>
    </row>
    <row r="2389">
      <c r="A2389" s="1" t="s">
        <v>2282</v>
      </c>
      <c r="B2389" s="1" t="s">
        <v>2150</v>
      </c>
      <c r="D2389" s="1">
        <v>3114440.0</v>
      </c>
      <c r="E2389" s="1"/>
      <c r="F2389" s="1" t="s">
        <v>2241</v>
      </c>
    </row>
    <row r="2390">
      <c r="A2390" s="1" t="s">
        <v>2283</v>
      </c>
      <c r="B2390" s="3" t="s">
        <v>280</v>
      </c>
      <c r="D2390" s="1">
        <v>2011416.0</v>
      </c>
      <c r="E2390" s="1"/>
      <c r="F2390" s="1"/>
    </row>
    <row r="2391">
      <c r="B2391" s="1" t="s">
        <v>1769</v>
      </c>
      <c r="D2391" s="1">
        <v>1640350.0</v>
      </c>
      <c r="E2391" s="1"/>
      <c r="F2391" s="1"/>
    </row>
    <row r="2392">
      <c r="A2392" s="1" t="s">
        <v>2284</v>
      </c>
      <c r="B2392" s="3" t="s">
        <v>1021</v>
      </c>
      <c r="D2392" s="1">
        <v>1881597.0</v>
      </c>
      <c r="E2392" s="1"/>
      <c r="F2392" s="1"/>
    </row>
    <row r="2393">
      <c r="A2393" s="1" t="s">
        <v>2285</v>
      </c>
      <c r="B2393" s="1" t="s">
        <v>2044</v>
      </c>
      <c r="D2393" s="1">
        <v>330000.0</v>
      </c>
      <c r="E2393" s="1"/>
      <c r="F2393" s="1"/>
    </row>
    <row r="2394">
      <c r="A2394" s="1" t="s">
        <v>2281</v>
      </c>
      <c r="B2394" s="1" t="s">
        <v>2286</v>
      </c>
      <c r="D2394" s="1">
        <v>300000.0</v>
      </c>
      <c r="E2394" s="1"/>
      <c r="F2394" s="1" t="s">
        <v>2287</v>
      </c>
    </row>
    <row r="2395">
      <c r="A2395" s="1" t="s">
        <v>2283</v>
      </c>
      <c r="B2395" s="1" t="s">
        <v>2019</v>
      </c>
      <c r="D2395" s="1">
        <v>483688.0</v>
      </c>
      <c r="E2395" s="1"/>
      <c r="F2395" s="1" t="s">
        <v>2288</v>
      </c>
    </row>
    <row r="2396">
      <c r="B2396" s="1" t="s">
        <v>2003</v>
      </c>
      <c r="D2396" s="1">
        <v>376932.0</v>
      </c>
      <c r="E2396" s="1"/>
      <c r="F2396" s="1" t="s">
        <v>2289</v>
      </c>
    </row>
    <row r="2397">
      <c r="B2397" s="1" t="s">
        <v>2005</v>
      </c>
      <c r="D2397" s="1">
        <v>338913.0</v>
      </c>
      <c r="E2397" s="1"/>
      <c r="F2397" s="1" t="s">
        <v>2288</v>
      </c>
    </row>
    <row r="2398">
      <c r="A2398" s="1" t="s">
        <v>2290</v>
      </c>
      <c r="B2398" s="1" t="s">
        <v>2291</v>
      </c>
      <c r="D2398" s="1">
        <v>1.8E7</v>
      </c>
      <c r="E2398" s="1"/>
      <c r="F2398" s="1" t="s">
        <v>2292</v>
      </c>
    </row>
    <row r="2399">
      <c r="A2399" s="1" t="s">
        <v>2293</v>
      </c>
      <c r="B2399" s="1" t="s">
        <v>2008</v>
      </c>
      <c r="D2399" s="1">
        <v>4061322.0</v>
      </c>
      <c r="E2399" s="1"/>
      <c r="F2399" s="1"/>
    </row>
    <row r="2400">
      <c r="B2400" s="3" t="s">
        <v>648</v>
      </c>
      <c r="D2400" s="1">
        <v>132000.0</v>
      </c>
      <c r="E2400" s="1"/>
      <c r="F2400" s="1"/>
    </row>
    <row r="2401">
      <c r="B2401" s="1" t="s">
        <v>2278</v>
      </c>
      <c r="D2401" s="1">
        <v>313660.0</v>
      </c>
      <c r="E2401" s="1"/>
      <c r="F2401" s="1" t="s">
        <v>2294</v>
      </c>
    </row>
    <row r="2402">
      <c r="A2402" s="1" t="s">
        <v>2295</v>
      </c>
      <c r="B2402" s="1" t="s">
        <v>2019</v>
      </c>
      <c r="D2402" s="1">
        <v>503035.0</v>
      </c>
      <c r="E2402" s="1"/>
      <c r="F2402" s="1" t="s">
        <v>2296</v>
      </c>
    </row>
    <row r="2403">
      <c r="B2403" s="1" t="s">
        <v>2003</v>
      </c>
      <c r="D2403" s="1">
        <v>219877.0</v>
      </c>
      <c r="E2403" s="1"/>
      <c r="F2403" s="1" t="s">
        <v>2297</v>
      </c>
    </row>
    <row r="2404">
      <c r="B2404" s="1" t="s">
        <v>2005</v>
      </c>
      <c r="D2404" s="1">
        <v>325365.0</v>
      </c>
      <c r="E2404" s="1"/>
      <c r="F2404" s="1" t="s">
        <v>2298</v>
      </c>
    </row>
    <row r="2405">
      <c r="A2405" s="1" t="s">
        <v>2299</v>
      </c>
      <c r="B2405" s="1" t="s">
        <v>2117</v>
      </c>
      <c r="D2405" s="1">
        <v>96800.0</v>
      </c>
      <c r="E2405" s="1"/>
      <c r="F2405" s="1" t="s">
        <v>2207</v>
      </c>
    </row>
    <row r="2406">
      <c r="A2406" s="1"/>
      <c r="B2406" s="1" t="s">
        <v>2300</v>
      </c>
      <c r="D2406" s="1">
        <v>110000.0</v>
      </c>
      <c r="E2406" s="1"/>
      <c r="F2406" s="3" t="s">
        <v>1147</v>
      </c>
    </row>
    <row r="2407">
      <c r="A2407" s="1"/>
      <c r="B2407" s="1" t="s">
        <v>2301</v>
      </c>
      <c r="D2407" s="1">
        <v>2703010.0</v>
      </c>
      <c r="E2407" s="1"/>
      <c r="F2407" s="1" t="s">
        <v>275</v>
      </c>
    </row>
    <row r="2408">
      <c r="A2408" s="1" t="s">
        <v>2302</v>
      </c>
      <c r="B2408" s="1" t="s">
        <v>2150</v>
      </c>
      <c r="D2408" s="1">
        <v>3114440.0</v>
      </c>
      <c r="E2408" s="1"/>
      <c r="F2408" s="1" t="s">
        <v>2241</v>
      </c>
    </row>
    <row r="2409">
      <c r="A2409" s="1" t="s">
        <v>2303</v>
      </c>
      <c r="B2409" s="3" t="s">
        <v>280</v>
      </c>
      <c r="D2409" s="1">
        <v>1975826.0</v>
      </c>
      <c r="E2409" s="1"/>
      <c r="F2409" s="1"/>
    </row>
    <row r="2410">
      <c r="B2410" s="1" t="s">
        <v>1769</v>
      </c>
      <c r="D2410" s="1">
        <v>1630820.0</v>
      </c>
      <c r="E2410" s="1"/>
      <c r="F2410" s="1"/>
    </row>
    <row r="2411">
      <c r="A2411" s="1" t="s">
        <v>2304</v>
      </c>
      <c r="B2411" s="3" t="s">
        <v>1021</v>
      </c>
      <c r="D2411" s="1">
        <v>1857477.0</v>
      </c>
      <c r="E2411" s="1"/>
      <c r="F2411" s="1"/>
    </row>
    <row r="2412">
      <c r="A2412" s="1" t="s">
        <v>2305</v>
      </c>
      <c r="B2412" s="1" t="s">
        <v>2044</v>
      </c>
      <c r="D2412" s="1">
        <v>330000.0</v>
      </c>
      <c r="E2412" s="1"/>
      <c r="F2412" s="1"/>
    </row>
    <row r="2413">
      <c r="A2413" s="1" t="s">
        <v>2306</v>
      </c>
      <c r="B2413" s="1" t="s">
        <v>276</v>
      </c>
      <c r="D2413" s="1">
        <v>150190.0</v>
      </c>
      <c r="E2413" s="1"/>
      <c r="F2413" s="1" t="s">
        <v>275</v>
      </c>
    </row>
    <row r="2414">
      <c r="B2414" s="1" t="s">
        <v>1224</v>
      </c>
      <c r="D2414" s="1">
        <v>15010.0</v>
      </c>
      <c r="E2414" s="1"/>
      <c r="F2414" s="1" t="s">
        <v>275</v>
      </c>
    </row>
    <row r="2415">
      <c r="B2415" s="1" t="s">
        <v>2057</v>
      </c>
      <c r="D2415" s="1">
        <v>54370.0</v>
      </c>
      <c r="E2415" s="1"/>
      <c r="F2415" s="1" t="s">
        <v>2307</v>
      </c>
    </row>
    <row r="2416">
      <c r="A2416" s="1" t="s">
        <v>2308</v>
      </c>
      <c r="B2416" s="1" t="s">
        <v>2019</v>
      </c>
      <c r="D2416" s="1">
        <v>503035.0</v>
      </c>
      <c r="E2416" s="1"/>
      <c r="F2416" s="1" t="s">
        <v>2309</v>
      </c>
    </row>
    <row r="2417">
      <c r="B2417" s="1" t="s">
        <v>2003</v>
      </c>
      <c r="D2417" s="1">
        <v>392638.0</v>
      </c>
      <c r="E2417" s="1"/>
      <c r="F2417" s="1" t="s">
        <v>2310</v>
      </c>
    </row>
    <row r="2418">
      <c r="B2418" s="1" t="s">
        <v>2005</v>
      </c>
      <c r="D2418" s="1">
        <v>298243.0</v>
      </c>
      <c r="E2418" s="1"/>
      <c r="F2418" s="1" t="s">
        <v>2311</v>
      </c>
    </row>
    <row r="2419">
      <c r="A2419" s="1" t="s">
        <v>2312</v>
      </c>
      <c r="B2419" s="1" t="s">
        <v>1331</v>
      </c>
      <c r="D2419" s="1">
        <v>406430.0</v>
      </c>
      <c r="E2419" s="1"/>
      <c r="F2419" s="1" t="s">
        <v>2313</v>
      </c>
    </row>
    <row r="2420">
      <c r="A2420" s="1" t="s">
        <v>2314</v>
      </c>
      <c r="B2420" s="27" t="s">
        <v>2315</v>
      </c>
      <c r="D2420" s="1">
        <v>1500000.0</v>
      </c>
      <c r="E2420" s="1"/>
      <c r="F2420" s="1" t="s">
        <v>2316</v>
      </c>
    </row>
    <row r="2421">
      <c r="A2421" s="1" t="s">
        <v>2305</v>
      </c>
      <c r="B2421" s="1" t="s">
        <v>2317</v>
      </c>
      <c r="D2421" s="1">
        <v>966572.0</v>
      </c>
      <c r="E2421" s="1"/>
      <c r="F2421" s="1" t="s">
        <v>2318</v>
      </c>
    </row>
    <row r="2422">
      <c r="A2422" s="1" t="s">
        <v>2314</v>
      </c>
      <c r="B2422" s="1" t="s">
        <v>870</v>
      </c>
      <c r="D2422" s="1">
        <v>251720.0</v>
      </c>
      <c r="E2422" s="1"/>
      <c r="F2422" s="1" t="s">
        <v>275</v>
      </c>
    </row>
    <row r="2423">
      <c r="A2423" s="1" t="s">
        <v>2319</v>
      </c>
      <c r="B2423" s="28" t="s">
        <v>1953</v>
      </c>
      <c r="D2423" s="1">
        <v>4070630.0</v>
      </c>
      <c r="E2423" s="1"/>
      <c r="F2423" s="1"/>
    </row>
    <row r="2424">
      <c r="B2424" s="3" t="s">
        <v>648</v>
      </c>
      <c r="D2424" s="1">
        <v>132000.0</v>
      </c>
      <c r="E2424" s="1"/>
      <c r="F2424" s="1"/>
    </row>
    <row r="2425">
      <c r="A2425" s="1" t="s">
        <v>2320</v>
      </c>
      <c r="B2425" s="1" t="s">
        <v>2019</v>
      </c>
      <c r="D2425" s="1">
        <v>406298.0</v>
      </c>
      <c r="E2425" s="1"/>
      <c r="F2425" s="1" t="s">
        <v>2321</v>
      </c>
    </row>
    <row r="2426">
      <c r="B2426" s="1" t="s">
        <v>2003</v>
      </c>
      <c r="D2426" s="1">
        <v>329816.0</v>
      </c>
      <c r="E2426" s="1"/>
      <c r="F2426" s="1" t="s">
        <v>2322</v>
      </c>
    </row>
    <row r="2427">
      <c r="B2427" s="1" t="s">
        <v>2005</v>
      </c>
      <c r="D2427" s="1">
        <v>325356.0</v>
      </c>
      <c r="E2427" s="1"/>
      <c r="F2427" s="1" t="s">
        <v>2323</v>
      </c>
    </row>
    <row r="2428">
      <c r="B2428" s="1" t="s">
        <v>2324</v>
      </c>
      <c r="D2428" s="1">
        <v>80000.0</v>
      </c>
      <c r="E2428" s="1"/>
      <c r="F2428" s="1" t="s">
        <v>2325</v>
      </c>
    </row>
    <row r="2429">
      <c r="B2429" s="1" t="s">
        <v>2326</v>
      </c>
      <c r="D2429" s="1">
        <v>80000.0</v>
      </c>
      <c r="E2429" s="1"/>
      <c r="F2429" s="1" t="s">
        <v>2325</v>
      </c>
    </row>
    <row r="2430">
      <c r="A2430" s="1" t="s">
        <v>2327</v>
      </c>
      <c r="B2430" s="3" t="s">
        <v>280</v>
      </c>
      <c r="D2430" s="1">
        <v>1973006.0</v>
      </c>
      <c r="E2430" s="1"/>
      <c r="F2430" s="1"/>
    </row>
    <row r="2431">
      <c r="B2431" s="1" t="s">
        <v>1769</v>
      </c>
      <c r="D2431" s="1">
        <v>1635320.0</v>
      </c>
      <c r="E2431" s="1"/>
      <c r="F2431" s="1"/>
    </row>
    <row r="2432">
      <c r="A2432" s="1" t="s">
        <v>2328</v>
      </c>
      <c r="B2432" s="3" t="s">
        <v>1021</v>
      </c>
      <c r="D2432" s="1">
        <v>1873557.0</v>
      </c>
      <c r="E2432" s="1"/>
      <c r="F2432" s="1"/>
    </row>
    <row r="2433">
      <c r="A2433" s="1" t="s">
        <v>2329</v>
      </c>
      <c r="B2433" s="1" t="s">
        <v>2044</v>
      </c>
      <c r="D2433" s="1">
        <v>330000.0</v>
      </c>
      <c r="E2433" s="1"/>
      <c r="F2433" s="1"/>
    </row>
    <row r="2434">
      <c r="A2434" s="1" t="s">
        <v>2330</v>
      </c>
      <c r="B2434" s="1" t="s">
        <v>276</v>
      </c>
      <c r="D2434" s="1">
        <v>208880.0</v>
      </c>
      <c r="E2434" s="1"/>
      <c r="F2434" s="1" t="s">
        <v>275</v>
      </c>
    </row>
    <row r="2435">
      <c r="B2435" s="1" t="s">
        <v>1224</v>
      </c>
      <c r="D2435" s="1">
        <v>20870.0</v>
      </c>
      <c r="E2435" s="1"/>
      <c r="F2435" s="1" t="s">
        <v>275</v>
      </c>
    </row>
    <row r="2436">
      <c r="B2436" s="1" t="s">
        <v>2150</v>
      </c>
      <c r="D2436" s="1">
        <v>3117320.0</v>
      </c>
      <c r="E2436" s="1"/>
      <c r="F2436" s="1" t="s">
        <v>2241</v>
      </c>
    </row>
    <row r="2437">
      <c r="A2437" s="1" t="s">
        <v>2331</v>
      </c>
      <c r="B2437" s="1" t="s">
        <v>2019</v>
      </c>
      <c r="D2437" s="1">
        <v>464340.0</v>
      </c>
      <c r="E2437" s="1"/>
      <c r="F2437" s="1" t="s">
        <v>2332</v>
      </c>
    </row>
    <row r="2438">
      <c r="B2438" s="1" t="s">
        <v>2003</v>
      </c>
      <c r="D2438" s="1">
        <v>376932.0</v>
      </c>
      <c r="E2438" s="1"/>
      <c r="F2438" s="1" t="s">
        <v>2332</v>
      </c>
    </row>
    <row r="2439">
      <c r="B2439" s="1" t="s">
        <v>2005</v>
      </c>
      <c r="D2439" s="1">
        <v>325356.0</v>
      </c>
      <c r="E2439" s="1"/>
      <c r="F2439" s="1" t="s">
        <v>2332</v>
      </c>
    </row>
    <row r="2440">
      <c r="A2440" s="1" t="s">
        <v>2333</v>
      </c>
      <c r="B2440" s="1" t="s">
        <v>2132</v>
      </c>
      <c r="D2440" s="1">
        <v>96800.0</v>
      </c>
      <c r="E2440" s="1"/>
      <c r="F2440" s="1" t="s">
        <v>2207</v>
      </c>
    </row>
    <row r="2441">
      <c r="A2441" s="1" t="s">
        <v>2334</v>
      </c>
      <c r="B2441" s="1" t="s">
        <v>2335</v>
      </c>
      <c r="D2441" s="1">
        <v>100000.0</v>
      </c>
      <c r="E2441" s="1"/>
      <c r="F2441" s="1"/>
    </row>
    <row r="2442">
      <c r="A2442" s="1" t="s">
        <v>2336</v>
      </c>
      <c r="B2442" s="28" t="s">
        <v>2008</v>
      </c>
      <c r="D2442" s="1">
        <v>4154323.0</v>
      </c>
      <c r="E2442" s="1"/>
      <c r="F2442" s="1"/>
    </row>
    <row r="2443">
      <c r="B2443" s="3" t="s">
        <v>648</v>
      </c>
      <c r="D2443" s="1">
        <v>132000.0</v>
      </c>
      <c r="E2443" s="1"/>
      <c r="F2443" s="1"/>
    </row>
    <row r="2444">
      <c r="B2444" s="1" t="s">
        <v>2278</v>
      </c>
      <c r="D2444" s="1">
        <v>405782.0</v>
      </c>
      <c r="E2444" s="1"/>
      <c r="F2444" s="1"/>
    </row>
    <row r="2445">
      <c r="A2445" s="1" t="s">
        <v>2337</v>
      </c>
      <c r="B2445" s="1" t="s">
        <v>2338</v>
      </c>
      <c r="D2445" s="1">
        <v>27000.0</v>
      </c>
      <c r="E2445" s="1"/>
      <c r="F2445" s="1" t="s">
        <v>275</v>
      </c>
    </row>
    <row r="2446">
      <c r="B2446" s="1" t="s">
        <v>2339</v>
      </c>
      <c r="D2446" s="1">
        <v>1.785E7</v>
      </c>
      <c r="E2446" s="1"/>
      <c r="F2446" s="1" t="s">
        <v>2292</v>
      </c>
    </row>
    <row r="2447">
      <c r="A2447" s="1" t="s">
        <v>2328</v>
      </c>
      <c r="B2447" s="1" t="s">
        <v>2019</v>
      </c>
      <c r="D2447" s="1">
        <v>522383.0</v>
      </c>
      <c r="E2447" s="1"/>
      <c r="F2447" s="1" t="s">
        <v>2340</v>
      </c>
    </row>
    <row r="2448">
      <c r="B2448" s="1" t="s">
        <v>2003</v>
      </c>
      <c r="D2448" s="1">
        <v>408343.0</v>
      </c>
      <c r="E2448" s="1"/>
      <c r="F2448" s="1" t="s">
        <v>2341</v>
      </c>
    </row>
    <row r="2449">
      <c r="B2449" s="1" t="s">
        <v>2005</v>
      </c>
      <c r="D2449" s="1">
        <v>338913.0</v>
      </c>
      <c r="E2449" s="1"/>
      <c r="F2449" s="1" t="s">
        <v>2342</v>
      </c>
    </row>
    <row r="2450">
      <c r="A2450" s="1" t="s">
        <v>2343</v>
      </c>
      <c r="B2450" s="1" t="s">
        <v>276</v>
      </c>
      <c r="D2450" s="1">
        <v>193870.0</v>
      </c>
      <c r="E2450" s="1"/>
      <c r="F2450" s="1" t="s">
        <v>275</v>
      </c>
    </row>
    <row r="2451">
      <c r="B2451" s="1" t="s">
        <v>1224</v>
      </c>
      <c r="D2451" s="1">
        <v>19380.0</v>
      </c>
      <c r="E2451" s="1"/>
      <c r="F2451" s="1" t="s">
        <v>275</v>
      </c>
    </row>
    <row r="2452">
      <c r="B2452" s="1" t="s">
        <v>2150</v>
      </c>
      <c r="D2452" s="1">
        <v>3194070.0</v>
      </c>
      <c r="E2452" s="1"/>
      <c r="F2452" s="1" t="s">
        <v>2241</v>
      </c>
    </row>
    <row r="2453">
      <c r="A2453" s="1" t="s">
        <v>2328</v>
      </c>
      <c r="B2453" s="1" t="s">
        <v>1955</v>
      </c>
      <c r="D2453" s="1">
        <v>396000.0</v>
      </c>
      <c r="E2453" s="1"/>
      <c r="F2453" s="3" t="s">
        <v>1147</v>
      </c>
    </row>
    <row r="2454">
      <c r="A2454" s="1" t="s">
        <v>2344</v>
      </c>
      <c r="B2454" s="1" t="s">
        <v>1227</v>
      </c>
      <c r="D2454" s="1">
        <v>2101002.0</v>
      </c>
      <c r="E2454" s="1"/>
      <c r="F2454" s="1"/>
    </row>
    <row r="2455">
      <c r="A2455" s="1" t="s">
        <v>2345</v>
      </c>
      <c r="B2455" s="3" t="s">
        <v>280</v>
      </c>
      <c r="D2455" s="1">
        <v>1987736.0</v>
      </c>
      <c r="E2455" s="1"/>
      <c r="F2455" s="1"/>
    </row>
    <row r="2456">
      <c r="B2456" s="1" t="s">
        <v>1769</v>
      </c>
      <c r="D2456" s="1">
        <v>1629530.0</v>
      </c>
      <c r="E2456" s="1"/>
      <c r="F2456" s="1"/>
    </row>
    <row r="2457">
      <c r="A2457" s="1" t="s">
        <v>2346</v>
      </c>
      <c r="B2457" s="3" t="s">
        <v>1021</v>
      </c>
      <c r="D2457" s="1">
        <v>1860717.0</v>
      </c>
      <c r="E2457" s="1"/>
      <c r="F2457" s="1"/>
    </row>
    <row r="2458">
      <c r="A2458" s="1" t="s">
        <v>2347</v>
      </c>
      <c r="B2458" s="1" t="s">
        <v>2348</v>
      </c>
      <c r="D2458" s="1">
        <v>350000.0</v>
      </c>
      <c r="E2458" s="1"/>
      <c r="F2458" s="1"/>
    </row>
    <row r="2459">
      <c r="A2459" s="1" t="s">
        <v>2345</v>
      </c>
      <c r="B2459" s="1" t="s">
        <v>2019</v>
      </c>
      <c r="D2459" s="1">
        <v>348255.0</v>
      </c>
      <c r="E2459" s="1"/>
      <c r="F2459" s="1" t="s">
        <v>2349</v>
      </c>
    </row>
    <row r="2460">
      <c r="B2460" s="1" t="s">
        <v>2003</v>
      </c>
      <c r="D2460" s="1">
        <v>314110.0</v>
      </c>
      <c r="E2460" s="1"/>
      <c r="F2460" s="1" t="s">
        <v>2350</v>
      </c>
    </row>
    <row r="2461">
      <c r="B2461" s="1" t="s">
        <v>2005</v>
      </c>
      <c r="D2461" s="1">
        <v>271130.0</v>
      </c>
      <c r="E2461" s="1"/>
      <c r="F2461" s="1" t="s">
        <v>2350</v>
      </c>
    </row>
    <row r="2462">
      <c r="A2462" s="1" t="s">
        <v>2346</v>
      </c>
      <c r="B2462" s="1" t="s">
        <v>1970</v>
      </c>
      <c r="D2462" s="1">
        <v>96800.0</v>
      </c>
      <c r="E2462" s="1"/>
      <c r="F2462" s="1" t="s">
        <v>2207</v>
      </c>
    </row>
    <row r="2463">
      <c r="A2463" s="1" t="s">
        <v>2346</v>
      </c>
      <c r="B2463" s="28" t="s">
        <v>1953</v>
      </c>
      <c r="D2463" s="1">
        <v>4086919.0</v>
      </c>
      <c r="E2463" s="1"/>
      <c r="F2463" s="1"/>
    </row>
    <row r="2464">
      <c r="B2464" s="3" t="s">
        <v>648</v>
      </c>
      <c r="D2464" s="1">
        <v>132000.0</v>
      </c>
      <c r="E2464" s="1"/>
      <c r="F2464" s="1"/>
    </row>
    <row r="2465">
      <c r="B2465" s="1" t="s">
        <v>2278</v>
      </c>
      <c r="D2465" s="1">
        <v>567704.0</v>
      </c>
      <c r="E2465" s="1"/>
      <c r="F2465" s="1"/>
    </row>
    <row r="2466">
      <c r="A2466" s="1" t="s">
        <v>2351</v>
      </c>
      <c r="B2466" s="1" t="s">
        <v>2019</v>
      </c>
      <c r="D2466" s="1">
        <v>425645.0</v>
      </c>
      <c r="E2466" s="1"/>
      <c r="F2466" s="1" t="s">
        <v>2352</v>
      </c>
    </row>
    <row r="2467">
      <c r="B2467" s="1" t="s">
        <v>2003</v>
      </c>
      <c r="D2467" s="1">
        <v>345521.0</v>
      </c>
      <c r="E2467" s="1"/>
      <c r="F2467" s="1" t="s">
        <v>2352</v>
      </c>
    </row>
    <row r="2468">
      <c r="B2468" s="1" t="s">
        <v>2005</v>
      </c>
      <c r="D2468" s="1">
        <v>298243.0</v>
      </c>
      <c r="E2468" s="1"/>
      <c r="F2468" s="1" t="s">
        <v>2352</v>
      </c>
    </row>
    <row r="2469">
      <c r="A2469" s="1" t="s">
        <v>2353</v>
      </c>
      <c r="B2469" s="1" t="s">
        <v>2150</v>
      </c>
      <c r="D2469" s="1">
        <v>3194070.0</v>
      </c>
      <c r="E2469" s="1"/>
      <c r="F2469" s="1" t="s">
        <v>2241</v>
      </c>
    </row>
    <row r="2470">
      <c r="A2470" s="1" t="s">
        <v>2354</v>
      </c>
      <c r="B2470" s="3" t="s">
        <v>280</v>
      </c>
      <c r="D2470" s="1">
        <v>1987736.0</v>
      </c>
      <c r="E2470" s="1"/>
      <c r="F2470" s="1"/>
    </row>
    <row r="2471">
      <c r="B2471" s="1" t="s">
        <v>1769</v>
      </c>
      <c r="D2471" s="1">
        <v>1632520.0</v>
      </c>
      <c r="E2471" s="1"/>
      <c r="F2471" s="1"/>
    </row>
    <row r="2472">
      <c r="A2472" s="1" t="s">
        <v>2355</v>
      </c>
      <c r="B2472" s="3" t="s">
        <v>1021</v>
      </c>
      <c r="D2472" s="1">
        <v>1979783.0</v>
      </c>
      <c r="E2472" s="1"/>
      <c r="F2472" s="1"/>
    </row>
    <row r="2473">
      <c r="A2473" s="1" t="s">
        <v>2356</v>
      </c>
      <c r="B2473" s="1" t="s">
        <v>2348</v>
      </c>
      <c r="D2473" s="1">
        <v>350000.0</v>
      </c>
      <c r="E2473" s="1"/>
      <c r="F2473" s="1"/>
    </row>
    <row r="2474">
      <c r="A2474" s="1" t="s">
        <v>2357</v>
      </c>
      <c r="B2474" s="1" t="s">
        <v>1972</v>
      </c>
      <c r="D2474" s="1">
        <v>96800.0</v>
      </c>
      <c r="E2474" s="1"/>
      <c r="F2474" s="1" t="s">
        <v>2207</v>
      </c>
    </row>
    <row r="2475">
      <c r="B2475" s="1" t="s">
        <v>2358</v>
      </c>
      <c r="D2475" s="1">
        <v>50000.0</v>
      </c>
      <c r="E2475" s="1"/>
      <c r="F2475" s="1"/>
    </row>
    <row r="2476">
      <c r="B2476" s="1" t="s">
        <v>2359</v>
      </c>
      <c r="D2476" s="1">
        <v>40000.0</v>
      </c>
      <c r="E2476" s="1"/>
      <c r="F2476" s="1"/>
    </row>
    <row r="2477">
      <c r="A2477" s="1" t="s">
        <v>2360</v>
      </c>
      <c r="B2477" s="28" t="s">
        <v>2008</v>
      </c>
      <c r="D2477" s="1">
        <v>4074958.0</v>
      </c>
      <c r="E2477" s="1"/>
      <c r="F2477" s="1"/>
    </row>
    <row r="2478">
      <c r="B2478" s="3" t="s">
        <v>648</v>
      </c>
      <c r="D2478" s="1">
        <v>132000.0</v>
      </c>
      <c r="E2478" s="1"/>
      <c r="F2478" s="1"/>
    </row>
    <row r="2479">
      <c r="B2479" s="1" t="s">
        <v>2278</v>
      </c>
      <c r="D2479" s="1">
        <v>264122.0</v>
      </c>
      <c r="E2479" s="1"/>
      <c r="F2479" s="1"/>
    </row>
    <row r="2480">
      <c r="A2480" s="1" t="s">
        <v>2354</v>
      </c>
      <c r="B2480" s="1" t="s">
        <v>2019</v>
      </c>
      <c r="D2480" s="1">
        <v>425645.0</v>
      </c>
      <c r="E2480" s="1"/>
      <c r="F2480" s="1" t="s">
        <v>2361</v>
      </c>
    </row>
    <row r="2481">
      <c r="B2481" s="1" t="s">
        <v>2003</v>
      </c>
      <c r="D2481" s="1">
        <v>400548.0</v>
      </c>
      <c r="E2481" s="1"/>
      <c r="F2481" s="1" t="s">
        <v>2362</v>
      </c>
    </row>
    <row r="2482">
      <c r="B2482" s="1" t="s">
        <v>2005</v>
      </c>
      <c r="D2482" s="1">
        <v>298243.0</v>
      </c>
      <c r="E2482" s="1"/>
      <c r="F2482" s="1" t="s">
        <v>2361</v>
      </c>
    </row>
    <row r="2483">
      <c r="A2483" s="1" t="s">
        <v>2363</v>
      </c>
      <c r="B2483" s="1" t="s">
        <v>2019</v>
      </c>
      <c r="D2483" s="1">
        <v>484116.0</v>
      </c>
      <c r="E2483" s="1"/>
      <c r="F2483" s="1" t="s">
        <v>2364</v>
      </c>
    </row>
    <row r="2484">
      <c r="B2484" s="1" t="s">
        <v>2003</v>
      </c>
      <c r="D2484" s="1">
        <v>400548.0</v>
      </c>
      <c r="E2484" s="1"/>
      <c r="F2484" s="1" t="s">
        <v>2365</v>
      </c>
    </row>
    <row r="2485">
      <c r="B2485" s="1" t="s">
        <v>2005</v>
      </c>
      <c r="D2485" s="1">
        <v>391664.0</v>
      </c>
      <c r="E2485" s="1"/>
      <c r="F2485" s="1" t="s">
        <v>2366</v>
      </c>
    </row>
    <row r="2486">
      <c r="A2486" s="1" t="s">
        <v>2367</v>
      </c>
      <c r="B2486" s="1" t="s">
        <v>2150</v>
      </c>
      <c r="D2486" s="1">
        <v>3735080.0</v>
      </c>
      <c r="E2486" s="1"/>
      <c r="F2486" s="1" t="s">
        <v>2241</v>
      </c>
    </row>
    <row r="2487">
      <c r="A2487" s="1" t="s">
        <v>2368</v>
      </c>
      <c r="B2487" s="3" t="s">
        <v>280</v>
      </c>
      <c r="D2487" s="1">
        <v>2477923.0</v>
      </c>
      <c r="E2487" s="1"/>
      <c r="F2487" s="1" t="s">
        <v>2369</v>
      </c>
    </row>
    <row r="2488">
      <c r="B2488" s="1" t="s">
        <v>1769</v>
      </c>
      <c r="D2488" s="1">
        <v>2028567.0</v>
      </c>
      <c r="E2488" s="1"/>
      <c r="F2488" s="1" t="s">
        <v>2369</v>
      </c>
    </row>
    <row r="2489">
      <c r="A2489" s="1" t="s">
        <v>2370</v>
      </c>
      <c r="B2489" s="3" t="s">
        <v>1021</v>
      </c>
      <c r="D2489" s="1">
        <v>2319343.0</v>
      </c>
      <c r="E2489" s="1"/>
      <c r="F2489" s="1" t="s">
        <v>2369</v>
      </c>
    </row>
    <row r="2490">
      <c r="A2490" s="1" t="s">
        <v>2371</v>
      </c>
      <c r="B2490" s="1" t="s">
        <v>2348</v>
      </c>
      <c r="D2490" s="1">
        <v>350000.0</v>
      </c>
      <c r="E2490" s="1"/>
      <c r="F2490" s="1"/>
    </row>
    <row r="2491">
      <c r="A2491" s="1" t="s">
        <v>2367</v>
      </c>
      <c r="B2491" s="1" t="s">
        <v>1978</v>
      </c>
      <c r="D2491" s="1">
        <v>96800.0</v>
      </c>
      <c r="E2491" s="1"/>
      <c r="F2491" s="1" t="s">
        <v>2207</v>
      </c>
    </row>
    <row r="2492">
      <c r="A2492" s="1" t="s">
        <v>2370</v>
      </c>
      <c r="B2492" s="28" t="s">
        <v>2008</v>
      </c>
      <c r="D2492" s="1">
        <v>4030724.0</v>
      </c>
      <c r="E2492" s="1"/>
      <c r="F2492" s="1"/>
    </row>
    <row r="2493">
      <c r="B2493" s="3" t="s">
        <v>648</v>
      </c>
      <c r="D2493" s="1">
        <v>132000.0</v>
      </c>
      <c r="E2493" s="1"/>
      <c r="F2493" s="1"/>
    </row>
    <row r="2494">
      <c r="B2494" s="1" t="s">
        <v>2278</v>
      </c>
      <c r="D2494" s="1">
        <v>294560.0</v>
      </c>
      <c r="E2494" s="1"/>
      <c r="F2494" s="1"/>
    </row>
    <row r="2495">
      <c r="A2495" s="1" t="s">
        <v>2372</v>
      </c>
      <c r="B2495" s="1" t="s">
        <v>2019</v>
      </c>
      <c r="D2495" s="1">
        <v>526213.0</v>
      </c>
      <c r="E2495" s="1"/>
      <c r="F2495" s="1" t="s">
        <v>2373</v>
      </c>
    </row>
    <row r="2496">
      <c r="B2496" s="1" t="s">
        <v>2003</v>
      </c>
      <c r="D2496" s="1">
        <v>433927.0</v>
      </c>
      <c r="E2496" s="1"/>
      <c r="F2496" s="1" t="s">
        <v>2374</v>
      </c>
    </row>
    <row r="2497">
      <c r="B2497" s="1" t="s">
        <v>2005</v>
      </c>
      <c r="D2497" s="1">
        <v>361536.0</v>
      </c>
      <c r="E2497" s="1"/>
      <c r="F2497" s="1" t="s">
        <v>2375</v>
      </c>
    </row>
    <row r="2498">
      <c r="A2498" s="1" t="s">
        <v>2376</v>
      </c>
      <c r="B2498" s="1" t="s">
        <v>2019</v>
      </c>
      <c r="D2498" s="1">
        <v>526213.0</v>
      </c>
      <c r="E2498" s="1"/>
      <c r="F2498" s="1" t="s">
        <v>2377</v>
      </c>
    </row>
    <row r="2499">
      <c r="B2499" s="1" t="s">
        <v>2003</v>
      </c>
      <c r="D2499" s="1">
        <v>400548.0</v>
      </c>
      <c r="E2499" s="1"/>
      <c r="F2499" s="1" t="s">
        <v>2378</v>
      </c>
    </row>
    <row r="2500">
      <c r="B2500" s="1" t="s">
        <v>2005</v>
      </c>
      <c r="D2500" s="1">
        <v>391664.0</v>
      </c>
      <c r="E2500" s="1"/>
      <c r="F2500" s="1" t="s">
        <v>2379</v>
      </c>
    </row>
    <row r="2501">
      <c r="A2501" s="1" t="s">
        <v>2380</v>
      </c>
      <c r="B2501" s="1" t="s">
        <v>2150</v>
      </c>
      <c r="D2501" s="1">
        <v>3734860.0</v>
      </c>
      <c r="E2501" s="1"/>
      <c r="F2501" s="1" t="s">
        <v>2241</v>
      </c>
    </row>
    <row r="2502">
      <c r="A2502" s="1" t="s">
        <v>2381</v>
      </c>
      <c r="B2502" s="3" t="s">
        <v>280</v>
      </c>
      <c r="D2502" s="1">
        <v>2083433.0</v>
      </c>
      <c r="E2502" s="1"/>
    </row>
    <row r="2503">
      <c r="B2503" s="1" t="s">
        <v>1769</v>
      </c>
      <c r="D2503" s="1">
        <v>1762607.0</v>
      </c>
      <c r="E2503" s="1"/>
    </row>
    <row r="2504">
      <c r="A2504" s="1" t="s">
        <v>2382</v>
      </c>
      <c r="B2504" s="3" t="s">
        <v>1021</v>
      </c>
      <c r="D2504" s="1">
        <v>1923113.0</v>
      </c>
      <c r="E2504" s="1"/>
    </row>
    <row r="2505">
      <c r="A2505" s="1" t="s">
        <v>2383</v>
      </c>
      <c r="B2505" s="1" t="s">
        <v>2348</v>
      </c>
      <c r="D2505" s="1">
        <v>350000.0</v>
      </c>
      <c r="E2505" s="1"/>
      <c r="F2505" s="1"/>
    </row>
    <row r="2506">
      <c r="A2506" s="1" t="s">
        <v>2384</v>
      </c>
      <c r="B2506" s="1" t="s">
        <v>1808</v>
      </c>
      <c r="D2506" s="1">
        <v>250000.0</v>
      </c>
      <c r="E2506" s="1"/>
      <c r="F2506" s="3" t="s">
        <v>1147</v>
      </c>
    </row>
    <row r="2507">
      <c r="A2507" s="1" t="s">
        <v>2385</v>
      </c>
      <c r="B2507" s="1" t="s">
        <v>1987</v>
      </c>
      <c r="D2507" s="1">
        <v>96800.0</v>
      </c>
      <c r="E2507" s="1"/>
      <c r="F2507" s="1" t="s">
        <v>2207</v>
      </c>
    </row>
    <row r="2508">
      <c r="A2508" s="1" t="s">
        <v>2382</v>
      </c>
      <c r="B2508" s="28" t="s">
        <v>2008</v>
      </c>
      <c r="D2508" s="1">
        <v>4004778.0</v>
      </c>
      <c r="E2508" s="1"/>
      <c r="F2508" s="1"/>
    </row>
    <row r="2509">
      <c r="B2509" s="3" t="s">
        <v>648</v>
      </c>
      <c r="D2509" s="1">
        <v>132000.0</v>
      </c>
      <c r="E2509" s="1"/>
      <c r="F2509" s="1"/>
    </row>
    <row r="2510" ht="39.0" customHeight="1">
      <c r="B2510" s="1" t="s">
        <v>2278</v>
      </c>
      <c r="D2510" s="1">
        <v>512580.0</v>
      </c>
      <c r="E2510" s="1"/>
      <c r="F2510" s="1"/>
    </row>
    <row r="2511">
      <c r="A2511" s="1" t="s">
        <v>2381</v>
      </c>
      <c r="B2511" s="1" t="s">
        <v>2019</v>
      </c>
      <c r="D2511" s="1">
        <v>357825.0</v>
      </c>
      <c r="E2511" s="1"/>
      <c r="F2511" s="1" t="s">
        <v>2386</v>
      </c>
    </row>
    <row r="2512">
      <c r="B2512" s="1" t="s">
        <v>2003</v>
      </c>
      <c r="D2512" s="1">
        <v>367169.0</v>
      </c>
      <c r="E2512" s="1"/>
      <c r="F2512" s="1" t="s">
        <v>2387</v>
      </c>
    </row>
    <row r="2513">
      <c r="B2513" s="1" t="s">
        <v>2005</v>
      </c>
      <c r="D2513" s="1">
        <v>331408.0</v>
      </c>
      <c r="E2513" s="1"/>
      <c r="F2513" s="1" t="s">
        <v>2387</v>
      </c>
    </row>
    <row r="2514">
      <c r="A2514" s="1" t="s">
        <v>2388</v>
      </c>
      <c r="B2514" s="1" t="s">
        <v>2019</v>
      </c>
      <c r="D2514" s="1">
        <v>420970.0</v>
      </c>
      <c r="E2514" s="1"/>
      <c r="F2514" s="1" t="s">
        <v>2389</v>
      </c>
    </row>
    <row r="2515">
      <c r="B2515" s="1" t="s">
        <v>2003</v>
      </c>
      <c r="D2515" s="2">
        <v>367169.0</v>
      </c>
      <c r="E2515" s="2"/>
      <c r="F2515" s="2" t="s">
        <v>2390</v>
      </c>
      <c r="G2515" s="29">
        <f>333790-367169</f>
        <v>-33379</v>
      </c>
      <c r="H2515" s="29">
        <f>G2515/33379</f>
        <v>-1</v>
      </c>
    </row>
    <row r="2516">
      <c r="B2516" s="1" t="s">
        <v>2005</v>
      </c>
      <c r="D2516" s="2">
        <v>331408.0</v>
      </c>
      <c r="E2516" s="2"/>
      <c r="F2516" s="2" t="s">
        <v>2391</v>
      </c>
      <c r="G2516" s="29">
        <f>286216-331408</f>
        <v>-45192</v>
      </c>
      <c r="H2516" s="29">
        <f>G2516/30128</f>
        <v>-1.5</v>
      </c>
    </row>
    <row r="2517">
      <c r="A2517" s="1" t="s">
        <v>2392</v>
      </c>
      <c r="B2517" s="1" t="s">
        <v>2393</v>
      </c>
      <c r="D2517" s="1">
        <v>506000.0</v>
      </c>
      <c r="E2517" s="1"/>
      <c r="F2517" s="3" t="s">
        <v>1147</v>
      </c>
    </row>
    <row r="2518">
      <c r="A2518" s="1" t="s">
        <v>2394</v>
      </c>
      <c r="B2518" s="3" t="s">
        <v>280</v>
      </c>
      <c r="D2518" s="1">
        <v>2100423.0</v>
      </c>
      <c r="E2518" s="1"/>
      <c r="F2518" s="1"/>
    </row>
    <row r="2519">
      <c r="B2519" s="1" t="s">
        <v>1769</v>
      </c>
      <c r="D2519" s="1">
        <v>1764677.0</v>
      </c>
      <c r="E2519" s="1"/>
      <c r="F2519" s="1"/>
    </row>
    <row r="2520">
      <c r="A2520" s="1" t="s">
        <v>2395</v>
      </c>
      <c r="B2520" s="3" t="s">
        <v>1021</v>
      </c>
      <c r="D2520" s="1">
        <v>2053673.0</v>
      </c>
      <c r="E2520" s="1"/>
      <c r="F2520" s="1"/>
    </row>
    <row r="2521">
      <c r="A2521" s="1" t="s">
        <v>2396</v>
      </c>
      <c r="B2521" s="1" t="s">
        <v>2348</v>
      </c>
      <c r="D2521" s="1">
        <v>350000.0</v>
      </c>
      <c r="E2521" s="1"/>
      <c r="F2521" s="1"/>
    </row>
    <row r="2522">
      <c r="A2522" s="1" t="s">
        <v>2397</v>
      </c>
      <c r="B2522" s="1" t="s">
        <v>276</v>
      </c>
      <c r="D2522" s="1">
        <v>113370.0</v>
      </c>
      <c r="E2522" s="1"/>
      <c r="F2522" s="1"/>
    </row>
    <row r="2523">
      <c r="B2523" s="1" t="s">
        <v>1224</v>
      </c>
      <c r="D2523" s="1">
        <v>11450.0</v>
      </c>
      <c r="E2523" s="1"/>
      <c r="F2523" s="1"/>
    </row>
    <row r="2524">
      <c r="B2524" s="1" t="s">
        <v>2024</v>
      </c>
      <c r="D2524" s="1">
        <v>96800.0</v>
      </c>
      <c r="E2524" s="1"/>
      <c r="F2524" s="1" t="s">
        <v>2207</v>
      </c>
    </row>
    <row r="2525">
      <c r="A2525" s="1" t="s">
        <v>2398</v>
      </c>
      <c r="B2525" s="1" t="s">
        <v>2150</v>
      </c>
      <c r="D2525" s="1">
        <v>3734860.0</v>
      </c>
      <c r="E2525" s="1"/>
      <c r="F2525" s="1" t="s">
        <v>2241</v>
      </c>
    </row>
    <row r="2526">
      <c r="A2526" s="1" t="s">
        <v>2399</v>
      </c>
      <c r="B2526" s="1" t="s">
        <v>2400</v>
      </c>
      <c r="D2526" s="1">
        <v>60000.0</v>
      </c>
      <c r="E2526" s="1"/>
      <c r="F2526" s="1"/>
    </row>
    <row r="2527">
      <c r="B2527" s="1" t="s">
        <v>2401</v>
      </c>
      <c r="D2527" s="1">
        <v>290400.0</v>
      </c>
      <c r="E2527" s="1"/>
      <c r="F2527" s="1" t="s">
        <v>2402</v>
      </c>
    </row>
    <row r="2528">
      <c r="A2528" s="1" t="s">
        <v>2403</v>
      </c>
      <c r="B2528" s="1" t="s">
        <v>2019</v>
      </c>
      <c r="D2528" s="1">
        <v>505164.0</v>
      </c>
      <c r="E2528" s="1"/>
      <c r="F2528" s="1" t="s">
        <v>2404</v>
      </c>
    </row>
    <row r="2529">
      <c r="B2529" s="1" t="s">
        <v>2003</v>
      </c>
      <c r="D2529" s="1">
        <v>362290.0</v>
      </c>
      <c r="E2529" s="1"/>
      <c r="F2529" s="1" t="s">
        <v>2405</v>
      </c>
      <c r="G2529" s="1" t="s">
        <v>2406</v>
      </c>
    </row>
    <row r="2530">
      <c r="B2530" s="1" t="s">
        <v>2005</v>
      </c>
      <c r="D2530" s="1">
        <v>316344.0</v>
      </c>
      <c r="E2530" s="1"/>
      <c r="F2530" s="1" t="s">
        <v>2404</v>
      </c>
      <c r="G2530" s="1" t="s">
        <v>2407</v>
      </c>
    </row>
    <row r="2531">
      <c r="A2531" s="1" t="s">
        <v>2408</v>
      </c>
      <c r="B2531" s="28" t="s">
        <v>2008</v>
      </c>
      <c r="D2531" s="1">
        <v>4039805.0</v>
      </c>
      <c r="E2531" s="1"/>
      <c r="F2531" s="1"/>
    </row>
    <row r="2532">
      <c r="B2532" s="3" t="s">
        <v>648</v>
      </c>
      <c r="D2532" s="1">
        <v>132000.0</v>
      </c>
      <c r="E2532" s="1"/>
      <c r="F2532" s="1"/>
    </row>
    <row r="2533">
      <c r="B2533" s="30" t="s">
        <v>2278</v>
      </c>
      <c r="C2533" s="31"/>
      <c r="D2533" s="30">
        <v>368616.0</v>
      </c>
      <c r="E2533" s="30"/>
      <c r="F2533" s="1"/>
    </row>
    <row r="2534">
      <c r="A2534" s="1" t="s">
        <v>2409</v>
      </c>
      <c r="B2534" s="1" t="s">
        <v>2410</v>
      </c>
      <c r="D2534" s="1">
        <v>2.01005E7</v>
      </c>
      <c r="E2534" s="1"/>
      <c r="F2534" s="1" t="s">
        <v>2411</v>
      </c>
    </row>
    <row r="2535">
      <c r="B2535" s="1" t="s">
        <v>1224</v>
      </c>
      <c r="D2535" s="1">
        <v>7530470.0</v>
      </c>
      <c r="E2535" s="1"/>
      <c r="F2535" s="1" t="s">
        <v>2412</v>
      </c>
    </row>
    <row r="2536">
      <c r="B2536" s="1" t="s">
        <v>651</v>
      </c>
      <c r="D2536" s="1">
        <v>1601710.0</v>
      </c>
      <c r="E2536" s="1"/>
      <c r="F2536" s="1" t="s">
        <v>2413</v>
      </c>
    </row>
    <row r="2537">
      <c r="B2537" s="1" t="s">
        <v>2218</v>
      </c>
      <c r="D2537" s="1">
        <v>1234453.0</v>
      </c>
      <c r="E2537" s="1"/>
      <c r="F2537" s="1" t="s">
        <v>2413</v>
      </c>
    </row>
    <row r="2538">
      <c r="A2538" s="1" t="s">
        <v>2414</v>
      </c>
      <c r="B2538" s="1" t="s">
        <v>2019</v>
      </c>
      <c r="D2538" s="1">
        <v>484116.0</v>
      </c>
      <c r="E2538" s="1"/>
      <c r="F2538" s="1" t="s">
        <v>2415</v>
      </c>
    </row>
    <row r="2539">
      <c r="B2539" s="1" t="s">
        <v>2003</v>
      </c>
      <c r="D2539" s="1">
        <v>395669.0</v>
      </c>
      <c r="E2539" s="1"/>
      <c r="F2539" s="1" t="s">
        <v>2415</v>
      </c>
    </row>
    <row r="2540">
      <c r="B2540" s="1" t="s">
        <v>2005</v>
      </c>
      <c r="D2540" s="1">
        <v>346472.0</v>
      </c>
      <c r="E2540" s="1"/>
      <c r="F2540" s="1" t="s">
        <v>2415</v>
      </c>
    </row>
    <row r="2541">
      <c r="A2541" s="1" t="s">
        <v>2416</v>
      </c>
      <c r="B2541" s="3" t="s">
        <v>280</v>
      </c>
      <c r="D2541" s="1">
        <v>2094773.0</v>
      </c>
      <c r="E2541" s="1"/>
      <c r="F2541" s="1"/>
    </row>
    <row r="2542">
      <c r="B2542" s="1" t="s">
        <v>1769</v>
      </c>
      <c r="D2542" s="1">
        <v>1771757.0</v>
      </c>
      <c r="E2542" s="1"/>
      <c r="F2542" s="1"/>
    </row>
    <row r="2543">
      <c r="A2543" s="1" t="s">
        <v>2417</v>
      </c>
      <c r="B2543" s="3" t="s">
        <v>1021</v>
      </c>
      <c r="D2543" s="1">
        <v>1932573.0</v>
      </c>
      <c r="E2543" s="1"/>
      <c r="F2543" s="1"/>
    </row>
    <row r="2544">
      <c r="A2544" s="1" t="s">
        <v>2418</v>
      </c>
      <c r="B2544" s="1" t="s">
        <v>2348</v>
      </c>
      <c r="D2544" s="1">
        <v>350000.0</v>
      </c>
      <c r="E2544" s="1"/>
      <c r="F2544" s="1"/>
    </row>
    <row r="2545">
      <c r="A2545" s="1" t="s">
        <v>2419</v>
      </c>
      <c r="B2545" s="1" t="s">
        <v>774</v>
      </c>
      <c r="D2545" s="1">
        <v>258800.0</v>
      </c>
      <c r="E2545" s="1"/>
      <c r="F2545" s="1" t="s">
        <v>275</v>
      </c>
      <c r="G2545" s="1" t="s">
        <v>2420</v>
      </c>
    </row>
    <row r="2546">
      <c r="B2546" s="1" t="s">
        <v>1224</v>
      </c>
      <c r="D2546" s="1">
        <v>25860.0</v>
      </c>
      <c r="E2546" s="1"/>
      <c r="F2546" s="1" t="s">
        <v>275</v>
      </c>
      <c r="G2546" s="1" t="s">
        <v>2421</v>
      </c>
    </row>
    <row r="2547">
      <c r="A2547" s="1" t="s">
        <v>2422</v>
      </c>
      <c r="B2547" s="1" t="s">
        <v>2019</v>
      </c>
      <c r="D2547" s="1">
        <v>526213.0</v>
      </c>
      <c r="E2547" s="1"/>
      <c r="F2547" s="1" t="s">
        <v>2423</v>
      </c>
    </row>
    <row r="2548">
      <c r="B2548" s="1" t="s">
        <v>2003</v>
      </c>
      <c r="D2548" s="1">
        <v>447278.0</v>
      </c>
      <c r="E2548" s="1"/>
      <c r="F2548" s="1" t="s">
        <v>2424</v>
      </c>
    </row>
    <row r="2549">
      <c r="B2549" s="1" t="s">
        <v>2005</v>
      </c>
      <c r="D2549" s="1">
        <v>391664.0</v>
      </c>
      <c r="E2549" s="1"/>
      <c r="F2549" s="1" t="s">
        <v>2424</v>
      </c>
    </row>
    <row r="2550">
      <c r="A2550" s="1" t="s">
        <v>2425</v>
      </c>
      <c r="B2550" s="3" t="s">
        <v>1331</v>
      </c>
      <c r="D2550" s="1">
        <v>212540.0</v>
      </c>
      <c r="E2550" s="1"/>
      <c r="F2550" s="1" t="s">
        <v>1995</v>
      </c>
    </row>
    <row r="2551">
      <c r="B2551" s="1" t="s">
        <v>2039</v>
      </c>
      <c r="D2551" s="1">
        <v>96800.0</v>
      </c>
      <c r="E2551" s="1"/>
      <c r="F2551" s="1" t="s">
        <v>2207</v>
      </c>
    </row>
    <row r="2552">
      <c r="A2552" s="1" t="s">
        <v>2419</v>
      </c>
      <c r="B2552" s="1" t="s">
        <v>2150</v>
      </c>
      <c r="D2552" s="1">
        <v>3516080.0</v>
      </c>
      <c r="E2552" s="1"/>
      <c r="F2552" s="1" t="s">
        <v>2241</v>
      </c>
    </row>
    <row r="2553">
      <c r="A2553" s="1" t="s">
        <v>2426</v>
      </c>
      <c r="B2553" s="28" t="s">
        <v>2008</v>
      </c>
      <c r="D2553" s="1">
        <v>4101788.0</v>
      </c>
      <c r="E2553" s="1"/>
      <c r="F2553" s="1"/>
    </row>
    <row r="2554">
      <c r="B2554" s="3" t="s">
        <v>648</v>
      </c>
      <c r="D2554" s="1">
        <v>132000.0</v>
      </c>
      <c r="E2554" s="1"/>
      <c r="F2554" s="1"/>
    </row>
    <row r="2555">
      <c r="A2555" s="1" t="s">
        <v>2426</v>
      </c>
      <c r="B2555" s="30" t="s">
        <v>2427</v>
      </c>
      <c r="C2555" s="31"/>
      <c r="D2555" s="30">
        <v>151284.0</v>
      </c>
      <c r="E2555" s="30"/>
      <c r="F2555" s="1" t="s">
        <v>2428</v>
      </c>
    </row>
    <row r="2556">
      <c r="A2556" s="1" t="s">
        <v>2429</v>
      </c>
      <c r="B2556" s="1" t="s">
        <v>2019</v>
      </c>
      <c r="D2556" s="1">
        <v>420970.0</v>
      </c>
      <c r="E2556" s="1"/>
      <c r="F2556" s="1" t="s">
        <v>2430</v>
      </c>
    </row>
    <row r="2557">
      <c r="B2557" s="1" t="s">
        <v>2003</v>
      </c>
      <c r="D2557" s="1">
        <v>378466.0</v>
      </c>
      <c r="E2557" s="1"/>
      <c r="F2557" s="1" t="s">
        <v>2431</v>
      </c>
    </row>
    <row r="2558">
      <c r="B2558" s="1" t="s">
        <v>2005</v>
      </c>
      <c r="D2558" s="1">
        <v>316344.0</v>
      </c>
      <c r="E2558" s="1"/>
      <c r="F2558" s="1" t="s">
        <v>2432</v>
      </c>
    </row>
    <row r="2559">
      <c r="A2559" s="1" t="s">
        <v>2433</v>
      </c>
      <c r="B2559" s="1" t="s">
        <v>2434</v>
      </c>
      <c r="D2559" s="32">
        <f>1936123-1932573</f>
        <v>3550</v>
      </c>
      <c r="E2559" s="32"/>
      <c r="F2559" s="12" t="s">
        <v>2435</v>
      </c>
    </row>
    <row r="2560">
      <c r="A2560" s="1" t="s">
        <v>2436</v>
      </c>
      <c r="B2560" s="1" t="s">
        <v>774</v>
      </c>
      <c r="D2560" s="1">
        <v>254700.0</v>
      </c>
      <c r="E2560" s="1"/>
      <c r="F2560" s="1" t="s">
        <v>275</v>
      </c>
      <c r="G2560" s="1" t="s">
        <v>2420</v>
      </c>
    </row>
    <row r="2561">
      <c r="B2561" s="1" t="s">
        <v>1224</v>
      </c>
      <c r="D2561" s="1">
        <v>25450.0</v>
      </c>
      <c r="E2561" s="1"/>
      <c r="F2561" s="1" t="s">
        <v>275</v>
      </c>
      <c r="G2561" s="1" t="s">
        <v>2421</v>
      </c>
    </row>
    <row r="2562">
      <c r="A2562" s="1" t="s">
        <v>2437</v>
      </c>
      <c r="B2562" s="3" t="s">
        <v>280</v>
      </c>
      <c r="D2562" s="1">
        <v>2066053.0</v>
      </c>
      <c r="E2562" s="1"/>
      <c r="F2562" s="1"/>
    </row>
    <row r="2563">
      <c r="B2563" s="1" t="s">
        <v>1769</v>
      </c>
      <c r="D2563" s="1">
        <v>1752317.0</v>
      </c>
      <c r="E2563" s="1"/>
      <c r="F2563" s="1"/>
    </row>
    <row r="2564">
      <c r="A2564" s="1" t="s">
        <v>2438</v>
      </c>
      <c r="B2564" s="3" t="s">
        <v>1021</v>
      </c>
      <c r="D2564" s="1">
        <v>1973183.0</v>
      </c>
      <c r="E2564" s="1"/>
      <c r="F2564" s="1"/>
    </row>
    <row r="2565">
      <c r="A2565" s="1" t="s">
        <v>2439</v>
      </c>
      <c r="B2565" s="1" t="s">
        <v>2348</v>
      </c>
      <c r="D2565" s="1">
        <v>350000.0</v>
      </c>
      <c r="E2565" s="1"/>
      <c r="F2565" s="1"/>
    </row>
    <row r="2566">
      <c r="A2566" s="1" t="s">
        <v>2437</v>
      </c>
      <c r="B2566" s="1" t="s">
        <v>2053</v>
      </c>
      <c r="D2566" s="1">
        <v>96800.0</v>
      </c>
      <c r="E2566" s="1"/>
      <c r="F2566" s="1" t="s">
        <v>2207</v>
      </c>
    </row>
    <row r="2567">
      <c r="A2567" s="1" t="s">
        <v>2437</v>
      </c>
      <c r="B2567" s="1" t="s">
        <v>2019</v>
      </c>
      <c r="D2567" s="1">
        <v>378873.0</v>
      </c>
      <c r="E2567" s="1"/>
      <c r="F2567" s="1" t="s">
        <v>2243</v>
      </c>
    </row>
    <row r="2568">
      <c r="B2568" s="1" t="s">
        <v>2003</v>
      </c>
      <c r="D2568" s="1">
        <v>309654.0</v>
      </c>
      <c r="E2568" s="1"/>
      <c r="F2568" s="1" t="s">
        <v>2243</v>
      </c>
    </row>
    <row r="2569">
      <c r="B2569" s="1" t="s">
        <v>2005</v>
      </c>
      <c r="D2569" s="1">
        <v>271152.0</v>
      </c>
      <c r="E2569" s="1"/>
      <c r="F2569" s="1" t="s">
        <v>2243</v>
      </c>
    </row>
    <row r="2570">
      <c r="A2570" s="1" t="s">
        <v>2439</v>
      </c>
      <c r="B2570" s="1" t="s">
        <v>2440</v>
      </c>
      <c r="D2570" s="1">
        <v>1.961908E7</v>
      </c>
      <c r="E2570" s="1"/>
      <c r="F2570" s="1" t="s">
        <v>275</v>
      </c>
    </row>
    <row r="2571">
      <c r="B2571" s="1" t="s">
        <v>69</v>
      </c>
      <c r="D2571" s="1">
        <v>62500.0</v>
      </c>
      <c r="E2571" s="1"/>
      <c r="F2571" s="1" t="s">
        <v>275</v>
      </c>
    </row>
    <row r="2572">
      <c r="A2572" s="1" t="s">
        <v>2441</v>
      </c>
      <c r="B2572" s="1" t="s">
        <v>2150</v>
      </c>
      <c r="D2572" s="1">
        <v>4345080.0</v>
      </c>
      <c r="E2572" s="1"/>
      <c r="F2572" s="1" t="s">
        <v>2241</v>
      </c>
    </row>
    <row r="2573">
      <c r="A2573" s="1" t="s">
        <v>2438</v>
      </c>
      <c r="B2573" s="28" t="s">
        <v>2008</v>
      </c>
      <c r="D2573" s="1">
        <v>4053218.0</v>
      </c>
      <c r="E2573" s="1"/>
      <c r="F2573" s="1"/>
    </row>
    <row r="2574">
      <c r="B2574" s="3" t="s">
        <v>648</v>
      </c>
      <c r="D2574" s="1">
        <v>132000.0</v>
      </c>
      <c r="E2574" s="1"/>
      <c r="F2574" s="1"/>
    </row>
    <row r="2575">
      <c r="A2575" s="1" t="s">
        <v>2438</v>
      </c>
      <c r="B2575" s="30" t="s">
        <v>2442</v>
      </c>
      <c r="C2575" s="31"/>
      <c r="D2575" s="30">
        <v>119560.0</v>
      </c>
      <c r="E2575" s="30"/>
      <c r="F2575" s="1" t="s">
        <v>2428</v>
      </c>
    </row>
    <row r="2576">
      <c r="A2576" s="1" t="s">
        <v>2443</v>
      </c>
      <c r="B2576" s="1" t="s">
        <v>2019</v>
      </c>
      <c r="D2576" s="1">
        <v>547261.0</v>
      </c>
      <c r="E2576" s="1"/>
      <c r="F2576" s="1" t="s">
        <v>2248</v>
      </c>
    </row>
    <row r="2577">
      <c r="B2577" s="1" t="s">
        <v>2003</v>
      </c>
      <c r="D2577" s="1">
        <v>464481.0</v>
      </c>
      <c r="E2577" s="1"/>
      <c r="F2577" s="1" t="s">
        <v>2444</v>
      </c>
    </row>
    <row r="2578">
      <c r="B2578" s="1" t="s">
        <v>2005</v>
      </c>
      <c r="D2578" s="1">
        <v>421792.0</v>
      </c>
      <c r="E2578" s="1"/>
      <c r="F2578" s="1" t="s">
        <v>2445</v>
      </c>
    </row>
    <row r="2579">
      <c r="A2579" s="1" t="s">
        <v>2446</v>
      </c>
      <c r="B2579" s="3" t="s">
        <v>280</v>
      </c>
      <c r="D2579" s="1">
        <v>2094323.0</v>
      </c>
      <c r="E2579" s="1"/>
      <c r="F2579" s="1"/>
    </row>
    <row r="2580">
      <c r="B2580" s="1" t="s">
        <v>1769</v>
      </c>
      <c r="D2580" s="1">
        <v>1767407.0</v>
      </c>
      <c r="E2580" s="1"/>
      <c r="F2580" s="1"/>
    </row>
    <row r="2581">
      <c r="A2581" s="1" t="s">
        <v>2447</v>
      </c>
      <c r="B2581" s="3" t="s">
        <v>1021</v>
      </c>
      <c r="D2581" s="1">
        <v>1988763.0</v>
      </c>
      <c r="E2581" s="1"/>
      <c r="F2581" s="1"/>
    </row>
    <row r="2582">
      <c r="A2582" s="1" t="s">
        <v>2448</v>
      </c>
      <c r="B2582" s="1" t="s">
        <v>2348</v>
      </c>
      <c r="D2582" s="1">
        <v>350000.0</v>
      </c>
      <c r="E2582" s="1"/>
      <c r="F2582" s="1"/>
    </row>
    <row r="2583">
      <c r="B2583" s="1" t="s">
        <v>2449</v>
      </c>
      <c r="D2583" s="1">
        <v>100000.0</v>
      </c>
      <c r="E2583" s="1"/>
      <c r="F2583" s="1"/>
    </row>
    <row r="2584">
      <c r="A2584" s="1" t="s">
        <v>2446</v>
      </c>
      <c r="B2584" s="1" t="s">
        <v>2068</v>
      </c>
      <c r="D2584" s="1">
        <v>96800.0</v>
      </c>
      <c r="E2584" s="1"/>
      <c r="F2584" s="1" t="s">
        <v>2207</v>
      </c>
    </row>
    <row r="2585">
      <c r="A2585" s="1" t="s">
        <v>2450</v>
      </c>
      <c r="B2585" s="1" t="s">
        <v>774</v>
      </c>
      <c r="D2585" s="1">
        <v>282020.0</v>
      </c>
      <c r="E2585" s="1"/>
      <c r="F2585" s="1" t="s">
        <v>275</v>
      </c>
      <c r="G2585" s="1" t="s">
        <v>2420</v>
      </c>
    </row>
    <row r="2586">
      <c r="B2586" s="1" t="s">
        <v>1224</v>
      </c>
      <c r="D2586" s="1">
        <v>28180.0</v>
      </c>
      <c r="E2586" s="1"/>
      <c r="F2586" s="1" t="s">
        <v>275</v>
      </c>
      <c r="G2586" s="1" t="s">
        <v>2421</v>
      </c>
    </row>
    <row r="2587">
      <c r="A2587" s="1" t="s">
        <v>2451</v>
      </c>
      <c r="B2587" s="1" t="s">
        <v>2019</v>
      </c>
      <c r="D2587" s="1">
        <v>357825.0</v>
      </c>
      <c r="E2587" s="1"/>
      <c r="F2587" s="1" t="s">
        <v>2452</v>
      </c>
    </row>
    <row r="2588">
      <c r="B2588" s="1" t="s">
        <v>2003</v>
      </c>
      <c r="D2588" s="1">
        <v>175248.0</v>
      </c>
      <c r="E2588" s="1"/>
      <c r="F2588" s="1" t="s">
        <v>2453</v>
      </c>
    </row>
    <row r="2589">
      <c r="B2589" s="1" t="s">
        <v>2005</v>
      </c>
      <c r="D2589" s="1">
        <v>171152.0</v>
      </c>
      <c r="E2589" s="1"/>
      <c r="F2589" s="1" t="s">
        <v>2454</v>
      </c>
    </row>
    <row r="2590">
      <c r="A2590" s="1" t="s">
        <v>2455</v>
      </c>
      <c r="B2590" s="1" t="s">
        <v>2456</v>
      </c>
      <c r="D2590" s="1">
        <v>73200.0</v>
      </c>
      <c r="E2590" s="1"/>
      <c r="F2590" s="1" t="s">
        <v>2457</v>
      </c>
    </row>
    <row r="2591">
      <c r="A2591" s="1" t="s">
        <v>2458</v>
      </c>
      <c r="B2591" s="1" t="s">
        <v>2150</v>
      </c>
      <c r="D2591" s="1">
        <v>4345000.0</v>
      </c>
      <c r="E2591" s="1"/>
      <c r="F2591" s="1" t="s">
        <v>2241</v>
      </c>
    </row>
    <row r="2592">
      <c r="A2592" s="1" t="s">
        <v>2459</v>
      </c>
      <c r="B2592" s="28" t="s">
        <v>2008</v>
      </c>
      <c r="D2592" s="1">
        <v>4091294.0</v>
      </c>
      <c r="E2592" s="1"/>
      <c r="F2592" s="1"/>
    </row>
    <row r="2593">
      <c r="B2593" s="3" t="s">
        <v>648</v>
      </c>
      <c r="D2593" s="1">
        <v>132000.0</v>
      </c>
      <c r="E2593" s="1"/>
      <c r="F2593" s="1"/>
    </row>
    <row r="2594">
      <c r="B2594" s="30" t="s">
        <v>2460</v>
      </c>
      <c r="C2594" s="31"/>
      <c r="D2594" s="30">
        <v>103303.0</v>
      </c>
      <c r="E2594" s="30"/>
      <c r="F2594" s="1" t="s">
        <v>2428</v>
      </c>
    </row>
    <row r="2595">
      <c r="A2595" s="1" t="s">
        <v>2461</v>
      </c>
      <c r="B2595" s="1" t="s">
        <v>2019</v>
      </c>
      <c r="D2595" s="1">
        <v>526213.0</v>
      </c>
      <c r="E2595" s="1"/>
      <c r="F2595" s="1" t="s">
        <v>2462</v>
      </c>
    </row>
    <row r="2596">
      <c r="B2596" s="1" t="s">
        <v>2003</v>
      </c>
      <c r="D2596" s="1">
        <v>347278.0</v>
      </c>
      <c r="E2596" s="1"/>
      <c r="F2596" s="1" t="s">
        <v>2463</v>
      </c>
    </row>
    <row r="2597">
      <c r="B2597" s="1" t="s">
        <v>2005</v>
      </c>
      <c r="D2597" s="1">
        <v>276600.0</v>
      </c>
      <c r="E2597" s="1"/>
      <c r="F2597" s="1" t="s">
        <v>2464</v>
      </c>
    </row>
    <row r="2598">
      <c r="A2598" s="1" t="s">
        <v>2465</v>
      </c>
      <c r="B2598" s="1" t="s">
        <v>2393</v>
      </c>
      <c r="D2598" s="1">
        <v>506000.0</v>
      </c>
      <c r="E2598" s="1"/>
      <c r="F2598" s="3" t="s">
        <v>1147</v>
      </c>
    </row>
    <row r="2599">
      <c r="A2599" s="1" t="s">
        <v>2466</v>
      </c>
      <c r="B2599" s="1" t="s">
        <v>2467</v>
      </c>
      <c r="D2599" s="1">
        <v>20000.0</v>
      </c>
      <c r="E2599" s="1"/>
      <c r="F2599" s="1" t="s">
        <v>2468</v>
      </c>
    </row>
    <row r="2600">
      <c r="B2600" s="1" t="s">
        <v>2083</v>
      </c>
      <c r="D2600" s="1">
        <v>96800.0</v>
      </c>
      <c r="E2600" s="1"/>
      <c r="F2600" s="1" t="s">
        <v>2207</v>
      </c>
    </row>
    <row r="2601">
      <c r="B2601" s="1" t="s">
        <v>774</v>
      </c>
      <c r="D2601" s="1">
        <v>231470.0</v>
      </c>
      <c r="E2601" s="1"/>
      <c r="F2601" s="1" t="s">
        <v>275</v>
      </c>
      <c r="G2601" s="1" t="s">
        <v>2420</v>
      </c>
    </row>
    <row r="2602">
      <c r="B2602" s="1" t="s">
        <v>1224</v>
      </c>
      <c r="D2602" s="1">
        <v>23130.0</v>
      </c>
      <c r="E2602" s="1"/>
      <c r="F2602" s="1" t="s">
        <v>275</v>
      </c>
      <c r="G2602" s="1" t="s">
        <v>2421</v>
      </c>
    </row>
    <row r="2603">
      <c r="A2603" s="1" t="s">
        <v>2469</v>
      </c>
      <c r="B2603" s="3" t="s">
        <v>280</v>
      </c>
      <c r="D2603" s="1">
        <v>2164473.0</v>
      </c>
      <c r="E2603" s="1"/>
      <c r="F2603" s="1"/>
    </row>
    <row r="2604">
      <c r="B2604" s="1" t="s">
        <v>1769</v>
      </c>
      <c r="D2604" s="1">
        <v>1796337.0</v>
      </c>
      <c r="E2604" s="1"/>
      <c r="F2604" s="1"/>
    </row>
    <row r="2605">
      <c r="A2605" s="1" t="s">
        <v>2470</v>
      </c>
      <c r="B2605" s="3" t="s">
        <v>1021</v>
      </c>
      <c r="D2605" s="1">
        <v>2023573.0</v>
      </c>
      <c r="E2605" s="1"/>
      <c r="F2605" s="1"/>
    </row>
    <row r="2606">
      <c r="A2606" s="1" t="s">
        <v>2471</v>
      </c>
      <c r="B2606" s="1" t="s">
        <v>2348</v>
      </c>
      <c r="D2606" s="1">
        <v>350000.0</v>
      </c>
      <c r="E2606" s="1"/>
      <c r="F2606" s="1"/>
    </row>
    <row r="2607">
      <c r="A2607" s="1" t="s">
        <v>2472</v>
      </c>
      <c r="B2607" s="1" t="s">
        <v>2019</v>
      </c>
      <c r="D2607" s="1">
        <v>442019.0</v>
      </c>
      <c r="E2607" s="1"/>
      <c r="F2607" s="1" t="s">
        <v>2473</v>
      </c>
    </row>
    <row r="2608">
      <c r="B2608" s="1" t="s">
        <v>2003</v>
      </c>
      <c r="D2608" s="1">
        <v>261263.0</v>
      </c>
      <c r="E2608" s="1"/>
      <c r="F2608" s="1" t="s">
        <v>2474</v>
      </c>
    </row>
    <row r="2609">
      <c r="B2609" s="1" t="s">
        <v>2005</v>
      </c>
      <c r="D2609" s="1">
        <v>216344.0</v>
      </c>
      <c r="E2609" s="1"/>
      <c r="F2609" s="1" t="s">
        <v>2474</v>
      </c>
    </row>
    <row r="2610">
      <c r="A2610" s="1" t="s">
        <v>2475</v>
      </c>
      <c r="B2610" s="30" t="s">
        <v>2476</v>
      </c>
      <c r="C2610" s="31"/>
      <c r="D2610" s="30">
        <v>95490.0</v>
      </c>
      <c r="E2610" s="30"/>
      <c r="F2610" s="1"/>
    </row>
    <row r="2611">
      <c r="A2611" s="1" t="s">
        <v>2466</v>
      </c>
      <c r="B2611" s="1" t="s">
        <v>2150</v>
      </c>
      <c r="D2611" s="1">
        <v>4119780.0</v>
      </c>
      <c r="E2611" s="1"/>
      <c r="F2611" s="1" t="s">
        <v>2241</v>
      </c>
    </row>
    <row r="2612">
      <c r="A2612" s="1" t="s">
        <v>2477</v>
      </c>
      <c r="B2612" s="28" t="s">
        <v>2008</v>
      </c>
      <c r="D2612" s="1">
        <v>4009897.0</v>
      </c>
      <c r="E2612" s="1"/>
      <c r="F2612" s="1"/>
    </row>
    <row r="2613">
      <c r="B2613" s="3" t="s">
        <v>648</v>
      </c>
      <c r="D2613" s="1">
        <v>132000.0</v>
      </c>
      <c r="E2613" s="1"/>
      <c r="F2613" s="1"/>
    </row>
    <row r="2614">
      <c r="B2614" s="30" t="s">
        <v>2478</v>
      </c>
      <c r="C2614" s="31"/>
      <c r="D2614" s="30">
        <v>64382.0</v>
      </c>
      <c r="E2614" s="30"/>
      <c r="F2614" s="1" t="s">
        <v>2428</v>
      </c>
    </row>
    <row r="2615">
      <c r="A2615" s="1" t="s">
        <v>2479</v>
      </c>
      <c r="B2615" s="1" t="s">
        <v>2480</v>
      </c>
      <c r="D2615" s="1">
        <v>70558.0</v>
      </c>
      <c r="E2615" s="1"/>
      <c r="F2615" s="1" t="s">
        <v>1332</v>
      </c>
    </row>
    <row r="2616">
      <c r="A2616" s="1" t="s">
        <v>2481</v>
      </c>
      <c r="B2616" s="1" t="s">
        <v>2019</v>
      </c>
      <c r="D2616" s="1">
        <v>568310.0</v>
      </c>
      <c r="E2616" s="1"/>
      <c r="F2616" s="1" t="s">
        <v>2482</v>
      </c>
    </row>
    <row r="2617">
      <c r="B2617" s="1" t="s">
        <v>2003</v>
      </c>
      <c r="D2617" s="1">
        <v>381684.0</v>
      </c>
      <c r="E2617" s="1"/>
      <c r="F2617" s="1" t="s">
        <v>2483</v>
      </c>
    </row>
    <row r="2618">
      <c r="B2618" s="1" t="s">
        <v>2005</v>
      </c>
      <c r="D2618" s="1">
        <v>306828.0</v>
      </c>
      <c r="E2618" s="1"/>
      <c r="F2618" s="1" t="s">
        <v>2484</v>
      </c>
    </row>
    <row r="2619">
      <c r="A2619" s="1" t="s">
        <v>2485</v>
      </c>
      <c r="B2619" s="1" t="s">
        <v>2150</v>
      </c>
      <c r="D2619" s="1">
        <v>4144400.0</v>
      </c>
      <c r="E2619" s="1"/>
      <c r="F2619" s="1" t="s">
        <v>2241</v>
      </c>
    </row>
    <row r="2620">
      <c r="A2620" s="1" t="s">
        <v>2486</v>
      </c>
      <c r="B2620" s="3" t="s">
        <v>280</v>
      </c>
      <c r="D2620" s="1">
        <v>2112333.0</v>
      </c>
      <c r="E2620" s="1"/>
      <c r="F2620" s="1"/>
    </row>
    <row r="2621">
      <c r="B2621" s="1" t="s">
        <v>1769</v>
      </c>
      <c r="D2621" s="1">
        <v>1806227.0</v>
      </c>
      <c r="E2621" s="1"/>
      <c r="F2621" s="1"/>
    </row>
    <row r="2622">
      <c r="A2622" s="1" t="s">
        <v>2487</v>
      </c>
      <c r="B2622" s="3" t="s">
        <v>1021</v>
      </c>
      <c r="D2622" s="1">
        <v>2026653.0</v>
      </c>
      <c r="E2622" s="1"/>
      <c r="F2622" s="1"/>
    </row>
    <row r="2623">
      <c r="A2623" s="1" t="s">
        <v>2488</v>
      </c>
      <c r="B2623" s="1" t="s">
        <v>2348</v>
      </c>
      <c r="D2623" s="1">
        <v>350000.0</v>
      </c>
      <c r="E2623" s="1"/>
      <c r="F2623" s="1"/>
    </row>
    <row r="2624">
      <c r="A2624" s="1" t="s">
        <v>2489</v>
      </c>
      <c r="B2624" s="1" t="s">
        <v>774</v>
      </c>
      <c r="D2624" s="1">
        <v>239410.0</v>
      </c>
      <c r="E2624" s="1"/>
      <c r="F2624" s="1" t="s">
        <v>2490</v>
      </c>
      <c r="G2624" s="1" t="s">
        <v>2491</v>
      </c>
    </row>
    <row r="2625">
      <c r="B2625" s="1" t="s">
        <v>1224</v>
      </c>
      <c r="D2625" s="1">
        <v>23930.0</v>
      </c>
      <c r="E2625" s="1"/>
      <c r="F2625" s="1" t="s">
        <v>2490</v>
      </c>
      <c r="G2625" s="1" t="s">
        <v>2492</v>
      </c>
    </row>
    <row r="2626">
      <c r="A2626" s="1" t="s">
        <v>2486</v>
      </c>
      <c r="B2626" s="1" t="s">
        <v>2019</v>
      </c>
      <c r="D2626" s="1">
        <v>547261.0</v>
      </c>
      <c r="E2626" s="1"/>
      <c r="F2626" s="1" t="s">
        <v>2493</v>
      </c>
    </row>
    <row r="2627">
      <c r="B2627" s="1" t="s">
        <v>2003</v>
      </c>
      <c r="D2627" s="1">
        <v>295669.0</v>
      </c>
      <c r="E2627" s="1"/>
      <c r="F2627" s="1" t="s">
        <v>2494</v>
      </c>
    </row>
    <row r="2628">
      <c r="B2628" s="1" t="s">
        <v>2005</v>
      </c>
      <c r="D2628" s="1">
        <v>291664.0</v>
      </c>
      <c r="E2628" s="1"/>
      <c r="F2628" s="1" t="s">
        <v>2495</v>
      </c>
    </row>
    <row r="2629">
      <c r="A2629" s="1" t="s">
        <v>2496</v>
      </c>
      <c r="B2629" s="1" t="s">
        <v>2497</v>
      </c>
      <c r="D2629" s="1">
        <v>1.9E7</v>
      </c>
      <c r="E2629" s="1"/>
      <c r="F2629" s="1" t="s">
        <v>2498</v>
      </c>
    </row>
    <row r="2630">
      <c r="B2630" s="1" t="s">
        <v>1331</v>
      </c>
      <c r="D2630" s="1">
        <v>128640.0</v>
      </c>
      <c r="E2630" s="1"/>
      <c r="F2630" s="1" t="s">
        <v>1332</v>
      </c>
    </row>
    <row r="2631">
      <c r="A2631" s="1" t="s">
        <v>2487</v>
      </c>
      <c r="B2631" s="28" t="s">
        <v>2008</v>
      </c>
      <c r="D2631" s="1">
        <v>4041372.0</v>
      </c>
      <c r="E2631" s="1"/>
      <c r="F2631" s="1"/>
    </row>
    <row r="2632">
      <c r="B2632" s="3" t="s">
        <v>648</v>
      </c>
      <c r="D2632" s="1">
        <v>132000.0</v>
      </c>
      <c r="E2632" s="1"/>
      <c r="F2632" s="1"/>
    </row>
    <row r="2633">
      <c r="B2633" s="33" t="s">
        <v>2499</v>
      </c>
      <c r="C2633" s="34"/>
      <c r="D2633" s="33">
        <v>118814.0</v>
      </c>
      <c r="E2633" s="33"/>
      <c r="F2633" s="1" t="s">
        <v>2428</v>
      </c>
    </row>
    <row r="2634">
      <c r="A2634" s="35" t="s">
        <v>2500</v>
      </c>
      <c r="B2634" s="35" t="s">
        <v>2501</v>
      </c>
      <c r="C2634" s="36"/>
      <c r="D2634" s="35">
        <v>204965.0</v>
      </c>
      <c r="E2634" s="35"/>
      <c r="F2634" s="35" t="s">
        <v>2502</v>
      </c>
    </row>
    <row r="2635">
      <c r="A2635" s="1" t="s">
        <v>2487</v>
      </c>
      <c r="B2635" s="1" t="s">
        <v>2503</v>
      </c>
      <c r="D2635" s="1">
        <v>1.35E7</v>
      </c>
      <c r="E2635" s="1"/>
      <c r="F2635" s="3" t="s">
        <v>1147</v>
      </c>
    </row>
    <row r="2636">
      <c r="A2636" s="1" t="s">
        <v>2504</v>
      </c>
      <c r="B2636" s="1" t="s">
        <v>2019</v>
      </c>
      <c r="D2636" s="1">
        <v>526213.0</v>
      </c>
      <c r="E2636" s="1"/>
      <c r="F2636" s="1" t="s">
        <v>2505</v>
      </c>
    </row>
    <row r="2637">
      <c r="B2637" s="1" t="s">
        <v>2003</v>
      </c>
      <c r="D2637" s="1">
        <v>312872.0</v>
      </c>
      <c r="E2637" s="1"/>
      <c r="F2637" s="1" t="s">
        <v>2506</v>
      </c>
    </row>
    <row r="2638">
      <c r="B2638" s="1" t="s">
        <v>2005</v>
      </c>
      <c r="D2638" s="1">
        <v>246472.0</v>
      </c>
      <c r="E2638" s="1"/>
      <c r="F2638" s="1" t="s">
        <v>2507</v>
      </c>
    </row>
    <row r="2639">
      <c r="A2639" s="1" t="s">
        <v>2508</v>
      </c>
      <c r="B2639" s="1" t="s">
        <v>2509</v>
      </c>
      <c r="D2639" s="1">
        <v>145000.0</v>
      </c>
      <c r="E2639" s="1"/>
      <c r="F2639" s="1" t="s">
        <v>2510</v>
      </c>
    </row>
    <row r="2640">
      <c r="B2640" s="1" t="s">
        <v>2511</v>
      </c>
      <c r="D2640" s="1">
        <v>145000.0</v>
      </c>
      <c r="E2640" s="1"/>
      <c r="F2640" s="1" t="s">
        <v>2510</v>
      </c>
    </row>
    <row r="2641">
      <c r="B2641" s="1" t="s">
        <v>2117</v>
      </c>
      <c r="D2641" s="1">
        <v>96800.0</v>
      </c>
      <c r="E2641" s="1"/>
      <c r="F2641" s="1" t="s">
        <v>2207</v>
      </c>
    </row>
    <row r="2642">
      <c r="B2642" s="1" t="s">
        <v>774</v>
      </c>
      <c r="D2642" s="1">
        <v>231470.0</v>
      </c>
      <c r="E2642" s="1"/>
      <c r="F2642" s="1" t="s">
        <v>275</v>
      </c>
    </row>
    <row r="2643">
      <c r="B2643" s="1" t="s">
        <v>1224</v>
      </c>
      <c r="D2643" s="1">
        <v>23130.0</v>
      </c>
      <c r="E2643" s="1"/>
      <c r="F2643" s="1" t="s">
        <v>275</v>
      </c>
    </row>
    <row r="2644">
      <c r="A2644" s="1" t="s">
        <v>2512</v>
      </c>
      <c r="B2644" s="3" t="s">
        <v>280</v>
      </c>
      <c r="D2644" s="1">
        <v>2089633.0</v>
      </c>
      <c r="E2644" s="1"/>
      <c r="F2644" s="1"/>
    </row>
    <row r="2645">
      <c r="B2645" s="1" t="s">
        <v>1769</v>
      </c>
      <c r="D2645" s="1">
        <v>1795337.0</v>
      </c>
      <c r="E2645" s="1"/>
      <c r="F2645" s="1"/>
    </row>
    <row r="2646">
      <c r="A2646" s="1" t="s">
        <v>2513</v>
      </c>
      <c r="B2646" s="3" t="s">
        <v>1021</v>
      </c>
      <c r="D2646" s="1">
        <v>2019513.0</v>
      </c>
      <c r="E2646" s="1"/>
      <c r="F2646" s="1"/>
    </row>
    <row r="2647">
      <c r="A2647" s="1" t="s">
        <v>2514</v>
      </c>
      <c r="B2647" s="1" t="s">
        <v>2348</v>
      </c>
      <c r="D2647" s="1">
        <v>350000.0</v>
      </c>
      <c r="E2647" s="1"/>
      <c r="F2647" s="1"/>
    </row>
    <row r="2648">
      <c r="A2648" s="1" t="s">
        <v>2515</v>
      </c>
      <c r="B2648" s="1" t="s">
        <v>2019</v>
      </c>
      <c r="D2648" s="1">
        <v>505164.0</v>
      </c>
      <c r="E2648" s="1"/>
      <c r="F2648" s="1" t="s">
        <v>2516</v>
      </c>
    </row>
    <row r="2649">
      <c r="B2649" s="1" t="s">
        <v>2003</v>
      </c>
      <c r="D2649" s="1">
        <v>244060.0</v>
      </c>
      <c r="E2649" s="1"/>
      <c r="F2649" s="1" t="s">
        <v>2517</v>
      </c>
    </row>
    <row r="2650">
      <c r="B2650" s="1" t="s">
        <v>2005</v>
      </c>
      <c r="D2650" s="1">
        <v>216344.0</v>
      </c>
      <c r="E2650" s="1"/>
      <c r="F2650" s="1" t="s">
        <v>2518</v>
      </c>
    </row>
    <row r="2651">
      <c r="A2651" s="1" t="s">
        <v>2512</v>
      </c>
      <c r="B2651" s="1" t="s">
        <v>2519</v>
      </c>
      <c r="D2651" s="1">
        <v>850000.0</v>
      </c>
      <c r="E2651" s="1"/>
      <c r="F2651" s="1" t="s">
        <v>2520</v>
      </c>
    </row>
    <row r="2652">
      <c r="A2652" s="1" t="s">
        <v>2521</v>
      </c>
      <c r="B2652" s="1" t="s">
        <v>1331</v>
      </c>
      <c r="D2652" s="1">
        <v>125670.0</v>
      </c>
      <c r="E2652" s="1"/>
      <c r="F2652" s="1" t="s">
        <v>1332</v>
      </c>
    </row>
    <row r="2653">
      <c r="A2653" s="1" t="s">
        <v>2522</v>
      </c>
      <c r="B2653" s="1" t="s">
        <v>2150</v>
      </c>
      <c r="D2653" s="1">
        <v>4144400.0</v>
      </c>
      <c r="E2653" s="1"/>
      <c r="F2653" s="1" t="s">
        <v>2241</v>
      </c>
    </row>
    <row r="2654">
      <c r="A2654" s="1" t="s">
        <v>2513</v>
      </c>
      <c r="B2654" s="28" t="s">
        <v>2008</v>
      </c>
      <c r="D2654" s="1">
        <v>4092325.0</v>
      </c>
      <c r="E2654" s="1"/>
      <c r="F2654" s="1"/>
    </row>
    <row r="2655">
      <c r="B2655" s="3" t="s">
        <v>648</v>
      </c>
      <c r="D2655" s="1">
        <v>132000.0</v>
      </c>
      <c r="E2655" s="1"/>
      <c r="F2655" s="1"/>
    </row>
    <row r="2656">
      <c r="B2656" s="33" t="s">
        <v>2523</v>
      </c>
      <c r="C2656" s="34"/>
      <c r="D2656" s="33">
        <v>117026.0</v>
      </c>
      <c r="E2656" s="33"/>
      <c r="F2656" s="1" t="s">
        <v>2428</v>
      </c>
    </row>
    <row r="2657">
      <c r="A2657" s="1" t="s">
        <v>2513</v>
      </c>
      <c r="B2657" s="1" t="s">
        <v>2503</v>
      </c>
      <c r="D2657" s="1">
        <v>1.35E7</v>
      </c>
      <c r="E2657" s="1"/>
      <c r="F2657" s="3" t="s">
        <v>1147</v>
      </c>
    </row>
    <row r="2658">
      <c r="A2658" s="1" t="s">
        <v>2487</v>
      </c>
      <c r="B2658" s="1" t="s">
        <v>2524</v>
      </c>
      <c r="D2658" s="1">
        <v>1000000.0</v>
      </c>
      <c r="E2658" s="1"/>
      <c r="F2658" s="1"/>
    </row>
    <row r="2659">
      <c r="A2659" s="1" t="s">
        <v>2525</v>
      </c>
      <c r="B2659" s="1" t="s">
        <v>2524</v>
      </c>
      <c r="D2659" s="1">
        <v>419200.0</v>
      </c>
      <c r="E2659" s="1"/>
      <c r="F2659" s="1"/>
    </row>
    <row r="2660">
      <c r="A2660" s="1" t="s">
        <v>2526</v>
      </c>
      <c r="B2660" s="1" t="s">
        <v>2019</v>
      </c>
      <c r="D2660" s="1">
        <v>420970.0</v>
      </c>
      <c r="E2660" s="1"/>
      <c r="F2660" s="1" t="s">
        <v>2527</v>
      </c>
    </row>
    <row r="2661">
      <c r="B2661" s="1" t="s">
        <v>2003</v>
      </c>
      <c r="D2661" s="1">
        <v>312872.0</v>
      </c>
      <c r="E2661" s="1"/>
      <c r="F2661" s="1" t="s">
        <v>2528</v>
      </c>
    </row>
    <row r="2662">
      <c r="B2662" s="1" t="s">
        <v>2005</v>
      </c>
      <c r="D2662" s="1">
        <v>276600.0</v>
      </c>
      <c r="E2662" s="1"/>
      <c r="F2662" s="1" t="s">
        <v>2529</v>
      </c>
    </row>
    <row r="2663">
      <c r="A2663" s="1" t="s">
        <v>2530</v>
      </c>
      <c r="B2663" s="3" t="s">
        <v>280</v>
      </c>
      <c r="D2663" s="1">
        <v>2103773.0</v>
      </c>
      <c r="E2663" s="1"/>
      <c r="F2663" s="1"/>
    </row>
    <row r="2664">
      <c r="B2664" s="1" t="s">
        <v>1769</v>
      </c>
      <c r="D2664" s="1">
        <v>1809117.0</v>
      </c>
      <c r="E2664" s="1"/>
      <c r="F2664" s="1"/>
    </row>
    <row r="2665">
      <c r="A2665" s="1" t="s">
        <v>2531</v>
      </c>
      <c r="B2665" s="3" t="s">
        <v>1021</v>
      </c>
      <c r="D2665" s="1">
        <v>2031763.0</v>
      </c>
      <c r="E2665" s="1"/>
      <c r="F2665" s="1"/>
    </row>
    <row r="2666">
      <c r="A2666" s="1" t="s">
        <v>2532</v>
      </c>
      <c r="B2666" s="1" t="s">
        <v>2348</v>
      </c>
      <c r="D2666" s="1">
        <v>350000.0</v>
      </c>
      <c r="E2666" s="1"/>
      <c r="F2666" s="1"/>
    </row>
    <row r="2667">
      <c r="B2667" s="1" t="s">
        <v>2533</v>
      </c>
      <c r="D2667" s="1">
        <v>100000.0</v>
      </c>
      <c r="E2667" s="1"/>
      <c r="F2667" s="1"/>
    </row>
    <row r="2668">
      <c r="A2668" s="1" t="s">
        <v>2534</v>
      </c>
      <c r="B2668" s="1" t="s">
        <v>774</v>
      </c>
      <c r="D2668" s="1">
        <v>270590.0</v>
      </c>
      <c r="E2668" s="1"/>
      <c r="F2668" s="1" t="s">
        <v>275</v>
      </c>
    </row>
    <row r="2669">
      <c r="B2669" s="1" t="s">
        <v>1224</v>
      </c>
      <c r="D2669" s="1">
        <v>27050.0</v>
      </c>
      <c r="E2669" s="1"/>
      <c r="F2669" s="1" t="s">
        <v>275</v>
      </c>
    </row>
    <row r="2670">
      <c r="B2670" s="1" t="s">
        <v>2132</v>
      </c>
      <c r="D2670" s="1">
        <v>96800.0</v>
      </c>
      <c r="E2670" s="1"/>
      <c r="F2670" s="1" t="s">
        <v>2207</v>
      </c>
    </row>
    <row r="2671">
      <c r="A2671" s="1" t="s">
        <v>2534</v>
      </c>
      <c r="B2671" s="1" t="s">
        <v>2150</v>
      </c>
      <c r="D2671" s="23">
        <v>3594240.0</v>
      </c>
      <c r="E2671" s="1"/>
      <c r="F2671" s="1" t="s">
        <v>2241</v>
      </c>
    </row>
    <row r="2672">
      <c r="A2672" s="1" t="s">
        <v>2530</v>
      </c>
      <c r="B2672" s="1" t="s">
        <v>2019</v>
      </c>
      <c r="D2672" s="1">
        <v>505164.0</v>
      </c>
      <c r="E2672" s="1"/>
      <c r="F2672" s="1" t="s">
        <v>2332</v>
      </c>
    </row>
    <row r="2673">
      <c r="B2673" s="1" t="s">
        <v>2003</v>
      </c>
      <c r="D2673" s="1">
        <v>295669.0</v>
      </c>
      <c r="E2673" s="1"/>
      <c r="F2673" s="1" t="s">
        <v>2535</v>
      </c>
    </row>
    <row r="2674">
      <c r="B2674" s="1" t="s">
        <v>2005</v>
      </c>
      <c r="D2674" s="1">
        <v>261536.0</v>
      </c>
      <c r="E2674" s="1"/>
      <c r="F2674" s="1" t="s">
        <v>2536</v>
      </c>
    </row>
    <row r="2675">
      <c r="A2675" s="1" t="s">
        <v>2532</v>
      </c>
      <c r="B2675" s="1" t="s">
        <v>2537</v>
      </c>
      <c r="D2675" s="1">
        <v>1.8649E7</v>
      </c>
      <c r="E2675" s="1"/>
      <c r="F2675" s="1" t="s">
        <v>2498</v>
      </c>
    </row>
    <row r="2676">
      <c r="A2676" s="1" t="s">
        <v>2538</v>
      </c>
      <c r="B2676" s="1" t="s">
        <v>2539</v>
      </c>
      <c r="D2676" s="1">
        <v>40000.0</v>
      </c>
      <c r="E2676" s="1"/>
      <c r="F2676" s="1"/>
    </row>
    <row r="2677">
      <c r="A2677" s="1" t="s">
        <v>2532</v>
      </c>
      <c r="B2677" s="1" t="s">
        <v>2540</v>
      </c>
      <c r="D2677" s="1">
        <v>27000.0</v>
      </c>
      <c r="E2677" s="1"/>
      <c r="F2677" s="1"/>
    </row>
    <row r="2678">
      <c r="A2678" s="1" t="s">
        <v>2541</v>
      </c>
      <c r="B2678" s="28" t="s">
        <v>2008</v>
      </c>
      <c r="D2678" s="1">
        <v>4144851.0</v>
      </c>
      <c r="E2678" s="1"/>
      <c r="F2678" s="1"/>
    </row>
    <row r="2679">
      <c r="B2679" s="3" t="s">
        <v>648</v>
      </c>
      <c r="D2679" s="1">
        <v>132000.0</v>
      </c>
      <c r="E2679" s="1"/>
      <c r="F2679" s="1"/>
    </row>
    <row r="2680">
      <c r="B2680" s="33" t="s">
        <v>2542</v>
      </c>
      <c r="C2680" s="34"/>
      <c r="D2680" s="33">
        <v>251818.0</v>
      </c>
      <c r="E2680" s="33"/>
      <c r="F2680" s="1" t="s">
        <v>2428</v>
      </c>
    </row>
    <row r="2681">
      <c r="A2681" s="1" t="s">
        <v>2543</v>
      </c>
      <c r="B2681" s="1" t="s">
        <v>2019</v>
      </c>
      <c r="D2681" s="24">
        <v>463067.0</v>
      </c>
      <c r="E2681" s="24"/>
      <c r="F2681" s="1" t="s">
        <v>2544</v>
      </c>
    </row>
    <row r="2682">
      <c r="B2682" s="1" t="s">
        <v>2003</v>
      </c>
      <c r="D2682" s="1">
        <v>278466.0</v>
      </c>
      <c r="E2682" s="1"/>
      <c r="F2682" s="1" t="s">
        <v>2545</v>
      </c>
    </row>
    <row r="2683">
      <c r="B2683" s="1" t="s">
        <v>2005</v>
      </c>
      <c r="D2683" s="1">
        <v>216344.0</v>
      </c>
      <c r="E2683" s="1"/>
      <c r="F2683" s="1" t="s">
        <v>2546</v>
      </c>
    </row>
    <row r="2684">
      <c r="A2684" s="1" t="s">
        <v>2547</v>
      </c>
      <c r="B2684" s="3" t="s">
        <v>280</v>
      </c>
      <c r="D2684" s="1">
        <v>2107373.0</v>
      </c>
      <c r="E2684" s="1"/>
      <c r="F2684" s="1"/>
    </row>
    <row r="2685">
      <c r="B2685" s="1" t="s">
        <v>1769</v>
      </c>
      <c r="D2685" s="1">
        <v>1793327.0</v>
      </c>
      <c r="E2685" s="1"/>
      <c r="F2685" s="1"/>
    </row>
    <row r="2686">
      <c r="A2686" s="1" t="s">
        <v>2548</v>
      </c>
      <c r="B2686" s="3" t="s">
        <v>1021</v>
      </c>
      <c r="D2686" s="1">
        <v>2017233.0</v>
      </c>
      <c r="E2686" s="1"/>
      <c r="F2686" s="1"/>
    </row>
    <row r="2687">
      <c r="A2687" s="1" t="s">
        <v>2549</v>
      </c>
      <c r="B2687" s="1" t="s">
        <v>2550</v>
      </c>
      <c r="D2687" s="1">
        <v>350000.0</v>
      </c>
      <c r="E2687" s="1"/>
      <c r="F2687" s="1"/>
    </row>
    <row r="2688">
      <c r="A2688" s="1" t="s">
        <v>2551</v>
      </c>
      <c r="B2688" s="1" t="s">
        <v>774</v>
      </c>
      <c r="D2688" s="1">
        <v>236560.0</v>
      </c>
      <c r="E2688" s="1"/>
      <c r="F2688" s="1" t="s">
        <v>275</v>
      </c>
    </row>
    <row r="2689">
      <c r="B2689" s="1" t="s">
        <v>1224</v>
      </c>
      <c r="D2689" s="1">
        <v>23640.0</v>
      </c>
      <c r="E2689" s="1"/>
      <c r="F2689" s="1" t="s">
        <v>275</v>
      </c>
    </row>
    <row r="2690">
      <c r="A2690" s="1" t="s">
        <v>2547</v>
      </c>
      <c r="B2690" s="1" t="s">
        <v>1970</v>
      </c>
      <c r="D2690" s="1">
        <v>96800.0</v>
      </c>
      <c r="E2690" s="1"/>
      <c r="F2690" s="1" t="s">
        <v>2207</v>
      </c>
    </row>
    <row r="2691">
      <c r="A2691" s="1" t="s">
        <v>2551</v>
      </c>
      <c r="B2691" s="1" t="s">
        <v>2150</v>
      </c>
      <c r="D2691" s="1">
        <v>3701060.0</v>
      </c>
      <c r="E2691" s="1"/>
      <c r="F2691" s="1" t="s">
        <v>2241</v>
      </c>
    </row>
    <row r="2692">
      <c r="A2692" s="1" t="s">
        <v>2552</v>
      </c>
      <c r="B2692" s="1" t="s">
        <v>2553</v>
      </c>
      <c r="D2692" s="1">
        <v>9056322.0</v>
      </c>
      <c r="E2692" s="1"/>
      <c r="F2692" s="1" t="s">
        <v>2554</v>
      </c>
    </row>
    <row r="2693">
      <c r="A2693" s="1" t="s">
        <v>2549</v>
      </c>
      <c r="B2693" s="33" t="s">
        <v>2555</v>
      </c>
      <c r="C2693" s="34"/>
      <c r="D2693" s="33">
        <v>73746.0</v>
      </c>
      <c r="E2693" s="33"/>
      <c r="F2693" s="1" t="s">
        <v>2428</v>
      </c>
    </row>
    <row r="2694">
      <c r="A2694" s="1" t="s">
        <v>2547</v>
      </c>
      <c r="B2694" s="1" t="s">
        <v>2019</v>
      </c>
      <c r="D2694" s="1">
        <v>505164.0</v>
      </c>
      <c r="E2694" s="1"/>
      <c r="F2694" s="1" t="s">
        <v>2556</v>
      </c>
    </row>
    <row r="2695">
      <c r="B2695" s="1" t="s">
        <v>2003</v>
      </c>
      <c r="D2695" s="1">
        <v>312872.0</v>
      </c>
      <c r="E2695" s="1"/>
      <c r="F2695" s="1" t="s">
        <v>2557</v>
      </c>
    </row>
    <row r="2696">
      <c r="B2696" s="1" t="s">
        <v>2005</v>
      </c>
      <c r="D2696" s="1">
        <v>291664.0</v>
      </c>
      <c r="E2696" s="1"/>
      <c r="F2696" s="1" t="s">
        <v>2558</v>
      </c>
    </row>
    <row r="2697">
      <c r="A2697" s="1" t="s">
        <v>2548</v>
      </c>
      <c r="B2697" s="28" t="s">
        <v>2008</v>
      </c>
      <c r="D2697" s="1">
        <v>4118904.0</v>
      </c>
      <c r="E2697" s="1"/>
      <c r="F2697" s="1"/>
    </row>
    <row r="2698">
      <c r="B2698" s="3" t="s">
        <v>648</v>
      </c>
      <c r="D2698" s="1">
        <v>132000.0</v>
      </c>
      <c r="E2698" s="1"/>
      <c r="F2698" s="1"/>
    </row>
    <row r="2699">
      <c r="A2699" s="1" t="s">
        <v>2559</v>
      </c>
      <c r="B2699" s="1" t="s">
        <v>2019</v>
      </c>
      <c r="D2699" s="1">
        <v>497536.0</v>
      </c>
      <c r="E2699" s="1"/>
      <c r="F2699" s="1" t="s">
        <v>2560</v>
      </c>
    </row>
    <row r="2700">
      <c r="B2700" s="1" t="s">
        <v>2003</v>
      </c>
      <c r="D2700" s="1">
        <v>278466.0</v>
      </c>
      <c r="E2700" s="1"/>
      <c r="F2700" s="1" t="s">
        <v>2561</v>
      </c>
    </row>
    <row r="2701">
      <c r="B2701" s="1" t="s">
        <v>2005</v>
      </c>
      <c r="D2701" s="1">
        <v>231408.0</v>
      </c>
      <c r="E2701" s="1"/>
      <c r="F2701" s="1" t="s">
        <v>2561</v>
      </c>
    </row>
    <row r="2702">
      <c r="A2702" s="1" t="s">
        <v>2562</v>
      </c>
      <c r="B2702" s="1" t="s">
        <v>2150</v>
      </c>
      <c r="D2702" s="1">
        <v>3701060.0</v>
      </c>
      <c r="E2702" s="1"/>
      <c r="F2702" s="1" t="s">
        <v>2241</v>
      </c>
    </row>
    <row r="2703">
      <c r="A2703" s="1" t="s">
        <v>2563</v>
      </c>
      <c r="B2703" s="3" t="s">
        <v>280</v>
      </c>
      <c r="D2703" s="1">
        <v>2490793.0</v>
      </c>
      <c r="E2703" s="1"/>
      <c r="F2703" s="1"/>
    </row>
    <row r="2704">
      <c r="B2704" s="1" t="s">
        <v>1769</v>
      </c>
      <c r="D2704" s="1">
        <v>2120117.0</v>
      </c>
      <c r="E2704" s="1"/>
      <c r="F2704" s="1"/>
    </row>
    <row r="2705">
      <c r="A2705" s="1" t="s">
        <v>2564</v>
      </c>
      <c r="B2705" s="3" t="s">
        <v>1021</v>
      </c>
      <c r="D2705" s="1">
        <v>2487603.0</v>
      </c>
      <c r="E2705" s="1"/>
      <c r="F2705" s="1"/>
    </row>
    <row r="2706">
      <c r="A2706" s="1" t="s">
        <v>2565</v>
      </c>
      <c r="B2706" s="1" t="s">
        <v>2550</v>
      </c>
      <c r="D2706" s="1">
        <v>350000.0</v>
      </c>
      <c r="E2706" s="1"/>
      <c r="F2706" s="1"/>
    </row>
    <row r="2707">
      <c r="A2707" s="1" t="s">
        <v>2566</v>
      </c>
      <c r="B2707" s="1" t="s">
        <v>2567</v>
      </c>
      <c r="D2707" s="1">
        <v>33000.0</v>
      </c>
      <c r="E2707" s="1"/>
      <c r="F2707" s="1"/>
    </row>
    <row r="2708">
      <c r="B2708" s="1" t="s">
        <v>2568</v>
      </c>
      <c r="D2708" s="1">
        <v>506000.0</v>
      </c>
      <c r="E2708" s="1"/>
      <c r="F2708" s="3" t="s">
        <v>1147</v>
      </c>
    </row>
    <row r="2709">
      <c r="A2709" s="1" t="s">
        <v>2569</v>
      </c>
      <c r="B2709" s="33" t="s">
        <v>2570</v>
      </c>
      <c r="C2709" s="34"/>
      <c r="D2709" s="33">
        <v>227624.0</v>
      </c>
      <c r="E2709" s="33"/>
      <c r="F2709" s="1" t="s">
        <v>2428</v>
      </c>
    </row>
    <row r="2710">
      <c r="A2710" s="1" t="s">
        <v>2571</v>
      </c>
      <c r="B2710" s="1" t="s">
        <v>2019</v>
      </c>
      <c r="D2710" s="1">
        <v>497536.0</v>
      </c>
      <c r="E2710" s="1"/>
      <c r="F2710" s="1" t="s">
        <v>2572</v>
      </c>
    </row>
    <row r="2711">
      <c r="B2711" s="1" t="s">
        <v>2003</v>
      </c>
      <c r="D2711" s="1">
        <v>312872.0</v>
      </c>
      <c r="E2711" s="1"/>
      <c r="F2711" s="1" t="s">
        <v>2573</v>
      </c>
    </row>
    <row r="2712">
      <c r="B2712" s="1" t="s">
        <v>2005</v>
      </c>
      <c r="D2712" s="1">
        <v>231408.0</v>
      </c>
      <c r="E2712" s="1"/>
      <c r="F2712" s="1" t="s">
        <v>2574</v>
      </c>
    </row>
    <row r="2713">
      <c r="A2713" s="1" t="s">
        <v>2569</v>
      </c>
      <c r="B2713" s="1" t="s">
        <v>1972</v>
      </c>
      <c r="D2713" s="1">
        <v>96800.0</v>
      </c>
      <c r="E2713" s="1"/>
      <c r="F2713" s="1" t="s">
        <v>2207</v>
      </c>
    </row>
    <row r="2714">
      <c r="B2714" s="1" t="s">
        <v>2575</v>
      </c>
      <c r="D2714" s="1">
        <v>100000.0</v>
      </c>
      <c r="E2714" s="1"/>
      <c r="F2714" s="1"/>
    </row>
    <row r="2715">
      <c r="A2715" s="1" t="s">
        <v>2562</v>
      </c>
      <c r="B2715" s="1" t="s">
        <v>2150</v>
      </c>
      <c r="D2715" s="1">
        <v>3701060.0</v>
      </c>
      <c r="E2715" s="1"/>
      <c r="F2715" s="1" t="s">
        <v>2241</v>
      </c>
    </row>
    <row r="2716">
      <c r="A2716" s="1" t="s">
        <v>2576</v>
      </c>
      <c r="B2716" s="28" t="s">
        <v>2008</v>
      </c>
      <c r="D2716" s="1">
        <v>4087618.0</v>
      </c>
      <c r="E2716" s="1"/>
      <c r="F2716" s="1"/>
    </row>
    <row r="2717">
      <c r="B2717" s="3" t="s">
        <v>648</v>
      </c>
      <c r="D2717" s="1">
        <v>165000.0</v>
      </c>
      <c r="E2717" s="1"/>
      <c r="F2717" s="1"/>
    </row>
    <row r="2718">
      <c r="A2718" s="1" t="s">
        <v>2577</v>
      </c>
      <c r="B2718" s="1" t="s">
        <v>2019</v>
      </c>
      <c r="D2718" s="1">
        <v>562432.0</v>
      </c>
      <c r="E2718" s="1"/>
      <c r="F2718" s="1" t="s">
        <v>2578</v>
      </c>
    </row>
    <row r="2719">
      <c r="B2719" s="1" t="s">
        <v>2003</v>
      </c>
      <c r="D2719" s="1">
        <v>364481.0</v>
      </c>
      <c r="E2719" s="1"/>
      <c r="F2719" s="1" t="s">
        <v>2579</v>
      </c>
    </row>
    <row r="2720">
      <c r="B2720" s="1" t="s">
        <v>2005</v>
      </c>
      <c r="D2720" s="1">
        <v>336156.0</v>
      </c>
      <c r="E2720" s="1"/>
      <c r="F2720" s="1" t="s">
        <v>2580</v>
      </c>
    </row>
    <row r="2721">
      <c r="A2721" s="1" t="s">
        <v>2581</v>
      </c>
      <c r="B2721" s="1" t="s">
        <v>2150</v>
      </c>
      <c r="D2721" s="1">
        <v>3701060.0</v>
      </c>
      <c r="E2721" s="1"/>
      <c r="F2721" s="1" t="s">
        <v>2241</v>
      </c>
    </row>
    <row r="2722">
      <c r="A2722" s="1" t="s">
        <v>2582</v>
      </c>
      <c r="B2722" s="3" t="s">
        <v>280</v>
      </c>
      <c r="D2722" s="1">
        <v>2162783.0</v>
      </c>
      <c r="E2722" s="1"/>
      <c r="F2722" s="1"/>
    </row>
    <row r="2723">
      <c r="B2723" s="1" t="s">
        <v>1769</v>
      </c>
      <c r="D2723" s="1">
        <v>1868307.0</v>
      </c>
      <c r="E2723" s="1"/>
      <c r="F2723" s="1"/>
    </row>
    <row r="2724">
      <c r="A2724" s="1" t="s">
        <v>2583</v>
      </c>
      <c r="B2724" s="3" t="s">
        <v>1021</v>
      </c>
      <c r="D2724" s="1">
        <v>2023963.0</v>
      </c>
      <c r="E2724" s="1"/>
      <c r="F2724" s="1"/>
    </row>
    <row r="2725">
      <c r="A2725" s="1" t="s">
        <v>2584</v>
      </c>
      <c r="B2725" s="1" t="s">
        <v>2585</v>
      </c>
      <c r="D2725" s="1">
        <v>674270.0</v>
      </c>
      <c r="E2725" s="1"/>
      <c r="F2725" s="1"/>
    </row>
    <row r="2726">
      <c r="A2726" s="1" t="s">
        <v>2586</v>
      </c>
      <c r="B2726" s="33" t="s">
        <v>2587</v>
      </c>
      <c r="C2726" s="34"/>
      <c r="D2726" s="33">
        <v>147606.0</v>
      </c>
      <c r="E2726" s="33"/>
      <c r="F2726" s="1" t="s">
        <v>2428</v>
      </c>
    </row>
    <row r="2727">
      <c r="A2727" s="1" t="s">
        <v>2582</v>
      </c>
      <c r="B2727" s="1" t="s">
        <v>2019</v>
      </c>
      <c r="D2727" s="1">
        <v>497536.0</v>
      </c>
      <c r="E2727" s="1"/>
      <c r="F2727" s="1" t="s">
        <v>2588</v>
      </c>
    </row>
    <row r="2728">
      <c r="B2728" s="1" t="s">
        <v>2003</v>
      </c>
      <c r="D2728" s="1">
        <v>312872.0</v>
      </c>
      <c r="E2728" s="1"/>
      <c r="F2728" s="1" t="s">
        <v>2589</v>
      </c>
    </row>
    <row r="2729">
      <c r="B2729" s="1" t="s">
        <v>2005</v>
      </c>
      <c r="D2729" s="1">
        <v>258271.0</v>
      </c>
      <c r="E2729" s="1"/>
      <c r="F2729" s="1" t="s">
        <v>2590</v>
      </c>
    </row>
    <row r="2730">
      <c r="A2730" s="1" t="s">
        <v>2586</v>
      </c>
      <c r="B2730" s="1" t="s">
        <v>2591</v>
      </c>
      <c r="D2730" s="1">
        <v>264000.0</v>
      </c>
      <c r="E2730" s="1"/>
      <c r="F2730" s="1" t="s">
        <v>2402</v>
      </c>
    </row>
    <row r="2731">
      <c r="A2731" s="1" t="s">
        <v>2582</v>
      </c>
      <c r="B2731" s="1" t="s">
        <v>1978</v>
      </c>
      <c r="D2731" s="1">
        <v>96800.0</v>
      </c>
      <c r="E2731" s="1"/>
      <c r="F2731" s="1" t="s">
        <v>2207</v>
      </c>
    </row>
    <row r="2732">
      <c r="A2732" s="1" t="s">
        <v>2583</v>
      </c>
      <c r="B2732" s="28" t="s">
        <v>1953</v>
      </c>
      <c r="D2732" s="1">
        <v>4059997.0</v>
      </c>
      <c r="E2732" s="1"/>
      <c r="F2732" s="1"/>
    </row>
    <row r="2733">
      <c r="B2733" s="3" t="s">
        <v>648</v>
      </c>
      <c r="D2733" s="1">
        <v>165000.0</v>
      </c>
      <c r="E2733" s="1"/>
      <c r="F2733" s="1"/>
    </row>
    <row r="2734">
      <c r="A2734" s="1" t="s">
        <v>2592</v>
      </c>
      <c r="B2734" s="1" t="s">
        <v>2019</v>
      </c>
      <c r="D2734" s="1">
        <v>519168.0</v>
      </c>
      <c r="E2734" s="1"/>
      <c r="F2734" s="1" t="s">
        <v>2593</v>
      </c>
    </row>
    <row r="2735">
      <c r="B2735" s="1" t="s">
        <v>2003</v>
      </c>
      <c r="D2735" s="1">
        <v>278466.0</v>
      </c>
      <c r="E2735" s="1"/>
      <c r="F2735" s="1" t="s">
        <v>2594</v>
      </c>
    </row>
    <row r="2736">
      <c r="B2736" s="1" t="s">
        <v>2005</v>
      </c>
      <c r="D2736" s="1">
        <v>258271.0</v>
      </c>
      <c r="E2736" s="1"/>
      <c r="F2736" s="1" t="s">
        <v>2595</v>
      </c>
    </row>
    <row r="2737">
      <c r="A2737" s="1" t="s">
        <v>2596</v>
      </c>
      <c r="B2737" s="23" t="s">
        <v>2597</v>
      </c>
      <c r="D2737" s="1">
        <v>300000.0</v>
      </c>
      <c r="E2737" s="1"/>
      <c r="F2737" s="1"/>
    </row>
    <row r="2738">
      <c r="A2738" s="1" t="s">
        <v>2598</v>
      </c>
      <c r="B2738" s="1" t="s">
        <v>2150</v>
      </c>
      <c r="D2738" s="1">
        <v>4013790.0</v>
      </c>
      <c r="E2738" s="1"/>
      <c r="F2738" s="1" t="s">
        <v>2241</v>
      </c>
    </row>
    <row r="2739">
      <c r="A2739" s="1" t="s">
        <v>2599</v>
      </c>
      <c r="B2739" s="3" t="s">
        <v>280</v>
      </c>
      <c r="D2739" s="1">
        <v>2132773.0</v>
      </c>
      <c r="E2739" s="1"/>
      <c r="F2739" s="1"/>
    </row>
    <row r="2740">
      <c r="B2740" s="1" t="s">
        <v>1769</v>
      </c>
      <c r="D2740" s="1">
        <v>1838637.0</v>
      </c>
      <c r="E2740" s="1"/>
      <c r="F2740" s="1"/>
    </row>
    <row r="2741">
      <c r="A2741" s="1" t="s">
        <v>2600</v>
      </c>
      <c r="B2741" s="3" t="s">
        <v>1021</v>
      </c>
      <c r="D2741" s="1">
        <v>1998123.0</v>
      </c>
      <c r="E2741" s="1"/>
      <c r="F2741" s="1"/>
    </row>
    <row r="2742">
      <c r="A2742" s="1" t="s">
        <v>2601</v>
      </c>
      <c r="B2742" s="1" t="s">
        <v>2585</v>
      </c>
      <c r="D2742" s="1">
        <v>687140.0</v>
      </c>
      <c r="E2742" s="1"/>
      <c r="F2742" s="1"/>
    </row>
    <row r="2743">
      <c r="A2743" s="1" t="s">
        <v>2602</v>
      </c>
      <c r="B2743" s="1" t="s">
        <v>1987</v>
      </c>
      <c r="D2743" s="1">
        <v>96800.0</v>
      </c>
      <c r="E2743" s="1"/>
      <c r="F2743" s="1" t="s">
        <v>2207</v>
      </c>
    </row>
    <row r="2744">
      <c r="A2744" s="1" t="s">
        <v>2599</v>
      </c>
      <c r="B2744" s="1" t="s">
        <v>2019</v>
      </c>
      <c r="D2744" s="1">
        <v>454272.0</v>
      </c>
      <c r="E2744" s="1"/>
      <c r="F2744" s="1" t="s">
        <v>2603</v>
      </c>
    </row>
    <row r="2745">
      <c r="B2745" s="1" t="s">
        <v>2003</v>
      </c>
      <c r="D2745" s="1">
        <v>244060.0</v>
      </c>
      <c r="E2745" s="1"/>
      <c r="F2745" s="1" t="s">
        <v>2604</v>
      </c>
    </row>
    <row r="2746">
      <c r="B2746" s="1" t="s">
        <v>2005</v>
      </c>
      <c r="D2746" s="1">
        <v>242694.0</v>
      </c>
      <c r="E2746" s="1"/>
      <c r="F2746" s="1" t="s">
        <v>2605</v>
      </c>
    </row>
    <row r="2747">
      <c r="A2747" s="1" t="s">
        <v>2606</v>
      </c>
      <c r="B2747" s="28" t="s">
        <v>1953</v>
      </c>
      <c r="D2747" s="1">
        <v>4016593.0</v>
      </c>
      <c r="E2747" s="1"/>
      <c r="F2747" s="1"/>
    </row>
    <row r="2748">
      <c r="B2748" s="3" t="s">
        <v>648</v>
      </c>
      <c r="D2748" s="1">
        <v>165000.0</v>
      </c>
      <c r="E2748" s="1"/>
      <c r="F2748" s="1"/>
    </row>
    <row r="2749">
      <c r="B2749" s="33" t="s">
        <v>2607</v>
      </c>
      <c r="C2749" s="34"/>
      <c r="D2749" s="33">
        <v>101946.0</v>
      </c>
      <c r="E2749" s="33"/>
      <c r="F2749" s="1" t="s">
        <v>2428</v>
      </c>
    </row>
    <row r="2750">
      <c r="A2750" s="1" t="s">
        <v>2608</v>
      </c>
      <c r="B2750" s="1" t="s">
        <v>2019</v>
      </c>
      <c r="D2750" s="1">
        <v>562432.0</v>
      </c>
      <c r="E2750" s="1"/>
      <c r="F2750" s="1" t="s">
        <v>2609</v>
      </c>
    </row>
    <row r="2751">
      <c r="B2751" s="1" t="s">
        <v>2003</v>
      </c>
      <c r="D2751" s="1">
        <v>244060.0</v>
      </c>
      <c r="E2751" s="1"/>
      <c r="F2751" s="1" t="s">
        <v>2610</v>
      </c>
    </row>
    <row r="2752">
      <c r="B2752" s="1" t="s">
        <v>2005</v>
      </c>
      <c r="D2752" s="1">
        <v>227117.0</v>
      </c>
      <c r="E2752" s="1"/>
      <c r="F2752" s="1" t="s">
        <v>2611</v>
      </c>
    </row>
    <row r="2753">
      <c r="A2753" s="1" t="s">
        <v>2612</v>
      </c>
      <c r="B2753" s="1" t="s">
        <v>2150</v>
      </c>
      <c r="D2753" s="37">
        <v>3874300.0</v>
      </c>
      <c r="E2753" s="1"/>
      <c r="F2753" s="1" t="s">
        <v>2241</v>
      </c>
    </row>
    <row r="2754">
      <c r="A2754" s="1" t="s">
        <v>2613</v>
      </c>
      <c r="B2754" s="3" t="s">
        <v>280</v>
      </c>
      <c r="D2754" s="1">
        <v>2144293.0</v>
      </c>
      <c r="E2754" s="1"/>
      <c r="F2754" s="1"/>
    </row>
    <row r="2755">
      <c r="B2755" s="1" t="s">
        <v>1769</v>
      </c>
      <c r="D2755" s="1">
        <v>1847957.0</v>
      </c>
      <c r="E2755" s="1"/>
      <c r="F2755" s="1"/>
    </row>
    <row r="2756">
      <c r="A2756" s="1" t="s">
        <v>2614</v>
      </c>
      <c r="B2756" s="3" t="s">
        <v>1021</v>
      </c>
      <c r="D2756" s="1">
        <v>2014503.0</v>
      </c>
      <c r="E2756" s="1"/>
      <c r="F2756" s="1"/>
    </row>
    <row r="2757">
      <c r="A2757" s="1" t="s">
        <v>2615</v>
      </c>
      <c r="B2757" s="1" t="s">
        <v>2585</v>
      </c>
      <c r="D2757" s="1">
        <v>687140.0</v>
      </c>
      <c r="E2757" s="1"/>
    </row>
    <row r="2758">
      <c r="A2758" s="1" t="s">
        <v>2616</v>
      </c>
      <c r="B2758" s="1" t="s">
        <v>2024</v>
      </c>
      <c r="D2758" s="1">
        <v>96800.0</v>
      </c>
      <c r="E2758" s="1"/>
      <c r="F2758" s="1" t="s">
        <v>2207</v>
      </c>
    </row>
    <row r="2759">
      <c r="A2759" s="1" t="s">
        <v>2617</v>
      </c>
      <c r="B2759" s="1" t="s">
        <v>2019</v>
      </c>
      <c r="D2759" s="1">
        <v>519168.0</v>
      </c>
      <c r="E2759" s="1"/>
      <c r="F2759" s="1" t="s">
        <v>2618</v>
      </c>
    </row>
    <row r="2760">
      <c r="B2760" s="1" t="s">
        <v>2003</v>
      </c>
      <c r="D2760" s="1">
        <v>236604.0</v>
      </c>
      <c r="E2760" s="1"/>
      <c r="F2760" s="1" t="s">
        <v>2619</v>
      </c>
    </row>
    <row r="2761">
      <c r="B2761" s="1" t="s">
        <v>2005</v>
      </c>
      <c r="D2761" s="1">
        <v>273848.0</v>
      </c>
      <c r="E2761" s="1"/>
      <c r="F2761" s="1" t="s">
        <v>2620</v>
      </c>
    </row>
    <row r="2762">
      <c r="A2762" s="1" t="s">
        <v>2617</v>
      </c>
      <c r="B2762" s="1" t="s">
        <v>2393</v>
      </c>
      <c r="D2762" s="1">
        <v>506000.0</v>
      </c>
      <c r="E2762" s="1"/>
      <c r="F2762" s="3" t="s">
        <v>1147</v>
      </c>
    </row>
    <row r="2763">
      <c r="A2763" s="1" t="s">
        <v>2621</v>
      </c>
      <c r="B2763" s="28" t="s">
        <v>1953</v>
      </c>
      <c r="D2763" s="1">
        <v>4015463.0</v>
      </c>
      <c r="E2763" s="1"/>
      <c r="F2763" s="1"/>
    </row>
    <row r="2764">
      <c r="B2764" s="3" t="s">
        <v>648</v>
      </c>
      <c r="D2764" s="1">
        <v>165000.0</v>
      </c>
      <c r="E2764" s="1"/>
      <c r="F2764" s="1"/>
    </row>
    <row r="2765">
      <c r="B2765" s="33" t="s">
        <v>2622</v>
      </c>
      <c r="C2765" s="34"/>
      <c r="D2765" s="33">
        <v>193810.0</v>
      </c>
      <c r="E2765" s="33"/>
      <c r="F2765" s="1" t="s">
        <v>2428</v>
      </c>
    </row>
    <row r="2766">
      <c r="A2766" s="1" t="s">
        <v>2623</v>
      </c>
      <c r="B2766" s="1" t="s">
        <v>2019</v>
      </c>
      <c r="D2766" s="1">
        <v>562432.0</v>
      </c>
      <c r="E2766" s="1"/>
      <c r="F2766" s="1" t="s">
        <v>2624</v>
      </c>
    </row>
    <row r="2767">
      <c r="B2767" s="1" t="s">
        <v>2003</v>
      </c>
      <c r="D2767" s="1">
        <v>325184.0</v>
      </c>
      <c r="E2767" s="1"/>
      <c r="F2767" s="1" t="s">
        <v>2625</v>
      </c>
    </row>
    <row r="2768">
      <c r="B2768" s="1" t="s">
        <v>2005</v>
      </c>
      <c r="D2768" s="1">
        <v>273848.0</v>
      </c>
      <c r="E2768" s="1"/>
      <c r="F2768" s="1" t="s">
        <v>2625</v>
      </c>
    </row>
    <row r="2769">
      <c r="A2769" s="1" t="s">
        <v>2626</v>
      </c>
      <c r="B2769" s="3" t="s">
        <v>280</v>
      </c>
      <c r="D2769" s="1">
        <v>2129993.0</v>
      </c>
      <c r="E2769" s="1"/>
      <c r="F2769" s="1"/>
    </row>
    <row r="2770">
      <c r="B2770" s="1" t="s">
        <v>1769</v>
      </c>
      <c r="D2770" s="1">
        <v>1847957.0</v>
      </c>
      <c r="E2770" s="1"/>
      <c r="F2770" s="1"/>
    </row>
    <row r="2771">
      <c r="A2771" s="1" t="s">
        <v>2627</v>
      </c>
      <c r="B2771" s="3" t="s">
        <v>1021</v>
      </c>
      <c r="D2771" s="1">
        <v>2081443.0</v>
      </c>
      <c r="E2771" s="1"/>
      <c r="F2771" s="1"/>
    </row>
    <row r="2772">
      <c r="A2772" s="1" t="s">
        <v>2628</v>
      </c>
      <c r="B2772" s="1" t="s">
        <v>2585</v>
      </c>
      <c r="D2772" s="1">
        <v>674270.0</v>
      </c>
      <c r="E2772" s="1"/>
      <c r="F2772" s="1"/>
    </row>
    <row r="2773">
      <c r="A2773" s="1" t="s">
        <v>2627</v>
      </c>
      <c r="B2773" s="22" t="s">
        <v>651</v>
      </c>
      <c r="D2773" s="1">
        <v>1644720.0</v>
      </c>
      <c r="E2773" s="1"/>
      <c r="F2773" s="1" t="s">
        <v>2413</v>
      </c>
    </row>
    <row r="2774">
      <c r="B2774" s="22" t="s">
        <v>2218</v>
      </c>
      <c r="D2774" s="1">
        <v>1221000.0</v>
      </c>
      <c r="E2774" s="1"/>
      <c r="F2774" s="1" t="s">
        <v>2413</v>
      </c>
    </row>
    <row r="2775">
      <c r="B2775" s="38" t="s">
        <v>648</v>
      </c>
      <c r="D2775" s="1">
        <v>165000.0</v>
      </c>
      <c r="E2775" s="1"/>
      <c r="F2775" s="1"/>
    </row>
    <row r="2776">
      <c r="A2776" s="1" t="s">
        <v>2629</v>
      </c>
      <c r="B2776" s="1" t="s">
        <v>774</v>
      </c>
      <c r="D2776" s="1">
        <v>242530.0</v>
      </c>
      <c r="E2776" s="1"/>
      <c r="F2776" s="1" t="s">
        <v>2490</v>
      </c>
      <c r="G2776" s="1" t="s">
        <v>2630</v>
      </c>
    </row>
    <row r="2777">
      <c r="B2777" s="1" t="s">
        <v>1224</v>
      </c>
      <c r="D2777" s="1">
        <v>24400.0</v>
      </c>
      <c r="E2777" s="1"/>
      <c r="F2777" s="1" t="s">
        <v>2490</v>
      </c>
      <c r="G2777" s="1" t="s">
        <v>2630</v>
      </c>
    </row>
    <row r="2778">
      <c r="A2778" s="1" t="s">
        <v>2626</v>
      </c>
      <c r="B2778" s="1" t="s">
        <v>2019</v>
      </c>
      <c r="D2778" s="1">
        <v>519168.0</v>
      </c>
      <c r="E2778" s="1"/>
      <c r="F2778" s="1" t="s">
        <v>2631</v>
      </c>
    </row>
    <row r="2779">
      <c r="B2779" s="1" t="s">
        <v>2003</v>
      </c>
      <c r="D2779" s="1">
        <v>342900.0</v>
      </c>
      <c r="E2779" s="1"/>
      <c r="F2779" s="1" t="s">
        <v>2632</v>
      </c>
    </row>
    <row r="2780">
      <c r="B2780" s="1" t="s">
        <v>2005</v>
      </c>
      <c r="D2780" s="1">
        <v>289425.0</v>
      </c>
      <c r="E2780" s="1"/>
      <c r="F2780" s="1" t="s">
        <v>2632</v>
      </c>
    </row>
    <row r="2781">
      <c r="A2781" s="1" t="s">
        <v>2626</v>
      </c>
      <c r="B2781" s="1" t="s">
        <v>2039</v>
      </c>
      <c r="D2781" s="1">
        <v>96800.0</v>
      </c>
      <c r="E2781" s="1"/>
      <c r="F2781" s="1" t="s">
        <v>2207</v>
      </c>
    </row>
    <row r="2782">
      <c r="A2782" s="1" t="s">
        <v>2628</v>
      </c>
      <c r="B2782" s="1" t="s">
        <v>2633</v>
      </c>
      <c r="D2782" s="1">
        <v>47500.0</v>
      </c>
      <c r="E2782" s="1"/>
      <c r="F2782" s="1" t="s">
        <v>2634</v>
      </c>
    </row>
    <row r="2783">
      <c r="A2783" s="1" t="s">
        <v>2627</v>
      </c>
      <c r="B2783" s="28" t="s">
        <v>1953</v>
      </c>
      <c r="D2783" s="1">
        <v>4093927.0</v>
      </c>
      <c r="E2783" s="1"/>
      <c r="F2783" s="1"/>
    </row>
    <row r="2784">
      <c r="B2784" s="3" t="s">
        <v>648</v>
      </c>
      <c r="D2784" s="1"/>
      <c r="E2784" s="1"/>
      <c r="F2784" s="1" t="s">
        <v>2635</v>
      </c>
    </row>
    <row r="2785">
      <c r="A2785" s="1" t="s">
        <v>2636</v>
      </c>
      <c r="B2785" s="33" t="s">
        <v>2427</v>
      </c>
      <c r="C2785" s="34"/>
      <c r="D2785" s="33">
        <v>240069.0</v>
      </c>
      <c r="E2785" s="33"/>
      <c r="F2785" s="1" t="s">
        <v>2428</v>
      </c>
    </row>
    <row r="2786">
      <c r="A2786" s="1" t="s">
        <v>2637</v>
      </c>
      <c r="B2786" s="1" t="s">
        <v>2019</v>
      </c>
      <c r="D2786" s="1">
        <v>389376.0</v>
      </c>
      <c r="E2786" s="1"/>
      <c r="F2786" s="1" t="s">
        <v>2638</v>
      </c>
    </row>
    <row r="2787">
      <c r="B2787" s="1" t="s">
        <v>2003</v>
      </c>
      <c r="D2787" s="1">
        <v>183456.0</v>
      </c>
      <c r="E2787" s="1"/>
      <c r="F2787" s="1" t="s">
        <v>2639</v>
      </c>
    </row>
    <row r="2788">
      <c r="B2788" s="1" t="s">
        <v>2005</v>
      </c>
      <c r="D2788" s="1">
        <v>180386.0</v>
      </c>
      <c r="E2788" s="1"/>
      <c r="F2788" s="1" t="s">
        <v>2640</v>
      </c>
    </row>
    <row r="2789">
      <c r="A2789" s="1" t="s">
        <v>2641</v>
      </c>
      <c r="B2789" s="5" t="s">
        <v>2642</v>
      </c>
      <c r="D2789" s="1">
        <v>1000000.0</v>
      </c>
      <c r="E2789" s="1"/>
      <c r="F2789" s="1" t="s">
        <v>2643</v>
      </c>
    </row>
    <row r="2790">
      <c r="A2790" s="1" t="s">
        <v>2629</v>
      </c>
      <c r="B2790" s="1" t="s">
        <v>2150</v>
      </c>
      <c r="D2790" s="1">
        <v>3860590.0</v>
      </c>
      <c r="E2790" s="1"/>
      <c r="F2790" s="1" t="s">
        <v>2241</v>
      </c>
    </row>
    <row r="2791">
      <c r="A2791" s="39" t="s">
        <v>2644</v>
      </c>
      <c r="B2791" s="40" t="s">
        <v>2150</v>
      </c>
      <c r="C2791" s="40"/>
      <c r="D2791" s="41">
        <v>3924590.0</v>
      </c>
      <c r="E2791" s="41"/>
      <c r="F2791" s="42" t="s">
        <v>2241</v>
      </c>
    </row>
    <row r="2792">
      <c r="A2792" s="1" t="s">
        <v>2645</v>
      </c>
      <c r="B2792" s="3" t="s">
        <v>280</v>
      </c>
      <c r="D2792" s="1">
        <v>2120583.0</v>
      </c>
      <c r="E2792" s="1"/>
      <c r="F2792" s="1"/>
    </row>
    <row r="2793">
      <c r="B2793" s="1" t="s">
        <v>1769</v>
      </c>
      <c r="D2793" s="1">
        <v>1834207.0</v>
      </c>
      <c r="E2793" s="1"/>
      <c r="F2793" s="1"/>
    </row>
    <row r="2794">
      <c r="A2794" s="1" t="s">
        <v>2646</v>
      </c>
      <c r="B2794" s="3" t="s">
        <v>1021</v>
      </c>
      <c r="D2794" s="1">
        <v>2054543.0</v>
      </c>
      <c r="E2794" s="1"/>
      <c r="F2794" s="1"/>
    </row>
    <row r="2795">
      <c r="A2795" s="1" t="s">
        <v>2647</v>
      </c>
      <c r="B2795" s="1" t="s">
        <v>2585</v>
      </c>
      <c r="D2795" s="1">
        <v>674270.0</v>
      </c>
      <c r="E2795" s="1"/>
      <c r="F2795" s="1"/>
    </row>
    <row r="2796">
      <c r="A2796" s="1" t="s">
        <v>2644</v>
      </c>
      <c r="B2796" s="1" t="s">
        <v>774</v>
      </c>
      <c r="D2796" s="1">
        <v>259340.0</v>
      </c>
      <c r="E2796" s="1"/>
      <c r="F2796" s="1" t="s">
        <v>2490</v>
      </c>
      <c r="G2796" s="1" t="s">
        <v>2630</v>
      </c>
    </row>
    <row r="2797">
      <c r="B2797" s="1" t="s">
        <v>1224</v>
      </c>
      <c r="D2797" s="1">
        <v>25920.0</v>
      </c>
      <c r="E2797" s="1"/>
      <c r="F2797" s="1" t="s">
        <v>2490</v>
      </c>
      <c r="G2797" s="1" t="s">
        <v>2648</v>
      </c>
    </row>
    <row r="2798">
      <c r="A2798" s="1" t="s">
        <v>2645</v>
      </c>
      <c r="B2798" s="1" t="s">
        <v>2053</v>
      </c>
      <c r="D2798" s="1">
        <v>96800.0</v>
      </c>
      <c r="E2798" s="1"/>
      <c r="F2798" s="1" t="s">
        <v>2207</v>
      </c>
    </row>
    <row r="2799">
      <c r="A2799" s="1" t="s">
        <v>2649</v>
      </c>
      <c r="B2799" s="5" t="s">
        <v>2650</v>
      </c>
      <c r="D2799" s="1">
        <v>1.69E7</v>
      </c>
      <c r="E2799" s="1"/>
      <c r="F2799" s="1" t="s">
        <v>2643</v>
      </c>
    </row>
    <row r="2800">
      <c r="A2800" s="1" t="s">
        <v>2645</v>
      </c>
      <c r="B2800" s="1" t="s">
        <v>2019</v>
      </c>
      <c r="D2800" s="1">
        <v>454272.0</v>
      </c>
      <c r="E2800" s="1"/>
      <c r="F2800" s="1" t="s">
        <v>2651</v>
      </c>
    </row>
    <row r="2801">
      <c r="B2801" s="1" t="s">
        <v>2003</v>
      </c>
      <c r="D2801" s="1">
        <v>272036.0</v>
      </c>
      <c r="E2801" s="1"/>
      <c r="F2801" s="1" t="s">
        <v>2652</v>
      </c>
    </row>
    <row r="2802">
      <c r="B2802" s="1" t="s">
        <v>2005</v>
      </c>
      <c r="D2802" s="1">
        <v>227117.0</v>
      </c>
      <c r="E2802" s="1"/>
      <c r="F2802" s="1" t="s">
        <v>2652</v>
      </c>
    </row>
    <row r="2803">
      <c r="A2803" s="1" t="s">
        <v>2645</v>
      </c>
      <c r="B2803" s="22" t="s">
        <v>1331</v>
      </c>
      <c r="D2803" s="1">
        <v>133340.0</v>
      </c>
      <c r="E2803" s="1"/>
      <c r="F2803" s="1" t="s">
        <v>1332</v>
      </c>
    </row>
    <row r="2804">
      <c r="A2804" s="1" t="s">
        <v>2647</v>
      </c>
      <c r="B2804" s="1" t="s">
        <v>2633</v>
      </c>
      <c r="D2804" s="1">
        <v>47500.0</v>
      </c>
      <c r="E2804" s="1"/>
      <c r="F2804" s="1" t="s">
        <v>2653</v>
      </c>
    </row>
    <row r="2805">
      <c r="A2805" s="1" t="s">
        <v>2647</v>
      </c>
      <c r="B2805" s="1" t="s">
        <v>2654</v>
      </c>
      <c r="D2805" s="1">
        <v>4.812382E7</v>
      </c>
      <c r="E2805" s="1"/>
      <c r="F2805" s="1"/>
    </row>
    <row r="2806">
      <c r="B2806" s="1" t="s">
        <v>1224</v>
      </c>
      <c r="D2806" s="1">
        <v>8561080.0</v>
      </c>
      <c r="E2806" s="1"/>
      <c r="F2806" s="1"/>
    </row>
    <row r="2807">
      <c r="B2807" s="1" t="s">
        <v>69</v>
      </c>
      <c r="D2807" s="1">
        <v>62500.0</v>
      </c>
      <c r="E2807" s="1"/>
      <c r="F2807" s="1"/>
    </row>
    <row r="2808">
      <c r="A2808" s="1" t="s">
        <v>2655</v>
      </c>
      <c r="B2808" s="28" t="s">
        <v>1953</v>
      </c>
      <c r="D2808" s="1">
        <v>4056378.0</v>
      </c>
      <c r="E2808" s="1"/>
      <c r="F2808" s="1"/>
    </row>
    <row r="2809">
      <c r="B2809" s="3" t="s">
        <v>648</v>
      </c>
      <c r="D2809" s="1">
        <v>165000.0</v>
      </c>
      <c r="E2809" s="1"/>
    </row>
    <row r="2810">
      <c r="B2810" s="33" t="s">
        <v>2442</v>
      </c>
      <c r="C2810" s="34"/>
      <c r="D2810" s="33">
        <v>129524.0</v>
      </c>
      <c r="E2810" s="33"/>
      <c r="F2810" s="1" t="s">
        <v>2428</v>
      </c>
    </row>
    <row r="2811">
      <c r="A2811" s="1" t="s">
        <v>2656</v>
      </c>
      <c r="B2811" s="30" t="s">
        <v>2657</v>
      </c>
      <c r="D2811" s="1"/>
      <c r="E2811" s="1"/>
      <c r="F2811" s="1"/>
    </row>
    <row r="2812">
      <c r="A2812" s="1" t="s">
        <v>2658</v>
      </c>
      <c r="B2812" s="1" t="s">
        <v>2019</v>
      </c>
      <c r="D2812" s="1">
        <v>497536.0</v>
      </c>
      <c r="E2812" s="1"/>
      <c r="F2812" s="1" t="s">
        <v>2659</v>
      </c>
    </row>
    <row r="2813">
      <c r="B2813" s="1" t="s">
        <v>2003</v>
      </c>
      <c r="D2813" s="1">
        <v>325184.0</v>
      </c>
      <c r="E2813" s="1"/>
      <c r="F2813" s="1" t="s">
        <v>2660</v>
      </c>
    </row>
    <row r="2814">
      <c r="B2814" s="1" t="s">
        <v>2005</v>
      </c>
      <c r="D2814" s="1">
        <v>273848.0</v>
      </c>
      <c r="E2814" s="1"/>
      <c r="F2814" s="1" t="s">
        <v>2660</v>
      </c>
    </row>
    <row r="2815">
      <c r="A2815" s="39" t="s">
        <v>2661</v>
      </c>
      <c r="B2815" s="40" t="s">
        <v>2150</v>
      </c>
      <c r="C2815" s="40"/>
      <c r="D2815" s="41">
        <v>7476110.0</v>
      </c>
      <c r="E2815" s="41"/>
      <c r="F2815" s="42" t="s">
        <v>2241</v>
      </c>
    </row>
    <row r="2816">
      <c r="A2816" s="1" t="s">
        <v>2645</v>
      </c>
      <c r="B2816" s="1" t="s">
        <v>2662</v>
      </c>
      <c r="D2816" s="1">
        <v>1458000.0</v>
      </c>
      <c r="E2816" s="1"/>
      <c r="F2816" s="1" t="s">
        <v>2663</v>
      </c>
    </row>
    <row r="2817">
      <c r="B2817" s="1" t="s">
        <v>2664</v>
      </c>
      <c r="D2817" s="1">
        <v>162000.0</v>
      </c>
      <c r="E2817" s="1"/>
      <c r="F2817" s="1" t="s">
        <v>2665</v>
      </c>
    </row>
    <row r="2818">
      <c r="A2818" s="1" t="s">
        <v>2646</v>
      </c>
      <c r="B2818" s="1" t="s">
        <v>2666</v>
      </c>
      <c r="D2818" s="1">
        <v>1620300.0</v>
      </c>
      <c r="E2818" s="1"/>
      <c r="F2818" s="1" t="s">
        <v>2667</v>
      </c>
    </row>
    <row r="2819">
      <c r="B2819" s="1" t="s">
        <v>2668</v>
      </c>
      <c r="D2819" s="1">
        <v>55924.0</v>
      </c>
      <c r="E2819" s="1"/>
      <c r="F2819" s="1" t="s">
        <v>1332</v>
      </c>
    </row>
    <row r="2820">
      <c r="A2820" s="1" t="s">
        <v>2661</v>
      </c>
      <c r="B2820" s="1" t="s">
        <v>774</v>
      </c>
      <c r="D2820" s="1">
        <v>280740.0</v>
      </c>
      <c r="E2820" s="1"/>
      <c r="F2820" s="1" t="s">
        <v>2490</v>
      </c>
      <c r="G2820" s="1" t="s">
        <v>2630</v>
      </c>
    </row>
    <row r="2821">
      <c r="B2821" s="1" t="s">
        <v>1224</v>
      </c>
      <c r="D2821" s="1">
        <v>28060.0</v>
      </c>
      <c r="E2821" s="1"/>
      <c r="F2821" s="1" t="s">
        <v>2490</v>
      </c>
      <c r="G2821" s="1" t="s">
        <v>2648</v>
      </c>
    </row>
    <row r="2822">
      <c r="A2822" s="1" t="s">
        <v>2669</v>
      </c>
      <c r="B2822" s="3" t="s">
        <v>280</v>
      </c>
      <c r="D2822" s="1">
        <v>2154753.0</v>
      </c>
      <c r="E2822" s="1"/>
      <c r="F2822" s="1"/>
    </row>
    <row r="2823">
      <c r="B2823" s="1" t="s">
        <v>1769</v>
      </c>
      <c r="D2823" s="1">
        <v>1849197.0</v>
      </c>
      <c r="E2823" s="1"/>
      <c r="F2823" s="1"/>
    </row>
    <row r="2824">
      <c r="A2824" s="1" t="s">
        <v>2670</v>
      </c>
      <c r="B2824" s="3" t="s">
        <v>1021</v>
      </c>
      <c r="D2824" s="1">
        <v>2076013.0</v>
      </c>
      <c r="E2824" s="1"/>
      <c r="F2824" s="1"/>
    </row>
    <row r="2825">
      <c r="A2825" s="1" t="s">
        <v>2671</v>
      </c>
      <c r="B2825" s="1" t="s">
        <v>2585</v>
      </c>
      <c r="D2825" s="1">
        <v>674270.0</v>
      </c>
      <c r="E2825" s="1"/>
      <c r="F2825" s="1"/>
    </row>
    <row r="2826">
      <c r="A2826" s="1" t="s">
        <v>2672</v>
      </c>
      <c r="B2826" s="1" t="s">
        <v>2019</v>
      </c>
      <c r="D2826" s="1">
        <v>562432.0</v>
      </c>
      <c r="E2826" s="1"/>
      <c r="F2826" s="1" t="s">
        <v>2673</v>
      </c>
    </row>
    <row r="2827">
      <c r="B2827" s="1" t="s">
        <v>2003</v>
      </c>
      <c r="D2827" s="1">
        <v>342900.0</v>
      </c>
      <c r="E2827" s="1"/>
      <c r="F2827" s="1" t="s">
        <v>2674</v>
      </c>
    </row>
    <row r="2828">
      <c r="B2828" s="1" t="s">
        <v>2005</v>
      </c>
      <c r="D2828" s="1">
        <v>258271.0</v>
      </c>
      <c r="E2828" s="1"/>
      <c r="F2828" s="1" t="s">
        <v>2675</v>
      </c>
    </row>
    <row r="2829">
      <c r="A2829" s="1" t="s">
        <v>2669</v>
      </c>
      <c r="B2829" s="1" t="s">
        <v>2068</v>
      </c>
      <c r="D2829" s="1">
        <v>96800.0</v>
      </c>
      <c r="E2829" s="1"/>
      <c r="F2829" s="1" t="s">
        <v>2207</v>
      </c>
    </row>
    <row r="2830">
      <c r="A2830" s="1" t="s">
        <v>2672</v>
      </c>
      <c r="B2830" s="1" t="s">
        <v>2633</v>
      </c>
      <c r="D2830" s="1">
        <v>47500.0</v>
      </c>
      <c r="E2830" s="1"/>
      <c r="F2830" s="1" t="s">
        <v>2653</v>
      </c>
    </row>
    <row r="2831">
      <c r="A2831" s="1" t="s">
        <v>2670</v>
      </c>
      <c r="B2831" s="28" t="s">
        <v>1953</v>
      </c>
      <c r="D2831" s="1">
        <v>4101775.0</v>
      </c>
      <c r="E2831" s="1"/>
      <c r="F2831" s="1"/>
    </row>
    <row r="2832">
      <c r="B2832" s="3" t="s">
        <v>648</v>
      </c>
      <c r="D2832" s="1">
        <v>165000.0</v>
      </c>
      <c r="E2832" s="1"/>
    </row>
    <row r="2833">
      <c r="B2833" s="33" t="s">
        <v>2460</v>
      </c>
      <c r="C2833" s="34"/>
      <c r="D2833" s="33">
        <v>167710.0</v>
      </c>
      <c r="E2833" s="33"/>
      <c r="F2833" s="1" t="s">
        <v>2428</v>
      </c>
    </row>
    <row r="2834">
      <c r="A2834" s="1" t="s">
        <v>2676</v>
      </c>
      <c r="B2834" s="1" t="s">
        <v>2019</v>
      </c>
      <c r="D2834" s="1">
        <v>454272.0</v>
      </c>
      <c r="E2834" s="1"/>
      <c r="F2834" s="1" t="s">
        <v>2677</v>
      </c>
    </row>
    <row r="2835">
      <c r="B2835" s="1" t="s">
        <v>2003</v>
      </c>
      <c r="D2835" s="1">
        <v>289752.0</v>
      </c>
      <c r="E2835" s="1"/>
      <c r="F2835" s="1" t="s">
        <v>2678</v>
      </c>
    </row>
    <row r="2836">
      <c r="B2836" s="1" t="s">
        <v>2005</v>
      </c>
      <c r="D2836" s="1">
        <v>273848.0</v>
      </c>
      <c r="E2836" s="1"/>
      <c r="F2836" s="1" t="s">
        <v>2679</v>
      </c>
    </row>
    <row r="2837">
      <c r="A2837" s="39" t="s">
        <v>2680</v>
      </c>
      <c r="B2837" s="40" t="s">
        <v>2150</v>
      </c>
      <c r="C2837" s="40"/>
      <c r="D2837" s="41">
        <v>4129860.0</v>
      </c>
      <c r="E2837" s="41"/>
      <c r="F2837" s="42" t="s">
        <v>2241</v>
      </c>
    </row>
    <row r="2838">
      <c r="A2838" s="1" t="s">
        <v>2681</v>
      </c>
      <c r="B2838" s="1" t="s">
        <v>2682</v>
      </c>
      <c r="D2838" s="1">
        <v>96800.0</v>
      </c>
      <c r="E2838" s="1"/>
      <c r="F2838" s="1" t="s">
        <v>2207</v>
      </c>
    </row>
    <row r="2839">
      <c r="A2839" s="1" t="s">
        <v>2683</v>
      </c>
      <c r="B2839" s="1" t="s">
        <v>774</v>
      </c>
      <c r="D2839" s="1">
        <v>220930.0</v>
      </c>
      <c r="E2839" s="1"/>
      <c r="F2839" s="1" t="s">
        <v>2490</v>
      </c>
      <c r="G2839" s="1" t="s">
        <v>2630</v>
      </c>
    </row>
    <row r="2840">
      <c r="B2840" s="1" t="s">
        <v>1224</v>
      </c>
      <c r="D2840" s="1">
        <v>22080.0</v>
      </c>
      <c r="E2840" s="1"/>
      <c r="F2840" s="1" t="s">
        <v>2490</v>
      </c>
      <c r="G2840" s="1" t="s">
        <v>2648</v>
      </c>
    </row>
    <row r="2841">
      <c r="A2841" s="1" t="s">
        <v>2681</v>
      </c>
      <c r="B2841" s="3" t="s">
        <v>280</v>
      </c>
      <c r="D2841" s="1">
        <v>2123433.0</v>
      </c>
      <c r="E2841" s="1"/>
      <c r="F2841" s="1"/>
    </row>
    <row r="2842">
      <c r="B2842" s="1" t="s">
        <v>1769</v>
      </c>
      <c r="D2842" s="1">
        <v>1837267.0</v>
      </c>
      <c r="E2842" s="1"/>
      <c r="F2842" s="1"/>
    </row>
    <row r="2843">
      <c r="A2843" s="1" t="s">
        <v>2684</v>
      </c>
      <c r="B2843" s="3" t="s">
        <v>1021</v>
      </c>
      <c r="D2843" s="1">
        <v>2054543.0</v>
      </c>
      <c r="E2843" s="1"/>
      <c r="F2843" s="1"/>
    </row>
    <row r="2844">
      <c r="A2844" s="1" t="s">
        <v>2685</v>
      </c>
      <c r="B2844" s="1" t="s">
        <v>2585</v>
      </c>
      <c r="D2844" s="1">
        <v>674270.0</v>
      </c>
      <c r="E2844" s="1"/>
      <c r="F2844" s="1"/>
    </row>
    <row r="2845">
      <c r="A2845" s="1" t="s">
        <v>2686</v>
      </c>
      <c r="B2845" s="1" t="s">
        <v>2019</v>
      </c>
      <c r="D2845" s="1">
        <v>346112.0</v>
      </c>
      <c r="E2845" s="1"/>
      <c r="F2845" s="1" t="s">
        <v>2687</v>
      </c>
    </row>
    <row r="2846">
      <c r="B2846" s="1" t="s">
        <v>2003</v>
      </c>
      <c r="D2846" s="1">
        <v>218888.0</v>
      </c>
      <c r="E2846" s="1"/>
      <c r="F2846" s="1" t="s">
        <v>2688</v>
      </c>
    </row>
    <row r="2847">
      <c r="B2847" s="1" t="s">
        <v>2005</v>
      </c>
      <c r="D2847" s="1">
        <v>164809.0</v>
      </c>
      <c r="E2847" s="1"/>
      <c r="F2847" s="1" t="s">
        <v>2689</v>
      </c>
    </row>
    <row r="2848">
      <c r="A2848" s="1" t="s">
        <v>2685</v>
      </c>
      <c r="B2848" s="1" t="s">
        <v>2633</v>
      </c>
      <c r="D2848" s="1">
        <v>47500.0</v>
      </c>
      <c r="E2848" s="1"/>
      <c r="F2848" s="1" t="s">
        <v>2653</v>
      </c>
    </row>
    <row r="2849">
      <c r="A2849" s="1" t="s">
        <v>2690</v>
      </c>
      <c r="B2849" s="1" t="s">
        <v>2691</v>
      </c>
      <c r="D2849" s="1">
        <v>6729274.0</v>
      </c>
      <c r="E2849" s="1"/>
      <c r="F2849" s="1" t="s">
        <v>2554</v>
      </c>
    </row>
    <row r="2850">
      <c r="A2850" s="1" t="s">
        <v>2685</v>
      </c>
      <c r="B2850" s="1" t="s">
        <v>2692</v>
      </c>
      <c r="D2850" s="1">
        <v>65000.0</v>
      </c>
      <c r="E2850" s="1"/>
      <c r="F2850" s="1"/>
    </row>
    <row r="2851">
      <c r="A2851" s="1" t="s">
        <v>2693</v>
      </c>
      <c r="B2851" s="1" t="s">
        <v>2694</v>
      </c>
      <c r="D2851" s="1">
        <v>297000.0</v>
      </c>
      <c r="E2851" s="1"/>
      <c r="F2851" s="1"/>
    </row>
    <row r="2852">
      <c r="A2852" s="1" t="s">
        <v>2684</v>
      </c>
      <c r="B2852" s="28" t="s">
        <v>1953</v>
      </c>
      <c r="D2852" s="1">
        <v>4004993.0</v>
      </c>
      <c r="E2852" s="1"/>
      <c r="F2852" s="1"/>
    </row>
    <row r="2853">
      <c r="B2853" s="3" t="s">
        <v>648</v>
      </c>
      <c r="D2853" s="1">
        <v>165000.0</v>
      </c>
      <c r="E2853" s="1"/>
    </row>
    <row r="2854">
      <c r="B2854" s="33" t="s">
        <v>2478</v>
      </c>
      <c r="C2854" s="34"/>
      <c r="D2854" s="33">
        <v>128152.0</v>
      </c>
      <c r="E2854" s="33"/>
      <c r="F2854" s="1" t="s">
        <v>2428</v>
      </c>
    </row>
    <row r="2855">
      <c r="A2855" s="1" t="s">
        <v>2695</v>
      </c>
      <c r="B2855" s="1" t="s">
        <v>2019</v>
      </c>
      <c r="D2855" s="1">
        <v>605696.0</v>
      </c>
      <c r="E2855" s="1"/>
      <c r="F2855" s="1" t="s">
        <v>2696</v>
      </c>
    </row>
    <row r="2856">
      <c r="B2856" s="1" t="s">
        <v>2003</v>
      </c>
      <c r="D2856" s="1">
        <v>360616.0</v>
      </c>
      <c r="E2856" s="1"/>
      <c r="F2856" s="1" t="s">
        <v>2697</v>
      </c>
    </row>
    <row r="2857">
      <c r="B2857" s="1" t="s">
        <v>2005</v>
      </c>
      <c r="D2857" s="1">
        <v>305002.0</v>
      </c>
      <c r="E2857" s="1"/>
      <c r="F2857" s="1" t="s">
        <v>2697</v>
      </c>
    </row>
    <row r="2858">
      <c r="A2858" s="39" t="s">
        <v>2698</v>
      </c>
      <c r="B2858" s="40" t="s">
        <v>2150</v>
      </c>
      <c r="C2858" s="40"/>
      <c r="D2858" s="41">
        <v>4129860.0</v>
      </c>
      <c r="E2858" s="41"/>
      <c r="F2858" s="42" t="s">
        <v>2241</v>
      </c>
    </row>
    <row r="2859">
      <c r="A2859" s="1" t="s">
        <v>2699</v>
      </c>
      <c r="B2859" s="1" t="s">
        <v>2700</v>
      </c>
      <c r="D2859" s="1">
        <v>96800.0</v>
      </c>
      <c r="E2859" s="1"/>
      <c r="F2859" s="1" t="s">
        <v>2207</v>
      </c>
    </row>
    <row r="2860">
      <c r="A2860" s="1" t="s">
        <v>2701</v>
      </c>
      <c r="B2860" s="1" t="s">
        <v>2393</v>
      </c>
      <c r="D2860" s="1">
        <v>407000.0</v>
      </c>
      <c r="E2860" s="1"/>
      <c r="F2860" s="3" t="s">
        <v>1147</v>
      </c>
    </row>
    <row r="2861">
      <c r="A2861" s="1" t="s">
        <v>2699</v>
      </c>
      <c r="B2861" s="1" t="s">
        <v>774</v>
      </c>
      <c r="D2861" s="1">
        <v>275730.0</v>
      </c>
      <c r="E2861" s="1"/>
      <c r="F2861" s="1" t="s">
        <v>2490</v>
      </c>
      <c r="G2861" s="1" t="s">
        <v>2630</v>
      </c>
    </row>
    <row r="2862">
      <c r="B2862" s="1" t="s">
        <v>1224</v>
      </c>
      <c r="D2862" s="1">
        <v>27570.0</v>
      </c>
      <c r="E2862" s="1"/>
      <c r="F2862" s="1" t="s">
        <v>2490</v>
      </c>
      <c r="G2862" s="1" t="s">
        <v>2630</v>
      </c>
    </row>
    <row r="2863">
      <c r="A2863" s="1" t="s">
        <v>2702</v>
      </c>
      <c r="B2863" s="3" t="s">
        <v>280</v>
      </c>
      <c r="D2863" s="1">
        <v>2160483.0</v>
      </c>
      <c r="E2863" s="1"/>
      <c r="F2863" s="1"/>
    </row>
    <row r="2864">
      <c r="B2864" s="1" t="s">
        <v>1769</v>
      </c>
      <c r="D2864" s="1">
        <v>1846297.0</v>
      </c>
      <c r="E2864" s="1"/>
      <c r="F2864" s="1"/>
    </row>
    <row r="2865">
      <c r="A2865" s="1" t="s">
        <v>2703</v>
      </c>
      <c r="B2865" s="3" t="s">
        <v>1021</v>
      </c>
      <c r="D2865" s="1">
        <v>2070883.0</v>
      </c>
      <c r="E2865" s="1"/>
      <c r="F2865" s="1"/>
    </row>
    <row r="2866">
      <c r="A2866" s="1" t="s">
        <v>2704</v>
      </c>
      <c r="B2866" s="1" t="s">
        <v>2585</v>
      </c>
      <c r="D2866" s="1">
        <v>674270.0</v>
      </c>
      <c r="E2866" s="1"/>
      <c r="F2866" s="1"/>
    </row>
    <row r="2867">
      <c r="A2867" s="1" t="s">
        <v>2705</v>
      </c>
      <c r="B2867" s="1" t="s">
        <v>2633</v>
      </c>
      <c r="D2867" s="1">
        <v>47500.0</v>
      </c>
      <c r="E2867" s="1"/>
      <c r="F2867" s="1" t="s">
        <v>2653</v>
      </c>
    </row>
    <row r="2868">
      <c r="A2868" s="1" t="s">
        <v>2705</v>
      </c>
      <c r="B2868" s="28" t="s">
        <v>1953</v>
      </c>
      <c r="D2868" s="1">
        <v>4114770.0</v>
      </c>
      <c r="E2868" s="1"/>
      <c r="F2868" s="1"/>
    </row>
    <row r="2869">
      <c r="B2869" s="3" t="s">
        <v>648</v>
      </c>
      <c r="D2869" s="1">
        <v>165000.0</v>
      </c>
      <c r="E2869" s="1"/>
    </row>
    <row r="2870">
      <c r="B2870" s="33" t="s">
        <v>2499</v>
      </c>
      <c r="C2870" s="34"/>
      <c r="D2870" s="33">
        <v>165276.0</v>
      </c>
      <c r="E2870" s="33"/>
      <c r="F2870" s="1" t="s">
        <v>2428</v>
      </c>
    </row>
    <row r="2871">
      <c r="A2871" s="1" t="s">
        <v>2706</v>
      </c>
      <c r="B2871" s="1" t="s">
        <v>2019</v>
      </c>
      <c r="D2871" s="1">
        <v>497536.0</v>
      </c>
      <c r="E2871" s="1"/>
      <c r="F2871" s="1" t="s">
        <v>2707</v>
      </c>
    </row>
    <row r="2872">
      <c r="B2872" s="1" t="s">
        <v>2003</v>
      </c>
      <c r="D2872" s="1">
        <v>289752.0</v>
      </c>
      <c r="E2872" s="1"/>
      <c r="F2872" s="1" t="s">
        <v>2708</v>
      </c>
    </row>
    <row r="2873">
      <c r="B2873" s="1" t="s">
        <v>2005</v>
      </c>
      <c r="D2873" s="1">
        <v>242694.0</v>
      </c>
      <c r="E2873" s="1"/>
      <c r="F2873" s="1" t="s">
        <v>2708</v>
      </c>
    </row>
    <row r="2874">
      <c r="A2874" s="1" t="s">
        <v>2709</v>
      </c>
      <c r="B2874" s="1" t="s">
        <v>2710</v>
      </c>
      <c r="D2874" s="1">
        <v>2.2E7</v>
      </c>
      <c r="E2874" s="1"/>
      <c r="F2874" s="1" t="s">
        <v>2711</v>
      </c>
    </row>
    <row r="2875">
      <c r="A2875" s="1" t="s">
        <v>2712</v>
      </c>
      <c r="B2875" s="1" t="s">
        <v>2713</v>
      </c>
      <c r="D2875" s="1">
        <v>40090.0</v>
      </c>
      <c r="E2875" s="1"/>
      <c r="F2875" s="1" t="s">
        <v>1332</v>
      </c>
    </row>
    <row r="2876">
      <c r="A2876" s="1" t="s">
        <v>2714</v>
      </c>
      <c r="B2876" s="1" t="s">
        <v>2019</v>
      </c>
      <c r="D2876" s="1">
        <v>562432.0</v>
      </c>
      <c r="E2876" s="1"/>
      <c r="F2876" s="1" t="s">
        <v>2715</v>
      </c>
    </row>
    <row r="2877">
      <c r="B2877" s="1" t="s">
        <v>2003</v>
      </c>
      <c r="D2877" s="1">
        <v>148024.0</v>
      </c>
      <c r="E2877" s="1"/>
      <c r="F2877" s="1" t="s">
        <v>2716</v>
      </c>
    </row>
    <row r="2878">
      <c r="B2878" s="1" t="s">
        <v>2005</v>
      </c>
      <c r="D2878" s="1">
        <v>289425.0</v>
      </c>
      <c r="E2878" s="1"/>
      <c r="F2878" s="1" t="s">
        <v>2717</v>
      </c>
    </row>
    <row r="2879">
      <c r="A2879" s="39" t="s">
        <v>2718</v>
      </c>
      <c r="B2879" s="40" t="s">
        <v>2150</v>
      </c>
      <c r="C2879" s="40"/>
      <c r="D2879" s="41">
        <v>4129860.0</v>
      </c>
      <c r="E2879" s="41"/>
      <c r="F2879" s="42" t="s">
        <v>2241</v>
      </c>
    </row>
    <row r="2880">
      <c r="A2880" s="1" t="s">
        <v>2719</v>
      </c>
      <c r="B2880" s="1" t="s">
        <v>2720</v>
      </c>
      <c r="D2880" s="1">
        <v>96800.0</v>
      </c>
      <c r="E2880" s="1"/>
      <c r="F2880" s="1" t="s">
        <v>2207</v>
      </c>
    </row>
    <row r="2881">
      <c r="A2881" s="1" t="s">
        <v>2721</v>
      </c>
      <c r="B2881" s="1" t="s">
        <v>2722</v>
      </c>
      <c r="D2881" s="1">
        <v>2700.0</v>
      </c>
      <c r="E2881" s="1"/>
      <c r="F2881" s="1" t="s">
        <v>2723</v>
      </c>
    </row>
    <row r="2882">
      <c r="A2882" s="1" t="s">
        <v>2719</v>
      </c>
      <c r="B2882" s="1" t="s">
        <v>2724</v>
      </c>
      <c r="D2882" s="1">
        <v>990000.0</v>
      </c>
      <c r="E2882" s="1"/>
      <c r="F2882" s="3" t="s">
        <v>1147</v>
      </c>
    </row>
    <row r="2883">
      <c r="A2883" s="1" t="s">
        <v>2718</v>
      </c>
      <c r="B2883" s="1" t="s">
        <v>774</v>
      </c>
      <c r="D2883" s="1">
        <v>222730.0</v>
      </c>
      <c r="E2883" s="1"/>
      <c r="F2883" s="1" t="s">
        <v>275</v>
      </c>
    </row>
    <row r="2884">
      <c r="B2884" s="1" t="s">
        <v>1224</v>
      </c>
      <c r="D2884" s="1">
        <v>22260.0</v>
      </c>
      <c r="E2884" s="1"/>
      <c r="F2884" s="1" t="s">
        <v>275</v>
      </c>
    </row>
    <row r="2885">
      <c r="A2885" s="1" t="s">
        <v>2725</v>
      </c>
      <c r="B2885" s="3" t="s">
        <v>280</v>
      </c>
      <c r="D2885" s="1">
        <v>2117703.0</v>
      </c>
      <c r="E2885" s="1"/>
      <c r="F2885" s="1"/>
    </row>
    <row r="2886">
      <c r="B2886" s="1" t="s">
        <v>1769</v>
      </c>
      <c r="D2886" s="1">
        <v>1835267.0</v>
      </c>
      <c r="E2886" s="1"/>
      <c r="F2886" s="1"/>
    </row>
    <row r="2887">
      <c r="A2887" s="1" t="s">
        <v>2726</v>
      </c>
      <c r="B2887" s="3" t="s">
        <v>1021</v>
      </c>
      <c r="D2887" s="1">
        <v>2056573.0</v>
      </c>
      <c r="E2887" s="1"/>
      <c r="F2887" s="1"/>
    </row>
    <row r="2888">
      <c r="A2888" s="1" t="s">
        <v>2727</v>
      </c>
      <c r="B2888" s="1" t="s">
        <v>2585</v>
      </c>
      <c r="D2888" s="1">
        <v>674270.0</v>
      </c>
      <c r="E2888" s="1"/>
      <c r="F2888" s="1"/>
    </row>
    <row r="2889">
      <c r="A2889" s="1" t="s">
        <v>2726</v>
      </c>
      <c r="B2889" s="1" t="s">
        <v>2633</v>
      </c>
      <c r="D2889" s="1">
        <v>52500.0</v>
      </c>
      <c r="E2889" s="1"/>
      <c r="F2889" s="1" t="s">
        <v>2653</v>
      </c>
    </row>
    <row r="2890">
      <c r="A2890" s="1" t="s">
        <v>2726</v>
      </c>
      <c r="B2890" s="28" t="s">
        <v>1953</v>
      </c>
      <c r="D2890" s="1">
        <v>4056271.0</v>
      </c>
      <c r="E2890" s="1"/>
      <c r="F2890" s="1"/>
    </row>
    <row r="2891">
      <c r="B2891" s="3" t="s">
        <v>648</v>
      </c>
      <c r="D2891" s="1">
        <v>165000.0</v>
      </c>
      <c r="E2891" s="1"/>
    </row>
    <row r="2892">
      <c r="B2892" s="33" t="s">
        <v>2523</v>
      </c>
      <c r="C2892" s="34"/>
      <c r="D2892" s="33">
        <v>170074.0</v>
      </c>
      <c r="E2892" s="33"/>
      <c r="F2892" s="1" t="s">
        <v>2428</v>
      </c>
    </row>
    <row r="2893">
      <c r="A2893" s="1" t="s">
        <v>2728</v>
      </c>
      <c r="B2893" s="1" t="s">
        <v>2729</v>
      </c>
      <c r="D2893" s="1">
        <v>100000.0</v>
      </c>
      <c r="E2893" s="1"/>
      <c r="F2893" s="1"/>
    </row>
    <row r="2894">
      <c r="B2894" s="1" t="s">
        <v>2730</v>
      </c>
      <c r="D2894" s="1">
        <v>100000.0</v>
      </c>
      <c r="E2894" s="1"/>
      <c r="F2894" s="1"/>
    </row>
    <row r="2895">
      <c r="A2895" s="1" t="s">
        <v>2728</v>
      </c>
      <c r="B2895" s="1" t="s">
        <v>2019</v>
      </c>
      <c r="D2895" s="1">
        <v>562432.0</v>
      </c>
      <c r="E2895" s="1"/>
      <c r="F2895" s="1" t="s">
        <v>2731</v>
      </c>
    </row>
    <row r="2896">
      <c r="B2896" s="1" t="s">
        <v>2003</v>
      </c>
      <c r="D2896" s="1">
        <v>201172.0</v>
      </c>
      <c r="E2896" s="1"/>
      <c r="F2896" s="1" t="s">
        <v>2732</v>
      </c>
    </row>
    <row r="2897">
      <c r="B2897" s="1" t="s">
        <v>2005</v>
      </c>
      <c r="D2897" s="1">
        <v>227117.0</v>
      </c>
      <c r="E2897" s="1"/>
      <c r="F2897" s="1" t="s">
        <v>2733</v>
      </c>
    </row>
    <row r="2898">
      <c r="A2898" s="1" t="s">
        <v>2734</v>
      </c>
      <c r="B2898" s="1" t="s">
        <v>2735</v>
      </c>
      <c r="D2898" s="1">
        <v>2278065.0</v>
      </c>
      <c r="E2898" s="1"/>
      <c r="F2898" s="1" t="s">
        <v>2554</v>
      </c>
    </row>
    <row r="2899">
      <c r="A2899" s="1" t="s">
        <v>2736</v>
      </c>
      <c r="B2899" s="1" t="s">
        <v>2019</v>
      </c>
      <c r="D2899" s="1">
        <v>540800.0</v>
      </c>
      <c r="E2899" s="1"/>
      <c r="F2899" s="1" t="s">
        <v>2737</v>
      </c>
    </row>
    <row r="2900">
      <c r="B2900" s="1" t="s">
        <v>2003</v>
      </c>
      <c r="D2900" s="1">
        <v>325184.0</v>
      </c>
      <c r="E2900" s="1"/>
      <c r="F2900" s="1" t="s">
        <v>2738</v>
      </c>
    </row>
    <row r="2901">
      <c r="B2901" s="1" t="s">
        <v>2005</v>
      </c>
      <c r="D2901" s="1">
        <v>195963.0</v>
      </c>
      <c r="E2901" s="1"/>
      <c r="F2901" s="1" t="s">
        <v>2739</v>
      </c>
    </row>
    <row r="2902">
      <c r="A2902" s="1" t="s">
        <v>2740</v>
      </c>
      <c r="B2902" s="1" t="s">
        <v>2741</v>
      </c>
      <c r="D2902" s="1">
        <v>96800.0</v>
      </c>
      <c r="E2902" s="1"/>
      <c r="F2902" s="1" t="s">
        <v>2207</v>
      </c>
    </row>
    <row r="2903">
      <c r="A2903" s="39" t="s">
        <v>2740</v>
      </c>
      <c r="B2903" s="40" t="s">
        <v>2150</v>
      </c>
      <c r="C2903" s="40"/>
      <c r="D2903" s="43">
        <v>4129860.0</v>
      </c>
      <c r="E2903" s="41"/>
      <c r="F2903" s="42" t="s">
        <v>2241</v>
      </c>
    </row>
    <row r="2904">
      <c r="A2904" s="1" t="s">
        <v>2740</v>
      </c>
      <c r="B2904" s="1" t="s">
        <v>774</v>
      </c>
      <c r="D2904" s="1">
        <v>280620.0</v>
      </c>
      <c r="E2904" s="1"/>
      <c r="F2904" s="1" t="s">
        <v>275</v>
      </c>
    </row>
    <row r="2905">
      <c r="B2905" s="1" t="s">
        <v>1224</v>
      </c>
      <c r="D2905" s="1">
        <v>28060.0</v>
      </c>
      <c r="E2905" s="1"/>
      <c r="F2905" s="1" t="s">
        <v>275</v>
      </c>
    </row>
    <row r="2906">
      <c r="B2906" s="5" t="s">
        <v>1166</v>
      </c>
      <c r="C2906" s="44"/>
      <c r="D2906" s="5">
        <v>27000.0</v>
      </c>
      <c r="E2906" s="5"/>
      <c r="F2906" s="5" t="s">
        <v>275</v>
      </c>
    </row>
    <row r="2907">
      <c r="A2907" s="1" t="s">
        <v>2742</v>
      </c>
      <c r="B2907" s="1" t="s">
        <v>2019</v>
      </c>
      <c r="D2907" s="1">
        <v>627328.0</v>
      </c>
      <c r="E2907" s="1"/>
      <c r="F2907" s="1" t="s">
        <v>2743</v>
      </c>
    </row>
    <row r="2908">
      <c r="B2908" s="1" t="s">
        <v>2003</v>
      </c>
      <c r="D2908" s="1">
        <v>396048.0</v>
      </c>
      <c r="E2908" s="1"/>
      <c r="F2908" s="1" t="s">
        <v>2744</v>
      </c>
    </row>
    <row r="2909">
      <c r="B2909" s="1" t="s">
        <v>2005</v>
      </c>
      <c r="D2909" s="1">
        <v>367310.0</v>
      </c>
      <c r="E2909" s="1"/>
      <c r="F2909" s="1" t="s">
        <v>2745</v>
      </c>
    </row>
    <row r="2910">
      <c r="A2910" s="1" t="s">
        <v>2742</v>
      </c>
      <c r="B2910" s="3" t="s">
        <v>280</v>
      </c>
      <c r="D2910" s="1">
        <v>2112163.0</v>
      </c>
      <c r="E2910" s="1"/>
      <c r="F2910" s="1"/>
    </row>
    <row r="2911">
      <c r="B2911" s="1" t="s">
        <v>1769</v>
      </c>
      <c r="D2911" s="1">
        <v>1838347.0</v>
      </c>
      <c r="E2911" s="1"/>
      <c r="F2911" s="1"/>
    </row>
    <row r="2912">
      <c r="A2912" s="1" t="s">
        <v>2746</v>
      </c>
      <c r="B2912" s="3" t="s">
        <v>1021</v>
      </c>
      <c r="D2912" s="1">
        <v>2087223.0</v>
      </c>
      <c r="E2912" s="1"/>
      <c r="F2912" s="1"/>
    </row>
    <row r="2913">
      <c r="A2913" s="1" t="s">
        <v>2747</v>
      </c>
      <c r="B2913" s="1" t="s">
        <v>2585</v>
      </c>
      <c r="D2913" s="1">
        <v>674270.0</v>
      </c>
      <c r="E2913" s="1"/>
      <c r="F2913" s="1"/>
    </row>
    <row r="2914">
      <c r="A2914" s="1" t="s">
        <v>2747</v>
      </c>
      <c r="B2914" s="1" t="s">
        <v>2748</v>
      </c>
      <c r="D2914" s="1">
        <v>220000.0</v>
      </c>
      <c r="E2914" s="1"/>
      <c r="F2914" s="1" t="s">
        <v>2402</v>
      </c>
    </row>
    <row r="2915">
      <c r="A2915" s="1" t="s">
        <v>2749</v>
      </c>
      <c r="B2915" s="1" t="s">
        <v>2750</v>
      </c>
      <c r="D2915" s="1">
        <v>396000.0</v>
      </c>
      <c r="E2915" s="1"/>
      <c r="F2915" s="3" t="s">
        <v>1147</v>
      </c>
    </row>
    <row r="2916">
      <c r="A2916" s="1" t="s">
        <v>2751</v>
      </c>
      <c r="B2916" s="1" t="s">
        <v>2633</v>
      </c>
      <c r="D2916" s="1">
        <v>47500.0</v>
      </c>
      <c r="E2916" s="1"/>
      <c r="F2916" s="1" t="s">
        <v>2653</v>
      </c>
    </row>
    <row r="2917">
      <c r="B2917" s="28" t="s">
        <v>1953</v>
      </c>
      <c r="D2917" s="1">
        <v>4222993.0</v>
      </c>
      <c r="E2917" s="1"/>
      <c r="F2917" s="1"/>
    </row>
    <row r="2918">
      <c r="B2918" s="3" t="s">
        <v>648</v>
      </c>
      <c r="D2918" s="1">
        <v>165000.0</v>
      </c>
      <c r="E2918" s="1"/>
    </row>
    <row r="2919">
      <c r="B2919" s="33" t="s">
        <v>2542</v>
      </c>
      <c r="C2919" s="34"/>
      <c r="D2919" s="33">
        <v>124500.0</v>
      </c>
      <c r="E2919" s="33"/>
      <c r="F2919" s="1" t="s">
        <v>2428</v>
      </c>
    </row>
    <row r="2920">
      <c r="A2920" s="1" t="s">
        <v>2752</v>
      </c>
      <c r="B2920" s="1" t="s">
        <v>2753</v>
      </c>
      <c r="D2920" s="1">
        <v>2.0805E7</v>
      </c>
      <c r="E2920" s="1"/>
      <c r="F2920" s="1" t="s">
        <v>2754</v>
      </c>
    </row>
    <row r="2921">
      <c r="A2921" s="1" t="s">
        <v>2755</v>
      </c>
      <c r="B2921" s="1" t="s">
        <v>2019</v>
      </c>
      <c r="D2921" s="1">
        <v>670592.0</v>
      </c>
      <c r="E2921" s="1"/>
      <c r="F2921" s="1" t="s">
        <v>2756</v>
      </c>
    </row>
    <row r="2922">
      <c r="B2922" s="1" t="s">
        <v>2003</v>
      </c>
      <c r="D2922" s="1">
        <v>449196.0</v>
      </c>
      <c r="E2922" s="1"/>
      <c r="F2922" s="1" t="s">
        <v>2757</v>
      </c>
    </row>
    <row r="2923">
      <c r="B2923" s="1" t="s">
        <v>2005</v>
      </c>
      <c r="D2923" s="1">
        <v>336156.0</v>
      </c>
      <c r="E2923" s="1"/>
      <c r="F2923" s="1" t="s">
        <v>2758</v>
      </c>
    </row>
    <row r="2924">
      <c r="A2924" s="35" t="s">
        <v>2746</v>
      </c>
      <c r="B2924" s="35" t="s">
        <v>2759</v>
      </c>
      <c r="C2924" s="36"/>
      <c r="D2924" s="35">
        <v>207019.0</v>
      </c>
      <c r="E2924" s="35"/>
      <c r="F2924" s="35" t="s">
        <v>2760</v>
      </c>
    </row>
    <row r="2925">
      <c r="A2925" s="1" t="s">
        <v>2761</v>
      </c>
      <c r="B2925" s="1" t="s">
        <v>2762</v>
      </c>
      <c r="D2925" s="1">
        <v>100000.0</v>
      </c>
      <c r="E2925" s="1"/>
      <c r="F2925" s="1"/>
    </row>
    <row r="2926">
      <c r="A2926" s="1" t="s">
        <v>2763</v>
      </c>
      <c r="B2926" s="1" t="s">
        <v>2764</v>
      </c>
      <c r="D2926" s="1">
        <v>96800.0</v>
      </c>
      <c r="E2926" s="1"/>
      <c r="F2926" s="1" t="s">
        <v>2207</v>
      </c>
    </row>
    <row r="2927">
      <c r="A2927" s="39" t="s">
        <v>2763</v>
      </c>
      <c r="B2927" s="40" t="s">
        <v>2150</v>
      </c>
      <c r="C2927" s="40"/>
      <c r="D2927" s="41">
        <v>4131600.0</v>
      </c>
      <c r="E2927" s="41"/>
      <c r="F2927" s="42" t="s">
        <v>2241</v>
      </c>
    </row>
    <row r="2928">
      <c r="A2928" s="1" t="s">
        <v>2763</v>
      </c>
      <c r="B2928" s="1" t="s">
        <v>774</v>
      </c>
      <c r="D2928" s="1">
        <v>257260.0</v>
      </c>
      <c r="E2928" s="1"/>
      <c r="F2928" s="1" t="s">
        <v>275</v>
      </c>
    </row>
    <row r="2929">
      <c r="B2929" s="1" t="s">
        <v>1224</v>
      </c>
      <c r="D2929" s="1">
        <v>25710.0</v>
      </c>
      <c r="E2929" s="1"/>
      <c r="F2929" s="1" t="s">
        <v>275</v>
      </c>
    </row>
    <row r="2930">
      <c r="A2930" s="1" t="s">
        <v>2765</v>
      </c>
      <c r="B2930" s="1" t="s">
        <v>2019</v>
      </c>
      <c r="D2930" s="1">
        <v>605696.0</v>
      </c>
      <c r="E2930" s="1"/>
      <c r="F2930" s="1" t="s">
        <v>2766</v>
      </c>
    </row>
    <row r="2931">
      <c r="B2931" s="1" t="s">
        <v>2003</v>
      </c>
      <c r="D2931" s="1">
        <v>360616.0</v>
      </c>
      <c r="E2931" s="1"/>
      <c r="F2931" s="1" t="s">
        <v>2767</v>
      </c>
    </row>
    <row r="2932">
      <c r="B2932" s="1" t="s">
        <v>2005</v>
      </c>
      <c r="D2932" s="1">
        <v>367310.0</v>
      </c>
      <c r="E2932" s="1"/>
      <c r="F2932" s="1" t="s">
        <v>2768</v>
      </c>
    </row>
    <row r="2933">
      <c r="A2933" s="1" t="s">
        <v>2769</v>
      </c>
      <c r="B2933" s="3" t="s">
        <v>280</v>
      </c>
      <c r="D2933" s="1">
        <v>2101523.0</v>
      </c>
      <c r="E2933" s="1"/>
      <c r="F2933" s="1"/>
    </row>
    <row r="2934">
      <c r="B2934" s="1" t="s">
        <v>1769</v>
      </c>
      <c r="D2934" s="1">
        <v>1830447.0</v>
      </c>
      <c r="E2934" s="1"/>
      <c r="F2934" s="1"/>
    </row>
    <row r="2935">
      <c r="A2935" s="1" t="s">
        <v>2770</v>
      </c>
      <c r="B2935" s="3" t="s">
        <v>1021</v>
      </c>
      <c r="D2935" s="1">
        <v>2045583.0</v>
      </c>
      <c r="E2935" s="1"/>
      <c r="F2935" s="1"/>
    </row>
    <row r="2936">
      <c r="A2936" s="1" t="s">
        <v>2771</v>
      </c>
      <c r="B2936" s="1" t="s">
        <v>2585</v>
      </c>
      <c r="D2936" s="1">
        <v>673230.0</v>
      </c>
      <c r="E2936" s="1"/>
      <c r="F2936" s="1"/>
    </row>
    <row r="2937">
      <c r="A2937" s="1" t="s">
        <v>2770</v>
      </c>
      <c r="B2937" s="1" t="s">
        <v>2633</v>
      </c>
      <c r="D2937" s="1">
        <v>47500.0</v>
      </c>
      <c r="E2937" s="1"/>
      <c r="F2937" s="1" t="s">
        <v>2653</v>
      </c>
    </row>
    <row r="2938">
      <c r="B2938" s="28" t="s">
        <v>1953</v>
      </c>
      <c r="D2938" s="1">
        <v>4166564.0</v>
      </c>
      <c r="E2938" s="1"/>
      <c r="F2938" s="1"/>
    </row>
    <row r="2939">
      <c r="B2939" s="3" t="s">
        <v>648</v>
      </c>
      <c r="D2939" s="1">
        <v>165000.0</v>
      </c>
      <c r="E2939" s="1"/>
    </row>
    <row r="2940">
      <c r="B2940" s="33" t="s">
        <v>2555</v>
      </c>
      <c r="C2940" s="34"/>
      <c r="D2940" s="33">
        <v>135430.0</v>
      </c>
      <c r="E2940" s="33"/>
      <c r="F2940" s="1" t="s">
        <v>2428</v>
      </c>
    </row>
    <row r="2941">
      <c r="A2941" s="1" t="s">
        <v>2772</v>
      </c>
      <c r="B2941" s="1" t="s">
        <v>2668</v>
      </c>
      <c r="D2941" s="1">
        <v>127780.0</v>
      </c>
      <c r="E2941" s="1"/>
      <c r="F2941" s="1" t="s">
        <v>2773</v>
      </c>
    </row>
    <row r="2942">
      <c r="A2942" s="1" t="s">
        <v>2772</v>
      </c>
      <c r="B2942" s="1" t="s">
        <v>2713</v>
      </c>
      <c r="D2942" s="1">
        <v>43420.0</v>
      </c>
      <c r="E2942" s="1"/>
      <c r="F2942" s="1" t="s">
        <v>1332</v>
      </c>
    </row>
    <row r="2943">
      <c r="A2943" s="1" t="s">
        <v>2774</v>
      </c>
      <c r="B2943" s="1" t="s">
        <v>2019</v>
      </c>
      <c r="D2943" s="1">
        <v>533172.0</v>
      </c>
      <c r="E2943" s="1"/>
      <c r="F2943" s="1" t="s">
        <v>2775</v>
      </c>
    </row>
    <row r="2944">
      <c r="B2944" s="1" t="s">
        <v>2003</v>
      </c>
      <c r="D2944" s="1">
        <v>360616.0</v>
      </c>
      <c r="E2944" s="1"/>
      <c r="F2944" s="1" t="s">
        <v>2776</v>
      </c>
    </row>
    <row r="2945">
      <c r="B2945" s="1" t="s">
        <v>2005</v>
      </c>
      <c r="D2945" s="1">
        <v>289426.0</v>
      </c>
      <c r="E2945" s="1"/>
      <c r="F2945" s="1" t="s">
        <v>2777</v>
      </c>
    </row>
    <row r="2946">
      <c r="A2946" s="39" t="s">
        <v>2778</v>
      </c>
      <c r="B2946" s="40" t="s">
        <v>2150</v>
      </c>
      <c r="C2946" s="40"/>
      <c r="D2946" s="41">
        <v>4163540.0</v>
      </c>
      <c r="E2946" s="41"/>
      <c r="F2946" s="42" t="s">
        <v>2241</v>
      </c>
    </row>
    <row r="2947">
      <c r="A2947" s="1" t="s">
        <v>2779</v>
      </c>
      <c r="B2947" s="3" t="s">
        <v>280</v>
      </c>
      <c r="D2947" s="1">
        <v>2451553.0</v>
      </c>
      <c r="E2947" s="1"/>
      <c r="F2947" s="1"/>
    </row>
    <row r="2948">
      <c r="B2948" s="1" t="s">
        <v>1769</v>
      </c>
      <c r="D2948" s="1">
        <v>2384577.0</v>
      </c>
      <c r="E2948" s="1"/>
      <c r="F2948" s="1"/>
    </row>
    <row r="2949">
      <c r="A2949" s="1" t="s">
        <v>2780</v>
      </c>
      <c r="B2949" s="3" t="s">
        <v>1021</v>
      </c>
      <c r="D2949" s="1">
        <v>2683143.0</v>
      </c>
      <c r="E2949" s="1"/>
      <c r="F2949" s="1"/>
    </row>
    <row r="2950">
      <c r="A2950" s="1" t="s">
        <v>2781</v>
      </c>
      <c r="B2950" s="1" t="s">
        <v>2585</v>
      </c>
      <c r="D2950" s="1">
        <v>673230.0</v>
      </c>
      <c r="E2950" s="1"/>
      <c r="F2950" s="1"/>
    </row>
    <row r="2951">
      <c r="A2951" s="1" t="s">
        <v>2778</v>
      </c>
      <c r="B2951" s="1" t="s">
        <v>2782</v>
      </c>
      <c r="D2951" s="1">
        <v>96800.0</v>
      </c>
      <c r="E2951" s="1"/>
      <c r="F2951" s="1" t="s">
        <v>2207</v>
      </c>
    </row>
    <row r="2952">
      <c r="A2952" s="1" t="s">
        <v>2783</v>
      </c>
      <c r="B2952" s="1" t="s">
        <v>2019</v>
      </c>
      <c r="D2952" s="1">
        <v>444310.0</v>
      </c>
      <c r="E2952" s="1"/>
    </row>
    <row r="2953">
      <c r="B2953" s="1" t="s">
        <v>2003</v>
      </c>
      <c r="D2953" s="1">
        <v>413764.0</v>
      </c>
      <c r="E2953" s="1"/>
    </row>
    <row r="2954">
      <c r="B2954" s="1" t="s">
        <v>2005</v>
      </c>
      <c r="D2954" s="1">
        <v>367310.0</v>
      </c>
      <c r="E2954" s="1"/>
    </row>
    <row r="2955">
      <c r="A2955" s="1" t="s">
        <v>2784</v>
      </c>
      <c r="B2955" s="1" t="s">
        <v>2633</v>
      </c>
      <c r="D2955" s="1">
        <v>47500.0</v>
      </c>
      <c r="E2955" s="1"/>
      <c r="F2955" s="1" t="s">
        <v>2653</v>
      </c>
    </row>
    <row r="2956">
      <c r="B2956" s="28" t="s">
        <v>1953</v>
      </c>
      <c r="D2956" s="1">
        <v>4096047.0</v>
      </c>
      <c r="E2956" s="1"/>
      <c r="F2956" s="1"/>
    </row>
    <row r="2957">
      <c r="B2957" s="3" t="s">
        <v>648</v>
      </c>
      <c r="D2957" s="1">
        <v>165000.0</v>
      </c>
      <c r="E2957" s="1"/>
    </row>
    <row r="2958">
      <c r="B2958" s="33" t="s">
        <v>2570</v>
      </c>
      <c r="C2958" s="34"/>
      <c r="D2958" s="33">
        <v>52224.0</v>
      </c>
      <c r="E2958" s="33"/>
      <c r="F2958" s="1" t="s">
        <v>2428</v>
      </c>
    </row>
    <row r="2959">
      <c r="A2959" s="1" t="s">
        <v>2785</v>
      </c>
      <c r="B2959" s="1" t="s">
        <v>2019</v>
      </c>
      <c r="D2959" s="1">
        <v>710896.0</v>
      </c>
      <c r="E2959" s="1"/>
      <c r="F2959" s="1"/>
    </row>
    <row r="2960">
      <c r="B2960" s="1" t="s">
        <v>2003</v>
      </c>
      <c r="D2960" s="1">
        <v>378332.0</v>
      </c>
      <c r="E2960" s="1"/>
      <c r="F2960" s="1"/>
    </row>
    <row r="2961">
      <c r="B2961" s="1" t="s">
        <v>2005</v>
      </c>
      <c r="D2961" s="1">
        <v>382715.0</v>
      </c>
      <c r="E2961" s="1"/>
      <c r="F2961" s="1"/>
    </row>
    <row r="2962">
      <c r="A2962" s="39" t="s">
        <v>2786</v>
      </c>
      <c r="B2962" s="1" t="s">
        <v>2787</v>
      </c>
      <c r="D2962" s="1">
        <v>96800.0</v>
      </c>
      <c r="E2962" s="1"/>
      <c r="F2962" s="1" t="s">
        <v>2207</v>
      </c>
    </row>
    <row r="2963">
      <c r="A2963" s="39" t="s">
        <v>2788</v>
      </c>
      <c r="B2963" s="40" t="s">
        <v>2150</v>
      </c>
      <c r="C2963" s="40"/>
      <c r="D2963" s="41">
        <v>4163540.0</v>
      </c>
      <c r="E2963" s="41"/>
      <c r="F2963" s="42" t="s">
        <v>2241</v>
      </c>
    </row>
    <row r="2964">
      <c r="A2964" s="1" t="s">
        <v>2789</v>
      </c>
      <c r="B2964" s="3" t="s">
        <v>280</v>
      </c>
      <c r="D2964" s="1">
        <v>2202203.0</v>
      </c>
      <c r="E2964" s="1"/>
      <c r="F2964" s="1"/>
    </row>
    <row r="2965">
      <c r="B2965" s="1" t="s">
        <v>1769</v>
      </c>
      <c r="D2965" s="1">
        <v>1893187.0</v>
      </c>
      <c r="E2965" s="1"/>
      <c r="F2965" s="1"/>
    </row>
    <row r="2966">
      <c r="A2966" s="1" t="s">
        <v>2790</v>
      </c>
      <c r="B2966" s="3" t="s">
        <v>1021</v>
      </c>
      <c r="D2966" s="1">
        <v>2049903.0</v>
      </c>
      <c r="E2966" s="1"/>
      <c r="F2966" s="1"/>
    </row>
    <row r="2967">
      <c r="A2967" s="1" t="s">
        <v>2791</v>
      </c>
      <c r="B2967" s="1" t="s">
        <v>2585</v>
      </c>
      <c r="D2967" s="1">
        <v>673230.0</v>
      </c>
      <c r="E2967" s="1"/>
      <c r="F2967" s="1"/>
    </row>
    <row r="2968">
      <c r="A2968" s="1" t="s">
        <v>2792</v>
      </c>
      <c r="B2968" s="1" t="s">
        <v>2019</v>
      </c>
      <c r="D2968" s="1">
        <v>644250.0</v>
      </c>
      <c r="E2968" s="1"/>
      <c r="F2968" s="1"/>
    </row>
    <row r="2969">
      <c r="B2969" s="1" t="s">
        <v>2003</v>
      </c>
      <c r="D2969" s="1">
        <v>413764.0</v>
      </c>
      <c r="E2969" s="1"/>
      <c r="F2969" s="1"/>
    </row>
    <row r="2970">
      <c r="B2970" s="1" t="s">
        <v>2005</v>
      </c>
      <c r="D2970" s="1">
        <v>318353.0</v>
      </c>
      <c r="E2970" s="1"/>
      <c r="F2970" s="1"/>
    </row>
    <row r="2971">
      <c r="A2971" s="1" t="s">
        <v>2790</v>
      </c>
      <c r="B2971" s="1" t="s">
        <v>2633</v>
      </c>
      <c r="D2971" s="1">
        <v>47500.0</v>
      </c>
      <c r="E2971" s="1"/>
      <c r="F2971" s="1" t="s">
        <v>2653</v>
      </c>
    </row>
    <row r="2972">
      <c r="B2972" s="28" t="s">
        <v>1953</v>
      </c>
      <c r="D2972" s="1">
        <v>4005422.0</v>
      </c>
      <c r="E2972" s="1"/>
      <c r="F2972" s="1"/>
    </row>
    <row r="2973">
      <c r="B2973" s="3" t="s">
        <v>648</v>
      </c>
      <c r="D2973" s="1">
        <v>165000.0</v>
      </c>
      <c r="E2973" s="1"/>
    </row>
    <row r="2974">
      <c r="B2974" s="33" t="s">
        <v>2587</v>
      </c>
      <c r="C2974" s="34"/>
      <c r="D2974" s="33">
        <v>148952.0</v>
      </c>
      <c r="E2974" s="33"/>
      <c r="F2974" s="1" t="s">
        <v>2428</v>
      </c>
    </row>
    <row r="2975">
      <c r="A2975" s="1" t="s">
        <v>2793</v>
      </c>
      <c r="B2975" s="1" t="s">
        <v>2019</v>
      </c>
      <c r="D2975" s="1">
        <v>599819.0</v>
      </c>
      <c r="E2975" s="1"/>
      <c r="F2975" s="1"/>
    </row>
    <row r="2976">
      <c r="B2976" s="1" t="s">
        <v>2003</v>
      </c>
      <c r="D2976" s="1">
        <v>396048.0</v>
      </c>
      <c r="E2976" s="1"/>
      <c r="F2976" s="1"/>
    </row>
    <row r="2977">
      <c r="B2977" s="1" t="s">
        <v>2005</v>
      </c>
      <c r="D2977" s="1">
        <v>366625.0</v>
      </c>
      <c r="E2977" s="1"/>
      <c r="F2977" s="1"/>
    </row>
    <row r="2978">
      <c r="A2978" s="39" t="s">
        <v>2794</v>
      </c>
      <c r="B2978" s="40" t="s">
        <v>2150</v>
      </c>
      <c r="C2978" s="40"/>
      <c r="D2978" s="41">
        <v>4092430.0</v>
      </c>
      <c r="E2978" s="41"/>
      <c r="F2978" s="42" t="s">
        <v>2241</v>
      </c>
    </row>
    <row r="2979">
      <c r="A2979" s="1" t="s">
        <v>2795</v>
      </c>
      <c r="B2979" s="3" t="s">
        <v>280</v>
      </c>
      <c r="D2979" s="1">
        <v>2124483.0</v>
      </c>
      <c r="E2979" s="1"/>
      <c r="F2979" s="1"/>
    </row>
    <row r="2980">
      <c r="B2980" s="1" t="s">
        <v>1769</v>
      </c>
      <c r="D2980" s="1">
        <v>1882777.0</v>
      </c>
      <c r="E2980" s="1"/>
      <c r="F2980" s="1"/>
    </row>
    <row r="2981">
      <c r="A2981" s="1" t="s">
        <v>2796</v>
      </c>
      <c r="B2981" s="3" t="s">
        <v>1021</v>
      </c>
      <c r="D2981" s="1">
        <v>2051533.0</v>
      </c>
      <c r="E2981" s="1"/>
      <c r="F2981" s="1"/>
    </row>
    <row r="2982">
      <c r="A2982" s="1" t="s">
        <v>2797</v>
      </c>
      <c r="B2982" s="1" t="s">
        <v>2585</v>
      </c>
      <c r="D2982" s="1">
        <v>673230.0</v>
      </c>
      <c r="E2982" s="1"/>
      <c r="F2982" s="1"/>
    </row>
    <row r="2983">
      <c r="A2983" s="1" t="s">
        <v>2798</v>
      </c>
      <c r="B2983" s="1" t="s">
        <v>2799</v>
      </c>
      <c r="D2983" s="1">
        <v>407000.0</v>
      </c>
      <c r="E2983" s="1"/>
      <c r="F2983" s="3" t="s">
        <v>1147</v>
      </c>
    </row>
    <row r="2984">
      <c r="A2984" s="39" t="s">
        <v>2798</v>
      </c>
      <c r="B2984" s="1" t="s">
        <v>2800</v>
      </c>
      <c r="D2984" s="1">
        <v>96800.0</v>
      </c>
      <c r="E2984" s="1"/>
      <c r="F2984" s="1" t="s">
        <v>2207</v>
      </c>
    </row>
    <row r="2985">
      <c r="A2985" s="1" t="s">
        <v>2795</v>
      </c>
      <c r="B2985" s="1" t="s">
        <v>2019</v>
      </c>
      <c r="D2985" s="1">
        <v>510957.0</v>
      </c>
      <c r="E2985" s="1"/>
      <c r="F2985" s="1"/>
    </row>
    <row r="2986">
      <c r="B2986" s="1" t="s">
        <v>2003</v>
      </c>
      <c r="D2986" s="1">
        <v>289752.0</v>
      </c>
      <c r="E2986" s="1"/>
      <c r="F2986" s="1"/>
    </row>
    <row r="2987">
      <c r="B2987" s="1" t="s">
        <v>2005</v>
      </c>
      <c r="D2987" s="1">
        <v>286172.0</v>
      </c>
      <c r="E2987" s="1"/>
      <c r="F2987" s="1"/>
    </row>
    <row r="2988">
      <c r="A2988" s="1" t="s">
        <v>2801</v>
      </c>
      <c r="B2988" s="1" t="s">
        <v>2633</v>
      </c>
      <c r="D2988" s="1">
        <v>47500.0</v>
      </c>
      <c r="E2988" s="1"/>
      <c r="F2988" s="1" t="s">
        <v>2653</v>
      </c>
    </row>
    <row r="2989">
      <c r="B2989" s="28" t="s">
        <v>2008</v>
      </c>
      <c r="D2989" s="1">
        <v>4022008.0</v>
      </c>
      <c r="E2989" s="1"/>
      <c r="F2989" s="1"/>
    </row>
    <row r="2990">
      <c r="B2990" s="3" t="s">
        <v>648</v>
      </c>
      <c r="D2990" s="1">
        <v>165000.0</v>
      </c>
      <c r="E2990" s="1"/>
    </row>
    <row r="2991">
      <c r="B2991" s="33" t="s">
        <v>2607</v>
      </c>
      <c r="C2991" s="34"/>
      <c r="D2991" s="33">
        <v>103964.0</v>
      </c>
      <c r="E2991" s="33"/>
      <c r="F2991" s="1" t="s">
        <v>2428</v>
      </c>
    </row>
    <row r="2992">
      <c r="A2992" s="1" t="s">
        <v>2802</v>
      </c>
      <c r="B2992" s="1" t="s">
        <v>2019</v>
      </c>
      <c r="D2992" s="1">
        <v>799758.0</v>
      </c>
      <c r="E2992" s="1"/>
      <c r="F2992" s="1"/>
    </row>
    <row r="2993">
      <c r="B2993" s="1" t="s">
        <v>2003</v>
      </c>
      <c r="D2993" s="1">
        <v>537776.0</v>
      </c>
      <c r="E2993" s="1"/>
      <c r="F2993" s="1"/>
    </row>
    <row r="2994">
      <c r="B2994" s="1" t="s">
        <v>2005</v>
      </c>
      <c r="D2994" s="1">
        <v>463168.0</v>
      </c>
      <c r="E2994" s="1"/>
      <c r="F2994" s="1"/>
    </row>
    <row r="2995">
      <c r="A2995" s="39" t="s">
        <v>2803</v>
      </c>
      <c r="B2995" s="40" t="s">
        <v>2150</v>
      </c>
      <c r="C2995" s="40"/>
      <c r="D2995" s="41">
        <v>4004320.0</v>
      </c>
      <c r="E2995" s="41"/>
      <c r="F2995" s="42" t="s">
        <v>2241</v>
      </c>
    </row>
    <row r="2996">
      <c r="A2996" s="1" t="s">
        <v>2804</v>
      </c>
      <c r="B2996" s="3" t="s">
        <v>280</v>
      </c>
      <c r="D2996" s="1">
        <v>2168823.0</v>
      </c>
      <c r="E2996" s="1"/>
      <c r="F2996" s="1"/>
    </row>
    <row r="2997">
      <c r="B2997" s="1" t="s">
        <v>1769</v>
      </c>
      <c r="D2997" s="1">
        <v>1895167.0</v>
      </c>
      <c r="E2997" s="1"/>
      <c r="F2997" s="1"/>
    </row>
    <row r="2998">
      <c r="A2998" s="1" t="s">
        <v>2805</v>
      </c>
      <c r="B2998" s="3" t="s">
        <v>1021</v>
      </c>
      <c r="D2998" s="1">
        <v>2123703.0</v>
      </c>
      <c r="E2998" s="1"/>
      <c r="F2998" s="1" t="s">
        <v>2806</v>
      </c>
    </row>
    <row r="2999">
      <c r="A2999" s="1" t="s">
        <v>2807</v>
      </c>
      <c r="B2999" s="1" t="s">
        <v>2585</v>
      </c>
      <c r="D2999" s="1">
        <v>673230.0</v>
      </c>
      <c r="E2999" s="1"/>
      <c r="F2999" s="1"/>
    </row>
    <row r="3000">
      <c r="A3000" s="39" t="s">
        <v>2808</v>
      </c>
      <c r="B3000" s="1" t="s">
        <v>2809</v>
      </c>
      <c r="D3000" s="1">
        <v>96800.0</v>
      </c>
      <c r="E3000" s="1"/>
      <c r="F3000" s="1" t="s">
        <v>2207</v>
      </c>
    </row>
    <row r="3001">
      <c r="A3001" s="1" t="s">
        <v>2810</v>
      </c>
      <c r="B3001" s="1" t="s">
        <v>2019</v>
      </c>
      <c r="D3001" s="1">
        <v>644250.0</v>
      </c>
      <c r="E3001" s="1"/>
      <c r="F3001" s="1"/>
    </row>
    <row r="3002">
      <c r="B3002" s="1" t="s">
        <v>2003</v>
      </c>
      <c r="D3002" s="1">
        <v>410426.0</v>
      </c>
      <c r="E3002" s="1"/>
      <c r="F3002" s="1" t="s">
        <v>2811</v>
      </c>
    </row>
    <row r="3003">
      <c r="B3003" s="1" t="s">
        <v>2005</v>
      </c>
      <c r="D3003" s="1">
        <v>350534.0</v>
      </c>
      <c r="E3003" s="1"/>
      <c r="F3003" s="1"/>
    </row>
    <row r="3004">
      <c r="A3004" s="1" t="s">
        <v>2805</v>
      </c>
      <c r="B3004" s="1" t="s">
        <v>2633</v>
      </c>
      <c r="D3004" s="1">
        <v>50000.0</v>
      </c>
      <c r="E3004" s="1"/>
      <c r="F3004" s="1" t="s">
        <v>2653</v>
      </c>
    </row>
    <row r="3005">
      <c r="B3005" s="28" t="s">
        <v>1953</v>
      </c>
      <c r="D3005" s="1">
        <v>4013641.0</v>
      </c>
      <c r="E3005" s="1"/>
      <c r="F3005" s="1"/>
    </row>
    <row r="3006">
      <c r="B3006" s="3" t="s">
        <v>648</v>
      </c>
      <c r="D3006" s="1">
        <v>165000.0</v>
      </c>
      <c r="E3006" s="1"/>
    </row>
    <row r="3007">
      <c r="B3007" s="33" t="s">
        <v>2622</v>
      </c>
      <c r="C3007" s="34"/>
      <c r="D3007" s="33">
        <v>155466.0</v>
      </c>
      <c r="E3007" s="33"/>
      <c r="F3007" s="1" t="s">
        <v>2428</v>
      </c>
    </row>
    <row r="3008">
      <c r="A3008" s="35" t="s">
        <v>2803</v>
      </c>
      <c r="B3008" s="35" t="s">
        <v>2812</v>
      </c>
      <c r="C3008" s="36"/>
      <c r="D3008" s="35">
        <v>270453.0</v>
      </c>
      <c r="E3008" s="35"/>
      <c r="F3008" s="35" t="s">
        <v>2813</v>
      </c>
    </row>
    <row r="3009">
      <c r="A3009" s="1" t="s">
        <v>2807</v>
      </c>
      <c r="B3009" s="1" t="s">
        <v>2814</v>
      </c>
      <c r="D3009" s="1">
        <v>200000.0</v>
      </c>
      <c r="E3009" s="1"/>
      <c r="F3009" s="3" t="s">
        <v>1147</v>
      </c>
    </row>
    <row r="3010">
      <c r="A3010" s="1" t="s">
        <v>2815</v>
      </c>
      <c r="B3010" s="1" t="s">
        <v>2019</v>
      </c>
      <c r="D3010" s="1">
        <v>644250.0</v>
      </c>
      <c r="E3010" s="1"/>
      <c r="F3010" s="1"/>
    </row>
    <row r="3011">
      <c r="B3011" s="1" t="s">
        <v>2003</v>
      </c>
      <c r="D3011" s="1">
        <v>428656.0</v>
      </c>
      <c r="E3011" s="1"/>
      <c r="F3011" s="1"/>
    </row>
    <row r="3012">
      <c r="B3012" s="1" t="s">
        <v>2005</v>
      </c>
      <c r="D3012" s="1">
        <v>366625.0</v>
      </c>
      <c r="E3012" s="1"/>
      <c r="F3012" s="1"/>
    </row>
    <row r="3013">
      <c r="A3013" s="39" t="s">
        <v>2816</v>
      </c>
      <c r="B3013" s="40" t="s">
        <v>2150</v>
      </c>
      <c r="C3013" s="40"/>
      <c r="D3013" s="41">
        <v>4006400.0</v>
      </c>
      <c r="E3013" s="41"/>
      <c r="F3013" s="42" t="s">
        <v>2241</v>
      </c>
    </row>
    <row r="3014">
      <c r="A3014" s="1" t="s">
        <v>2817</v>
      </c>
      <c r="B3014" s="1" t="s">
        <v>769</v>
      </c>
      <c r="D3014" s="1">
        <v>3.003603E7</v>
      </c>
      <c r="E3014" s="1"/>
      <c r="F3014" s="1" t="s">
        <v>275</v>
      </c>
    </row>
    <row r="3015">
      <c r="B3015" s="1" t="s">
        <v>1224</v>
      </c>
      <c r="D3015" s="1">
        <v>7230100.0</v>
      </c>
      <c r="E3015" s="1"/>
      <c r="F3015" s="1" t="s">
        <v>275</v>
      </c>
    </row>
    <row r="3016">
      <c r="B3016" s="1" t="s">
        <v>2818</v>
      </c>
      <c r="D3016" s="1">
        <v>65000.0</v>
      </c>
      <c r="E3016" s="1"/>
      <c r="F3016" s="1"/>
    </row>
    <row r="3017">
      <c r="A3017" s="39" t="s">
        <v>2819</v>
      </c>
      <c r="B3017" s="1" t="s">
        <v>2820</v>
      </c>
      <c r="D3017" s="1">
        <v>96800.0</v>
      </c>
      <c r="E3017" s="1"/>
      <c r="F3017" s="1" t="s">
        <v>2207</v>
      </c>
    </row>
    <row r="3018">
      <c r="A3018" s="1" t="s">
        <v>2821</v>
      </c>
      <c r="B3018" s="3" t="s">
        <v>280</v>
      </c>
      <c r="D3018" s="1">
        <v>2112063.0</v>
      </c>
      <c r="E3018" s="1"/>
      <c r="F3018" s="1"/>
    </row>
    <row r="3019">
      <c r="B3019" s="1" t="s">
        <v>1769</v>
      </c>
      <c r="D3019" s="1">
        <v>1878817.0</v>
      </c>
      <c r="E3019" s="1"/>
      <c r="F3019" s="1"/>
    </row>
    <row r="3020">
      <c r="A3020" s="1" t="s">
        <v>2822</v>
      </c>
      <c r="B3020" s="3" t="s">
        <v>1021</v>
      </c>
      <c r="D3020" s="1">
        <v>2088343.0</v>
      </c>
      <c r="E3020" s="1"/>
      <c r="F3020" s="1"/>
    </row>
    <row r="3021">
      <c r="A3021" s="1" t="s">
        <v>2823</v>
      </c>
      <c r="B3021" s="1" t="s">
        <v>2585</v>
      </c>
      <c r="D3021" s="1">
        <v>673230.0</v>
      </c>
      <c r="E3021" s="1"/>
      <c r="F3021" s="1"/>
    </row>
    <row r="3022">
      <c r="A3022" s="1" t="s">
        <v>2824</v>
      </c>
      <c r="B3022" s="1" t="s">
        <v>774</v>
      </c>
      <c r="D3022" s="1">
        <v>259420.0</v>
      </c>
      <c r="E3022" s="1"/>
      <c r="F3022" s="1" t="s">
        <v>275</v>
      </c>
    </row>
    <row r="3023">
      <c r="B3023" s="1" t="s">
        <v>1224</v>
      </c>
      <c r="D3023" s="1">
        <v>26020.0</v>
      </c>
      <c r="E3023" s="1"/>
      <c r="F3023" s="1" t="s">
        <v>275</v>
      </c>
    </row>
    <row r="3024">
      <c r="A3024" s="1" t="s">
        <v>2821</v>
      </c>
      <c r="B3024" s="1" t="s">
        <v>2019</v>
      </c>
      <c r="D3024" s="1">
        <v>622034.0</v>
      </c>
      <c r="E3024" s="1"/>
      <c r="F3024" s="1"/>
    </row>
    <row r="3025">
      <c r="B3025" s="1" t="s">
        <v>2003</v>
      </c>
      <c r="D3025" s="1">
        <v>428656.0</v>
      </c>
      <c r="E3025" s="1"/>
      <c r="F3025" s="1"/>
    </row>
    <row r="3026">
      <c r="B3026" s="1" t="s">
        <v>2005</v>
      </c>
      <c r="D3026" s="1">
        <v>350534.0</v>
      </c>
      <c r="E3026" s="1"/>
      <c r="F3026" s="1"/>
    </row>
    <row r="3027">
      <c r="A3027" s="1" t="s">
        <v>2821</v>
      </c>
      <c r="B3027" s="1" t="s">
        <v>2825</v>
      </c>
      <c r="D3027" s="1">
        <v>1575420.0</v>
      </c>
      <c r="E3027" s="1"/>
      <c r="F3027" s="1"/>
    </row>
    <row r="3028">
      <c r="B3028" s="1" t="s">
        <v>2826</v>
      </c>
      <c r="D3028" s="1">
        <v>1176010.0</v>
      </c>
      <c r="E3028" s="1"/>
      <c r="F3028" s="1"/>
    </row>
    <row r="3029">
      <c r="A3029" s="1" t="s">
        <v>2822</v>
      </c>
      <c r="B3029" s="45" t="s">
        <v>2427</v>
      </c>
      <c r="C3029" s="46"/>
      <c r="D3029" s="47">
        <v>171654.0</v>
      </c>
      <c r="E3029" s="47"/>
      <c r="F3029" s="42" t="s">
        <v>2428</v>
      </c>
    </row>
    <row r="3030">
      <c r="B3030" s="1" t="s">
        <v>2633</v>
      </c>
      <c r="D3030" s="1">
        <v>47500.0</v>
      </c>
      <c r="E3030" s="1"/>
      <c r="F3030" s="1" t="s">
        <v>2653</v>
      </c>
    </row>
    <row r="3031">
      <c r="B3031" s="28" t="s">
        <v>1953</v>
      </c>
      <c r="D3031" s="1">
        <v>4088693.0</v>
      </c>
      <c r="E3031" s="1"/>
      <c r="F3031" s="1"/>
    </row>
    <row r="3032">
      <c r="B3032" s="3" t="s">
        <v>648</v>
      </c>
      <c r="D3032" s="1">
        <v>165000.0</v>
      </c>
      <c r="E3032" s="1"/>
    </row>
    <row r="3033">
      <c r="A3033" s="1" t="s">
        <v>2827</v>
      </c>
      <c r="B3033" s="1" t="s">
        <v>2019</v>
      </c>
      <c r="D3033" s="1">
        <v>666465.0</v>
      </c>
      <c r="E3033" s="1"/>
      <c r="F3033" s="1"/>
    </row>
    <row r="3034">
      <c r="B3034" s="1" t="s">
        <v>2003</v>
      </c>
      <c r="D3034" s="1">
        <v>446885.0</v>
      </c>
      <c r="E3034" s="1"/>
      <c r="F3034" s="1"/>
    </row>
    <row r="3035">
      <c r="B3035" s="1" t="s">
        <v>2005</v>
      </c>
      <c r="D3035" s="1">
        <v>398806.0</v>
      </c>
      <c r="E3035" s="1"/>
      <c r="F3035" s="1"/>
    </row>
    <row r="3036">
      <c r="A3036" s="1" t="s">
        <v>2828</v>
      </c>
      <c r="B3036" s="48" t="s">
        <v>2829</v>
      </c>
      <c r="C3036" s="40"/>
      <c r="D3036" s="41">
        <v>1714110.0</v>
      </c>
      <c r="E3036" s="41"/>
      <c r="F3036" s="1" t="s">
        <v>275</v>
      </c>
    </row>
    <row r="3037">
      <c r="B3037" s="48" t="s">
        <v>2830</v>
      </c>
      <c r="D3037" s="1">
        <v>1125550.0</v>
      </c>
      <c r="E3037" s="1"/>
      <c r="F3037" s="1" t="s">
        <v>275</v>
      </c>
    </row>
    <row r="3038">
      <c r="A3038" s="39" t="s">
        <v>2831</v>
      </c>
      <c r="B3038" s="40" t="s">
        <v>2150</v>
      </c>
      <c r="C3038" s="40"/>
      <c r="D3038" s="49">
        <v>1304000.0</v>
      </c>
      <c r="E3038" s="41"/>
      <c r="F3038" s="42" t="s">
        <v>2241</v>
      </c>
    </row>
    <row r="3039">
      <c r="A3039" s="1" t="s">
        <v>2832</v>
      </c>
      <c r="B3039" s="1" t="s">
        <v>774</v>
      </c>
      <c r="D3039" s="1">
        <v>259420.0</v>
      </c>
      <c r="E3039" s="1"/>
      <c r="F3039" s="1" t="s">
        <v>275</v>
      </c>
    </row>
    <row r="3040">
      <c r="B3040" s="1" t="s">
        <v>1224</v>
      </c>
      <c r="D3040" s="1">
        <v>26020.0</v>
      </c>
      <c r="E3040" s="1"/>
      <c r="F3040" s="1" t="s">
        <v>275</v>
      </c>
    </row>
    <row r="3041">
      <c r="A3041" s="39" t="s">
        <v>2831</v>
      </c>
      <c r="B3041" s="1" t="s">
        <v>2833</v>
      </c>
      <c r="D3041" s="1">
        <v>96800.0</v>
      </c>
      <c r="E3041" s="1"/>
      <c r="F3041" s="1" t="s">
        <v>2207</v>
      </c>
    </row>
    <row r="3042">
      <c r="A3042" s="1" t="s">
        <v>2834</v>
      </c>
      <c r="B3042" s="1" t="s">
        <v>2019</v>
      </c>
      <c r="D3042" s="1">
        <v>399879.0</v>
      </c>
      <c r="E3042" s="1"/>
      <c r="F3042" s="1"/>
    </row>
    <row r="3043">
      <c r="B3043" s="1" t="s">
        <v>2003</v>
      </c>
      <c r="D3043" s="1">
        <v>228131.0</v>
      </c>
      <c r="E3043" s="1"/>
      <c r="F3043" s="1"/>
    </row>
    <row r="3044">
      <c r="B3044" s="1" t="s">
        <v>2005</v>
      </c>
      <c r="D3044" s="1">
        <v>189629.0</v>
      </c>
      <c r="E3044" s="1"/>
      <c r="F3044" s="1"/>
    </row>
    <row r="3045">
      <c r="A3045" s="1" t="s">
        <v>2834</v>
      </c>
      <c r="B3045" s="3" t="s">
        <v>280</v>
      </c>
      <c r="D3045" s="1">
        <v>2132893.0</v>
      </c>
      <c r="E3045" s="1"/>
      <c r="F3045" s="1"/>
    </row>
    <row r="3046">
      <c r="B3046" s="1" t="s">
        <v>1769</v>
      </c>
      <c r="D3046" s="1">
        <v>1889497.0</v>
      </c>
      <c r="E3046" s="1"/>
      <c r="F3046" s="1"/>
    </row>
    <row r="3047">
      <c r="A3047" s="1" t="s">
        <v>2835</v>
      </c>
      <c r="B3047" s="3" t="s">
        <v>1021</v>
      </c>
      <c r="D3047" s="1">
        <v>2102263.0</v>
      </c>
      <c r="E3047" s="1"/>
      <c r="F3047" s="1"/>
    </row>
    <row r="3048">
      <c r="A3048" s="1" t="s">
        <v>2836</v>
      </c>
      <c r="B3048" s="1" t="s">
        <v>2585</v>
      </c>
      <c r="D3048" s="1">
        <v>673230.0</v>
      </c>
      <c r="E3048" s="1"/>
      <c r="F3048" s="1"/>
    </row>
    <row r="3049">
      <c r="A3049" s="30" t="s">
        <v>2834</v>
      </c>
      <c r="B3049" s="30" t="s">
        <v>2837</v>
      </c>
      <c r="C3049" s="31"/>
      <c r="D3049" s="30">
        <v>290400.0</v>
      </c>
      <c r="E3049" s="30"/>
      <c r="F3049" s="30" t="s">
        <v>2838</v>
      </c>
    </row>
    <row r="3050">
      <c r="A3050" s="1" t="s">
        <v>2839</v>
      </c>
      <c r="B3050" s="45" t="s">
        <v>2442</v>
      </c>
      <c r="C3050" s="46"/>
      <c r="D3050" s="47">
        <v>77260.0</v>
      </c>
      <c r="E3050" s="47"/>
      <c r="F3050" s="42" t="s">
        <v>2428</v>
      </c>
    </row>
    <row r="3051">
      <c r="B3051" s="1" t="s">
        <v>2633</v>
      </c>
      <c r="D3051" s="1">
        <v>47500.0</v>
      </c>
      <c r="E3051" s="1"/>
      <c r="F3051" s="1" t="s">
        <v>2653</v>
      </c>
    </row>
    <row r="3052">
      <c r="B3052" s="28" t="s">
        <v>1953</v>
      </c>
      <c r="D3052" s="1">
        <v>4085199.0</v>
      </c>
      <c r="E3052" s="1"/>
      <c r="F3052" s="1"/>
    </row>
    <row r="3053">
      <c r="B3053" s="3" t="s">
        <v>648</v>
      </c>
      <c r="D3053" s="1">
        <v>165000.0</v>
      </c>
      <c r="E3053" s="1"/>
    </row>
    <row r="3054">
      <c r="A3054" s="1" t="s">
        <v>2840</v>
      </c>
      <c r="B3054" s="1" t="s">
        <v>2841</v>
      </c>
      <c r="D3054" s="1">
        <v>880000.0</v>
      </c>
      <c r="E3054" s="1"/>
      <c r="F3054" s="1" t="s">
        <v>2842</v>
      </c>
    </row>
    <row r="3055">
      <c r="A3055" s="1" t="s">
        <v>2839</v>
      </c>
      <c r="B3055" s="1" t="s">
        <v>2843</v>
      </c>
      <c r="D3055" s="1">
        <v>62500.0</v>
      </c>
      <c r="E3055" s="1"/>
      <c r="F3055" s="1" t="s">
        <v>275</v>
      </c>
    </row>
    <row r="3056">
      <c r="B3056" s="1" t="s">
        <v>1955</v>
      </c>
      <c r="D3056" s="1">
        <v>297000.0</v>
      </c>
      <c r="E3056" s="1"/>
      <c r="F3056" s="3" t="s">
        <v>1147</v>
      </c>
    </row>
    <row r="3057">
      <c r="A3057" s="1" t="s">
        <v>2844</v>
      </c>
      <c r="B3057" s="1" t="s">
        <v>2019</v>
      </c>
      <c r="D3057" s="1">
        <v>688681.0</v>
      </c>
      <c r="E3057" s="1"/>
    </row>
    <row r="3058">
      <c r="B3058" s="1" t="s">
        <v>2003</v>
      </c>
      <c r="D3058" s="1">
        <v>483344.0</v>
      </c>
      <c r="E3058" s="1"/>
    </row>
    <row r="3059">
      <c r="B3059" s="1" t="s">
        <v>2005</v>
      </c>
      <c r="D3059" s="1">
        <v>398806.0</v>
      </c>
      <c r="E3059" s="1"/>
    </row>
    <row r="3060">
      <c r="A3060" s="39" t="s">
        <v>2845</v>
      </c>
      <c r="B3060" s="40" t="s">
        <v>2150</v>
      </c>
      <c r="C3060" s="40"/>
      <c r="D3060" s="41">
        <v>3518100.0</v>
      </c>
      <c r="E3060" s="41"/>
      <c r="F3060" s="42" t="s">
        <v>2241</v>
      </c>
    </row>
    <row r="3061">
      <c r="A3061" s="48" t="s">
        <v>2846</v>
      </c>
      <c r="B3061" s="2" t="s">
        <v>2847</v>
      </c>
      <c r="C3061" s="29"/>
      <c r="D3061" s="2">
        <v>96800.0</v>
      </c>
      <c r="E3061" s="2"/>
      <c r="F3061" s="2" t="s">
        <v>2207</v>
      </c>
      <c r="G3061" s="2" t="s">
        <v>2848</v>
      </c>
    </row>
    <row r="3062">
      <c r="A3062" s="1" t="s">
        <v>2849</v>
      </c>
      <c r="B3062" s="3" t="s">
        <v>280</v>
      </c>
      <c r="D3062" s="1">
        <v>2167543.0</v>
      </c>
      <c r="E3062" s="1"/>
    </row>
    <row r="3063">
      <c r="B3063" s="1" t="s">
        <v>1769</v>
      </c>
      <c r="D3063" s="1">
        <v>1902757.0</v>
      </c>
      <c r="E3063" s="1"/>
    </row>
    <row r="3064">
      <c r="A3064" s="1" t="s">
        <v>2850</v>
      </c>
      <c r="B3064" s="3" t="s">
        <v>1021</v>
      </c>
      <c r="D3064" s="1">
        <v>2126223.0</v>
      </c>
      <c r="E3064" s="1"/>
    </row>
    <row r="3065">
      <c r="A3065" s="1" t="s">
        <v>2849</v>
      </c>
      <c r="B3065" s="1" t="s">
        <v>2585</v>
      </c>
      <c r="D3065" s="1">
        <v>673230.0</v>
      </c>
      <c r="E3065" s="1"/>
    </row>
    <row r="3066">
      <c r="A3066" s="1" t="s">
        <v>2845</v>
      </c>
      <c r="B3066" s="1" t="s">
        <v>774</v>
      </c>
      <c r="D3066" s="1">
        <v>365520.0</v>
      </c>
      <c r="E3066" s="1"/>
      <c r="F3066" s="1" t="s">
        <v>275</v>
      </c>
    </row>
    <row r="3067">
      <c r="B3067" s="1" t="s">
        <v>1224</v>
      </c>
      <c r="D3067" s="1">
        <v>36540.0</v>
      </c>
      <c r="E3067" s="1"/>
      <c r="F3067" s="1" t="s">
        <v>275</v>
      </c>
    </row>
    <row r="3068">
      <c r="A3068" s="1" t="s">
        <v>2849</v>
      </c>
      <c r="B3068" s="1" t="s">
        <v>2019</v>
      </c>
      <c r="D3068" s="1">
        <v>666465.0</v>
      </c>
      <c r="E3068" s="1"/>
    </row>
    <row r="3069">
      <c r="B3069" s="1" t="s">
        <v>2003</v>
      </c>
      <c r="D3069" s="1">
        <v>392197.0</v>
      </c>
      <c r="E3069" s="1"/>
    </row>
    <row r="3070">
      <c r="B3070" s="1" t="s">
        <v>2005</v>
      </c>
      <c r="D3070" s="1">
        <v>366625.0</v>
      </c>
      <c r="E3070" s="1"/>
    </row>
    <row r="3071">
      <c r="A3071" s="1" t="s">
        <v>2851</v>
      </c>
      <c r="B3071" s="1" t="s">
        <v>1824</v>
      </c>
      <c r="D3071" s="1">
        <v>110000.0</v>
      </c>
      <c r="E3071" s="1"/>
      <c r="F3071" s="3" t="s">
        <v>1147</v>
      </c>
    </row>
    <row r="3072">
      <c r="A3072" s="1" t="s">
        <v>2851</v>
      </c>
      <c r="B3072" s="45" t="s">
        <v>2460</v>
      </c>
      <c r="C3072" s="46"/>
      <c r="D3072" s="47">
        <v>86132.0</v>
      </c>
      <c r="E3072" s="47"/>
      <c r="F3072" s="42" t="s">
        <v>2428</v>
      </c>
    </row>
    <row r="3073">
      <c r="B3073" s="1" t="s">
        <v>2633</v>
      </c>
      <c r="D3073" s="1">
        <v>47500.0</v>
      </c>
      <c r="E3073" s="1"/>
      <c r="F3073" s="1" t="s">
        <v>2653</v>
      </c>
    </row>
    <row r="3074">
      <c r="B3074" s="28" t="s">
        <v>1953</v>
      </c>
      <c r="D3074" s="1">
        <v>4080603.0</v>
      </c>
      <c r="E3074" s="1"/>
      <c r="F3074" s="1"/>
    </row>
    <row r="3075">
      <c r="B3075" s="3" t="s">
        <v>648</v>
      </c>
      <c r="D3075" s="1">
        <v>165000.0</v>
      </c>
      <c r="E3075" s="1"/>
    </row>
    <row r="3076">
      <c r="A3076" s="1" t="s">
        <v>2852</v>
      </c>
      <c r="B3076" s="1" t="s">
        <v>2853</v>
      </c>
      <c r="D3076" s="1">
        <v>120850.0</v>
      </c>
      <c r="E3076" s="1"/>
      <c r="F3076" s="1" t="s">
        <v>1332</v>
      </c>
    </row>
    <row r="3077">
      <c r="A3077" s="39" t="s">
        <v>2852</v>
      </c>
      <c r="B3077" s="39" t="s">
        <v>2854</v>
      </c>
      <c r="C3077" s="40"/>
      <c r="D3077" s="50">
        <v>880000.0</v>
      </c>
      <c r="E3077" s="50"/>
      <c r="F3077" s="39" t="s">
        <v>2855</v>
      </c>
    </row>
    <row r="3078">
      <c r="B3078" s="1" t="s">
        <v>2668</v>
      </c>
      <c r="D3078" s="1">
        <v>93734.0</v>
      </c>
      <c r="E3078" s="1"/>
      <c r="F3078" s="1" t="s">
        <v>2773</v>
      </c>
    </row>
    <row r="3079">
      <c r="A3079" s="1" t="s">
        <v>2856</v>
      </c>
      <c r="B3079" s="1" t="s">
        <v>2019</v>
      </c>
      <c r="D3079" s="1">
        <v>666465.0</v>
      </c>
      <c r="E3079" s="1"/>
    </row>
    <row r="3080">
      <c r="B3080" s="1" t="s">
        <v>2003</v>
      </c>
      <c r="D3080" s="1">
        <v>446885.0</v>
      </c>
      <c r="E3080" s="1"/>
    </row>
    <row r="3081">
      <c r="B3081" s="1" t="s">
        <v>2005</v>
      </c>
      <c r="D3081" s="1">
        <v>382715.0</v>
      </c>
      <c r="E3081" s="1"/>
    </row>
    <row r="3082">
      <c r="A3082" s="39" t="s">
        <v>2857</v>
      </c>
      <c r="B3082" s="40" t="s">
        <v>2150</v>
      </c>
      <c r="C3082" s="40"/>
      <c r="D3082" s="41">
        <v>3518600.0</v>
      </c>
      <c r="E3082" s="41"/>
      <c r="F3082" s="42" t="s">
        <v>2241</v>
      </c>
    </row>
    <row r="3083">
      <c r="A3083" s="1" t="s">
        <v>2858</v>
      </c>
      <c r="B3083" s="3" t="s">
        <v>280</v>
      </c>
      <c r="D3083" s="1">
        <v>2117503.0</v>
      </c>
      <c r="E3083" s="1"/>
    </row>
    <row r="3084">
      <c r="B3084" s="1" t="s">
        <v>1769</v>
      </c>
      <c r="D3084" s="1">
        <v>1885357.0</v>
      </c>
      <c r="E3084" s="1"/>
    </row>
    <row r="3085">
      <c r="A3085" s="1" t="s">
        <v>2859</v>
      </c>
      <c r="B3085" s="3" t="s">
        <v>1021</v>
      </c>
      <c r="D3085" s="1">
        <v>2099423.0</v>
      </c>
      <c r="E3085" s="1"/>
    </row>
    <row r="3086">
      <c r="A3086" s="1" t="s">
        <v>2860</v>
      </c>
      <c r="B3086" s="1" t="s">
        <v>2585</v>
      </c>
      <c r="D3086" s="1">
        <v>673230.0</v>
      </c>
      <c r="E3086" s="1"/>
    </row>
    <row r="3087">
      <c r="A3087" s="1" t="s">
        <v>2861</v>
      </c>
      <c r="B3087" s="1" t="s">
        <v>774</v>
      </c>
      <c r="D3087" s="1">
        <v>303910.0</v>
      </c>
      <c r="E3087" s="1"/>
      <c r="F3087" s="1" t="s">
        <v>2862</v>
      </c>
    </row>
    <row r="3088">
      <c r="B3088" s="1" t="s">
        <v>1224</v>
      </c>
      <c r="D3088" s="1">
        <v>30370.0</v>
      </c>
      <c r="E3088" s="1"/>
      <c r="F3088" s="1" t="s">
        <v>2862</v>
      </c>
    </row>
    <row r="3089">
      <c r="A3089" s="1" t="s">
        <v>2858</v>
      </c>
      <c r="B3089" s="1" t="s">
        <v>2019</v>
      </c>
      <c r="D3089" s="1">
        <v>599819.0</v>
      </c>
      <c r="E3089" s="1"/>
    </row>
    <row r="3090">
      <c r="B3090" s="1" t="s">
        <v>2003</v>
      </c>
      <c r="D3090" s="1">
        <v>428656.0</v>
      </c>
      <c r="E3090" s="1"/>
    </row>
    <row r="3091">
      <c r="B3091" s="1" t="s">
        <v>2005</v>
      </c>
      <c r="D3091" s="1">
        <v>382715.0</v>
      </c>
      <c r="E3091" s="1"/>
    </row>
    <row r="3092">
      <c r="A3092" s="1" t="s">
        <v>2863</v>
      </c>
      <c r="B3092" s="45" t="s">
        <v>2478</v>
      </c>
      <c r="C3092" s="46"/>
      <c r="D3092" s="47">
        <v>96428.0</v>
      </c>
      <c r="E3092" s="47"/>
      <c r="F3092" s="42" t="s">
        <v>2428</v>
      </c>
    </row>
    <row r="3093">
      <c r="B3093" s="1" t="s">
        <v>2633</v>
      </c>
      <c r="D3093" s="1">
        <v>47500.0</v>
      </c>
      <c r="E3093" s="1"/>
      <c r="F3093" s="1" t="s">
        <v>2653</v>
      </c>
    </row>
    <row r="3094">
      <c r="B3094" s="28" t="s">
        <v>1953</v>
      </c>
      <c r="D3094" s="1">
        <v>4013066.0</v>
      </c>
      <c r="E3094" s="1"/>
      <c r="F3094" s="1"/>
    </row>
    <row r="3095">
      <c r="B3095" s="3" t="s">
        <v>648</v>
      </c>
      <c r="D3095" s="1">
        <v>165000.0</v>
      </c>
      <c r="E3095" s="1"/>
    </row>
    <row r="3096">
      <c r="A3096" s="1" t="s">
        <v>2864</v>
      </c>
      <c r="B3096" s="1" t="s">
        <v>2019</v>
      </c>
      <c r="D3096" s="1">
        <v>710896.0</v>
      </c>
      <c r="E3096" s="1"/>
    </row>
    <row r="3097">
      <c r="B3097" s="1" t="s">
        <v>2003</v>
      </c>
      <c r="D3097" s="1">
        <v>483344.0</v>
      </c>
      <c r="E3097" s="1"/>
    </row>
    <row r="3098">
      <c r="B3098" s="1" t="s">
        <v>2005</v>
      </c>
      <c r="D3098" s="1">
        <v>350534.0</v>
      </c>
      <c r="E3098" s="1"/>
    </row>
    <row r="3099">
      <c r="A3099" s="39" t="s">
        <v>2865</v>
      </c>
      <c r="B3099" s="40" t="s">
        <v>2150</v>
      </c>
      <c r="C3099" s="40"/>
      <c r="D3099" s="41">
        <v>3518100.0</v>
      </c>
      <c r="E3099" s="41"/>
      <c r="F3099" s="42" t="s">
        <v>2241</v>
      </c>
    </row>
    <row r="3100">
      <c r="A3100" s="1" t="s">
        <v>2859</v>
      </c>
      <c r="B3100" s="1" t="s">
        <v>2866</v>
      </c>
      <c r="D3100" s="1">
        <v>7603489.0</v>
      </c>
      <c r="E3100" s="1"/>
      <c r="F3100" s="1" t="s">
        <v>2554</v>
      </c>
    </row>
    <row r="3101">
      <c r="A3101" s="1" t="s">
        <v>2865</v>
      </c>
      <c r="B3101" s="1" t="s">
        <v>774</v>
      </c>
      <c r="D3101" s="1">
        <v>384740.0</v>
      </c>
      <c r="E3101" s="1"/>
      <c r="F3101" s="1" t="s">
        <v>275</v>
      </c>
    </row>
    <row r="3102">
      <c r="B3102" s="1" t="s">
        <v>1224</v>
      </c>
      <c r="D3102" s="1">
        <v>38750.0</v>
      </c>
      <c r="E3102" s="1"/>
      <c r="F3102" s="1" t="s">
        <v>275</v>
      </c>
    </row>
    <row r="3103">
      <c r="A3103" s="1" t="s">
        <v>2867</v>
      </c>
      <c r="B3103" s="3" t="s">
        <v>280</v>
      </c>
      <c r="D3103" s="1">
        <v>2132893.0</v>
      </c>
      <c r="E3103" s="1"/>
    </row>
    <row r="3104">
      <c r="B3104" s="1" t="s">
        <v>1769</v>
      </c>
      <c r="D3104" s="1">
        <v>1885357.0</v>
      </c>
      <c r="E3104" s="1"/>
    </row>
    <row r="3105">
      <c r="A3105" s="1" t="s">
        <v>2868</v>
      </c>
      <c r="B3105" s="3" t="s">
        <v>1021</v>
      </c>
      <c r="D3105" s="1">
        <v>2099423.0</v>
      </c>
      <c r="E3105" s="1"/>
    </row>
    <row r="3106">
      <c r="A3106" s="1" t="s">
        <v>2869</v>
      </c>
      <c r="B3106" s="1" t="s">
        <v>2585</v>
      </c>
      <c r="D3106" s="1">
        <v>673230.0</v>
      </c>
      <c r="E3106" s="1"/>
    </row>
    <row r="3107">
      <c r="A3107" s="1" t="s">
        <v>2870</v>
      </c>
      <c r="B3107" s="1" t="s">
        <v>1955</v>
      </c>
      <c r="D3107" s="1">
        <v>198000.0</v>
      </c>
      <c r="E3107" s="1"/>
      <c r="F3107" s="3" t="s">
        <v>1147</v>
      </c>
    </row>
    <row r="3108">
      <c r="A3108" s="1" t="s">
        <v>2867</v>
      </c>
      <c r="B3108" s="1" t="s">
        <v>2019</v>
      </c>
      <c r="D3108" s="1">
        <v>644250.0</v>
      </c>
      <c r="E3108" s="1"/>
    </row>
    <row r="3109">
      <c r="B3109" s="1" t="s">
        <v>2003</v>
      </c>
      <c r="D3109" s="1">
        <v>410426.0</v>
      </c>
      <c r="E3109" s="1"/>
    </row>
    <row r="3110">
      <c r="B3110" s="1" t="s">
        <v>2005</v>
      </c>
      <c r="D3110" s="1">
        <v>350534.0</v>
      </c>
      <c r="E3110" s="1"/>
    </row>
    <row r="3111">
      <c r="A3111" s="48" t="s">
        <v>2871</v>
      </c>
      <c r="B3111" s="2" t="s">
        <v>2847</v>
      </c>
      <c r="C3111" s="29"/>
      <c r="D3111" s="2">
        <v>96800.0</v>
      </c>
      <c r="E3111" s="2"/>
      <c r="F3111" s="2" t="s">
        <v>2207</v>
      </c>
    </row>
    <row r="3112">
      <c r="A3112" s="48" t="s">
        <v>2872</v>
      </c>
      <c r="B3112" s="2" t="s">
        <v>2682</v>
      </c>
      <c r="C3112" s="29"/>
      <c r="D3112" s="2">
        <v>96800.0</v>
      </c>
      <c r="E3112" s="2"/>
      <c r="F3112" s="2" t="s">
        <v>2873</v>
      </c>
    </row>
    <row r="3113">
      <c r="A3113" s="48" t="s">
        <v>2874</v>
      </c>
      <c r="B3113" s="2" t="s">
        <v>2875</v>
      </c>
      <c r="C3113" s="29"/>
      <c r="D3113" s="2">
        <v>96800.0</v>
      </c>
      <c r="E3113" s="2"/>
      <c r="F3113" s="2" t="s">
        <v>2876</v>
      </c>
    </row>
    <row r="3114">
      <c r="A3114" s="1" t="s">
        <v>2877</v>
      </c>
      <c r="B3114" s="45" t="s">
        <v>2499</v>
      </c>
      <c r="C3114" s="46"/>
      <c r="D3114" s="47">
        <v>117748.0</v>
      </c>
      <c r="E3114" s="47"/>
      <c r="F3114" s="42" t="s">
        <v>2428</v>
      </c>
    </row>
    <row r="3115">
      <c r="B3115" s="1" t="s">
        <v>2633</v>
      </c>
      <c r="D3115" s="1">
        <v>47500.0</v>
      </c>
      <c r="E3115" s="1"/>
      <c r="F3115" s="1" t="s">
        <v>2653</v>
      </c>
    </row>
    <row r="3116">
      <c r="B3116" s="28" t="s">
        <v>1953</v>
      </c>
      <c r="D3116" s="1">
        <v>4058195.0</v>
      </c>
      <c r="E3116" s="1"/>
      <c r="F3116" s="1"/>
    </row>
    <row r="3117">
      <c r="B3117" s="3" t="s">
        <v>648</v>
      </c>
      <c r="D3117" s="1">
        <v>165000.0</v>
      </c>
      <c r="E3117" s="1"/>
    </row>
    <row r="3118">
      <c r="A3118" s="1" t="s">
        <v>2878</v>
      </c>
      <c r="B3118" s="1" t="s">
        <v>2729</v>
      </c>
      <c r="D3118" s="1">
        <v>100000.0</v>
      </c>
      <c r="E3118" s="1"/>
      <c r="F3118" s="1"/>
    </row>
    <row r="3119">
      <c r="B3119" s="1" t="s">
        <v>2730</v>
      </c>
      <c r="D3119" s="1">
        <v>100000.0</v>
      </c>
      <c r="E3119" s="1"/>
    </row>
    <row r="3120">
      <c r="A3120" s="1" t="s">
        <v>2879</v>
      </c>
      <c r="B3120" s="1" t="s">
        <v>2019</v>
      </c>
      <c r="D3120" s="1">
        <v>666465.0</v>
      </c>
      <c r="E3120" s="1"/>
    </row>
    <row r="3121">
      <c r="B3121" s="1" t="s">
        <v>2003</v>
      </c>
      <c r="D3121" s="1">
        <v>446885.0</v>
      </c>
      <c r="E3121" s="1"/>
    </row>
    <row r="3122">
      <c r="B3122" s="1" t="s">
        <v>2005</v>
      </c>
      <c r="D3122" s="1">
        <v>382715.0</v>
      </c>
      <c r="E3122" s="1"/>
    </row>
    <row r="3123">
      <c r="A3123" s="39" t="s">
        <v>2880</v>
      </c>
      <c r="B3123" s="40" t="s">
        <v>2150</v>
      </c>
      <c r="C3123" s="40"/>
      <c r="D3123" s="41">
        <v>3518600.0</v>
      </c>
      <c r="E3123" s="41"/>
      <c r="F3123" s="42" t="s">
        <v>2241</v>
      </c>
    </row>
    <row r="3124">
      <c r="A3124" s="1" t="s">
        <v>2880</v>
      </c>
      <c r="B3124" s="1" t="s">
        <v>774</v>
      </c>
      <c r="D3124" s="1">
        <v>371390.0</v>
      </c>
      <c r="E3124" s="1"/>
      <c r="F3124" s="1" t="s">
        <v>275</v>
      </c>
    </row>
    <row r="3125">
      <c r="B3125" s="1" t="s">
        <v>1224</v>
      </c>
      <c r="D3125" s="1">
        <v>37120.0</v>
      </c>
      <c r="E3125" s="1"/>
      <c r="F3125" s="1" t="s">
        <v>275</v>
      </c>
    </row>
    <row r="3126">
      <c r="A3126" s="1"/>
      <c r="B3126" s="5" t="s">
        <v>2881</v>
      </c>
      <c r="D3126" s="1">
        <v>246710.0</v>
      </c>
      <c r="E3126" s="1"/>
      <c r="F3126" s="1" t="s">
        <v>275</v>
      </c>
    </row>
    <row r="3127">
      <c r="A3127" s="1" t="s">
        <v>2882</v>
      </c>
      <c r="B3127" s="3" t="s">
        <v>280</v>
      </c>
      <c r="D3127" s="1">
        <v>2117503.0</v>
      </c>
      <c r="E3127" s="1"/>
    </row>
    <row r="3128">
      <c r="B3128" s="1" t="s">
        <v>1769</v>
      </c>
      <c r="D3128" s="1">
        <v>1891507.0</v>
      </c>
      <c r="E3128" s="1"/>
    </row>
    <row r="3129">
      <c r="A3129" s="1" t="s">
        <v>2883</v>
      </c>
      <c r="B3129" s="3" t="s">
        <v>1021</v>
      </c>
      <c r="D3129" s="1">
        <v>2099283.0</v>
      </c>
      <c r="E3129" s="1"/>
    </row>
    <row r="3130">
      <c r="A3130" s="1" t="s">
        <v>2884</v>
      </c>
      <c r="B3130" s="1" t="s">
        <v>2585</v>
      </c>
      <c r="D3130" s="1">
        <v>673230.0</v>
      </c>
      <c r="E3130" s="1"/>
    </row>
    <row r="3131">
      <c r="A3131" s="48" t="s">
        <v>2885</v>
      </c>
      <c r="B3131" s="2" t="s">
        <v>2886</v>
      </c>
      <c r="C3131" s="29"/>
      <c r="D3131" s="2">
        <v>96800.0</v>
      </c>
      <c r="E3131" s="2"/>
      <c r="F3131" s="2" t="s">
        <v>2876</v>
      </c>
    </row>
    <row r="3132">
      <c r="A3132" s="1" t="s">
        <v>2882</v>
      </c>
      <c r="B3132" s="1" t="s">
        <v>2019</v>
      </c>
      <c r="D3132" s="1">
        <v>644250.0</v>
      </c>
      <c r="E3132" s="1"/>
      <c r="F3132" s="1" t="s">
        <v>2887</v>
      </c>
    </row>
    <row r="3133">
      <c r="B3133" s="1" t="s">
        <v>2003</v>
      </c>
      <c r="D3133" s="1">
        <v>492247.0</v>
      </c>
      <c r="E3133" s="1"/>
      <c r="F3133" s="1" t="s">
        <v>2888</v>
      </c>
      <c r="G3133" s="1">
        <v>20.0</v>
      </c>
    </row>
    <row r="3134">
      <c r="B3134" s="1" t="s">
        <v>2005</v>
      </c>
      <c r="D3134" s="1">
        <v>466649.0</v>
      </c>
      <c r="E3134" s="1"/>
      <c r="F3134" s="1" t="s">
        <v>2889</v>
      </c>
      <c r="G3134" s="1">
        <v>20.0</v>
      </c>
    </row>
    <row r="3135">
      <c r="A3135" s="1" t="s">
        <v>2890</v>
      </c>
      <c r="B3135" s="45" t="s">
        <v>2523</v>
      </c>
      <c r="C3135" s="46"/>
      <c r="D3135" s="47">
        <v>84282.0</v>
      </c>
      <c r="E3135" s="47"/>
      <c r="F3135" s="42" t="s">
        <v>2428</v>
      </c>
    </row>
    <row r="3136">
      <c r="B3136" s="1" t="s">
        <v>2633</v>
      </c>
      <c r="D3136" s="1">
        <v>47500.0</v>
      </c>
      <c r="E3136" s="1"/>
      <c r="F3136" s="1" t="s">
        <v>2653</v>
      </c>
    </row>
    <row r="3137">
      <c r="B3137" s="28" t="s">
        <v>1953</v>
      </c>
      <c r="D3137" s="1">
        <v>4083000.0</v>
      </c>
      <c r="E3137" s="1"/>
      <c r="F3137" s="1"/>
    </row>
    <row r="3138">
      <c r="B3138" s="3" t="s">
        <v>648</v>
      </c>
      <c r="D3138" s="1">
        <v>165000.0</v>
      </c>
      <c r="E3138" s="1"/>
    </row>
    <row r="3139">
      <c r="A3139" s="1" t="s">
        <v>2891</v>
      </c>
      <c r="B3139" s="1" t="s">
        <v>1955</v>
      </c>
      <c r="D3139" s="1">
        <v>396000.0</v>
      </c>
      <c r="E3139" s="1"/>
      <c r="F3139" s="3" t="s">
        <v>1147</v>
      </c>
    </row>
    <row r="3140">
      <c r="A3140" s="1" t="s">
        <v>2892</v>
      </c>
      <c r="B3140" s="1" t="s">
        <v>2019</v>
      </c>
      <c r="D3140" s="1">
        <v>666465.0</v>
      </c>
      <c r="E3140" s="1"/>
      <c r="F3140" s="1" t="s">
        <v>2893</v>
      </c>
    </row>
    <row r="3141">
      <c r="B3141" s="1" t="s">
        <v>2003</v>
      </c>
      <c r="D3141" s="1">
        <v>546885.0</v>
      </c>
      <c r="E3141" s="1"/>
      <c r="F3141" s="1" t="s">
        <v>2894</v>
      </c>
    </row>
    <row r="3142">
      <c r="B3142" s="1" t="s">
        <v>2005</v>
      </c>
      <c r="D3142" s="1">
        <v>498806.0</v>
      </c>
      <c r="E3142" s="1"/>
      <c r="F3142" s="1" t="s">
        <v>2895</v>
      </c>
    </row>
    <row r="3143">
      <c r="A3143" s="39" t="s">
        <v>2896</v>
      </c>
      <c r="B3143" s="40" t="s">
        <v>2150</v>
      </c>
      <c r="C3143" s="40"/>
      <c r="D3143" s="41">
        <v>3518600.0</v>
      </c>
      <c r="E3143" s="41"/>
      <c r="F3143" s="42" t="s">
        <v>2241</v>
      </c>
    </row>
    <row r="3144">
      <c r="A3144" s="1" t="s">
        <v>2897</v>
      </c>
      <c r="B3144" s="1" t="s">
        <v>2898</v>
      </c>
      <c r="D3144" s="1">
        <v>2275530.0</v>
      </c>
      <c r="E3144" s="1"/>
      <c r="F3144" s="1" t="s">
        <v>2899</v>
      </c>
    </row>
    <row r="3145">
      <c r="A3145" s="1" t="s">
        <v>2892</v>
      </c>
      <c r="B3145" s="1" t="s">
        <v>2900</v>
      </c>
      <c r="D3145" s="1">
        <v>492600.0</v>
      </c>
      <c r="E3145" s="1"/>
      <c r="F3145" s="1" t="s">
        <v>1332</v>
      </c>
    </row>
    <row r="3146">
      <c r="A3146" s="1" t="s">
        <v>2901</v>
      </c>
      <c r="B3146" s="3" t="s">
        <v>280</v>
      </c>
      <c r="D3146" s="1">
        <v>2126663.0</v>
      </c>
      <c r="E3146" s="1"/>
    </row>
    <row r="3147">
      <c r="B3147" s="1" t="s">
        <v>1769</v>
      </c>
      <c r="D3147" s="1">
        <v>1876217.0</v>
      </c>
      <c r="E3147" s="1"/>
    </row>
    <row r="3148">
      <c r="A3148" s="1" t="s">
        <v>2902</v>
      </c>
      <c r="B3148" s="3" t="s">
        <v>1021</v>
      </c>
      <c r="D3148" s="1">
        <v>2090853.0</v>
      </c>
      <c r="E3148" s="1"/>
    </row>
    <row r="3149">
      <c r="A3149" s="1" t="s">
        <v>2903</v>
      </c>
      <c r="B3149" s="1" t="s">
        <v>2585</v>
      </c>
      <c r="D3149" s="1">
        <v>673230.0</v>
      </c>
      <c r="E3149" s="1"/>
    </row>
    <row r="3150">
      <c r="A3150" s="1" t="s">
        <v>2896</v>
      </c>
      <c r="B3150" s="1" t="s">
        <v>774</v>
      </c>
      <c r="D3150" s="1">
        <v>379610.0</v>
      </c>
      <c r="E3150" s="1"/>
      <c r="F3150" s="1" t="s">
        <v>275</v>
      </c>
    </row>
    <row r="3151">
      <c r="B3151" s="1" t="s">
        <v>1224</v>
      </c>
      <c r="D3151" s="1">
        <v>37940.0</v>
      </c>
      <c r="E3151" s="1"/>
      <c r="F3151" s="1" t="s">
        <v>275</v>
      </c>
    </row>
    <row r="3152">
      <c r="A3152" s="1"/>
      <c r="B3152" s="5" t="s">
        <v>2881</v>
      </c>
      <c r="D3152" s="1">
        <v>246710.0</v>
      </c>
      <c r="E3152" s="1"/>
      <c r="F3152" s="1" t="s">
        <v>275</v>
      </c>
    </row>
    <row r="3153">
      <c r="A3153" s="48" t="s">
        <v>2904</v>
      </c>
      <c r="B3153" s="2" t="s">
        <v>2905</v>
      </c>
      <c r="C3153" s="29"/>
      <c r="D3153" s="2">
        <v>96800.0</v>
      </c>
      <c r="E3153" s="2"/>
      <c r="F3153" s="2" t="s">
        <v>2876</v>
      </c>
    </row>
    <row r="3154">
      <c r="A3154" s="1" t="s">
        <v>2906</v>
      </c>
      <c r="B3154" s="1" t="s">
        <v>2019</v>
      </c>
      <c r="D3154" s="1">
        <v>599819.0</v>
      </c>
      <c r="E3154" s="1"/>
      <c r="F3154" s="1" t="s">
        <v>2907</v>
      </c>
    </row>
    <row r="3155">
      <c r="B3155" s="1" t="s">
        <v>2003</v>
      </c>
      <c r="D3155" s="1">
        <v>546885.0</v>
      </c>
      <c r="E3155" s="1"/>
      <c r="F3155" s="1" t="s">
        <v>2908</v>
      </c>
    </row>
    <row r="3156">
      <c r="B3156" s="1" t="s">
        <v>2005</v>
      </c>
      <c r="D3156" s="1">
        <v>466625.0</v>
      </c>
      <c r="E3156" s="1"/>
      <c r="F3156" s="1" t="s">
        <v>2909</v>
      </c>
    </row>
    <row r="3157">
      <c r="A3157" s="1" t="s">
        <v>2910</v>
      </c>
      <c r="B3157" s="1" t="s">
        <v>1166</v>
      </c>
      <c r="D3157" s="1">
        <v>27000.0</v>
      </c>
      <c r="E3157" s="1"/>
      <c r="F3157" s="1" t="s">
        <v>275</v>
      </c>
    </row>
    <row r="3158">
      <c r="A3158" s="1" t="s">
        <v>2902</v>
      </c>
      <c r="B3158" s="45" t="s">
        <v>2542</v>
      </c>
      <c r="C3158" s="46"/>
      <c r="D3158" s="47">
        <v>77130.0</v>
      </c>
      <c r="E3158" s="47"/>
      <c r="F3158" s="42" t="s">
        <v>2428</v>
      </c>
    </row>
    <row r="3159">
      <c r="B3159" s="1" t="s">
        <v>2633</v>
      </c>
      <c r="D3159" s="1">
        <f>47500+5000</f>
        <v>52500</v>
      </c>
      <c r="E3159" s="1"/>
      <c r="F3159" s="1" t="s">
        <v>2653</v>
      </c>
    </row>
    <row r="3160">
      <c r="B3160" s="28" t="s">
        <v>1953</v>
      </c>
      <c r="D3160" s="1">
        <v>4150113.0</v>
      </c>
      <c r="E3160" s="1"/>
      <c r="F3160" s="1"/>
    </row>
    <row r="3161">
      <c r="B3161" s="3" t="s">
        <v>648</v>
      </c>
      <c r="D3161" s="1">
        <v>165000.0</v>
      </c>
      <c r="E3161" s="1"/>
    </row>
    <row r="3162">
      <c r="A3162" s="1" t="s">
        <v>2911</v>
      </c>
      <c r="B3162" s="1" t="s">
        <v>2019</v>
      </c>
      <c r="D3162" s="1">
        <v>688712.0</v>
      </c>
      <c r="E3162" s="1"/>
      <c r="F3162" s="1" t="s">
        <v>2912</v>
      </c>
    </row>
    <row r="3163">
      <c r="B3163" s="1" t="s">
        <v>2003</v>
      </c>
      <c r="D3163" s="1">
        <v>546885.0</v>
      </c>
      <c r="E3163" s="1"/>
      <c r="F3163" s="1" t="s">
        <v>2913</v>
      </c>
    </row>
    <row r="3164">
      <c r="B3164" s="1" t="s">
        <v>2005</v>
      </c>
      <c r="D3164" s="1">
        <v>482715.0</v>
      </c>
      <c r="E3164" s="1"/>
      <c r="F3164" s="1" t="s">
        <v>2914</v>
      </c>
    </row>
    <row r="3165">
      <c r="A3165" s="39" t="s">
        <v>2915</v>
      </c>
      <c r="B3165" s="40" t="s">
        <v>2150</v>
      </c>
      <c r="C3165" s="40"/>
      <c r="D3165" s="41">
        <v>3575200.0</v>
      </c>
      <c r="E3165" s="41"/>
      <c r="F3165" s="42" t="s">
        <v>2241</v>
      </c>
    </row>
    <row r="3166">
      <c r="A3166" s="1" t="s">
        <v>2915</v>
      </c>
      <c r="B3166" s="1" t="s">
        <v>774</v>
      </c>
      <c r="D3166" s="1">
        <v>391760.0</v>
      </c>
      <c r="E3166" s="1"/>
      <c r="F3166" s="1" t="s">
        <v>275</v>
      </c>
    </row>
    <row r="3167">
      <c r="B3167" s="1" t="s">
        <v>1224</v>
      </c>
      <c r="D3167" s="1">
        <v>39160.0</v>
      </c>
      <c r="E3167" s="1"/>
      <c r="F3167" s="1" t="s">
        <v>275</v>
      </c>
    </row>
    <row r="3168">
      <c r="A3168" s="1" t="s">
        <v>2916</v>
      </c>
      <c r="B3168" s="5" t="s">
        <v>2881</v>
      </c>
      <c r="D3168" s="1">
        <v>253070.0</v>
      </c>
      <c r="E3168" s="1"/>
      <c r="F3168" s="1" t="s">
        <v>275</v>
      </c>
    </row>
    <row r="3169">
      <c r="A3169" s="48" t="s">
        <v>2916</v>
      </c>
      <c r="B3169" s="2" t="s">
        <v>2917</v>
      </c>
      <c r="C3169" s="29"/>
      <c r="D3169" s="2">
        <v>96800.0</v>
      </c>
      <c r="E3169" s="2"/>
      <c r="F3169" s="2" t="s">
        <v>2876</v>
      </c>
    </row>
    <row r="3170">
      <c r="A3170" s="1" t="s">
        <v>2916</v>
      </c>
      <c r="B3170" s="1" t="s">
        <v>2918</v>
      </c>
      <c r="D3170" s="1">
        <v>110000.0</v>
      </c>
      <c r="E3170" s="1"/>
      <c r="F3170" s="3" t="s">
        <v>1147</v>
      </c>
    </row>
    <row r="3171">
      <c r="A3171" s="1" t="s">
        <v>2919</v>
      </c>
      <c r="B3171" s="1" t="s">
        <v>2920</v>
      </c>
      <c r="D3171" s="1">
        <v>3.6147E7</v>
      </c>
      <c r="E3171" s="1"/>
      <c r="F3171" s="1" t="s">
        <v>275</v>
      </c>
    </row>
    <row r="3172">
      <c r="A3172" s="1" t="s">
        <v>2921</v>
      </c>
      <c r="B3172" s="1" t="s">
        <v>2922</v>
      </c>
      <c r="D3172" s="1">
        <v>2538973.0</v>
      </c>
      <c r="E3172" s="1"/>
      <c r="F3172" s="1" t="s">
        <v>2554</v>
      </c>
    </row>
    <row r="3173">
      <c r="A3173" s="1" t="s">
        <v>2923</v>
      </c>
      <c r="B3173" s="3" t="s">
        <v>280</v>
      </c>
      <c r="D3173" s="1">
        <v>2129463.0</v>
      </c>
      <c r="E3173" s="1"/>
    </row>
    <row r="3174">
      <c r="B3174" s="1" t="s">
        <v>1769</v>
      </c>
      <c r="D3174" s="1">
        <v>1862927.0</v>
      </c>
      <c r="E3174" s="1"/>
    </row>
    <row r="3175">
      <c r="A3175" s="1" t="s">
        <v>2924</v>
      </c>
      <c r="B3175" s="3" t="s">
        <v>1021</v>
      </c>
      <c r="D3175" s="1">
        <v>2067963.0</v>
      </c>
      <c r="E3175" s="1"/>
    </row>
    <row r="3176">
      <c r="A3176" s="1" t="s">
        <v>2925</v>
      </c>
      <c r="B3176" s="1" t="s">
        <v>2585</v>
      </c>
      <c r="D3176" s="1">
        <v>672540.0</v>
      </c>
      <c r="E3176" s="1"/>
    </row>
    <row r="3177">
      <c r="A3177" s="1" t="s">
        <v>2926</v>
      </c>
      <c r="B3177" s="1" t="s">
        <v>2019</v>
      </c>
      <c r="D3177" s="1">
        <v>644264.0</v>
      </c>
      <c r="E3177" s="1"/>
      <c r="F3177" s="1" t="s">
        <v>2927</v>
      </c>
    </row>
    <row r="3178">
      <c r="B3178" s="1" t="s">
        <v>2003</v>
      </c>
      <c r="D3178" s="1">
        <v>510440.0</v>
      </c>
      <c r="E3178" s="1"/>
      <c r="F3178" s="1" t="s">
        <v>2928</v>
      </c>
    </row>
    <row r="3179">
      <c r="B3179" s="1" t="s">
        <v>2005</v>
      </c>
      <c r="D3179" s="1">
        <v>418366.0</v>
      </c>
      <c r="E3179" s="1"/>
      <c r="F3179" s="1" t="s">
        <v>2929</v>
      </c>
    </row>
    <row r="3180">
      <c r="A3180" s="1" t="s">
        <v>2924</v>
      </c>
      <c r="B3180" s="45" t="s">
        <v>2555</v>
      </c>
      <c r="C3180" s="46"/>
      <c r="D3180" s="47">
        <v>141824.0</v>
      </c>
      <c r="E3180" s="47"/>
      <c r="F3180" s="42" t="s">
        <v>2428</v>
      </c>
    </row>
    <row r="3181">
      <c r="B3181" s="1" t="s">
        <v>2633</v>
      </c>
      <c r="D3181" s="1">
        <v>47500.0</v>
      </c>
      <c r="E3181" s="1"/>
      <c r="F3181" s="1" t="s">
        <v>2653</v>
      </c>
    </row>
    <row r="3182">
      <c r="B3182" s="28" t="s">
        <v>1953</v>
      </c>
      <c r="D3182" s="1">
        <v>4173685.0</v>
      </c>
      <c r="E3182" s="1"/>
      <c r="F3182" s="1"/>
    </row>
    <row r="3183">
      <c r="B3183" s="3" t="s">
        <v>648</v>
      </c>
      <c r="D3183" s="1">
        <v>165000.0</v>
      </c>
      <c r="E3183" s="1"/>
    </row>
    <row r="3184">
      <c r="A3184" s="1" t="s">
        <v>2930</v>
      </c>
      <c r="B3184" s="1" t="s">
        <v>2019</v>
      </c>
      <c r="D3184" s="1">
        <v>569975.0</v>
      </c>
      <c r="E3184" s="1"/>
      <c r="F3184" s="1" t="s">
        <v>2931</v>
      </c>
    </row>
    <row r="3185">
      <c r="B3185" s="1" t="s">
        <v>2003</v>
      </c>
      <c r="D3185" s="1">
        <v>437520.0</v>
      </c>
      <c r="E3185" s="1"/>
      <c r="F3185" s="1" t="s">
        <v>2932</v>
      </c>
    </row>
    <row r="3186">
      <c r="B3186" s="1" t="s">
        <v>2005</v>
      </c>
      <c r="D3186" s="1">
        <v>418366.0</v>
      </c>
      <c r="E3186" s="1"/>
      <c r="F3186" s="1" t="s">
        <v>2929</v>
      </c>
    </row>
    <row r="3187">
      <c r="A3187" s="39" t="s">
        <v>2933</v>
      </c>
      <c r="B3187" s="40" t="s">
        <v>2150</v>
      </c>
      <c r="C3187" s="40"/>
      <c r="D3187" s="41">
        <v>3555220.0</v>
      </c>
      <c r="E3187" s="41"/>
      <c r="F3187" s="42" t="s">
        <v>2241</v>
      </c>
    </row>
    <row r="3188">
      <c r="A3188" s="1" t="s">
        <v>2933</v>
      </c>
      <c r="B3188" s="1" t="s">
        <v>774</v>
      </c>
      <c r="D3188" s="1">
        <v>0.0</v>
      </c>
      <c r="E3188" s="1"/>
      <c r="F3188" s="1" t="s">
        <v>275</v>
      </c>
    </row>
    <row r="3189">
      <c r="B3189" s="1" t="s">
        <v>1224</v>
      </c>
      <c r="D3189" s="1">
        <v>0.0</v>
      </c>
      <c r="E3189" s="1"/>
      <c r="F3189" s="1" t="s">
        <v>275</v>
      </c>
    </row>
    <row r="3190">
      <c r="A3190" s="1" t="s">
        <v>2933</v>
      </c>
      <c r="B3190" s="5" t="s">
        <v>2881</v>
      </c>
      <c r="D3190" s="1">
        <v>253070.0</v>
      </c>
      <c r="E3190" s="1"/>
      <c r="F3190" s="1" t="s">
        <v>275</v>
      </c>
    </row>
    <row r="3191">
      <c r="A3191" s="48" t="s">
        <v>2933</v>
      </c>
      <c r="B3191" s="2" t="s">
        <v>2934</v>
      </c>
      <c r="C3191" s="29"/>
      <c r="D3191" s="2">
        <v>96800.0</v>
      </c>
      <c r="E3191" s="2"/>
      <c r="F3191" s="2" t="s">
        <v>2876</v>
      </c>
    </row>
    <row r="3192">
      <c r="A3192" s="1" t="s">
        <v>2935</v>
      </c>
      <c r="B3192" s="45" t="s">
        <v>2570</v>
      </c>
      <c r="C3192" s="46"/>
      <c r="D3192" s="47">
        <v>67738.0</v>
      </c>
      <c r="E3192" s="47"/>
      <c r="F3192" s="42" t="s">
        <v>2428</v>
      </c>
    </row>
    <row r="3193">
      <c r="A3193" s="1" t="s">
        <v>2935</v>
      </c>
      <c r="B3193" s="1" t="s">
        <v>2936</v>
      </c>
      <c r="D3193" s="1">
        <v>1817763.0</v>
      </c>
      <c r="E3193" s="1"/>
    </row>
    <row r="3194">
      <c r="A3194" s="39" t="s">
        <v>2937</v>
      </c>
      <c r="B3194" s="40" t="s">
        <v>280</v>
      </c>
      <c r="C3194" s="40"/>
      <c r="D3194" s="41">
        <v>2282153.0</v>
      </c>
      <c r="E3194" s="41"/>
      <c r="F3194">
        <f>SUM(D3194:D3195)</f>
        <v>4366993</v>
      </c>
    </row>
    <row r="3195">
      <c r="A3195" s="40"/>
      <c r="B3195" s="39" t="s">
        <v>2938</v>
      </c>
      <c r="C3195" s="40"/>
      <c r="D3195" s="51">
        <v>2084840.0</v>
      </c>
      <c r="E3195" s="51"/>
    </row>
    <row r="3196">
      <c r="A3196" s="39"/>
      <c r="B3196" s="40" t="s">
        <v>1769</v>
      </c>
      <c r="C3196" s="40"/>
      <c r="D3196" s="41">
        <v>1868617.0</v>
      </c>
      <c r="E3196" s="41"/>
      <c r="F3196">
        <f>SUM(D3196:D3197)</f>
        <v>2700487</v>
      </c>
    </row>
    <row r="3197">
      <c r="A3197" s="39"/>
      <c r="B3197" s="39" t="s">
        <v>2939</v>
      </c>
      <c r="C3197" s="40"/>
      <c r="D3197" s="22">
        <v>831870.0</v>
      </c>
      <c r="E3197" s="22"/>
    </row>
    <row r="3198">
      <c r="A3198" s="39" t="s">
        <v>2940</v>
      </c>
      <c r="B3198" s="40" t="s">
        <v>1021</v>
      </c>
      <c r="C3198" s="40"/>
      <c r="D3198" s="41">
        <v>2070953.0</v>
      </c>
      <c r="E3198" s="41"/>
      <c r="F3198">
        <f>SUM(D3198:D3199)</f>
        <v>2553223</v>
      </c>
    </row>
    <row r="3199">
      <c r="A3199" s="39"/>
      <c r="B3199" s="39" t="s">
        <v>2941</v>
      </c>
      <c r="D3199" s="22">
        <v>482270.0</v>
      </c>
      <c r="E3199" s="22"/>
    </row>
    <row r="3200">
      <c r="A3200" s="39" t="s">
        <v>2942</v>
      </c>
      <c r="B3200" s="40" t="s">
        <v>2585</v>
      </c>
      <c r="C3200" s="40"/>
      <c r="D3200" s="50">
        <v>672540.0</v>
      </c>
      <c r="E3200" s="50"/>
    </row>
    <row r="3201">
      <c r="A3201" s="1" t="s">
        <v>2935</v>
      </c>
      <c r="B3201" s="1" t="s">
        <v>2943</v>
      </c>
      <c r="D3201" s="1">
        <v>50000.0</v>
      </c>
      <c r="E3201" s="1"/>
    </row>
    <row r="3202">
      <c r="A3202" s="1" t="s">
        <v>2944</v>
      </c>
      <c r="B3202" s="1" t="s">
        <v>2019</v>
      </c>
      <c r="D3202" s="1">
        <v>683970.0</v>
      </c>
      <c r="E3202" s="1"/>
      <c r="F3202" s="1" t="s">
        <v>2945</v>
      </c>
    </row>
    <row r="3203">
      <c r="B3203" s="1" t="s">
        <v>2003</v>
      </c>
      <c r="D3203" s="1">
        <v>510440.0</v>
      </c>
      <c r="E3203" s="1"/>
      <c r="F3203" s="1" t="s">
        <v>2928</v>
      </c>
    </row>
    <row r="3204">
      <c r="B3204" s="1" t="s">
        <v>2005</v>
      </c>
      <c r="D3204" s="1">
        <v>466639.0</v>
      </c>
      <c r="E3204" s="1"/>
      <c r="F3204" s="1" t="s">
        <v>2946</v>
      </c>
    </row>
    <row r="3205">
      <c r="A3205" s="1" t="s">
        <v>2947</v>
      </c>
      <c r="B3205" s="1" t="s">
        <v>2324</v>
      </c>
      <c r="D3205" s="1">
        <v>100000.0</v>
      </c>
      <c r="E3205" s="1"/>
      <c r="F3205" s="1" t="s">
        <v>2948</v>
      </c>
    </row>
    <row r="3206">
      <c r="B3206" s="1" t="s">
        <v>2326</v>
      </c>
      <c r="D3206" s="1">
        <v>100000.0</v>
      </c>
      <c r="E3206" s="1"/>
      <c r="F3206" s="1" t="s">
        <v>2948</v>
      </c>
    </row>
    <row r="3207">
      <c r="A3207" s="1" t="s">
        <v>2949</v>
      </c>
      <c r="B3207" s="1" t="s">
        <v>2950</v>
      </c>
      <c r="D3207" s="1">
        <v>2615635.0</v>
      </c>
      <c r="E3207" s="1"/>
      <c r="F3207" s="1" t="s">
        <v>2554</v>
      </c>
    </row>
    <row r="3208">
      <c r="A3208" s="1" t="s">
        <v>2951</v>
      </c>
      <c r="B3208" s="1" t="s">
        <v>2633</v>
      </c>
      <c r="D3208" s="1">
        <v>47500.0</v>
      </c>
      <c r="E3208" s="1"/>
      <c r="F3208" s="1" t="s">
        <v>2653</v>
      </c>
    </row>
    <row r="3209">
      <c r="B3209" s="28" t="s">
        <v>1953</v>
      </c>
      <c r="D3209" s="1">
        <v>4087505.0</v>
      </c>
      <c r="E3209" s="1"/>
      <c r="F3209" s="1"/>
    </row>
    <row r="3210">
      <c r="B3210" s="3" t="s">
        <v>648</v>
      </c>
      <c r="D3210" s="1">
        <v>165000.0</v>
      </c>
      <c r="E3210" s="1"/>
    </row>
    <row r="3211">
      <c r="A3211" s="1" t="s">
        <v>2952</v>
      </c>
      <c r="B3211" s="1" t="s">
        <v>2019</v>
      </c>
      <c r="D3211" s="1">
        <v>729568.0</v>
      </c>
      <c r="E3211" s="1"/>
      <c r="F3211" s="1" t="s">
        <v>2953</v>
      </c>
    </row>
    <row r="3212">
      <c r="B3212" s="1" t="s">
        <v>2005</v>
      </c>
      <c r="D3212" s="1">
        <v>531328.0</v>
      </c>
      <c r="E3212" s="1"/>
      <c r="F3212" s="1" t="s">
        <v>2954</v>
      </c>
    </row>
    <row r="3213">
      <c r="A3213" s="39" t="s">
        <v>2955</v>
      </c>
      <c r="B3213" s="40" t="s">
        <v>2150</v>
      </c>
      <c r="C3213" s="40"/>
      <c r="D3213" s="41">
        <v>3947540.0</v>
      </c>
      <c r="E3213" s="41"/>
      <c r="F3213" s="42" t="s">
        <v>2241</v>
      </c>
    </row>
    <row r="3214">
      <c r="A3214" s="1" t="s">
        <v>2955</v>
      </c>
      <c r="B3214" s="5" t="s">
        <v>2881</v>
      </c>
      <c r="D3214" s="1">
        <v>253070.0</v>
      </c>
      <c r="E3214" s="1"/>
      <c r="F3214" s="1" t="s">
        <v>275</v>
      </c>
    </row>
    <row r="3215">
      <c r="A3215" s="48" t="s">
        <v>2956</v>
      </c>
      <c r="B3215" s="2" t="s">
        <v>2957</v>
      </c>
      <c r="C3215" s="29"/>
      <c r="D3215" s="2">
        <v>96800.0</v>
      </c>
      <c r="E3215" s="2"/>
      <c r="F3215" s="2" t="s">
        <v>2876</v>
      </c>
    </row>
    <row r="3216">
      <c r="A3216" s="1" t="s">
        <v>2958</v>
      </c>
      <c r="B3216" s="1" t="s">
        <v>2959</v>
      </c>
      <c r="D3216" s="1">
        <v>1817763.0</v>
      </c>
      <c r="E3216" s="1"/>
    </row>
    <row r="3217">
      <c r="A3217" s="39" t="s">
        <v>2960</v>
      </c>
      <c r="B3217" s="40" t="s">
        <v>280</v>
      </c>
      <c r="C3217" s="40"/>
      <c r="D3217" s="41">
        <v>2293453.0</v>
      </c>
      <c r="E3217" s="41"/>
    </row>
    <row r="3218">
      <c r="A3218" s="40"/>
      <c r="B3218" s="40" t="s">
        <v>1769</v>
      </c>
      <c r="C3218" s="40"/>
      <c r="D3218" s="41">
        <v>1870627.0</v>
      </c>
      <c r="E3218" s="41"/>
    </row>
    <row r="3219">
      <c r="A3219" s="39" t="s">
        <v>2961</v>
      </c>
      <c r="B3219" s="40" t="s">
        <v>1021</v>
      </c>
      <c r="C3219" s="40"/>
      <c r="D3219" s="41">
        <v>236183.0</v>
      </c>
      <c r="E3219" s="41"/>
    </row>
    <row r="3220">
      <c r="A3220" s="39" t="s">
        <v>2962</v>
      </c>
      <c r="B3220" s="40" t="s">
        <v>2585</v>
      </c>
      <c r="C3220" s="40"/>
      <c r="D3220" s="50">
        <v>672540.0</v>
      </c>
      <c r="E3220" s="50"/>
    </row>
    <row r="3221">
      <c r="A3221" s="52" t="s">
        <v>2956</v>
      </c>
      <c r="B3221" s="11" t="s">
        <v>2963</v>
      </c>
      <c r="C3221" s="8"/>
      <c r="D3221" s="12">
        <v>200000.0</v>
      </c>
      <c r="E3221" s="1"/>
    </row>
    <row r="3222">
      <c r="A3222" s="1" t="s">
        <v>2956</v>
      </c>
      <c r="B3222" s="1" t="s">
        <v>774</v>
      </c>
      <c r="D3222" s="1">
        <v>0.0</v>
      </c>
      <c r="E3222" s="1"/>
      <c r="F3222" s="1" t="s">
        <v>275</v>
      </c>
    </row>
    <row r="3223">
      <c r="B3223" s="1" t="s">
        <v>1224</v>
      </c>
      <c r="D3223" s="1">
        <v>0.0</v>
      </c>
      <c r="E3223" s="1"/>
      <c r="F3223" s="1" t="s">
        <v>275</v>
      </c>
    </row>
    <row r="3224">
      <c r="A3224" s="1" t="s">
        <v>2956</v>
      </c>
      <c r="B3224" s="1" t="s">
        <v>2964</v>
      </c>
      <c r="D3224" s="1">
        <v>200000.0</v>
      </c>
      <c r="E3224" s="1"/>
      <c r="F3224" s="3" t="s">
        <v>1147</v>
      </c>
    </row>
    <row r="3225">
      <c r="A3225" s="1" t="s">
        <v>2960</v>
      </c>
      <c r="B3225" s="1" t="s">
        <v>2019</v>
      </c>
      <c r="D3225" s="1">
        <v>683970.0</v>
      </c>
      <c r="E3225" s="1"/>
      <c r="F3225" s="1" t="s">
        <v>2945</v>
      </c>
    </row>
    <row r="3226">
      <c r="B3226" s="1" t="s">
        <v>2005</v>
      </c>
      <c r="D3226" s="1">
        <v>498120.0</v>
      </c>
      <c r="E3226" s="1"/>
      <c r="F3226" s="1" t="s">
        <v>2965</v>
      </c>
    </row>
    <row r="3227">
      <c r="A3227" s="1" t="s">
        <v>2966</v>
      </c>
      <c r="B3227" s="1" t="s">
        <v>2967</v>
      </c>
      <c r="D3227" s="1">
        <v>2570310.0</v>
      </c>
      <c r="E3227" s="1"/>
      <c r="F3227" s="1" t="s">
        <v>2968</v>
      </c>
    </row>
    <row r="3228">
      <c r="A3228" s="1" t="s">
        <v>2969</v>
      </c>
      <c r="B3228" s="1" t="s">
        <v>2633</v>
      </c>
      <c r="D3228" s="1">
        <v>47500.0</v>
      </c>
      <c r="E3228" s="1"/>
      <c r="F3228" s="1" t="s">
        <v>2653</v>
      </c>
    </row>
    <row r="3229">
      <c r="B3229" s="28" t="s">
        <v>1953</v>
      </c>
      <c r="D3229" s="1">
        <v>4024240.0</v>
      </c>
      <c r="E3229" s="1"/>
      <c r="F3229" s="1"/>
    </row>
    <row r="3230">
      <c r="B3230" s="3" t="s">
        <v>648</v>
      </c>
      <c r="D3230" s="1">
        <v>165000.0</v>
      </c>
      <c r="E3230" s="1"/>
    </row>
    <row r="3231">
      <c r="A3231" s="1" t="s">
        <v>2969</v>
      </c>
      <c r="B3231" s="45" t="s">
        <v>2587</v>
      </c>
      <c r="C3231" s="46"/>
      <c r="D3231" s="47">
        <v>177170.0</v>
      </c>
      <c r="E3231" s="47"/>
      <c r="F3231" s="42" t="s">
        <v>2428</v>
      </c>
    </row>
    <row r="3232">
      <c r="A3232" s="1" t="s">
        <v>2970</v>
      </c>
      <c r="B3232" s="1" t="s">
        <v>2019</v>
      </c>
      <c r="D3232" s="1">
        <v>683970.0</v>
      </c>
      <c r="E3232" s="1"/>
      <c r="F3232" s="1" t="s">
        <v>2945</v>
      </c>
    </row>
    <row r="3233">
      <c r="B3233" s="1" t="s">
        <v>2005</v>
      </c>
      <c r="D3233" s="1">
        <v>481516.0</v>
      </c>
      <c r="E3233" s="1"/>
      <c r="F3233" s="1" t="s">
        <v>2971</v>
      </c>
    </row>
    <row r="3234">
      <c r="A3234" s="1" t="s">
        <v>2969</v>
      </c>
      <c r="B3234" s="1" t="s">
        <v>2853</v>
      </c>
      <c r="D3234" s="1">
        <v>58130.0</v>
      </c>
      <c r="E3234" s="1"/>
      <c r="F3234" s="1" t="s">
        <v>1332</v>
      </c>
    </row>
    <row r="3235">
      <c r="A3235" s="39" t="s">
        <v>2972</v>
      </c>
      <c r="B3235" s="40" t="s">
        <v>2150</v>
      </c>
      <c r="C3235" s="40"/>
      <c r="D3235" s="41">
        <v>4191060.0</v>
      </c>
      <c r="E3235" s="41"/>
      <c r="F3235" s="42" t="s">
        <v>2241</v>
      </c>
    </row>
    <row r="3236">
      <c r="A3236" s="1" t="s">
        <v>2973</v>
      </c>
      <c r="B3236" s="5" t="s">
        <v>2881</v>
      </c>
      <c r="D3236" s="1">
        <v>253070.0</v>
      </c>
      <c r="E3236" s="1"/>
      <c r="F3236" s="1" t="s">
        <v>275</v>
      </c>
    </row>
    <row r="3237">
      <c r="A3237" s="1" t="s">
        <v>2973</v>
      </c>
      <c r="B3237" s="1" t="s">
        <v>2393</v>
      </c>
      <c r="D3237" s="1">
        <v>506000.0</v>
      </c>
      <c r="E3237" s="1"/>
      <c r="F3237" s="3" t="s">
        <v>1147</v>
      </c>
    </row>
    <row r="3238">
      <c r="A3238" s="48" t="s">
        <v>2973</v>
      </c>
      <c r="B3238" s="2" t="s">
        <v>2974</v>
      </c>
      <c r="C3238" s="29"/>
      <c r="D3238" s="2">
        <v>96800.0</v>
      </c>
      <c r="E3238" s="2"/>
      <c r="F3238" s="2" t="s">
        <v>2876</v>
      </c>
    </row>
    <row r="3239">
      <c r="A3239" s="1" t="s">
        <v>2975</v>
      </c>
      <c r="B3239" s="1" t="s">
        <v>2959</v>
      </c>
      <c r="D3239" s="1">
        <v>2298377.0</v>
      </c>
      <c r="E3239" s="1"/>
    </row>
    <row r="3240">
      <c r="A3240" s="39" t="s">
        <v>2976</v>
      </c>
      <c r="B3240" s="40" t="s">
        <v>280</v>
      </c>
      <c r="C3240" s="40"/>
      <c r="D3240" s="41">
        <v>2242553.0</v>
      </c>
      <c r="E3240" s="41"/>
    </row>
    <row r="3241">
      <c r="A3241" s="40"/>
      <c r="B3241" s="40" t="s">
        <v>1769</v>
      </c>
      <c r="C3241" s="40"/>
      <c r="D3241" s="41">
        <v>1980767.0</v>
      </c>
      <c r="E3241" s="41"/>
    </row>
    <row r="3242">
      <c r="A3242" s="39" t="s">
        <v>2977</v>
      </c>
      <c r="B3242" s="40" t="s">
        <v>1021</v>
      </c>
      <c r="C3242" s="40"/>
      <c r="D3242" s="41">
        <v>221623.0</v>
      </c>
      <c r="E3242" s="41"/>
    </row>
    <row r="3243">
      <c r="A3243" s="39" t="s">
        <v>2978</v>
      </c>
      <c r="B3243" s="40" t="s">
        <v>2585</v>
      </c>
      <c r="C3243" s="40"/>
      <c r="D3243" s="50">
        <v>672540.0</v>
      </c>
      <c r="E3243" s="50"/>
    </row>
    <row r="3244">
      <c r="A3244" s="1" t="s">
        <v>2979</v>
      </c>
      <c r="B3244" s="45" t="s">
        <v>2607</v>
      </c>
      <c r="C3244" s="46"/>
      <c r="D3244" s="47">
        <v>135460.0</v>
      </c>
      <c r="E3244" s="47"/>
      <c r="F3244" s="42" t="s">
        <v>2428</v>
      </c>
    </row>
    <row r="3245">
      <c r="A3245" s="1" t="s">
        <v>2979</v>
      </c>
      <c r="B3245" s="1" t="s">
        <v>2019</v>
      </c>
      <c r="D3245" s="1">
        <v>683970.0</v>
      </c>
      <c r="E3245" s="1"/>
      <c r="F3245" s="1" t="s">
        <v>2945</v>
      </c>
    </row>
    <row r="3246">
      <c r="B3246" s="1" t="s">
        <v>2005</v>
      </c>
      <c r="D3246" s="1">
        <v>481516.0</v>
      </c>
      <c r="E3246" s="1"/>
      <c r="F3246" s="1" t="s">
        <v>2971</v>
      </c>
    </row>
    <row r="3247">
      <c r="A3247" s="1" t="s">
        <v>2980</v>
      </c>
      <c r="B3247" s="1" t="s">
        <v>2633</v>
      </c>
      <c r="D3247" s="1">
        <v>47500.0</v>
      </c>
      <c r="E3247" s="1"/>
      <c r="F3247" s="1" t="s">
        <v>2653</v>
      </c>
    </row>
    <row r="3248">
      <c r="B3248" s="28" t="s">
        <v>1953</v>
      </c>
      <c r="D3248" s="1">
        <v>4009963.0</v>
      </c>
      <c r="E3248" s="1"/>
      <c r="F3248" s="1"/>
    </row>
    <row r="3249">
      <c r="B3249" s="3" t="s">
        <v>648</v>
      </c>
      <c r="D3249" s="1">
        <v>165000.0</v>
      </c>
      <c r="E3249" s="1"/>
    </row>
    <row r="3250">
      <c r="B3250" s="45" t="s">
        <v>2607</v>
      </c>
      <c r="C3250" s="46"/>
      <c r="D3250" s="47">
        <v>135460.0</v>
      </c>
      <c r="E3250" s="47"/>
      <c r="F3250" s="42" t="s">
        <v>2428</v>
      </c>
    </row>
    <row r="3251">
      <c r="A3251" s="39" t="s">
        <v>2981</v>
      </c>
      <c r="B3251" s="40" t="s">
        <v>2150</v>
      </c>
      <c r="C3251" s="40"/>
      <c r="D3251" s="41">
        <v>3924820.0</v>
      </c>
      <c r="E3251" s="41"/>
      <c r="F3251" s="42" t="s">
        <v>2241</v>
      </c>
    </row>
    <row r="3252">
      <c r="A3252" s="1" t="s">
        <v>2982</v>
      </c>
      <c r="B3252" s="1" t="s">
        <v>2019</v>
      </c>
      <c r="D3252" s="1">
        <v>729552.0</v>
      </c>
      <c r="E3252" s="1"/>
      <c r="F3252" s="1" t="s">
        <v>2953</v>
      </c>
    </row>
    <row r="3253">
      <c r="B3253" s="1" t="s">
        <v>2005</v>
      </c>
      <c r="D3253" s="1">
        <v>365288.0</v>
      </c>
      <c r="E3253" s="1"/>
      <c r="F3253" s="1" t="s">
        <v>2983</v>
      </c>
    </row>
    <row r="3254">
      <c r="A3254" s="1" t="s">
        <v>2984</v>
      </c>
      <c r="B3254" s="5" t="s">
        <v>2881</v>
      </c>
      <c r="D3254" s="1">
        <v>253070.0</v>
      </c>
      <c r="E3254" s="1"/>
      <c r="F3254" s="1" t="s">
        <v>275</v>
      </c>
    </row>
    <row r="3255">
      <c r="A3255" s="1" t="s">
        <v>2981</v>
      </c>
      <c r="B3255" s="1" t="s">
        <v>2985</v>
      </c>
      <c r="D3255" s="1">
        <v>1761910.0</v>
      </c>
      <c r="E3255" s="1"/>
    </row>
    <row r="3256">
      <c r="A3256" s="39" t="s">
        <v>2986</v>
      </c>
      <c r="B3256" s="40" t="s">
        <v>2959</v>
      </c>
      <c r="C3256" s="40"/>
      <c r="D3256" s="50">
        <v>2298377.0</v>
      </c>
      <c r="E3256" s="50"/>
    </row>
    <row r="3257">
      <c r="A3257" s="39" t="s">
        <v>2987</v>
      </c>
      <c r="B3257" s="40" t="s">
        <v>280</v>
      </c>
      <c r="C3257" s="40"/>
      <c r="D3257" s="41">
        <v>2248373.0</v>
      </c>
      <c r="E3257" s="41"/>
    </row>
    <row r="3258">
      <c r="A3258" s="40"/>
      <c r="B3258" s="40" t="s">
        <v>1769</v>
      </c>
      <c r="C3258" s="40"/>
      <c r="D3258" s="41">
        <v>1903677.0</v>
      </c>
      <c r="E3258" s="41"/>
    </row>
    <row r="3259">
      <c r="A3259" s="39" t="s">
        <v>2988</v>
      </c>
      <c r="B3259" s="40" t="s">
        <v>2585</v>
      </c>
      <c r="C3259" s="40"/>
      <c r="D3259" s="50">
        <v>672540.0</v>
      </c>
      <c r="E3259" s="50"/>
    </row>
    <row r="3260">
      <c r="A3260" s="35" t="s">
        <v>2989</v>
      </c>
      <c r="B3260" s="35" t="s">
        <v>2990</v>
      </c>
      <c r="C3260" s="36"/>
      <c r="D3260" s="35">
        <v>320379.0</v>
      </c>
      <c r="E3260" s="35"/>
      <c r="F3260" s="35" t="s">
        <v>2813</v>
      </c>
    </row>
    <row r="3261">
      <c r="A3261" s="1" t="s">
        <v>2987</v>
      </c>
      <c r="B3261" s="1" t="s">
        <v>2019</v>
      </c>
      <c r="D3261" s="1">
        <v>661171.0</v>
      </c>
      <c r="E3261" s="1"/>
      <c r="F3261" s="1" t="s">
        <v>2991</v>
      </c>
    </row>
    <row r="3262">
      <c r="B3262" s="1" t="s">
        <v>2005</v>
      </c>
      <c r="D3262" s="1">
        <v>498120.0</v>
      </c>
      <c r="E3262" s="1"/>
      <c r="F3262" s="1" t="s">
        <v>2965</v>
      </c>
    </row>
    <row r="3263">
      <c r="A3263" s="1" t="s">
        <v>2992</v>
      </c>
      <c r="B3263" s="1" t="s">
        <v>2993</v>
      </c>
      <c r="D3263" s="1">
        <v>232120.0</v>
      </c>
      <c r="E3263" s="1"/>
      <c r="F3263" s="1" t="s">
        <v>275</v>
      </c>
    </row>
    <row r="3264">
      <c r="A3264" s="1" t="s">
        <v>2994</v>
      </c>
      <c r="B3264" s="1" t="s">
        <v>2633</v>
      </c>
      <c r="D3264" s="1">
        <v>50000.0</v>
      </c>
      <c r="E3264" s="1"/>
      <c r="F3264" s="1" t="s">
        <v>2653</v>
      </c>
    </row>
    <row r="3265">
      <c r="B3265" s="28" t="s">
        <v>1953</v>
      </c>
      <c r="D3265" s="1">
        <v>4010269.0</v>
      </c>
      <c r="E3265" s="1"/>
      <c r="F3265" s="1"/>
    </row>
    <row r="3266">
      <c r="B3266" s="3" t="s">
        <v>648</v>
      </c>
      <c r="D3266" s="1">
        <v>165000.0</v>
      </c>
      <c r="E3266" s="1"/>
    </row>
    <row r="3267">
      <c r="B3267" s="45" t="s">
        <v>2622</v>
      </c>
      <c r="C3267" s="46"/>
      <c r="D3267" s="47">
        <v>150800.0</v>
      </c>
      <c r="E3267" s="47"/>
      <c r="F3267" s="42" t="s">
        <v>2428</v>
      </c>
    </row>
    <row r="3268">
      <c r="A3268" s="1" t="s">
        <v>2995</v>
      </c>
      <c r="B3268" s="1" t="s">
        <v>2019</v>
      </c>
      <c r="D3268" s="1">
        <v>638372.0</v>
      </c>
      <c r="E3268" s="1"/>
      <c r="F3268" s="1" t="s">
        <v>2996</v>
      </c>
    </row>
    <row r="3269">
      <c r="B3269" s="1" t="s">
        <v>2005</v>
      </c>
      <c r="D3269" s="1">
        <v>481516.0</v>
      </c>
      <c r="E3269" s="1"/>
      <c r="F3269" s="1" t="s">
        <v>2971</v>
      </c>
    </row>
    <row r="3270">
      <c r="A3270" s="1" t="s">
        <v>2997</v>
      </c>
      <c r="B3270" s="1" t="s">
        <v>2998</v>
      </c>
      <c r="D3270" s="1">
        <v>3.243495E7</v>
      </c>
      <c r="E3270" s="1"/>
      <c r="F3270" s="1" t="s">
        <v>275</v>
      </c>
    </row>
    <row r="3271">
      <c r="B3271" s="1" t="s">
        <v>1224</v>
      </c>
      <c r="D3271" s="1">
        <v>6768770.0</v>
      </c>
      <c r="E3271" s="1"/>
      <c r="F3271" s="1" t="s">
        <v>275</v>
      </c>
    </row>
    <row r="3272">
      <c r="A3272" s="39" t="s">
        <v>2999</v>
      </c>
      <c r="B3272" s="40" t="s">
        <v>2150</v>
      </c>
      <c r="C3272" s="40"/>
      <c r="D3272" s="41">
        <v>4473390.0</v>
      </c>
      <c r="E3272" s="41"/>
      <c r="F3272" s="42" t="s">
        <v>2241</v>
      </c>
    </row>
    <row r="3273">
      <c r="A3273" s="1" t="s">
        <v>3000</v>
      </c>
      <c r="B3273" s="5" t="s">
        <v>2881</v>
      </c>
      <c r="D3273" s="1">
        <v>253070.0</v>
      </c>
      <c r="E3273" s="1"/>
      <c r="F3273" s="1" t="s">
        <v>275</v>
      </c>
    </row>
    <row r="3274">
      <c r="A3274" s="1" t="s">
        <v>3000</v>
      </c>
      <c r="B3274" s="1" t="s">
        <v>2393</v>
      </c>
      <c r="D3274" s="1">
        <v>506000.0</v>
      </c>
      <c r="E3274" s="1"/>
      <c r="F3274" s="3" t="s">
        <v>1147</v>
      </c>
    </row>
    <row r="3275">
      <c r="A3275" s="48" t="s">
        <v>3000</v>
      </c>
      <c r="B3275" s="2" t="s">
        <v>3001</v>
      </c>
      <c r="C3275" s="29"/>
      <c r="D3275" s="2">
        <v>96800.0</v>
      </c>
      <c r="E3275" s="2"/>
      <c r="F3275" s="2" t="s">
        <v>2876</v>
      </c>
    </row>
    <row r="3276">
      <c r="A3276" s="48" t="s">
        <v>3000</v>
      </c>
      <c r="B3276" s="2" t="s">
        <v>3002</v>
      </c>
      <c r="C3276" s="29"/>
      <c r="D3276" s="2">
        <v>96800.0</v>
      </c>
      <c r="E3276" s="2"/>
      <c r="F3276" s="2" t="s">
        <v>2876</v>
      </c>
    </row>
    <row r="3277">
      <c r="A3277" s="1" t="s">
        <v>3003</v>
      </c>
      <c r="B3277" s="1" t="s">
        <v>2985</v>
      </c>
      <c r="D3277" s="1">
        <v>1761910.0</v>
      </c>
      <c r="E3277" s="1"/>
    </row>
    <row r="3278">
      <c r="A3278" s="39" t="s">
        <v>3004</v>
      </c>
      <c r="B3278" s="40" t="s">
        <v>2959</v>
      </c>
      <c r="C3278" s="40"/>
      <c r="D3278" s="41">
        <v>2258877.0</v>
      </c>
      <c r="E3278" s="41"/>
    </row>
    <row r="3279">
      <c r="A3279" s="39" t="s">
        <v>3005</v>
      </c>
      <c r="B3279" s="40" t="s">
        <v>280</v>
      </c>
      <c r="C3279" s="40"/>
      <c r="D3279" s="41">
        <v>2241473.0</v>
      </c>
      <c r="E3279" s="41"/>
    </row>
    <row r="3280">
      <c r="A3280" s="40"/>
      <c r="B3280" s="40" t="s">
        <v>1769</v>
      </c>
      <c r="C3280" s="40"/>
      <c r="D3280" s="41">
        <v>1911567.0</v>
      </c>
      <c r="E3280" s="41"/>
    </row>
    <row r="3281">
      <c r="A3281" s="39" t="s">
        <v>3006</v>
      </c>
      <c r="B3281" s="40" t="s">
        <v>2585</v>
      </c>
      <c r="C3281" s="40"/>
      <c r="D3281" s="50">
        <v>672540.0</v>
      </c>
      <c r="E3281" s="50"/>
    </row>
    <row r="3282">
      <c r="A3282" s="1" t="s">
        <v>3007</v>
      </c>
      <c r="B3282" s="1" t="s">
        <v>2633</v>
      </c>
      <c r="D3282" s="1">
        <v>47500.0</v>
      </c>
      <c r="E3282" s="1"/>
      <c r="F3282" s="1" t="s">
        <v>2653</v>
      </c>
    </row>
    <row r="3283">
      <c r="B3283" s="28" t="s">
        <v>1953</v>
      </c>
      <c r="D3283" s="1">
        <v>4111669.0</v>
      </c>
      <c r="E3283" s="1"/>
      <c r="F3283" s="1"/>
    </row>
    <row r="3284">
      <c r="B3284" s="3" t="s">
        <v>648</v>
      </c>
      <c r="D3284" s="1">
        <v>165000.0</v>
      </c>
      <c r="E3284" s="1"/>
    </row>
    <row r="3285">
      <c r="B3285" s="45" t="s">
        <v>2427</v>
      </c>
      <c r="C3285" s="46"/>
      <c r="D3285" s="47">
        <v>134306.0</v>
      </c>
      <c r="E3285" s="47"/>
      <c r="F3285" s="42" t="s">
        <v>2428</v>
      </c>
    </row>
    <row r="3286">
      <c r="A3286" s="1" t="s">
        <v>3008</v>
      </c>
      <c r="B3286" s="1" t="s">
        <v>3009</v>
      </c>
      <c r="D3286" s="1">
        <v>1531750.0</v>
      </c>
      <c r="E3286" s="1"/>
    </row>
    <row r="3287">
      <c r="B3287" s="1" t="s">
        <v>2826</v>
      </c>
      <c r="D3287" s="1">
        <v>1457170.0</v>
      </c>
      <c r="E3287" s="1"/>
    </row>
    <row r="3288">
      <c r="A3288" s="1" t="s">
        <v>3005</v>
      </c>
      <c r="B3288" s="1" t="s">
        <v>2019</v>
      </c>
      <c r="D3288" s="1">
        <v>683970.0</v>
      </c>
      <c r="E3288" s="1"/>
      <c r="F3288" s="1" t="s">
        <v>2945</v>
      </c>
    </row>
    <row r="3289">
      <c r="B3289" s="1" t="s">
        <v>2005</v>
      </c>
      <c r="D3289" s="1">
        <v>448308.0</v>
      </c>
      <c r="E3289" s="1"/>
      <c r="F3289" s="1" t="s">
        <v>3010</v>
      </c>
    </row>
    <row r="3290">
      <c r="A3290" s="1" t="s">
        <v>3011</v>
      </c>
      <c r="B3290" s="1" t="s">
        <v>2019</v>
      </c>
      <c r="D3290" s="53">
        <v>547176.0</v>
      </c>
      <c r="E3290" s="53"/>
      <c r="F3290" s="1" t="s">
        <v>3012</v>
      </c>
    </row>
    <row r="3291">
      <c r="B3291" s="1" t="s">
        <v>2005</v>
      </c>
      <c r="D3291" s="1">
        <v>66416.0</v>
      </c>
      <c r="E3291" s="1"/>
      <c r="F3291" s="1" t="s">
        <v>3013</v>
      </c>
    </row>
    <row r="3292">
      <c r="B3292" s="1" t="s">
        <v>3014</v>
      </c>
      <c r="D3292" s="1">
        <v>221000.0</v>
      </c>
      <c r="E3292" s="1"/>
      <c r="F3292" s="1" t="s">
        <v>3015</v>
      </c>
    </row>
    <row r="3293">
      <c r="A3293" s="39" t="s">
        <v>3016</v>
      </c>
      <c r="B3293" s="40" t="s">
        <v>2150</v>
      </c>
      <c r="C3293" s="40"/>
      <c r="D3293" s="41">
        <v>1784620.0</v>
      </c>
      <c r="E3293" s="41"/>
      <c r="F3293" s="42" t="s">
        <v>2241</v>
      </c>
    </row>
    <row r="3294">
      <c r="A3294" s="1" t="s">
        <v>3017</v>
      </c>
      <c r="B3294" s="5" t="s">
        <v>2881</v>
      </c>
      <c r="D3294" s="1">
        <v>253070.0</v>
      </c>
      <c r="E3294" s="1"/>
      <c r="F3294" s="1" t="s">
        <v>275</v>
      </c>
    </row>
    <row r="3295">
      <c r="A3295" s="52" t="s">
        <v>3017</v>
      </c>
      <c r="B3295" s="11" t="s">
        <v>3018</v>
      </c>
      <c r="C3295" s="8"/>
      <c r="D3295" s="1">
        <v>200000.0</v>
      </c>
      <c r="E3295" s="1"/>
    </row>
    <row r="3296">
      <c r="A3296" s="1" t="s">
        <v>3016</v>
      </c>
      <c r="B3296" s="1" t="s">
        <v>2985</v>
      </c>
      <c r="D3296" s="1">
        <v>1970113.0</v>
      </c>
      <c r="E3296" s="1"/>
    </row>
    <row r="3297">
      <c r="A3297" s="39" t="s">
        <v>3019</v>
      </c>
      <c r="B3297" s="40" t="s">
        <v>2959</v>
      </c>
      <c r="C3297" s="40"/>
      <c r="D3297" s="41">
        <v>2278627.0</v>
      </c>
      <c r="E3297" s="41"/>
    </row>
    <row r="3298">
      <c r="A3298" s="39" t="s">
        <v>3020</v>
      </c>
      <c r="B3298" s="40" t="s">
        <v>280</v>
      </c>
      <c r="C3298" s="40"/>
      <c r="D3298" s="41">
        <v>2238803.0</v>
      </c>
      <c r="E3298" s="41"/>
    </row>
    <row r="3299">
      <c r="A3299" s="40"/>
      <c r="B3299" s="40" t="s">
        <v>1769</v>
      </c>
      <c r="C3299" s="40"/>
      <c r="D3299" s="41">
        <v>11467.0</v>
      </c>
      <c r="E3299" s="41"/>
    </row>
    <row r="3300">
      <c r="A3300" s="39" t="s">
        <v>3021</v>
      </c>
      <c r="B3300" s="40" t="s">
        <v>2585</v>
      </c>
      <c r="C3300" s="40"/>
      <c r="D3300" s="50">
        <v>672540.0</v>
      </c>
      <c r="E3300" s="50"/>
    </row>
    <row r="3301">
      <c r="A3301" s="48" t="s">
        <v>3022</v>
      </c>
      <c r="B3301" s="2" t="s">
        <v>3023</v>
      </c>
      <c r="C3301" s="29"/>
      <c r="D3301" s="2">
        <v>96800.0</v>
      </c>
      <c r="E3301" s="2"/>
      <c r="F3301" s="2" t="s">
        <v>2876</v>
      </c>
    </row>
    <row r="3302">
      <c r="A3302" s="1" t="s">
        <v>3019</v>
      </c>
      <c r="B3302" s="1" t="s">
        <v>3024</v>
      </c>
      <c r="D3302" s="1">
        <v>122000.0</v>
      </c>
      <c r="E3302" s="1"/>
      <c r="F3302" s="1" t="s">
        <v>1332</v>
      </c>
    </row>
    <row r="3303">
      <c r="A3303" s="1" t="s">
        <v>3022</v>
      </c>
      <c r="B3303" s="1" t="s">
        <v>2019</v>
      </c>
      <c r="D3303" s="1">
        <v>364784.0</v>
      </c>
      <c r="E3303" s="1"/>
      <c r="F3303" s="1" t="s">
        <v>3025</v>
      </c>
    </row>
    <row r="3304">
      <c r="B3304" s="1" t="s">
        <v>3014</v>
      </c>
      <c r="D3304" s="1">
        <v>143000.0</v>
      </c>
      <c r="E3304" s="1"/>
      <c r="F3304" s="1" t="s">
        <v>3026</v>
      </c>
    </row>
    <row r="3305">
      <c r="A3305" s="1" t="s">
        <v>3027</v>
      </c>
      <c r="B3305" s="1" t="s">
        <v>2633</v>
      </c>
      <c r="D3305" s="1">
        <v>47500.0</v>
      </c>
      <c r="E3305" s="1"/>
      <c r="F3305" s="1" t="s">
        <v>2653</v>
      </c>
    </row>
    <row r="3306">
      <c r="B3306" s="28" t="s">
        <v>1953</v>
      </c>
      <c r="D3306" s="1">
        <v>4026436.0</v>
      </c>
      <c r="E3306" s="1"/>
      <c r="F3306" s="1"/>
    </row>
    <row r="3307">
      <c r="B3307" s="3" t="s">
        <v>648</v>
      </c>
      <c r="D3307" s="1">
        <v>165000.0</v>
      </c>
      <c r="E3307" s="1"/>
    </row>
    <row r="3308">
      <c r="B3308" s="45" t="s">
        <v>2442</v>
      </c>
      <c r="C3308" s="46"/>
      <c r="D3308" s="47">
        <v>94426.0</v>
      </c>
      <c r="E3308" s="47"/>
      <c r="F3308" s="42" t="s">
        <v>2428</v>
      </c>
    </row>
    <row r="3309">
      <c r="A3309" s="1" t="s">
        <v>3028</v>
      </c>
      <c r="B3309" s="1" t="s">
        <v>3029</v>
      </c>
      <c r="D3309" s="1">
        <v>880000.0</v>
      </c>
      <c r="E3309" s="1"/>
      <c r="F3309" s="1" t="s">
        <v>3030</v>
      </c>
    </row>
    <row r="3310">
      <c r="A3310" s="1" t="s">
        <v>3031</v>
      </c>
      <c r="B3310" s="1" t="s">
        <v>3032</v>
      </c>
      <c r="D3310" s="1">
        <v>40000.0</v>
      </c>
      <c r="E3310" s="1"/>
      <c r="F3310" s="1" t="s">
        <v>3033</v>
      </c>
    </row>
    <row r="3311">
      <c r="A3311" s="1" t="s">
        <v>3034</v>
      </c>
      <c r="B3311" s="1" t="s">
        <v>2019</v>
      </c>
      <c r="D3311" s="1">
        <v>683970.0</v>
      </c>
      <c r="E3311" s="1"/>
      <c r="F3311" s="1" t="s">
        <v>2945</v>
      </c>
    </row>
    <row r="3312">
      <c r="B3312" s="1" t="s">
        <v>3014</v>
      </c>
      <c r="D3312" s="1">
        <v>338000.0</v>
      </c>
      <c r="E3312" s="1"/>
      <c r="F3312" s="1" t="s">
        <v>3035</v>
      </c>
    </row>
    <row r="3313">
      <c r="A3313" s="1" t="s">
        <v>3036</v>
      </c>
      <c r="B3313" s="1" t="s">
        <v>3037</v>
      </c>
      <c r="D3313" s="1">
        <v>62500.0</v>
      </c>
      <c r="E3313" s="1"/>
      <c r="F3313" s="1" t="s">
        <v>3038</v>
      </c>
    </row>
    <row r="3314">
      <c r="A3314" s="39" t="s">
        <v>3039</v>
      </c>
      <c r="B3314" s="40" t="s">
        <v>2150</v>
      </c>
      <c r="C3314" s="40"/>
      <c r="D3314" s="41">
        <v>4168910.0</v>
      </c>
      <c r="E3314" s="41"/>
      <c r="F3314" s="42" t="s">
        <v>2241</v>
      </c>
    </row>
    <row r="3315">
      <c r="A3315" s="1" t="s">
        <v>3040</v>
      </c>
      <c r="B3315" s="5" t="s">
        <v>2881</v>
      </c>
      <c r="D3315" s="1">
        <v>253070.0</v>
      </c>
      <c r="E3315" s="1"/>
      <c r="F3315" s="1" t="s">
        <v>275</v>
      </c>
    </row>
    <row r="3316">
      <c r="A3316" s="48" t="s">
        <v>3040</v>
      </c>
      <c r="B3316" s="2" t="s">
        <v>3041</v>
      </c>
      <c r="C3316" s="29"/>
      <c r="D3316" s="2">
        <v>96800.0</v>
      </c>
      <c r="E3316" s="2"/>
      <c r="F3316" s="2" t="s">
        <v>2876</v>
      </c>
    </row>
    <row r="3317">
      <c r="A3317" s="1" t="s">
        <v>3040</v>
      </c>
      <c r="B3317" s="1" t="s">
        <v>2985</v>
      </c>
      <c r="D3317" s="1">
        <v>1700000.0</v>
      </c>
      <c r="E3317" s="1"/>
    </row>
    <row r="3318">
      <c r="A3318" s="1" t="s">
        <v>3042</v>
      </c>
      <c r="D3318" s="1">
        <v>272943.0</v>
      </c>
      <c r="E3318" s="1"/>
    </row>
    <row r="3319">
      <c r="A3319" s="39" t="s">
        <v>3043</v>
      </c>
      <c r="B3319" s="40" t="s">
        <v>2959</v>
      </c>
      <c r="C3319" s="40"/>
      <c r="D3319" s="41">
        <v>2238607.0</v>
      </c>
      <c r="E3319" s="41"/>
    </row>
    <row r="3320">
      <c r="A3320" s="39" t="s">
        <v>3044</v>
      </c>
      <c r="B3320" s="40" t="s">
        <v>280</v>
      </c>
      <c r="C3320" s="40"/>
      <c r="D3320" s="41">
        <v>2287783.0</v>
      </c>
      <c r="E3320" s="41"/>
    </row>
    <row r="3321">
      <c r="A3321" s="39"/>
      <c r="B3321" s="40" t="s">
        <v>1769</v>
      </c>
      <c r="C3321" s="40"/>
      <c r="D3321" s="41">
        <v>20837.0</v>
      </c>
      <c r="E3321" s="41"/>
    </row>
    <row r="3322">
      <c r="A3322" s="39" t="s">
        <v>3045</v>
      </c>
      <c r="B3322" s="40" t="s">
        <v>2585</v>
      </c>
      <c r="C3322" s="40"/>
      <c r="D3322" s="1">
        <v>672540.0</v>
      </c>
      <c r="E3322" s="1"/>
    </row>
    <row r="3323">
      <c r="A3323" s="1" t="s">
        <v>3046</v>
      </c>
      <c r="B3323" s="1" t="s">
        <v>3047</v>
      </c>
      <c r="D3323" s="1">
        <v>99000.0</v>
      </c>
      <c r="E3323" s="1"/>
      <c r="F3323" s="1" t="s">
        <v>1332</v>
      </c>
    </row>
    <row r="3324">
      <c r="A3324" s="1" t="s">
        <v>3048</v>
      </c>
      <c r="B3324" s="1" t="s">
        <v>3049</v>
      </c>
      <c r="D3324" s="1">
        <v>150000.0</v>
      </c>
      <c r="E3324" s="1"/>
    </row>
    <row r="3325">
      <c r="A3325" s="1" t="s">
        <v>3048</v>
      </c>
      <c r="B3325" s="1" t="s">
        <v>2019</v>
      </c>
      <c r="D3325" s="1">
        <v>683970.0</v>
      </c>
      <c r="E3325" s="1"/>
      <c r="F3325" s="1" t="s">
        <v>2945</v>
      </c>
    </row>
    <row r="3326">
      <c r="B3326" s="1" t="s">
        <v>3014</v>
      </c>
      <c r="D3326" s="1">
        <v>182000.0</v>
      </c>
      <c r="E3326" s="1"/>
      <c r="F3326" s="1" t="s">
        <v>3050</v>
      </c>
    </row>
    <row r="3327">
      <c r="A3327" s="1" t="s">
        <v>3051</v>
      </c>
      <c r="B3327" s="1" t="s">
        <v>3052</v>
      </c>
      <c r="D3327" s="1">
        <v>4568269.0</v>
      </c>
      <c r="E3327" s="1"/>
      <c r="F3327" s="1" t="s">
        <v>2554</v>
      </c>
    </row>
    <row r="3328">
      <c r="A3328" s="1" t="s">
        <v>3053</v>
      </c>
      <c r="B3328" s="1" t="s">
        <v>2633</v>
      </c>
      <c r="D3328" s="1">
        <v>47500.0</v>
      </c>
      <c r="E3328" s="1"/>
      <c r="F3328" s="1" t="s">
        <v>2653</v>
      </c>
    </row>
    <row r="3329">
      <c r="B3329" s="28" t="s">
        <v>1953</v>
      </c>
      <c r="D3329" s="1">
        <v>4083960.0</v>
      </c>
      <c r="E3329" s="1"/>
      <c r="F3329" s="1"/>
    </row>
    <row r="3330">
      <c r="B3330" s="3" t="s">
        <v>648</v>
      </c>
      <c r="D3330" s="1">
        <v>165000.0</v>
      </c>
      <c r="E3330" s="1"/>
    </row>
    <row r="3331">
      <c r="B3331" s="45" t="s">
        <v>2460</v>
      </c>
      <c r="C3331" s="46"/>
      <c r="D3331" s="47">
        <v>83150.0</v>
      </c>
      <c r="E3331" s="47"/>
      <c r="F3331" s="42" t="s">
        <v>2428</v>
      </c>
    </row>
    <row r="3332">
      <c r="A3332" s="1" t="s">
        <v>3054</v>
      </c>
      <c r="B3332" s="1" t="s">
        <v>2400</v>
      </c>
      <c r="D3332" s="1">
        <v>65000.0</v>
      </c>
      <c r="E3332" s="1"/>
      <c r="F3332" s="1" t="s">
        <v>2948</v>
      </c>
    </row>
    <row r="3333">
      <c r="B3333" s="1" t="s">
        <v>3055</v>
      </c>
      <c r="D3333" s="1">
        <v>65000.0</v>
      </c>
      <c r="E3333" s="1"/>
      <c r="F3333" s="1" t="s">
        <v>2948</v>
      </c>
    </row>
    <row r="3334">
      <c r="A3334" s="1" t="s">
        <v>3056</v>
      </c>
      <c r="B3334" s="1" t="s">
        <v>2019</v>
      </c>
      <c r="D3334" s="1">
        <v>638372.0</v>
      </c>
      <c r="E3334" s="1"/>
      <c r="F3334" s="1" t="s">
        <v>2996</v>
      </c>
    </row>
    <row r="3335">
      <c r="B3335" s="1" t="s">
        <v>3014</v>
      </c>
      <c r="D3335" s="1">
        <v>260000.0</v>
      </c>
      <c r="E3335" s="1"/>
      <c r="F3335" s="1" t="s">
        <v>3057</v>
      </c>
    </row>
    <row r="3336">
      <c r="A3336" s="39" t="s">
        <v>3058</v>
      </c>
      <c r="B3336" s="40" t="s">
        <v>2150</v>
      </c>
      <c r="C3336" s="40"/>
      <c r="D3336" s="41">
        <v>4174110.0</v>
      </c>
      <c r="E3336" s="41"/>
      <c r="F3336" s="42" t="s">
        <v>2241</v>
      </c>
    </row>
    <row r="3337">
      <c r="A3337" s="1" t="s">
        <v>3059</v>
      </c>
      <c r="B3337" s="5" t="s">
        <v>2881</v>
      </c>
      <c r="D3337" s="1">
        <v>344630.0</v>
      </c>
      <c r="E3337" s="1"/>
      <c r="F3337" s="1" t="s">
        <v>3060</v>
      </c>
    </row>
    <row r="3338">
      <c r="A3338" s="1" t="s">
        <v>3058</v>
      </c>
      <c r="B3338" s="1" t="s">
        <v>2985</v>
      </c>
      <c r="D3338" s="1">
        <v>1970343.0</v>
      </c>
      <c r="E3338" s="1"/>
    </row>
    <row r="3339">
      <c r="A3339" s="39" t="s">
        <v>3061</v>
      </c>
      <c r="B3339" s="40" t="s">
        <v>2959</v>
      </c>
      <c r="C3339" s="40"/>
      <c r="D3339" s="41">
        <v>2223067.0</v>
      </c>
      <c r="E3339" s="41"/>
    </row>
    <row r="3340">
      <c r="A3340" s="39" t="s">
        <v>3062</v>
      </c>
      <c r="B3340" s="40" t="s">
        <v>280</v>
      </c>
      <c r="C3340" s="40"/>
      <c r="D3340" s="41">
        <v>2230333.0</v>
      </c>
      <c r="E3340" s="41"/>
    </row>
    <row r="3341">
      <c r="A3341" s="39" t="s">
        <v>3063</v>
      </c>
      <c r="B3341" s="40" t="s">
        <v>2585</v>
      </c>
      <c r="C3341" s="40"/>
      <c r="D3341" s="50">
        <v>672540.0</v>
      </c>
      <c r="E3341" s="50"/>
    </row>
    <row r="3342">
      <c r="A3342" s="1" t="s">
        <v>3064</v>
      </c>
      <c r="B3342" s="1" t="s">
        <v>1021</v>
      </c>
      <c r="D3342" s="1">
        <v>962375.0</v>
      </c>
      <c r="E3342" s="1"/>
      <c r="F3342" s="1" t="s">
        <v>3065</v>
      </c>
    </row>
    <row r="3343">
      <c r="A3343" s="1" t="s">
        <v>3066</v>
      </c>
      <c r="B3343" s="1" t="s">
        <v>2019</v>
      </c>
      <c r="D3343" s="1">
        <v>661171.0</v>
      </c>
      <c r="E3343" s="1"/>
      <c r="F3343" s="1" t="s">
        <v>2991</v>
      </c>
    </row>
    <row r="3344">
      <c r="B3344" s="1" t="s">
        <v>2003</v>
      </c>
      <c r="D3344" s="1">
        <v>437520.0</v>
      </c>
      <c r="E3344" s="1"/>
      <c r="F3344" s="1" t="s">
        <v>2932</v>
      </c>
    </row>
    <row r="3345">
      <c r="B3345" s="1" t="s">
        <v>3014</v>
      </c>
      <c r="D3345" s="1">
        <v>13000.0</v>
      </c>
      <c r="E3345" s="1"/>
      <c r="F3345" s="1" t="s">
        <v>3067</v>
      </c>
    </row>
    <row r="3346">
      <c r="A3346" s="1" t="s">
        <v>3068</v>
      </c>
      <c r="B3346" s="1" t="s">
        <v>2633</v>
      </c>
      <c r="D3346" s="1">
        <v>47500.0</v>
      </c>
      <c r="E3346" s="1"/>
      <c r="F3346" s="1" t="s">
        <v>2653</v>
      </c>
    </row>
    <row r="3347">
      <c r="B3347" s="28" t="s">
        <v>1953</v>
      </c>
      <c r="D3347" s="1">
        <v>4004788.0</v>
      </c>
      <c r="E3347" s="1"/>
      <c r="F3347" s="1"/>
    </row>
    <row r="3348">
      <c r="B3348" s="3" t="s">
        <v>648</v>
      </c>
      <c r="D3348" s="1">
        <v>165000.0</v>
      </c>
      <c r="E3348" s="1"/>
    </row>
    <row r="3349">
      <c r="B3349" s="45" t="s">
        <v>2478</v>
      </c>
      <c r="C3349" s="46"/>
      <c r="D3349" s="47">
        <v>59088.0</v>
      </c>
      <c r="E3349" s="47"/>
      <c r="F3349" s="42" t="s">
        <v>2428</v>
      </c>
    </row>
    <row r="3350">
      <c r="A3350" s="1" t="s">
        <v>3069</v>
      </c>
      <c r="B3350" s="1" t="s">
        <v>2019</v>
      </c>
      <c r="D3350" s="1">
        <v>683970.0</v>
      </c>
      <c r="E3350" s="1"/>
      <c r="F3350" s="1" t="s">
        <v>2945</v>
      </c>
    </row>
    <row r="3351">
      <c r="B3351" s="1" t="s">
        <v>2003</v>
      </c>
      <c r="D3351" s="1">
        <v>546900.0</v>
      </c>
      <c r="E3351" s="1"/>
      <c r="F3351" s="1" t="s">
        <v>2913</v>
      </c>
    </row>
    <row r="3352">
      <c r="A3352" s="1" t="s">
        <v>3070</v>
      </c>
      <c r="B3352" s="1" t="s">
        <v>2918</v>
      </c>
      <c r="D3352" s="1">
        <v>110000.0</v>
      </c>
      <c r="E3352" s="1"/>
      <c r="F3352" s="3" t="s">
        <v>1147</v>
      </c>
    </row>
    <row r="3353">
      <c r="A3353" s="39" t="s">
        <v>3071</v>
      </c>
      <c r="B3353" s="40" t="s">
        <v>2150</v>
      </c>
      <c r="C3353" s="40"/>
      <c r="D3353" s="41">
        <v>4174110.0</v>
      </c>
      <c r="E3353" s="41"/>
      <c r="F3353" s="42" t="s">
        <v>2241</v>
      </c>
    </row>
    <row r="3354">
      <c r="A3354" s="1" t="s">
        <v>3070</v>
      </c>
      <c r="B3354" s="5" t="s">
        <v>2881</v>
      </c>
      <c r="D3354" s="1">
        <v>344630.0</v>
      </c>
      <c r="E3354" s="1"/>
      <c r="F3354" s="1" t="s">
        <v>3060</v>
      </c>
    </row>
    <row r="3355">
      <c r="A3355" s="48" t="s">
        <v>3072</v>
      </c>
      <c r="B3355" s="2" t="s">
        <v>3073</v>
      </c>
      <c r="C3355" s="29"/>
      <c r="D3355" s="2">
        <v>96800.0</v>
      </c>
      <c r="E3355" s="2"/>
      <c r="F3355" s="2" t="s">
        <v>2876</v>
      </c>
    </row>
    <row r="3356">
      <c r="A3356" s="48" t="s">
        <v>3072</v>
      </c>
      <c r="B3356" s="2" t="s">
        <v>2875</v>
      </c>
      <c r="C3356" s="29"/>
      <c r="D3356" s="2">
        <v>96800.0</v>
      </c>
      <c r="E3356" s="2"/>
      <c r="F3356" s="2" t="s">
        <v>2876</v>
      </c>
    </row>
    <row r="3357">
      <c r="A3357" s="48" t="s">
        <v>3072</v>
      </c>
      <c r="B3357" s="1" t="s">
        <v>2985</v>
      </c>
      <c r="D3357" s="1">
        <v>1970343.0</v>
      </c>
      <c r="E3357" s="1"/>
    </row>
    <row r="3358">
      <c r="A3358" s="39" t="s">
        <v>3074</v>
      </c>
      <c r="B3358" s="40" t="s">
        <v>2959</v>
      </c>
      <c r="C3358" s="40"/>
      <c r="D3358" s="41">
        <v>2248827.0</v>
      </c>
      <c r="E3358" s="41"/>
    </row>
    <row r="3359">
      <c r="A3359" s="39" t="s">
        <v>3075</v>
      </c>
      <c r="B3359" s="40" t="s">
        <v>280</v>
      </c>
      <c r="C3359" s="40"/>
      <c r="D3359" s="41">
        <v>2241703.0</v>
      </c>
      <c r="E3359" s="41"/>
    </row>
    <row r="3360">
      <c r="A3360" s="39" t="s">
        <v>3076</v>
      </c>
      <c r="B3360" s="40" t="s">
        <v>2585</v>
      </c>
      <c r="C3360" s="40"/>
      <c r="D3360" s="50">
        <v>672540.0</v>
      </c>
      <c r="E3360" s="50"/>
    </row>
    <row r="3361">
      <c r="A3361" s="1" t="s">
        <v>3077</v>
      </c>
      <c r="B3361" s="1" t="s">
        <v>1021</v>
      </c>
      <c r="D3361" s="1">
        <v>2174093.0</v>
      </c>
      <c r="E3361" s="1"/>
    </row>
    <row r="3362">
      <c r="A3362" s="1" t="s">
        <v>3078</v>
      </c>
      <c r="B3362" s="1" t="s">
        <v>2019</v>
      </c>
      <c r="D3362" s="1">
        <v>615573.0</v>
      </c>
      <c r="E3362" s="1"/>
      <c r="F3362" s="1" t="s">
        <v>3079</v>
      </c>
    </row>
    <row r="3363">
      <c r="B3363" s="1" t="s">
        <v>2003</v>
      </c>
      <c r="D3363" s="1">
        <v>562290.0</v>
      </c>
      <c r="E3363" s="1"/>
      <c r="F3363" s="1" t="s">
        <v>3080</v>
      </c>
    </row>
    <row r="3364">
      <c r="A3364" s="1" t="s">
        <v>3081</v>
      </c>
      <c r="B3364" s="1" t="s">
        <v>2633</v>
      </c>
      <c r="D3364" s="1">
        <v>47500.0</v>
      </c>
      <c r="E3364" s="1"/>
      <c r="F3364" s="1" t="s">
        <v>2653</v>
      </c>
    </row>
    <row r="3365">
      <c r="B3365" s="28" t="s">
        <v>1953</v>
      </c>
      <c r="D3365" s="1">
        <v>4039126.0</v>
      </c>
      <c r="E3365" s="1"/>
      <c r="F3365" s="1"/>
    </row>
    <row r="3366">
      <c r="B3366" s="3" t="s">
        <v>648</v>
      </c>
      <c r="D3366" s="1">
        <v>165000.0</v>
      </c>
      <c r="E3366" s="1"/>
    </row>
    <row r="3367">
      <c r="B3367" s="45" t="s">
        <v>2499</v>
      </c>
      <c r="C3367" s="46"/>
      <c r="D3367" s="47">
        <v>45752.0</v>
      </c>
      <c r="E3367" s="47"/>
      <c r="F3367" s="42" t="s">
        <v>2428</v>
      </c>
    </row>
    <row r="3368">
      <c r="A3368" s="1" t="s">
        <v>3082</v>
      </c>
      <c r="B3368" s="1" t="s">
        <v>2019</v>
      </c>
      <c r="D3368" s="1">
        <v>661171.0</v>
      </c>
      <c r="E3368" s="1"/>
      <c r="F3368" s="1" t="s">
        <v>2991</v>
      </c>
    </row>
    <row r="3369">
      <c r="B3369" s="1" t="s">
        <v>2003</v>
      </c>
      <c r="D3369" s="1">
        <v>487318.0</v>
      </c>
      <c r="E3369" s="1"/>
      <c r="F3369" s="1" t="s">
        <v>3083</v>
      </c>
    </row>
    <row r="3370">
      <c r="A3370" s="1" t="s">
        <v>3084</v>
      </c>
      <c r="B3370" s="1" t="s">
        <v>3085</v>
      </c>
      <c r="D3370" s="1">
        <v>3.384E7</v>
      </c>
      <c r="E3370" s="1"/>
      <c r="F3370" s="1"/>
    </row>
    <row r="3371">
      <c r="A3371" s="1" t="s">
        <v>3077</v>
      </c>
      <c r="B3371" s="1" t="s">
        <v>3086</v>
      </c>
      <c r="D3371" s="1">
        <v>7500.0</v>
      </c>
      <c r="E3371" s="1"/>
      <c r="F3371" s="1" t="s">
        <v>2653</v>
      </c>
    </row>
    <row r="3372">
      <c r="A3372" s="48" t="s">
        <v>3087</v>
      </c>
      <c r="B3372" s="2" t="s">
        <v>2886</v>
      </c>
      <c r="C3372" s="29"/>
      <c r="D3372" s="2">
        <v>96800.0</v>
      </c>
      <c r="E3372" s="2"/>
      <c r="F3372" s="2" t="s">
        <v>2876</v>
      </c>
    </row>
    <row r="3373">
      <c r="A3373" s="39" t="s">
        <v>3088</v>
      </c>
      <c r="B3373" s="40" t="s">
        <v>2150</v>
      </c>
      <c r="C3373" s="40"/>
      <c r="D3373" s="41">
        <v>4174110.0</v>
      </c>
      <c r="E3373" s="41"/>
      <c r="F3373" s="42" t="s">
        <v>2241</v>
      </c>
    </row>
    <row r="3374">
      <c r="A3374" s="1" t="s">
        <v>3087</v>
      </c>
      <c r="B3374" s="5" t="s">
        <v>2881</v>
      </c>
      <c r="D3374" s="1">
        <v>550700.0</v>
      </c>
      <c r="E3374" s="1"/>
      <c r="F3374" s="1" t="s">
        <v>3060</v>
      </c>
    </row>
    <row r="3375">
      <c r="A3375" s="5" t="s">
        <v>3087</v>
      </c>
      <c r="B3375" s="5" t="s">
        <v>3089</v>
      </c>
      <c r="C3375" s="44"/>
      <c r="D3375" s="5">
        <v>45540.0</v>
      </c>
      <c r="E3375" s="5"/>
      <c r="F3375" s="5" t="s">
        <v>3090</v>
      </c>
    </row>
    <row r="3376">
      <c r="A3376" s="30" t="s">
        <v>3087</v>
      </c>
      <c r="B3376" s="30" t="s">
        <v>3091</v>
      </c>
      <c r="C3376" s="31"/>
      <c r="D3376" s="30">
        <v>363000.0</v>
      </c>
      <c r="E3376" s="30"/>
      <c r="F3376" s="30" t="s">
        <v>3092</v>
      </c>
    </row>
    <row r="3377">
      <c r="A3377" s="48" t="s">
        <v>3093</v>
      </c>
      <c r="B3377" s="1" t="s">
        <v>2985</v>
      </c>
      <c r="D3377" s="1">
        <v>1970343.0</v>
      </c>
      <c r="E3377" s="1"/>
      <c r="F3377" s="1"/>
    </row>
    <row r="3378">
      <c r="A3378" s="39" t="s">
        <v>3094</v>
      </c>
      <c r="B3378" s="40" t="s">
        <v>2959</v>
      </c>
      <c r="C3378" s="40"/>
      <c r="D3378" s="41">
        <v>2276207.0</v>
      </c>
      <c r="E3378" s="41"/>
      <c r="F3378" s="1"/>
    </row>
    <row r="3379">
      <c r="A3379" s="39" t="s">
        <v>3095</v>
      </c>
      <c r="B3379" s="40" t="s">
        <v>280</v>
      </c>
      <c r="C3379" s="40"/>
      <c r="D3379" s="41">
        <v>2241703.0</v>
      </c>
      <c r="E3379" s="41"/>
      <c r="F3379" s="1"/>
    </row>
    <row r="3380">
      <c r="A3380" s="39" t="s">
        <v>3096</v>
      </c>
      <c r="B3380" s="40" t="s">
        <v>2585</v>
      </c>
      <c r="C3380" s="40"/>
      <c r="D3380" s="50">
        <v>672540.0</v>
      </c>
      <c r="E3380" s="50"/>
      <c r="F3380" s="1"/>
    </row>
    <row r="3381">
      <c r="A3381" s="1" t="s">
        <v>3097</v>
      </c>
      <c r="B3381" s="1" t="s">
        <v>1021</v>
      </c>
      <c r="D3381" s="1">
        <v>2086063.0</v>
      </c>
      <c r="E3381" s="1"/>
      <c r="F3381" s="1"/>
    </row>
    <row r="3382">
      <c r="A3382" s="1" t="s">
        <v>3095</v>
      </c>
      <c r="B3382" s="1" t="s">
        <v>2019</v>
      </c>
      <c r="D3382" s="1">
        <v>638372.0</v>
      </c>
      <c r="E3382" s="1"/>
      <c r="F3382" s="1" t="s">
        <v>2996</v>
      </c>
    </row>
    <row r="3383">
      <c r="B3383" s="1" t="s">
        <v>2003</v>
      </c>
      <c r="D3383" s="1">
        <v>562290.0</v>
      </c>
      <c r="E3383" s="1"/>
      <c r="F3383" s="1" t="s">
        <v>3080</v>
      </c>
    </row>
    <row r="3384">
      <c r="A3384" s="1" t="s">
        <v>3098</v>
      </c>
      <c r="B3384" s="1" t="s">
        <v>2633</v>
      </c>
      <c r="D3384" s="1">
        <v>47500.0</v>
      </c>
      <c r="E3384" s="1"/>
      <c r="F3384" s="1" t="s">
        <v>2653</v>
      </c>
    </row>
    <row r="3385">
      <c r="B3385" s="28" t="s">
        <v>1953</v>
      </c>
      <c r="D3385" s="1">
        <v>4050389.0</v>
      </c>
      <c r="E3385" s="1"/>
      <c r="F3385" s="1"/>
    </row>
    <row r="3386">
      <c r="B3386" s="3" t="s">
        <v>648</v>
      </c>
      <c r="D3386" s="1">
        <v>165000.0</v>
      </c>
      <c r="E3386" s="1"/>
    </row>
    <row r="3387">
      <c r="B3387" s="45" t="s">
        <v>2523</v>
      </c>
      <c r="C3387" s="46"/>
      <c r="D3387" s="47">
        <v>112850.0</v>
      </c>
      <c r="E3387" s="47"/>
      <c r="F3387" s="42" t="s">
        <v>2428</v>
      </c>
    </row>
    <row r="3388">
      <c r="A3388" s="1" t="s">
        <v>3099</v>
      </c>
      <c r="B3388" s="1" t="s">
        <v>2019</v>
      </c>
      <c r="D3388" s="1">
        <v>501578.0</v>
      </c>
      <c r="E3388" s="1"/>
      <c r="F3388" s="1" t="s">
        <v>3100</v>
      </c>
    </row>
    <row r="3389">
      <c r="B3389" s="1" t="s">
        <v>2003</v>
      </c>
      <c r="D3389" s="1">
        <v>487318.0</v>
      </c>
      <c r="E3389" s="1"/>
      <c r="F3389" s="1" t="s">
        <v>3083</v>
      </c>
    </row>
    <row r="3390">
      <c r="A3390" s="1" t="s">
        <v>3101</v>
      </c>
      <c r="B3390" s="1" t="s">
        <v>3102</v>
      </c>
      <c r="D3390" s="1">
        <v>66000.0</v>
      </c>
      <c r="E3390" s="1"/>
      <c r="F3390" s="1" t="s">
        <v>3103</v>
      </c>
    </row>
    <row r="3391">
      <c r="B3391" s="1" t="s">
        <v>3104</v>
      </c>
      <c r="D3391" s="1">
        <v>219230.0</v>
      </c>
      <c r="E3391" s="1"/>
      <c r="F3391" s="1" t="s">
        <v>275</v>
      </c>
    </row>
    <row r="3392">
      <c r="A3392" s="45" t="s">
        <v>3105</v>
      </c>
      <c r="B3392" s="2" t="s">
        <v>2905</v>
      </c>
      <c r="C3392" s="29"/>
      <c r="D3392" s="2">
        <v>96800.0</v>
      </c>
      <c r="E3392" s="2"/>
      <c r="F3392" s="2" t="s">
        <v>2876</v>
      </c>
    </row>
    <row r="3393">
      <c r="A3393" s="45" t="s">
        <v>3105</v>
      </c>
      <c r="B3393" s="40" t="s">
        <v>2150</v>
      </c>
      <c r="C3393" s="40"/>
      <c r="D3393" s="41">
        <v>4174110.0</v>
      </c>
      <c r="E3393" s="41"/>
      <c r="F3393" s="42" t="s">
        <v>2241</v>
      </c>
    </row>
    <row r="3394">
      <c r="A3394" s="45" t="s">
        <v>3105</v>
      </c>
      <c r="B3394" s="5" t="s">
        <v>2881</v>
      </c>
      <c r="D3394" s="1">
        <v>550700.0</v>
      </c>
      <c r="E3394" s="1"/>
      <c r="F3394" s="1" t="s">
        <v>3060</v>
      </c>
    </row>
    <row r="3395">
      <c r="A3395" s="45" t="s">
        <v>3105</v>
      </c>
      <c r="B3395" s="5" t="s">
        <v>3106</v>
      </c>
      <c r="C3395" s="44"/>
      <c r="D3395" s="5">
        <v>33910.0</v>
      </c>
      <c r="E3395" s="5"/>
      <c r="F3395" s="5" t="s">
        <v>3107</v>
      </c>
    </row>
    <row r="3396">
      <c r="A3396" s="1" t="s">
        <v>3099</v>
      </c>
      <c r="B3396" s="1" t="s">
        <v>3108</v>
      </c>
      <c r="D3396" s="1">
        <v>2316264.0</v>
      </c>
      <c r="E3396" s="1"/>
      <c r="F3396" s="1" t="s">
        <v>2554</v>
      </c>
    </row>
    <row r="3397">
      <c r="A3397" s="48" t="s">
        <v>3105</v>
      </c>
      <c r="B3397" s="1" t="s">
        <v>2985</v>
      </c>
      <c r="D3397" s="1">
        <v>1970343.0</v>
      </c>
      <c r="E3397" s="1"/>
      <c r="F3397" s="1"/>
    </row>
    <row r="3398">
      <c r="A3398" s="48" t="s">
        <v>3109</v>
      </c>
      <c r="B3398" s="40" t="s">
        <v>2959</v>
      </c>
      <c r="C3398" s="40"/>
      <c r="D3398" s="41">
        <v>2276207.0</v>
      </c>
      <c r="E3398" s="41"/>
      <c r="F3398" s="1"/>
    </row>
    <row r="3399">
      <c r="A3399" s="48" t="s">
        <v>3110</v>
      </c>
      <c r="B3399" s="40" t="s">
        <v>280</v>
      </c>
      <c r="C3399" s="40"/>
      <c r="D3399" s="41">
        <v>2241703.0</v>
      </c>
      <c r="E3399" s="41"/>
      <c r="F3399" s="1"/>
    </row>
    <row r="3400">
      <c r="A3400" s="48" t="s">
        <v>3111</v>
      </c>
      <c r="B3400" s="40" t="s">
        <v>2585</v>
      </c>
      <c r="C3400" s="40"/>
      <c r="D3400" s="50">
        <v>672540.0</v>
      </c>
      <c r="E3400" s="50"/>
      <c r="F3400" s="1"/>
    </row>
    <row r="3401">
      <c r="A3401" s="48" t="s">
        <v>3112</v>
      </c>
      <c r="B3401" s="1" t="s">
        <v>1021</v>
      </c>
      <c r="D3401" s="1">
        <v>2094663.0</v>
      </c>
      <c r="E3401" s="1"/>
      <c r="F3401" s="1"/>
    </row>
    <row r="3402">
      <c r="A3402" s="1" t="s">
        <v>3113</v>
      </c>
      <c r="B3402" s="1" t="s">
        <v>1955</v>
      </c>
      <c r="D3402" s="1">
        <v>297000.0</v>
      </c>
      <c r="E3402" s="1"/>
      <c r="F3402" s="3" t="s">
        <v>1147</v>
      </c>
    </row>
    <row r="3403">
      <c r="A3403" s="1" t="s">
        <v>3114</v>
      </c>
      <c r="B3403" s="1" t="s">
        <v>2019</v>
      </c>
      <c r="D3403" s="1">
        <v>592774.0</v>
      </c>
      <c r="E3403" s="1"/>
      <c r="F3403" s="1" t="s">
        <v>3115</v>
      </c>
    </row>
    <row r="3404">
      <c r="B3404" s="1" t="s">
        <v>2003</v>
      </c>
      <c r="D3404" s="1">
        <v>543547.0</v>
      </c>
      <c r="E3404" s="1"/>
      <c r="F3404" s="1" t="s">
        <v>3116</v>
      </c>
    </row>
    <row r="3405">
      <c r="A3405" s="1" t="s">
        <v>3117</v>
      </c>
      <c r="B3405" s="1" t="s">
        <v>2633</v>
      </c>
      <c r="D3405" s="1">
        <v>47500.0</v>
      </c>
      <c r="E3405" s="1"/>
      <c r="F3405" s="1" t="s">
        <v>2653</v>
      </c>
    </row>
    <row r="3406">
      <c r="B3406" s="28" t="s">
        <v>1953</v>
      </c>
      <c r="D3406" s="1">
        <v>4229995.0</v>
      </c>
      <c r="E3406" s="1"/>
      <c r="F3406" s="1"/>
    </row>
    <row r="3407">
      <c r="B3407" s="3" t="s">
        <v>648</v>
      </c>
      <c r="D3407" s="1">
        <v>165000.0</v>
      </c>
      <c r="E3407" s="1"/>
    </row>
    <row r="3408">
      <c r="B3408" s="45" t="s">
        <v>2542</v>
      </c>
      <c r="C3408" s="46"/>
      <c r="D3408" s="47">
        <v>97582.0</v>
      </c>
      <c r="E3408" s="47"/>
      <c r="F3408" s="42" t="s">
        <v>2428</v>
      </c>
    </row>
    <row r="3409">
      <c r="B3409" s="1" t="s">
        <v>3118</v>
      </c>
      <c r="D3409" s="1">
        <v>27000.0</v>
      </c>
      <c r="E3409" s="1"/>
      <c r="F3409" s="1" t="s">
        <v>275</v>
      </c>
    </row>
    <row r="3410">
      <c r="A3410" s="1" t="s">
        <v>3119</v>
      </c>
      <c r="B3410" s="1" t="s">
        <v>2019</v>
      </c>
      <c r="D3410" s="1">
        <v>569975.0</v>
      </c>
      <c r="E3410" s="1"/>
      <c r="F3410" s="1" t="s">
        <v>3120</v>
      </c>
    </row>
    <row r="3411">
      <c r="B3411" s="1" t="s">
        <v>2003</v>
      </c>
      <c r="D3411" s="1">
        <v>468575.0</v>
      </c>
      <c r="E3411" s="1"/>
      <c r="F3411" s="1" t="s">
        <v>3121</v>
      </c>
    </row>
    <row r="3412">
      <c r="A3412" s="48" t="s">
        <v>3122</v>
      </c>
      <c r="B3412" s="2" t="s">
        <v>2917</v>
      </c>
      <c r="C3412" s="29"/>
      <c r="D3412" s="2">
        <v>96800.0</v>
      </c>
      <c r="E3412" s="2"/>
      <c r="F3412" s="2" t="s">
        <v>2876</v>
      </c>
    </row>
    <row r="3413">
      <c r="A3413" s="48" t="s">
        <v>3123</v>
      </c>
      <c r="B3413" s="40" t="s">
        <v>2150</v>
      </c>
      <c r="C3413" s="40"/>
      <c r="D3413" s="41">
        <v>4218190.0</v>
      </c>
      <c r="E3413" s="41"/>
      <c r="F3413" s="42" t="s">
        <v>2241</v>
      </c>
    </row>
    <row r="3414">
      <c r="A3414" s="48" t="s">
        <v>3122</v>
      </c>
      <c r="B3414" s="5" t="s">
        <v>2881</v>
      </c>
      <c r="D3414" s="1">
        <v>561270.0</v>
      </c>
      <c r="E3414" s="1"/>
      <c r="F3414" s="1" t="s">
        <v>3060</v>
      </c>
    </row>
    <row r="3415">
      <c r="A3415" s="48" t="s">
        <v>3122</v>
      </c>
      <c r="B3415" s="5" t="s">
        <v>3124</v>
      </c>
      <c r="C3415" s="44"/>
      <c r="D3415" s="5">
        <v>74530.0</v>
      </c>
      <c r="E3415" s="5"/>
      <c r="F3415" s="5" t="s">
        <v>3125</v>
      </c>
    </row>
    <row r="3416">
      <c r="A3416" s="1" t="s">
        <v>3123</v>
      </c>
      <c r="B3416" s="1" t="s">
        <v>3126</v>
      </c>
      <c r="D3416" s="1">
        <v>171210.0</v>
      </c>
      <c r="E3416" s="1"/>
      <c r="F3416" s="1" t="s">
        <v>275</v>
      </c>
    </row>
    <row r="3417">
      <c r="B3417" s="1" t="s">
        <v>1224</v>
      </c>
      <c r="D3417" s="1">
        <v>17080.0</v>
      </c>
      <c r="E3417" s="1"/>
      <c r="F3417" s="1" t="s">
        <v>275</v>
      </c>
    </row>
    <row r="3418">
      <c r="A3418" s="1" t="s">
        <v>3127</v>
      </c>
      <c r="B3418" s="1" t="s">
        <v>3128</v>
      </c>
      <c r="D3418" s="1">
        <v>2911079.0</v>
      </c>
      <c r="E3418" s="1"/>
      <c r="F3418" s="1"/>
    </row>
    <row r="3419">
      <c r="A3419" s="48" t="s">
        <v>3123</v>
      </c>
      <c r="B3419" s="1" t="s">
        <v>2985</v>
      </c>
      <c r="D3419" s="1">
        <v>1968943.0</v>
      </c>
      <c r="E3419" s="1"/>
      <c r="F3419" s="1"/>
    </row>
    <row r="3420">
      <c r="A3420" s="48" t="s">
        <v>3127</v>
      </c>
      <c r="B3420" s="40" t="s">
        <v>2959</v>
      </c>
      <c r="C3420" s="40"/>
      <c r="D3420" s="41">
        <v>2274387.0</v>
      </c>
      <c r="E3420" s="41"/>
      <c r="F3420" s="1"/>
    </row>
    <row r="3421">
      <c r="A3421" s="48" t="s">
        <v>3129</v>
      </c>
      <c r="B3421" s="40" t="s">
        <v>280</v>
      </c>
      <c r="C3421" s="40"/>
      <c r="D3421" s="41">
        <v>2267803.0</v>
      </c>
      <c r="E3421" s="41"/>
      <c r="F3421" s="1"/>
    </row>
    <row r="3422">
      <c r="A3422" s="48" t="s">
        <v>3130</v>
      </c>
      <c r="B3422" s="40" t="s">
        <v>2585</v>
      </c>
      <c r="C3422" s="40"/>
      <c r="D3422" s="41">
        <v>672020.0</v>
      </c>
      <c r="E3422" s="41"/>
      <c r="F3422" s="1"/>
    </row>
    <row r="3423">
      <c r="A3423" s="48" t="s">
        <v>3131</v>
      </c>
      <c r="B3423" s="1" t="s">
        <v>1021</v>
      </c>
      <c r="D3423" s="1">
        <v>2095163.0</v>
      </c>
      <c r="E3423" s="1"/>
      <c r="F3423" s="1"/>
    </row>
    <row r="3424">
      <c r="A3424" s="1" t="s">
        <v>3132</v>
      </c>
      <c r="B3424" s="1" t="s">
        <v>1824</v>
      </c>
      <c r="D3424" s="1">
        <v>200000.0</v>
      </c>
      <c r="E3424" s="1"/>
      <c r="F3424" s="3" t="s">
        <v>1147</v>
      </c>
    </row>
    <row r="3425">
      <c r="A3425" s="1" t="s">
        <v>3132</v>
      </c>
      <c r="B3425" s="1" t="s">
        <v>2019</v>
      </c>
      <c r="D3425" s="1">
        <v>638372.0</v>
      </c>
      <c r="E3425" s="1"/>
      <c r="F3425" s="1" t="s">
        <v>3133</v>
      </c>
    </row>
    <row r="3426">
      <c r="B3426" s="1" t="s">
        <v>2003</v>
      </c>
      <c r="D3426" s="1">
        <v>543547.0</v>
      </c>
      <c r="E3426" s="1"/>
      <c r="F3426" s="1" t="s">
        <v>3116</v>
      </c>
    </row>
    <row r="3427">
      <c r="B3427" s="1" t="s">
        <v>2005</v>
      </c>
      <c r="D3427" s="1">
        <v>66416.0</v>
      </c>
      <c r="E3427" s="1"/>
      <c r="F3427" s="1" t="s">
        <v>3013</v>
      </c>
    </row>
    <row r="3428">
      <c r="A3428" s="1" t="s">
        <v>3131</v>
      </c>
      <c r="B3428" s="1" t="s">
        <v>2633</v>
      </c>
      <c r="D3428" s="1">
        <v>47500.0</v>
      </c>
      <c r="E3428" s="1"/>
      <c r="F3428" s="1" t="s">
        <v>2653</v>
      </c>
    </row>
    <row r="3429">
      <c r="B3429" s="28" t="s">
        <v>1953</v>
      </c>
      <c r="D3429" s="1">
        <v>4142778.0</v>
      </c>
      <c r="E3429" s="1"/>
      <c r="F3429" s="1"/>
    </row>
    <row r="3430">
      <c r="B3430" s="3" t="s">
        <v>648</v>
      </c>
      <c r="D3430" s="1">
        <v>165000.0</v>
      </c>
      <c r="E3430" s="1"/>
    </row>
    <row r="3431">
      <c r="B3431" s="45" t="s">
        <v>2555</v>
      </c>
      <c r="C3431" s="46"/>
      <c r="D3431" s="47">
        <v>177361.0</v>
      </c>
      <c r="E3431" s="47"/>
      <c r="F3431" s="42" t="s">
        <v>2428</v>
      </c>
    </row>
    <row r="3432">
      <c r="A3432" s="1" t="s">
        <v>3134</v>
      </c>
      <c r="B3432" s="1" t="s">
        <v>2019</v>
      </c>
      <c r="D3432" s="1">
        <v>561168.0</v>
      </c>
      <c r="E3432" s="1"/>
      <c r="F3432" s="1" t="s">
        <v>3135</v>
      </c>
    </row>
    <row r="3433">
      <c r="B3433" s="1" t="s">
        <v>2003</v>
      </c>
      <c r="D3433" s="1">
        <v>487318.0</v>
      </c>
      <c r="E3433" s="1"/>
      <c r="F3433" s="1" t="s">
        <v>3083</v>
      </c>
    </row>
    <row r="3434">
      <c r="B3434" s="1" t="s">
        <v>2005</v>
      </c>
      <c r="D3434" s="1">
        <v>415100.0</v>
      </c>
      <c r="E3434" s="1"/>
      <c r="F3434" s="1" t="s">
        <v>3136</v>
      </c>
    </row>
    <row r="3435">
      <c r="A3435" s="48" t="s">
        <v>3137</v>
      </c>
      <c r="B3435" s="2" t="s">
        <v>2934</v>
      </c>
      <c r="C3435" s="29"/>
      <c r="D3435" s="2">
        <v>96800.0</v>
      </c>
      <c r="E3435" s="2"/>
      <c r="F3435" s="2" t="s">
        <v>2876</v>
      </c>
    </row>
    <row r="3436">
      <c r="A3436" s="48" t="s">
        <v>3138</v>
      </c>
      <c r="B3436" s="40" t="s">
        <v>2150</v>
      </c>
      <c r="C3436" s="40"/>
      <c r="D3436" s="41">
        <v>3794520.0</v>
      </c>
      <c r="E3436" s="41"/>
      <c r="F3436" s="42" t="s">
        <v>2241</v>
      </c>
    </row>
    <row r="3437">
      <c r="A3437" s="48" t="s">
        <v>3137</v>
      </c>
      <c r="B3437" s="5" t="s">
        <v>2881</v>
      </c>
      <c r="D3437" s="1">
        <v>561270.0</v>
      </c>
      <c r="E3437" s="1"/>
      <c r="F3437" s="1" t="s">
        <v>3060</v>
      </c>
    </row>
    <row r="3438">
      <c r="A3438" s="1" t="s">
        <v>3137</v>
      </c>
      <c r="B3438" s="1" t="s">
        <v>3139</v>
      </c>
      <c r="D3438" s="1">
        <v>1710776.0</v>
      </c>
      <c r="E3438" s="1"/>
      <c r="F3438" s="1" t="s">
        <v>2554</v>
      </c>
    </row>
    <row r="3439">
      <c r="A3439" s="1" t="s">
        <v>3138</v>
      </c>
      <c r="B3439" s="1" t="s">
        <v>3140</v>
      </c>
      <c r="D3439" s="1">
        <v>1800000.0</v>
      </c>
      <c r="E3439" s="1"/>
      <c r="F3439" s="1"/>
    </row>
    <row r="3440">
      <c r="A3440" s="1" t="s">
        <v>3141</v>
      </c>
      <c r="B3440" s="1" t="s">
        <v>3142</v>
      </c>
      <c r="D3440">
        <f>2126353-1800000</f>
        <v>326353</v>
      </c>
      <c r="F3440" s="1"/>
    </row>
    <row r="3441">
      <c r="A3441" s="48" t="s">
        <v>3141</v>
      </c>
      <c r="B3441" s="39" t="s">
        <v>1769</v>
      </c>
      <c r="C3441" s="40"/>
      <c r="D3441" s="41">
        <v>2666387.0</v>
      </c>
      <c r="E3441" s="41"/>
      <c r="F3441" s="1"/>
    </row>
    <row r="3442">
      <c r="A3442" s="48" t="s">
        <v>3143</v>
      </c>
      <c r="B3442" s="40" t="s">
        <v>280</v>
      </c>
      <c r="C3442" s="40"/>
      <c r="D3442" s="41">
        <v>3200773.0</v>
      </c>
      <c r="E3442" s="41"/>
      <c r="F3442" s="1"/>
    </row>
    <row r="3443">
      <c r="A3443" s="48" t="s">
        <v>3144</v>
      </c>
      <c r="B3443" s="48" t="s">
        <v>3145</v>
      </c>
      <c r="C3443" s="40"/>
      <c r="D3443" s="41">
        <v>672020.0</v>
      </c>
      <c r="E3443" s="41"/>
      <c r="F3443" s="1"/>
    </row>
    <row r="3444">
      <c r="A3444" s="48" t="s">
        <v>3146</v>
      </c>
      <c r="B3444" s="1" t="s">
        <v>1021</v>
      </c>
      <c r="D3444" s="1">
        <v>2795623.0</v>
      </c>
      <c r="E3444" s="1"/>
      <c r="F3444" s="1"/>
    </row>
    <row r="3445">
      <c r="A3445" s="1" t="s">
        <v>3147</v>
      </c>
      <c r="B3445" s="1" t="s">
        <v>2019</v>
      </c>
      <c r="D3445" s="1">
        <v>607932.0</v>
      </c>
      <c r="E3445" s="1"/>
      <c r="F3445" s="1" t="s">
        <v>3148</v>
      </c>
    </row>
    <row r="3446">
      <c r="B3446" s="1" t="s">
        <v>2003</v>
      </c>
      <c r="D3446" s="1">
        <v>506061.0</v>
      </c>
      <c r="E3446" s="1"/>
      <c r="F3446" s="1" t="s">
        <v>3149</v>
      </c>
    </row>
    <row r="3447">
      <c r="B3447" s="1" t="s">
        <v>2005</v>
      </c>
      <c r="D3447" s="1">
        <v>498120.0</v>
      </c>
      <c r="E3447" s="1"/>
      <c r="F3447" s="1" t="s">
        <v>2965</v>
      </c>
    </row>
    <row r="3448">
      <c r="A3448" s="1" t="s">
        <v>3146</v>
      </c>
      <c r="B3448" s="1" t="s">
        <v>2633</v>
      </c>
      <c r="D3448" s="1">
        <v>47500.0</v>
      </c>
      <c r="E3448" s="1"/>
      <c r="F3448" s="1" t="s">
        <v>2653</v>
      </c>
    </row>
    <row r="3449">
      <c r="B3449" s="28" t="s">
        <v>1953</v>
      </c>
      <c r="D3449" s="1">
        <v>4093068.0</v>
      </c>
      <c r="E3449" s="1"/>
      <c r="F3449" s="1"/>
    </row>
    <row r="3450">
      <c r="B3450" s="3" t="s">
        <v>648</v>
      </c>
      <c r="D3450" s="1">
        <v>165000.0</v>
      </c>
      <c r="E3450" s="1"/>
    </row>
    <row r="3451">
      <c r="B3451" s="45" t="s">
        <v>2570</v>
      </c>
      <c r="C3451" s="46"/>
      <c r="D3451" s="47">
        <v>155726.0</v>
      </c>
      <c r="E3451" s="47"/>
      <c r="F3451" s="42" t="s">
        <v>2428</v>
      </c>
    </row>
    <row r="3452">
      <c r="B3452" s="1" t="s">
        <v>3150</v>
      </c>
      <c r="D3452" s="1">
        <v>297000.0</v>
      </c>
      <c r="E3452" s="1"/>
      <c r="F3452" s="3" t="s">
        <v>1147</v>
      </c>
    </row>
    <row r="3453">
      <c r="A3453" s="1" t="s">
        <v>3151</v>
      </c>
      <c r="B3453" s="1" t="s">
        <v>2019</v>
      </c>
      <c r="D3453" s="1">
        <v>748224.0</v>
      </c>
      <c r="E3453" s="1"/>
      <c r="F3453" s="1" t="s">
        <v>3152</v>
      </c>
    </row>
    <row r="3454">
      <c r="B3454" s="1" t="s">
        <v>2003</v>
      </c>
      <c r="D3454" s="1">
        <v>562290.0</v>
      </c>
      <c r="E3454" s="1"/>
      <c r="F3454" s="1" t="s">
        <v>3080</v>
      </c>
    </row>
    <row r="3455">
      <c r="B3455" s="1" t="s">
        <v>2005</v>
      </c>
      <c r="D3455" s="1">
        <v>513510.0</v>
      </c>
      <c r="E3455" s="1"/>
      <c r="F3455" s="1" t="s">
        <v>3153</v>
      </c>
    </row>
    <row r="3456">
      <c r="A3456" s="48" t="s">
        <v>3154</v>
      </c>
      <c r="B3456" s="2" t="s">
        <v>2957</v>
      </c>
      <c r="C3456" s="29"/>
      <c r="D3456" s="2">
        <v>96800.0</v>
      </c>
      <c r="E3456" s="2"/>
      <c r="F3456" s="2" t="s">
        <v>2876</v>
      </c>
    </row>
    <row r="3457">
      <c r="A3457" s="48" t="s">
        <v>3154</v>
      </c>
      <c r="B3457" s="40" t="s">
        <v>2150</v>
      </c>
      <c r="C3457" s="40"/>
      <c r="D3457" s="41">
        <v>3320540.0</v>
      </c>
      <c r="E3457" s="41"/>
      <c r="F3457" s="42" t="s">
        <v>2241</v>
      </c>
    </row>
    <row r="3458">
      <c r="A3458" s="48" t="s">
        <v>3154</v>
      </c>
      <c r="B3458" s="5" t="s">
        <v>2881</v>
      </c>
      <c r="D3458" s="1">
        <v>561270.0</v>
      </c>
      <c r="E3458" s="1"/>
      <c r="F3458" s="1" t="s">
        <v>3060</v>
      </c>
    </row>
    <row r="3459">
      <c r="A3459" s="48" t="s">
        <v>3154</v>
      </c>
      <c r="B3459" s="39" t="s">
        <v>2985</v>
      </c>
      <c r="C3459" s="40"/>
      <c r="D3459" s="41">
        <v>1963263.0</v>
      </c>
      <c r="E3459" s="41"/>
      <c r="F3459" s="1"/>
    </row>
    <row r="3460">
      <c r="A3460" s="48" t="s">
        <v>3155</v>
      </c>
      <c r="B3460" s="39" t="s">
        <v>1769</v>
      </c>
      <c r="C3460" s="40"/>
      <c r="D3460" s="41">
        <v>1978447.0</v>
      </c>
      <c r="E3460" s="41"/>
      <c r="F3460" s="1"/>
    </row>
    <row r="3461">
      <c r="A3461" s="48" t="s">
        <v>3156</v>
      </c>
      <c r="B3461" s="40" t="s">
        <v>280</v>
      </c>
      <c r="C3461" s="40"/>
      <c r="D3461" s="41">
        <v>2349583.0</v>
      </c>
      <c r="E3461" s="41"/>
      <c r="F3461" s="1"/>
    </row>
    <row r="3462">
      <c r="A3462" s="48" t="s">
        <v>3157</v>
      </c>
      <c r="B3462" s="48" t="s">
        <v>3145</v>
      </c>
      <c r="C3462" s="40"/>
      <c r="D3462" s="41">
        <v>672020.0</v>
      </c>
      <c r="E3462" s="41"/>
      <c r="F3462" s="1"/>
    </row>
    <row r="3463">
      <c r="A3463" s="48" t="s">
        <v>3158</v>
      </c>
      <c r="B3463" s="1" t="s">
        <v>1021</v>
      </c>
      <c r="D3463" s="1">
        <v>2129023.0</v>
      </c>
      <c r="E3463" s="1"/>
      <c r="F3463" s="1"/>
    </row>
    <row r="3464">
      <c r="A3464" s="54" t="s">
        <v>3155</v>
      </c>
      <c r="B3464" s="54" t="s">
        <v>3159</v>
      </c>
      <c r="C3464" s="55"/>
      <c r="D3464" s="54">
        <v>448440.0</v>
      </c>
      <c r="E3464" s="54"/>
      <c r="F3464" s="54"/>
    </row>
    <row r="3465">
      <c r="A3465" s="1" t="s">
        <v>3160</v>
      </c>
      <c r="B3465" s="1" t="s">
        <v>2019</v>
      </c>
      <c r="D3465" s="1">
        <v>678078.0</v>
      </c>
      <c r="E3465" s="1"/>
      <c r="F3465" s="1" t="s">
        <v>3161</v>
      </c>
    </row>
    <row r="3466">
      <c r="B3466" s="1" t="s">
        <v>2003</v>
      </c>
      <c r="D3466" s="1">
        <v>524804.0</v>
      </c>
      <c r="E3466" s="1"/>
      <c r="F3466" s="1" t="s">
        <v>3162</v>
      </c>
    </row>
    <row r="3467">
      <c r="B3467" s="1" t="s">
        <v>2005</v>
      </c>
      <c r="D3467" s="1">
        <v>496393.0</v>
      </c>
      <c r="E3467" s="1"/>
      <c r="F3467" s="1" t="s">
        <v>3163</v>
      </c>
    </row>
    <row r="3468">
      <c r="A3468" s="1" t="s">
        <v>3158</v>
      </c>
      <c r="B3468" s="1" t="s">
        <v>2633</v>
      </c>
      <c r="D3468" s="1">
        <v>47500.0</v>
      </c>
      <c r="E3468" s="1"/>
      <c r="F3468" s="1" t="s">
        <v>2653</v>
      </c>
    </row>
    <row r="3469">
      <c r="B3469" s="28" t="s">
        <v>1953</v>
      </c>
      <c r="D3469" s="1">
        <v>4023696.0</v>
      </c>
      <c r="E3469" s="1"/>
      <c r="F3469" s="1"/>
    </row>
    <row r="3470">
      <c r="B3470" s="3" t="s">
        <v>648</v>
      </c>
      <c r="D3470" s="1">
        <v>165000.0</v>
      </c>
      <c r="E3470" s="1"/>
    </row>
    <row r="3471">
      <c r="B3471" s="45" t="s">
        <v>2587</v>
      </c>
      <c r="C3471" s="46"/>
      <c r="D3471" s="47">
        <v>99890.0</v>
      </c>
      <c r="E3471" s="47"/>
      <c r="F3471" s="42" t="s">
        <v>2428</v>
      </c>
    </row>
    <row r="3472">
      <c r="A3472" s="1" t="s">
        <v>3164</v>
      </c>
      <c r="B3472" s="1" t="s">
        <v>2019</v>
      </c>
      <c r="D3472" s="1">
        <v>678078.0</v>
      </c>
      <c r="E3472" s="1"/>
      <c r="F3472" s="1" t="s">
        <v>3161</v>
      </c>
    </row>
    <row r="3473">
      <c r="B3473" s="1" t="s">
        <v>2003</v>
      </c>
      <c r="D3473" s="1">
        <v>524804.0</v>
      </c>
      <c r="E3473" s="1"/>
      <c r="F3473" s="1" t="s">
        <v>3162</v>
      </c>
    </row>
    <row r="3474">
      <c r="B3474" s="1" t="s">
        <v>2005</v>
      </c>
      <c r="D3474" s="1">
        <v>445042.0</v>
      </c>
      <c r="E3474" s="1"/>
      <c r="F3474" s="1" t="s">
        <v>3165</v>
      </c>
    </row>
    <row r="3475">
      <c r="A3475" s="48" t="s">
        <v>3166</v>
      </c>
      <c r="B3475" s="2" t="s">
        <v>2974</v>
      </c>
      <c r="C3475" s="29"/>
      <c r="D3475" s="2">
        <v>96800.0</v>
      </c>
      <c r="E3475" s="2"/>
      <c r="F3475" s="2" t="s">
        <v>2876</v>
      </c>
    </row>
    <row r="3476">
      <c r="A3476" s="48" t="s">
        <v>3166</v>
      </c>
      <c r="B3476" s="40" t="s">
        <v>2150</v>
      </c>
      <c r="C3476" s="40"/>
      <c r="D3476" s="41">
        <v>1092580.0</v>
      </c>
      <c r="E3476" s="41"/>
      <c r="F3476" s="42" t="s">
        <v>2241</v>
      </c>
    </row>
    <row r="3477">
      <c r="A3477" s="48" t="s">
        <v>3166</v>
      </c>
      <c r="B3477" s="5" t="s">
        <v>2881</v>
      </c>
      <c r="D3477" s="1">
        <v>561270.0</v>
      </c>
      <c r="E3477" s="1"/>
      <c r="F3477" s="1" t="s">
        <v>3060</v>
      </c>
    </row>
    <row r="3478">
      <c r="A3478" s="1" t="s">
        <v>3167</v>
      </c>
      <c r="B3478" s="1" t="s">
        <v>3168</v>
      </c>
      <c r="D3478" s="1">
        <v>1500000.0</v>
      </c>
      <c r="E3478" s="1"/>
      <c r="F3478" s="1"/>
    </row>
    <row r="3479">
      <c r="A3479" s="48" t="s">
        <v>3166</v>
      </c>
      <c r="B3479" s="39" t="s">
        <v>2985</v>
      </c>
      <c r="C3479" s="40"/>
      <c r="D3479" s="41">
        <v>1980443.0</v>
      </c>
      <c r="E3479" s="41"/>
      <c r="F3479" s="1"/>
    </row>
    <row r="3480">
      <c r="A3480" s="48" t="s">
        <v>3169</v>
      </c>
      <c r="B3480" s="39" t="s">
        <v>1769</v>
      </c>
      <c r="C3480" s="40"/>
      <c r="D3480" s="41">
        <v>2356997.0</v>
      </c>
      <c r="E3480" s="41"/>
      <c r="F3480" s="1"/>
    </row>
    <row r="3481">
      <c r="A3481" s="48" t="s">
        <v>3170</v>
      </c>
      <c r="B3481" s="40" t="s">
        <v>280</v>
      </c>
      <c r="C3481" s="40"/>
      <c r="D3481" s="41">
        <v>2297273.0</v>
      </c>
      <c r="E3481" s="41"/>
      <c r="F3481" s="1"/>
    </row>
    <row r="3482">
      <c r="A3482" s="48" t="s">
        <v>3171</v>
      </c>
      <c r="B3482" s="48" t="s">
        <v>3145</v>
      </c>
      <c r="C3482" s="40"/>
      <c r="D3482" s="41">
        <v>720020.0</v>
      </c>
      <c r="E3482" s="41"/>
      <c r="F3482" s="1"/>
    </row>
    <row r="3483">
      <c r="A3483" s="48" t="s">
        <v>3172</v>
      </c>
      <c r="B3483" s="1" t="s">
        <v>1021</v>
      </c>
      <c r="D3483" s="1">
        <v>2782463.0</v>
      </c>
      <c r="E3483" s="1"/>
      <c r="F3483" s="1"/>
    </row>
    <row r="3484">
      <c r="A3484" s="1" t="s">
        <v>3166</v>
      </c>
      <c r="B3484" s="1" t="s">
        <v>2853</v>
      </c>
      <c r="D3484" s="1">
        <v>75882.0</v>
      </c>
      <c r="E3484" s="1"/>
      <c r="F3484" s="1" t="s">
        <v>1332</v>
      </c>
    </row>
    <row r="3485">
      <c r="A3485" s="1" t="s">
        <v>3173</v>
      </c>
      <c r="B3485" s="1" t="s">
        <v>2019</v>
      </c>
      <c r="D3485" s="1">
        <v>678078.0</v>
      </c>
      <c r="E3485" s="1"/>
      <c r="F3485" s="1" t="s">
        <v>3161</v>
      </c>
    </row>
    <row r="3486">
      <c r="B3486" s="1" t="s">
        <v>2003</v>
      </c>
      <c r="D3486" s="1">
        <v>487318.0</v>
      </c>
      <c r="E3486" s="1"/>
      <c r="F3486" s="1" t="s">
        <v>3083</v>
      </c>
    </row>
    <row r="3487">
      <c r="B3487" s="1" t="s">
        <v>2005</v>
      </c>
      <c r="D3487" s="1">
        <v>496393.0</v>
      </c>
      <c r="E3487" s="1"/>
      <c r="F3487" s="1" t="s">
        <v>3163</v>
      </c>
    </row>
    <row r="3488">
      <c r="A3488" s="1" t="s">
        <v>3174</v>
      </c>
      <c r="B3488" s="1" t="s">
        <v>2633</v>
      </c>
      <c r="D3488" s="1">
        <v>47500.0</v>
      </c>
      <c r="E3488" s="1"/>
      <c r="F3488" s="1" t="s">
        <v>2653</v>
      </c>
    </row>
    <row r="3489">
      <c r="B3489" s="28" t="s">
        <v>1953</v>
      </c>
      <c r="D3489" s="1">
        <v>4049897.0</v>
      </c>
      <c r="E3489" s="1"/>
      <c r="F3489" s="1"/>
    </row>
    <row r="3490">
      <c r="B3490" s="3" t="s">
        <v>648</v>
      </c>
      <c r="D3490" s="1">
        <v>165000.0</v>
      </c>
      <c r="E3490" s="1"/>
    </row>
    <row r="3491">
      <c r="B3491" s="45" t="s">
        <v>2607</v>
      </c>
      <c r="C3491" s="46"/>
      <c r="D3491" s="47">
        <v>117742.0</v>
      </c>
      <c r="E3491" s="47"/>
      <c r="F3491" s="42" t="s">
        <v>2428</v>
      </c>
    </row>
    <row r="3492">
      <c r="A3492" s="1" t="s">
        <v>3175</v>
      </c>
      <c r="B3492" s="1" t="s">
        <v>2019</v>
      </c>
      <c r="D3492" s="1">
        <v>654696.0</v>
      </c>
      <c r="E3492" s="1"/>
      <c r="F3492" s="1" t="s">
        <v>3176</v>
      </c>
    </row>
    <row r="3493">
      <c r="B3493" s="1" t="s">
        <v>2003</v>
      </c>
      <c r="D3493" s="1">
        <v>562290.0</v>
      </c>
      <c r="E3493" s="1"/>
      <c r="F3493" s="1" t="s">
        <v>3080</v>
      </c>
    </row>
    <row r="3494">
      <c r="B3494" s="1" t="s">
        <v>2005</v>
      </c>
      <c r="D3494" s="1">
        <v>513510.0</v>
      </c>
      <c r="E3494" s="1"/>
      <c r="F3494" s="1" t="s">
        <v>3153</v>
      </c>
    </row>
    <row r="3495">
      <c r="B3495" s="1" t="s">
        <v>3177</v>
      </c>
      <c r="D3495" s="1">
        <v>1500.0</v>
      </c>
      <c r="E3495" s="1"/>
      <c r="F3495" s="1" t="s">
        <v>2653</v>
      </c>
    </row>
    <row r="3496">
      <c r="A3496" s="48" t="s">
        <v>3178</v>
      </c>
      <c r="B3496" s="2" t="s">
        <v>3001</v>
      </c>
      <c r="C3496" s="29"/>
      <c r="D3496" s="2">
        <v>96800.0</v>
      </c>
      <c r="E3496" s="2"/>
      <c r="F3496" s="2" t="s">
        <v>2876</v>
      </c>
    </row>
    <row r="3497">
      <c r="A3497" s="48" t="s">
        <v>3178</v>
      </c>
      <c r="B3497" s="40" t="s">
        <v>2150</v>
      </c>
      <c r="C3497" s="40"/>
      <c r="D3497" s="41">
        <v>3310910.0</v>
      </c>
      <c r="E3497" s="41"/>
      <c r="F3497" s="42" t="s">
        <v>2241</v>
      </c>
    </row>
    <row r="3498">
      <c r="A3498" s="48" t="s">
        <v>3178</v>
      </c>
      <c r="B3498" s="5" t="s">
        <v>2881</v>
      </c>
      <c r="D3498" s="1">
        <v>561270.0</v>
      </c>
      <c r="E3498" s="1"/>
      <c r="F3498" s="1" t="s">
        <v>3060</v>
      </c>
    </row>
    <row r="3499">
      <c r="A3499" s="1" t="s">
        <v>3179</v>
      </c>
      <c r="B3499" s="1" t="s">
        <v>3180</v>
      </c>
      <c r="D3499" s="1">
        <v>60064.0</v>
      </c>
      <c r="E3499" s="1"/>
      <c r="F3499" s="1" t="s">
        <v>1332</v>
      </c>
    </row>
    <row r="3500">
      <c r="A3500" s="48" t="s">
        <v>3181</v>
      </c>
      <c r="B3500" s="39" t="s">
        <v>2985</v>
      </c>
      <c r="C3500" s="40"/>
      <c r="D3500" s="41">
        <v>1968593.0</v>
      </c>
      <c r="E3500" s="41"/>
      <c r="F3500" s="1"/>
    </row>
    <row r="3501">
      <c r="A3501" s="48" t="s">
        <v>3182</v>
      </c>
      <c r="B3501" s="39" t="s">
        <v>1769</v>
      </c>
      <c r="C3501" s="40"/>
      <c r="D3501" s="41">
        <v>2009037.0</v>
      </c>
      <c r="E3501" s="41"/>
      <c r="F3501" s="1"/>
    </row>
    <row r="3502">
      <c r="A3502" s="48" t="s">
        <v>3183</v>
      </c>
      <c r="B3502" s="40" t="s">
        <v>280</v>
      </c>
      <c r="C3502" s="40"/>
      <c r="D3502" s="41">
        <v>2306093.0</v>
      </c>
      <c r="E3502" s="41"/>
      <c r="F3502" s="1"/>
    </row>
    <row r="3503">
      <c r="A3503" s="48" t="s">
        <v>3184</v>
      </c>
      <c r="B3503" s="48" t="s">
        <v>3145</v>
      </c>
      <c r="C3503" s="40"/>
      <c r="D3503" s="41">
        <v>722020.0</v>
      </c>
      <c r="E3503" s="41"/>
      <c r="F3503" s="1"/>
    </row>
    <row r="3504">
      <c r="A3504" s="48" t="s">
        <v>3185</v>
      </c>
      <c r="B3504" s="1" t="s">
        <v>1021</v>
      </c>
      <c r="D3504" s="1">
        <v>2242183.0</v>
      </c>
      <c r="E3504" s="1"/>
      <c r="F3504" s="1"/>
    </row>
    <row r="3505">
      <c r="A3505" s="1" t="s">
        <v>3186</v>
      </c>
      <c r="B3505" s="1" t="s">
        <v>2019</v>
      </c>
      <c r="D3505" s="1">
        <v>678078.0</v>
      </c>
      <c r="E3505" s="1"/>
      <c r="F3505" s="1" t="s">
        <v>3161</v>
      </c>
    </row>
    <row r="3506">
      <c r="B3506" s="1" t="s">
        <v>2003</v>
      </c>
      <c r="D3506" s="1">
        <v>519912.0</v>
      </c>
      <c r="E3506" s="1"/>
      <c r="F3506" s="1" t="s">
        <v>3187</v>
      </c>
    </row>
    <row r="3507">
      <c r="B3507" s="1" t="s">
        <v>2005</v>
      </c>
      <c r="D3507" s="1">
        <v>496393.0</v>
      </c>
      <c r="E3507" s="1"/>
      <c r="F3507" s="1" t="s">
        <v>3163</v>
      </c>
    </row>
    <row r="3508">
      <c r="B3508" s="1" t="s">
        <v>3188</v>
      </c>
      <c r="D3508" s="1">
        <v>100000.0</v>
      </c>
      <c r="E3508" s="1"/>
      <c r="F3508" s="1" t="s">
        <v>3189</v>
      </c>
    </row>
    <row r="3509">
      <c r="A3509" s="1" t="s">
        <v>3190</v>
      </c>
      <c r="B3509" s="1" t="s">
        <v>2633</v>
      </c>
      <c r="D3509" s="1">
        <v>47500.0</v>
      </c>
      <c r="E3509" s="1"/>
      <c r="F3509" s="1" t="s">
        <v>2653</v>
      </c>
    </row>
    <row r="3510">
      <c r="B3510" s="28" t="s">
        <v>1953</v>
      </c>
      <c r="D3510" s="1">
        <v>4028246.0</v>
      </c>
      <c r="E3510" s="1"/>
      <c r="F3510" s="1"/>
    </row>
    <row r="3511">
      <c r="B3511" s="3" t="s">
        <v>648</v>
      </c>
      <c r="D3511" s="1">
        <v>165000.0</v>
      </c>
      <c r="E3511" s="1"/>
    </row>
    <row r="3512">
      <c r="B3512" s="45" t="s">
        <v>2622</v>
      </c>
      <c r="C3512" s="46"/>
      <c r="D3512" s="47">
        <v>290752.0</v>
      </c>
      <c r="E3512" s="47"/>
      <c r="F3512" s="42" t="s">
        <v>2428</v>
      </c>
    </row>
    <row r="3513">
      <c r="A3513" s="35" t="s">
        <v>3191</v>
      </c>
      <c r="B3513" s="35" t="s">
        <v>3192</v>
      </c>
      <c r="C3513" s="36"/>
      <c r="D3513" s="56">
        <v>326207.0</v>
      </c>
      <c r="E3513" s="56"/>
      <c r="F3513" s="35" t="s">
        <v>2813</v>
      </c>
    </row>
    <row r="3514">
      <c r="A3514" s="35" t="s">
        <v>3190</v>
      </c>
      <c r="B3514" s="1" t="s">
        <v>3193</v>
      </c>
      <c r="D3514" s="1">
        <v>219230.0</v>
      </c>
      <c r="E3514" s="1"/>
      <c r="F3514" s="1" t="s">
        <v>275</v>
      </c>
    </row>
    <row r="3515">
      <c r="A3515" s="1" t="s">
        <v>3185</v>
      </c>
      <c r="B3515" s="1" t="s">
        <v>2019</v>
      </c>
      <c r="D3515" s="1">
        <v>514404.0</v>
      </c>
      <c r="E3515" s="1"/>
      <c r="F3515" s="1" t="s">
        <v>3194</v>
      </c>
    </row>
    <row r="3516">
      <c r="B3516" s="1" t="s">
        <v>2003</v>
      </c>
      <c r="D3516" s="1">
        <v>423632.0</v>
      </c>
      <c r="E3516" s="1"/>
      <c r="F3516" s="1" t="s">
        <v>3195</v>
      </c>
    </row>
    <row r="3517">
      <c r="B3517" s="1" t="s">
        <v>2005</v>
      </c>
      <c r="D3517" s="1">
        <v>325223.0</v>
      </c>
      <c r="E3517" s="1"/>
      <c r="F3517" s="1" t="s">
        <v>3196</v>
      </c>
    </row>
    <row r="3518">
      <c r="A3518" s="1" t="s">
        <v>3190</v>
      </c>
      <c r="B3518" s="1" t="s">
        <v>2998</v>
      </c>
      <c r="D3518" s="1">
        <v>8982350.0</v>
      </c>
      <c r="E3518" s="1"/>
      <c r="F3518" s="1" t="s">
        <v>275</v>
      </c>
    </row>
    <row r="3519">
      <c r="B3519" s="1" t="s">
        <v>1224</v>
      </c>
      <c r="D3519" s="1">
        <v>4284270.0</v>
      </c>
      <c r="E3519" s="1"/>
      <c r="F3519" s="1" t="s">
        <v>275</v>
      </c>
    </row>
    <row r="3520">
      <c r="A3520" s="1" t="s">
        <v>3197</v>
      </c>
      <c r="B3520" s="1" t="s">
        <v>1828</v>
      </c>
      <c r="D3520" s="1">
        <v>1463770.0</v>
      </c>
      <c r="E3520" s="1"/>
      <c r="F3520" s="1"/>
    </row>
    <row r="3521">
      <c r="B3521" s="1" t="s">
        <v>2826</v>
      </c>
      <c r="D3521" s="1">
        <v>1402170.0</v>
      </c>
      <c r="E3521" s="1"/>
      <c r="F3521" s="1"/>
    </row>
    <row r="3522">
      <c r="A3522" s="48" t="s">
        <v>3198</v>
      </c>
      <c r="B3522" s="2" t="s">
        <v>3002</v>
      </c>
      <c r="C3522" s="29"/>
      <c r="D3522" s="2">
        <v>96800.0</v>
      </c>
      <c r="E3522" s="2"/>
      <c r="F3522" s="2" t="s">
        <v>2876</v>
      </c>
    </row>
    <row r="3523">
      <c r="A3523" s="48" t="s">
        <v>3198</v>
      </c>
      <c r="B3523" s="40" t="s">
        <v>2150</v>
      </c>
      <c r="C3523" s="40"/>
      <c r="D3523" s="41">
        <v>3057700.0</v>
      </c>
      <c r="E3523" s="41"/>
      <c r="F3523" s="42" t="s">
        <v>2241</v>
      </c>
    </row>
    <row r="3524">
      <c r="A3524" s="48" t="s">
        <v>3198</v>
      </c>
      <c r="B3524" s="5" t="s">
        <v>2881</v>
      </c>
      <c r="D3524" s="1">
        <v>561270.0</v>
      </c>
      <c r="E3524" s="1"/>
      <c r="F3524" s="1" t="s">
        <v>3060</v>
      </c>
      <c r="G3524" s="1" t="s">
        <v>3199</v>
      </c>
    </row>
    <row r="3525">
      <c r="A3525" s="48" t="s">
        <v>3198</v>
      </c>
      <c r="B3525" s="39" t="s">
        <v>2985</v>
      </c>
      <c r="C3525" s="40"/>
      <c r="D3525" s="41">
        <v>2064143.0</v>
      </c>
      <c r="E3525" s="41"/>
      <c r="F3525" s="1"/>
    </row>
    <row r="3526">
      <c r="A3526" s="48" t="s">
        <v>3200</v>
      </c>
      <c r="B3526" s="39" t="s">
        <v>1769</v>
      </c>
      <c r="C3526" s="40"/>
      <c r="D3526" s="41">
        <v>2000297.0</v>
      </c>
      <c r="E3526" s="41"/>
      <c r="F3526" s="1"/>
    </row>
    <row r="3527">
      <c r="A3527" s="48" t="s">
        <v>3201</v>
      </c>
      <c r="B3527" s="40" t="s">
        <v>280</v>
      </c>
      <c r="C3527" s="40"/>
      <c r="D3527" s="41">
        <v>2311683.0</v>
      </c>
      <c r="E3527" s="41"/>
      <c r="F3527" s="1"/>
    </row>
    <row r="3528">
      <c r="A3528" s="48" t="s">
        <v>3202</v>
      </c>
      <c r="B3528" s="48" t="s">
        <v>3145</v>
      </c>
      <c r="C3528" s="40"/>
      <c r="D3528" s="41">
        <v>722020.0</v>
      </c>
      <c r="E3528" s="41"/>
      <c r="F3528" s="1"/>
    </row>
    <row r="3529">
      <c r="A3529" s="48" t="s">
        <v>3203</v>
      </c>
      <c r="B3529" s="1" t="s">
        <v>1021</v>
      </c>
      <c r="D3529" s="1">
        <v>2230793.0</v>
      </c>
      <c r="E3529" s="1"/>
      <c r="F3529" s="1"/>
    </row>
    <row r="3530">
      <c r="A3530" s="1" t="s">
        <v>3204</v>
      </c>
      <c r="B3530" s="1" t="s">
        <v>3205</v>
      </c>
      <c r="D3530" s="1">
        <v>5393564.0</v>
      </c>
      <c r="E3530" s="1"/>
      <c r="F3530" s="1" t="s">
        <v>2554</v>
      </c>
    </row>
    <row r="3531">
      <c r="A3531" s="1" t="s">
        <v>3206</v>
      </c>
      <c r="B3531" s="1" t="s">
        <v>2019</v>
      </c>
      <c r="D3531" s="1">
        <v>654696.0</v>
      </c>
      <c r="E3531" s="1"/>
      <c r="F3531" s="1" t="s">
        <v>3176</v>
      </c>
    </row>
    <row r="3532">
      <c r="B3532" s="1" t="s">
        <v>2003</v>
      </c>
      <c r="D3532" s="1">
        <v>558424.0</v>
      </c>
      <c r="E3532" s="1"/>
      <c r="F3532" s="1" t="s">
        <v>3207</v>
      </c>
    </row>
    <row r="3533">
      <c r="B3533" s="1" t="s">
        <v>2005</v>
      </c>
      <c r="D3533" s="1">
        <v>496393.0</v>
      </c>
      <c r="E3533" s="1"/>
      <c r="F3533" s="1" t="s">
        <v>3163</v>
      </c>
    </row>
    <row r="3534">
      <c r="B3534" s="1" t="s">
        <v>3208</v>
      </c>
      <c r="D3534" s="1">
        <v>200000.0</v>
      </c>
      <c r="E3534" s="1"/>
      <c r="F3534" s="3" t="s">
        <v>1147</v>
      </c>
    </row>
    <row r="3535">
      <c r="B3535" s="39" t="s">
        <v>3209</v>
      </c>
      <c r="C3535" s="40"/>
      <c r="D3535" s="41">
        <v>596000.0</v>
      </c>
      <c r="E3535" s="41"/>
      <c r="F3535" s="42" t="s">
        <v>1147</v>
      </c>
    </row>
    <row r="3536">
      <c r="A3536" s="1" t="s">
        <v>3210</v>
      </c>
      <c r="B3536" s="1" t="s">
        <v>3211</v>
      </c>
      <c r="D3536" s="1">
        <v>931840.0</v>
      </c>
      <c r="E3536" s="1"/>
      <c r="F3536" s="1" t="s">
        <v>3212</v>
      </c>
    </row>
    <row r="3537">
      <c r="B3537" s="1" t="s">
        <v>3213</v>
      </c>
      <c r="D3537" s="1">
        <v>1450120.0</v>
      </c>
      <c r="E3537" s="1"/>
      <c r="F3537" s="1" t="s">
        <v>3212</v>
      </c>
    </row>
    <row r="3538">
      <c r="A3538" s="1" t="s">
        <v>3214</v>
      </c>
      <c r="B3538" s="1" t="s">
        <v>2633</v>
      </c>
      <c r="D3538" s="1">
        <v>47500.0</v>
      </c>
      <c r="E3538" s="1"/>
      <c r="F3538" s="1" t="s">
        <v>2653</v>
      </c>
    </row>
    <row r="3539">
      <c r="B3539" s="28" t="s">
        <v>3215</v>
      </c>
      <c r="D3539" s="1">
        <v>4111690.0</v>
      </c>
      <c r="E3539" s="1"/>
      <c r="F3539" s="1"/>
    </row>
    <row r="3540">
      <c r="B3540" s="3" t="s">
        <v>648</v>
      </c>
      <c r="D3540" s="1">
        <v>165000.0</v>
      </c>
      <c r="E3540" s="1"/>
    </row>
    <row r="3541">
      <c r="B3541" s="45" t="s">
        <v>2427</v>
      </c>
      <c r="C3541" s="46"/>
      <c r="D3541" s="47">
        <v>102812.0</v>
      </c>
      <c r="E3541" s="47"/>
      <c r="F3541" s="42" t="s">
        <v>2428</v>
      </c>
    </row>
    <row r="3542">
      <c r="A3542" s="1" t="s">
        <v>3216</v>
      </c>
      <c r="B3542" s="1" t="s">
        <v>2019</v>
      </c>
      <c r="D3542" s="1">
        <v>654696.0</v>
      </c>
      <c r="E3542" s="1"/>
      <c r="F3542" s="1" t="s">
        <v>3176</v>
      </c>
    </row>
    <row r="3543">
      <c r="B3543" s="1" t="s">
        <v>2003</v>
      </c>
      <c r="D3543" s="1">
        <v>539168.0</v>
      </c>
      <c r="E3543" s="1"/>
      <c r="F3543" s="1" t="s">
        <v>3217</v>
      </c>
    </row>
    <row r="3544">
      <c r="B3544" s="1" t="s">
        <v>2005</v>
      </c>
      <c r="D3544" s="1">
        <v>462159.0</v>
      </c>
      <c r="E3544" s="1"/>
      <c r="F3544" s="1" t="s">
        <v>3218</v>
      </c>
    </row>
    <row r="3545">
      <c r="A3545" s="48" t="s">
        <v>3219</v>
      </c>
      <c r="B3545" s="2" t="s">
        <v>3023</v>
      </c>
      <c r="C3545" s="29"/>
      <c r="D3545" s="2">
        <v>96800.0</v>
      </c>
      <c r="E3545" s="2"/>
      <c r="F3545" s="2" t="s">
        <v>2876</v>
      </c>
    </row>
    <row r="3546">
      <c r="A3546" s="48" t="s">
        <v>3219</v>
      </c>
      <c r="B3546" s="40" t="s">
        <v>2150</v>
      </c>
      <c r="C3546" s="40"/>
      <c r="D3546" s="41">
        <v>3368160.0</v>
      </c>
      <c r="E3546" s="41"/>
      <c r="F3546" s="42" t="s">
        <v>2241</v>
      </c>
    </row>
    <row r="3547">
      <c r="A3547" s="48" t="s">
        <v>3219</v>
      </c>
      <c r="B3547" s="5" t="s">
        <v>2881</v>
      </c>
      <c r="D3547" s="1">
        <v>561270.0</v>
      </c>
      <c r="E3547" s="1"/>
      <c r="F3547" s="1" t="s">
        <v>3060</v>
      </c>
      <c r="G3547" s="1" t="s">
        <v>3199</v>
      </c>
    </row>
    <row r="3548">
      <c r="A3548" s="48" t="s">
        <v>3219</v>
      </c>
      <c r="B3548" s="39" t="s">
        <v>2985</v>
      </c>
      <c r="C3548" s="40"/>
      <c r="D3548" s="41">
        <v>2070943.0</v>
      </c>
      <c r="E3548" s="41"/>
      <c r="F3548" s="1"/>
    </row>
    <row r="3549">
      <c r="A3549" s="48" t="s">
        <v>3220</v>
      </c>
      <c r="B3549" s="39" t="s">
        <v>1769</v>
      </c>
      <c r="C3549" s="40"/>
      <c r="D3549" s="41">
        <v>1985237.0</v>
      </c>
      <c r="E3549" s="41"/>
      <c r="F3549" s="1"/>
    </row>
    <row r="3550">
      <c r="A3550" s="48" t="s">
        <v>3221</v>
      </c>
      <c r="B3550" s="40" t="s">
        <v>280</v>
      </c>
      <c r="C3550" s="40"/>
      <c r="D3550" s="41">
        <v>2328313.0</v>
      </c>
      <c r="E3550" s="41"/>
      <c r="F3550" s="1"/>
    </row>
    <row r="3551">
      <c r="A3551" s="48" t="s">
        <v>3222</v>
      </c>
      <c r="B3551" s="48" t="s">
        <v>3145</v>
      </c>
      <c r="C3551" s="40"/>
      <c r="D3551" s="41">
        <v>722020.0</v>
      </c>
      <c r="E3551" s="41"/>
      <c r="F3551" s="1"/>
    </row>
    <row r="3552">
      <c r="A3552" s="48" t="s">
        <v>3223</v>
      </c>
      <c r="B3552" s="1" t="s">
        <v>1021</v>
      </c>
      <c r="D3552" s="1">
        <v>2210163.0</v>
      </c>
      <c r="E3552" s="1"/>
      <c r="F3552" s="1"/>
    </row>
    <row r="3553">
      <c r="A3553" s="1" t="s">
        <v>3224</v>
      </c>
      <c r="B3553" s="1" t="s">
        <v>3225</v>
      </c>
      <c r="D3553" s="1">
        <v>99000.0</v>
      </c>
      <c r="E3553" s="1"/>
      <c r="F3553" s="1" t="s">
        <v>3226</v>
      </c>
    </row>
    <row r="3554">
      <c r="B3554" s="1" t="s">
        <v>3227</v>
      </c>
      <c r="D3554" s="1">
        <v>42000.0</v>
      </c>
      <c r="E3554" s="1"/>
      <c r="F3554" s="1" t="s">
        <v>3228</v>
      </c>
    </row>
    <row r="3555">
      <c r="A3555" s="1" t="s">
        <v>3229</v>
      </c>
      <c r="B3555" s="1" t="s">
        <v>2633</v>
      </c>
      <c r="D3555" s="1">
        <v>45000.0</v>
      </c>
      <c r="E3555" s="1"/>
      <c r="F3555" s="1" t="s">
        <v>2653</v>
      </c>
    </row>
    <row r="3556">
      <c r="B3556" s="28" t="s">
        <v>1953</v>
      </c>
      <c r="D3556" s="1">
        <v>4027962.0</v>
      </c>
      <c r="E3556" s="1"/>
      <c r="F3556" s="1"/>
    </row>
    <row r="3557">
      <c r="B3557" s="3" t="s">
        <v>648</v>
      </c>
      <c r="D3557" s="1">
        <v>165000.0</v>
      </c>
      <c r="E3557" s="1"/>
    </row>
    <row r="3558">
      <c r="B3558" s="45" t="s">
        <v>2442</v>
      </c>
      <c r="C3558" s="46"/>
      <c r="D3558" s="47">
        <v>64190.0</v>
      </c>
      <c r="E3558" s="47"/>
      <c r="F3558" s="42" t="s">
        <v>2428</v>
      </c>
    </row>
    <row r="3559">
      <c r="A3559" s="1" t="s">
        <v>3230</v>
      </c>
      <c r="B3559" s="1" t="s">
        <v>3037</v>
      </c>
      <c r="D3559" s="1">
        <v>62500.0</v>
      </c>
      <c r="E3559" s="1"/>
      <c r="F3559" s="1" t="s">
        <v>3231</v>
      </c>
    </row>
    <row r="3560">
      <c r="A3560" s="1" t="s">
        <v>3232</v>
      </c>
      <c r="B3560" s="1" t="s">
        <v>2019</v>
      </c>
      <c r="D3560" s="1">
        <v>865134.0</v>
      </c>
      <c r="E3560" s="1"/>
      <c r="F3560" s="1" t="s">
        <v>3233</v>
      </c>
    </row>
    <row r="3561">
      <c r="B3561" s="1" t="s">
        <v>2003</v>
      </c>
      <c r="D3561" s="1">
        <v>731728.0</v>
      </c>
      <c r="E3561" s="1"/>
      <c r="F3561" s="1" t="s">
        <v>3234</v>
      </c>
    </row>
    <row r="3562">
      <c r="B3562" s="1" t="s">
        <v>2005</v>
      </c>
      <c r="D3562" s="1">
        <v>633329.0</v>
      </c>
      <c r="E3562" s="1"/>
      <c r="F3562" s="1" t="s">
        <v>3235</v>
      </c>
    </row>
    <row r="3563">
      <c r="A3563" s="48" t="s">
        <v>3236</v>
      </c>
      <c r="B3563" s="40" t="s">
        <v>2150</v>
      </c>
      <c r="C3563" s="40"/>
      <c r="D3563" s="41">
        <v>3472820.0</v>
      </c>
      <c r="E3563" s="41"/>
      <c r="F3563" s="42" t="s">
        <v>2241</v>
      </c>
    </row>
    <row r="3564">
      <c r="A3564" s="48" t="s">
        <v>3236</v>
      </c>
      <c r="B3564" s="5" t="s">
        <v>2881</v>
      </c>
      <c r="D3564" s="1">
        <v>561270.0</v>
      </c>
      <c r="E3564" s="1"/>
      <c r="F3564" s="1" t="s">
        <v>3060</v>
      </c>
    </row>
    <row r="3565">
      <c r="A3565" s="48" t="s">
        <v>3237</v>
      </c>
      <c r="B3565" s="39" t="s">
        <v>2985</v>
      </c>
      <c r="C3565" s="40"/>
      <c r="D3565" s="41">
        <v>2070943.0</v>
      </c>
      <c r="E3565" s="41"/>
      <c r="F3565" s="1"/>
    </row>
    <row r="3566">
      <c r="A3566" s="48" t="s">
        <v>3238</v>
      </c>
      <c r="B3566" s="39" t="s">
        <v>1769</v>
      </c>
      <c r="C3566" s="40"/>
      <c r="D3566" s="41">
        <v>2021897.0</v>
      </c>
      <c r="E3566" s="41"/>
      <c r="F3566" s="1"/>
    </row>
    <row r="3567">
      <c r="A3567" s="48" t="s">
        <v>3239</v>
      </c>
      <c r="B3567" s="40" t="s">
        <v>280</v>
      </c>
      <c r="C3567" s="40"/>
      <c r="D3567" s="41">
        <v>2378383.0</v>
      </c>
      <c r="E3567" s="41"/>
      <c r="F3567" s="1"/>
    </row>
    <row r="3568">
      <c r="A3568" s="48" t="s">
        <v>3240</v>
      </c>
      <c r="B3568" s="48" t="s">
        <v>3145</v>
      </c>
      <c r="C3568" s="40"/>
      <c r="D3568" s="41">
        <v>722020.0</v>
      </c>
      <c r="E3568" s="41"/>
      <c r="F3568" s="1"/>
    </row>
    <row r="3569">
      <c r="A3569" s="48" t="s">
        <v>3241</v>
      </c>
      <c r="B3569" s="1" t="s">
        <v>1021</v>
      </c>
      <c r="D3569" s="1">
        <v>2266673.0</v>
      </c>
      <c r="E3569" s="1"/>
      <c r="F3569" s="1"/>
    </row>
    <row r="3570">
      <c r="A3570" s="30" t="s">
        <v>3046</v>
      </c>
      <c r="B3570" s="30" t="s">
        <v>3242</v>
      </c>
      <c r="C3570" s="31"/>
      <c r="D3570" s="30">
        <v>290400.0</v>
      </c>
      <c r="E3570" s="30"/>
      <c r="F3570" s="30" t="s">
        <v>3243</v>
      </c>
    </row>
    <row r="3571">
      <c r="B3571" s="1" t="s">
        <v>3244</v>
      </c>
      <c r="D3571" s="1">
        <v>972000.0</v>
      </c>
      <c r="E3571" s="1"/>
      <c r="F3571" s="1" t="s">
        <v>3245</v>
      </c>
    </row>
    <row r="3572">
      <c r="A3572" s="1" t="s">
        <v>3241</v>
      </c>
      <c r="B3572" s="1" t="s">
        <v>2633</v>
      </c>
      <c r="D3572" s="1">
        <v>47500.0</v>
      </c>
      <c r="E3572" s="1"/>
      <c r="F3572" s="1" t="s">
        <v>2653</v>
      </c>
    </row>
    <row r="3573">
      <c r="B3573" s="28" t="s">
        <v>3215</v>
      </c>
      <c r="D3573" s="1">
        <v>4141632.0</v>
      </c>
      <c r="E3573" s="1"/>
      <c r="F3573" s="1"/>
    </row>
    <row r="3574">
      <c r="B3574" s="3" t="s">
        <v>648</v>
      </c>
      <c r="D3574" s="1">
        <v>165000.0</v>
      </c>
      <c r="E3574" s="1"/>
    </row>
    <row r="3575">
      <c r="B3575" s="45" t="s">
        <v>2460</v>
      </c>
      <c r="C3575" s="46"/>
      <c r="D3575" s="47">
        <v>70218.0</v>
      </c>
      <c r="E3575" s="47"/>
      <c r="F3575" s="42" t="s">
        <v>2428</v>
      </c>
    </row>
    <row r="3576">
      <c r="A3576" s="1" t="s">
        <v>3246</v>
      </c>
      <c r="B3576" s="1" t="s">
        <v>2019</v>
      </c>
      <c r="D3576" s="1">
        <v>701460.0</v>
      </c>
      <c r="E3576" s="1"/>
      <c r="F3576" s="1" t="s">
        <v>3247</v>
      </c>
    </row>
    <row r="3577">
      <c r="B3577" s="1" t="s">
        <v>2003</v>
      </c>
      <c r="D3577" s="1">
        <v>481400.0</v>
      </c>
      <c r="E3577" s="1"/>
      <c r="F3577" s="1" t="s">
        <v>3248</v>
      </c>
    </row>
    <row r="3578">
      <c r="B3578" s="1" t="s">
        <v>2005</v>
      </c>
      <c r="D3578" s="1">
        <v>445042.0</v>
      </c>
      <c r="E3578" s="1"/>
      <c r="F3578" s="1" t="s">
        <v>3165</v>
      </c>
    </row>
    <row r="3579">
      <c r="A3579" s="48" t="s">
        <v>3241</v>
      </c>
      <c r="B3579" s="2" t="s">
        <v>3041</v>
      </c>
      <c r="C3579" s="29"/>
      <c r="D3579" s="2">
        <v>96800.0</v>
      </c>
      <c r="E3579" s="2"/>
      <c r="F3579" s="2" t="s">
        <v>2876</v>
      </c>
    </row>
    <row r="3580">
      <c r="A3580" s="1" t="s">
        <v>3249</v>
      </c>
      <c r="B3580" s="1" t="s">
        <v>3250</v>
      </c>
      <c r="D3580" s="1">
        <v>1450120.0</v>
      </c>
      <c r="E3580" s="1"/>
      <c r="F3580" s="1" t="s">
        <v>275</v>
      </c>
    </row>
    <row r="3581">
      <c r="B3581" s="1" t="s">
        <v>3251</v>
      </c>
      <c r="D3581" s="1">
        <v>931840.0</v>
      </c>
      <c r="E3581" s="1"/>
      <c r="F3581" s="1" t="s">
        <v>275</v>
      </c>
    </row>
    <row r="3582">
      <c r="A3582" s="1" t="s">
        <v>3252</v>
      </c>
      <c r="B3582" s="1" t="s">
        <v>2019</v>
      </c>
      <c r="D3582" s="1">
        <v>631314.0</v>
      </c>
      <c r="E3582" s="1"/>
      <c r="F3582" s="1" t="s">
        <v>3253</v>
      </c>
    </row>
    <row r="3583">
      <c r="B3583" s="1" t="s">
        <v>2003</v>
      </c>
      <c r="D3583" s="1">
        <v>558424.0</v>
      </c>
      <c r="E3583" s="1"/>
      <c r="F3583" s="1" t="s">
        <v>3207</v>
      </c>
    </row>
    <row r="3584">
      <c r="B3584" s="1" t="s">
        <v>2005</v>
      </c>
      <c r="D3584" s="1">
        <v>496393.0</v>
      </c>
      <c r="E3584" s="1"/>
      <c r="F3584" s="1" t="s">
        <v>3163</v>
      </c>
    </row>
    <row r="3585">
      <c r="A3585" s="48" t="s">
        <v>3254</v>
      </c>
      <c r="B3585" s="40" t="s">
        <v>2150</v>
      </c>
      <c r="C3585" s="40"/>
      <c r="D3585" s="41">
        <v>3472820.0</v>
      </c>
      <c r="E3585" s="41"/>
      <c r="F3585" s="42" t="s">
        <v>2241</v>
      </c>
    </row>
    <row r="3586">
      <c r="A3586" s="48" t="s">
        <v>3254</v>
      </c>
      <c r="B3586" s="5" t="s">
        <v>2881</v>
      </c>
      <c r="D3586" s="1">
        <v>561270.0</v>
      </c>
      <c r="E3586" s="1"/>
      <c r="F3586" s="1" t="s">
        <v>3060</v>
      </c>
      <c r="G3586" s="1" t="s">
        <v>3199</v>
      </c>
    </row>
    <row r="3587">
      <c r="A3587" s="48" t="s">
        <v>3254</v>
      </c>
      <c r="B3587" s="2" t="s">
        <v>3073</v>
      </c>
      <c r="C3587" s="29"/>
      <c r="D3587" s="2">
        <v>140800.0</v>
      </c>
      <c r="E3587" s="2"/>
      <c r="F3587" s="2" t="s">
        <v>2876</v>
      </c>
    </row>
    <row r="3588">
      <c r="A3588" s="48" t="s">
        <v>3254</v>
      </c>
      <c r="B3588" s="39" t="s">
        <v>2985</v>
      </c>
      <c r="C3588" s="40"/>
      <c r="D3588" s="41">
        <v>2070943.0</v>
      </c>
      <c r="E3588" s="41"/>
      <c r="F3588" s="1"/>
    </row>
    <row r="3589">
      <c r="A3589" s="48" t="s">
        <v>3255</v>
      </c>
      <c r="B3589" s="39" t="s">
        <v>1769</v>
      </c>
      <c r="C3589" s="40"/>
      <c r="D3589" s="41">
        <v>1955427.0</v>
      </c>
      <c r="E3589" s="41"/>
      <c r="F3589" s="1"/>
    </row>
    <row r="3590">
      <c r="A3590" s="48" t="s">
        <v>3256</v>
      </c>
      <c r="B3590" s="40" t="s">
        <v>280</v>
      </c>
      <c r="C3590" s="40"/>
      <c r="D3590" s="41">
        <v>2271423.0</v>
      </c>
      <c r="E3590" s="41"/>
      <c r="F3590" s="1"/>
    </row>
    <row r="3591">
      <c r="A3591" s="48" t="s">
        <v>3257</v>
      </c>
      <c r="B3591" s="48" t="s">
        <v>3145</v>
      </c>
      <c r="C3591" s="40"/>
      <c r="D3591" s="41">
        <v>722020.0</v>
      </c>
      <c r="E3591" s="41"/>
      <c r="F3591" s="1"/>
    </row>
    <row r="3592">
      <c r="A3592" s="48" t="s">
        <v>3258</v>
      </c>
      <c r="B3592" s="1" t="s">
        <v>1021</v>
      </c>
      <c r="D3592" s="1">
        <v>2178503.0</v>
      </c>
      <c r="E3592" s="1"/>
      <c r="F3592" s="1"/>
    </row>
    <row r="3593">
      <c r="A3593" s="1" t="s">
        <v>3259</v>
      </c>
      <c r="B3593" s="1" t="s">
        <v>2019</v>
      </c>
      <c r="D3593" s="1">
        <v>657696.0</v>
      </c>
      <c r="E3593" s="1"/>
      <c r="F3593" s="1" t="s">
        <v>3176</v>
      </c>
    </row>
    <row r="3594">
      <c r="B3594" s="1" t="s">
        <v>2003</v>
      </c>
      <c r="D3594" s="1">
        <v>500656.0</v>
      </c>
      <c r="E3594" s="1"/>
      <c r="F3594" s="1" t="s">
        <v>3260</v>
      </c>
    </row>
    <row r="3595">
      <c r="B3595" s="1" t="s">
        <v>2005</v>
      </c>
      <c r="D3595" s="1">
        <v>496393.0</v>
      </c>
      <c r="E3595" s="1"/>
      <c r="F3595" s="1" t="s">
        <v>3163</v>
      </c>
    </row>
    <row r="3596">
      <c r="A3596" s="1" t="s">
        <v>3261</v>
      </c>
      <c r="B3596" s="1" t="s">
        <v>2633</v>
      </c>
      <c r="D3596" s="1">
        <v>47500.0</v>
      </c>
      <c r="E3596" s="1"/>
      <c r="F3596" s="1" t="s">
        <v>2653</v>
      </c>
    </row>
    <row r="3597">
      <c r="B3597" s="28" t="s">
        <v>1953</v>
      </c>
      <c r="D3597" s="1">
        <v>4029404.0</v>
      </c>
      <c r="E3597" s="1"/>
      <c r="F3597" s="1"/>
    </row>
    <row r="3598">
      <c r="B3598" s="3" t="s">
        <v>648</v>
      </c>
      <c r="D3598" s="1">
        <v>165000.0</v>
      </c>
      <c r="E3598" s="1"/>
    </row>
    <row r="3599">
      <c r="B3599" s="45" t="s">
        <v>2478</v>
      </c>
      <c r="C3599" s="46"/>
      <c r="D3599" s="47">
        <v>205254.0</v>
      </c>
      <c r="E3599" s="47"/>
      <c r="F3599" s="42" t="s">
        <v>2428</v>
      </c>
    </row>
    <row r="3600">
      <c r="A3600" s="1" t="s">
        <v>3262</v>
      </c>
      <c r="B3600" s="1" t="s">
        <v>2019</v>
      </c>
      <c r="D3600" s="1">
        <v>701460.0</v>
      </c>
      <c r="E3600" s="1"/>
      <c r="F3600" s="1" t="s">
        <v>3247</v>
      </c>
    </row>
    <row r="3601">
      <c r="B3601" s="1" t="s">
        <v>2003</v>
      </c>
      <c r="D3601" s="1">
        <v>577680.0</v>
      </c>
      <c r="E3601" s="1"/>
      <c r="F3601" s="1" t="s">
        <v>3263</v>
      </c>
    </row>
    <row r="3602">
      <c r="B3602" s="1" t="s">
        <v>2005</v>
      </c>
      <c r="D3602" s="1">
        <v>496393.0</v>
      </c>
      <c r="E3602" s="1"/>
      <c r="F3602" s="1" t="s">
        <v>3163</v>
      </c>
    </row>
    <row r="3603">
      <c r="A3603" s="48" t="s">
        <v>3264</v>
      </c>
      <c r="B3603" s="40" t="s">
        <v>2150</v>
      </c>
      <c r="C3603" s="40"/>
      <c r="D3603" s="41">
        <v>3472820.0</v>
      </c>
      <c r="E3603" s="41"/>
      <c r="F3603" s="42" t="s">
        <v>2241</v>
      </c>
    </row>
    <row r="3604">
      <c r="A3604" s="48" t="s">
        <v>3265</v>
      </c>
      <c r="B3604" s="5" t="s">
        <v>2881</v>
      </c>
      <c r="D3604" s="1">
        <v>561270.0</v>
      </c>
      <c r="E3604" s="1"/>
      <c r="F3604" s="1" t="s">
        <v>3060</v>
      </c>
    </row>
    <row r="3605">
      <c r="A3605" s="1" t="s">
        <v>3261</v>
      </c>
      <c r="B3605" s="1" t="s">
        <v>2853</v>
      </c>
      <c r="D3605" s="1">
        <v>32850.0</v>
      </c>
      <c r="E3605" s="1"/>
      <c r="F3605" s="1" t="s">
        <v>1332</v>
      </c>
    </row>
    <row r="3606">
      <c r="A3606" s="1" t="s">
        <v>3266</v>
      </c>
      <c r="B3606" s="1" t="s">
        <v>2400</v>
      </c>
      <c r="D3606" s="1">
        <v>65000.0</v>
      </c>
      <c r="E3606" s="1"/>
      <c r="F3606" s="1" t="s">
        <v>2948</v>
      </c>
    </row>
    <row r="3607">
      <c r="B3607" s="1" t="s">
        <v>3055</v>
      </c>
      <c r="D3607" s="1">
        <v>65000.0</v>
      </c>
      <c r="E3607" s="1"/>
      <c r="F3607" s="1" t="s">
        <v>2948</v>
      </c>
    </row>
    <row r="3608">
      <c r="B3608" s="1" t="s">
        <v>2324</v>
      </c>
      <c r="D3608" s="1">
        <v>100000.0</v>
      </c>
      <c r="E3608" s="1"/>
      <c r="F3608" s="1" t="s">
        <v>2948</v>
      </c>
    </row>
    <row r="3609">
      <c r="B3609" s="1" t="s">
        <v>2326</v>
      </c>
      <c r="D3609" s="1">
        <v>100000.0</v>
      </c>
      <c r="E3609" s="1"/>
      <c r="F3609" s="1" t="s">
        <v>2948</v>
      </c>
    </row>
    <row r="3610">
      <c r="A3610" s="48" t="s">
        <v>3264</v>
      </c>
      <c r="B3610" s="2" t="s">
        <v>2875</v>
      </c>
      <c r="C3610" s="29"/>
      <c r="D3610" s="2">
        <v>140800.0</v>
      </c>
      <c r="E3610" s="2"/>
      <c r="F3610" s="2" t="s">
        <v>3267</v>
      </c>
    </row>
    <row r="3611">
      <c r="A3611" s="48" t="s">
        <v>3264</v>
      </c>
      <c r="B3611" s="39" t="s">
        <v>2985</v>
      </c>
      <c r="C3611" s="40"/>
      <c r="D3611" s="41">
        <v>2070943.0</v>
      </c>
      <c r="E3611" s="41"/>
      <c r="F3611" s="1"/>
    </row>
    <row r="3612">
      <c r="A3612" s="48" t="s">
        <v>3268</v>
      </c>
      <c r="B3612" s="39" t="s">
        <v>1769</v>
      </c>
      <c r="C3612" s="40"/>
      <c r="D3612" s="41">
        <v>1966757.0</v>
      </c>
      <c r="E3612" s="41"/>
      <c r="F3612" s="1"/>
    </row>
    <row r="3613">
      <c r="A3613" s="48" t="s">
        <v>3269</v>
      </c>
      <c r="B3613" s="40" t="s">
        <v>280</v>
      </c>
      <c r="C3613" s="40"/>
      <c r="D3613" s="41">
        <v>2311473.0</v>
      </c>
      <c r="E3613" s="41"/>
      <c r="F3613" s="1"/>
    </row>
    <row r="3614">
      <c r="A3614" s="48" t="s">
        <v>3270</v>
      </c>
      <c r="B3614" s="48" t="s">
        <v>3145</v>
      </c>
      <c r="C3614" s="40"/>
      <c r="D3614" s="41">
        <v>722020.0</v>
      </c>
      <c r="E3614" s="41"/>
      <c r="F3614" s="1"/>
    </row>
    <row r="3615">
      <c r="A3615" s="48" t="s">
        <v>3271</v>
      </c>
      <c r="B3615" s="1" t="s">
        <v>1021</v>
      </c>
      <c r="D3615" s="1">
        <v>2198713.0</v>
      </c>
      <c r="E3615" s="1"/>
      <c r="F3615" s="1"/>
    </row>
    <row r="3616">
      <c r="A3616" s="1" t="s">
        <v>3272</v>
      </c>
      <c r="B3616" s="1" t="s">
        <v>774</v>
      </c>
      <c r="D3616" s="1">
        <v>351760.0</v>
      </c>
      <c r="E3616" s="1"/>
      <c r="F3616" s="1" t="s">
        <v>275</v>
      </c>
    </row>
    <row r="3617">
      <c r="B3617" s="1" t="s">
        <v>1224</v>
      </c>
      <c r="D3617" s="1">
        <v>34940.0</v>
      </c>
      <c r="E3617" s="1"/>
      <c r="F3617" s="1" t="s">
        <v>275</v>
      </c>
    </row>
    <row r="3618">
      <c r="A3618" s="1" t="s">
        <v>3273</v>
      </c>
      <c r="B3618" s="1" t="s">
        <v>2019</v>
      </c>
      <c r="D3618" s="1">
        <v>678078.0</v>
      </c>
      <c r="E3618" s="1"/>
      <c r="F3618" s="1" t="s">
        <v>3161</v>
      </c>
    </row>
    <row r="3619">
      <c r="B3619" s="1" t="s">
        <v>2003</v>
      </c>
      <c r="D3619" s="1">
        <v>539168.0</v>
      </c>
      <c r="E3619" s="1"/>
      <c r="F3619" s="1" t="s">
        <v>3217</v>
      </c>
    </row>
    <row r="3620">
      <c r="B3620" s="1" t="s">
        <v>2005</v>
      </c>
      <c r="D3620" s="1">
        <v>445042.0</v>
      </c>
      <c r="E3620" s="1"/>
      <c r="F3620" s="1" t="s">
        <v>3165</v>
      </c>
    </row>
    <row r="3621">
      <c r="A3621" s="1" t="s">
        <v>3274</v>
      </c>
      <c r="B3621" s="1" t="s">
        <v>2633</v>
      </c>
      <c r="D3621" s="1">
        <v>50000.0</v>
      </c>
      <c r="E3621" s="1"/>
      <c r="F3621" s="1" t="s">
        <v>2653</v>
      </c>
    </row>
    <row r="3622">
      <c r="B3622" s="28" t="s">
        <v>3215</v>
      </c>
      <c r="D3622" s="1">
        <v>4073901.0</v>
      </c>
      <c r="E3622" s="1"/>
      <c r="F3622" s="1"/>
    </row>
    <row r="3623">
      <c r="B3623" s="3" t="s">
        <v>648</v>
      </c>
      <c r="D3623" s="1">
        <v>165000.0</v>
      </c>
      <c r="E3623" s="1"/>
    </row>
    <row r="3624">
      <c r="B3624" s="45" t="s">
        <v>2499</v>
      </c>
      <c r="C3624" s="46"/>
      <c r="D3624" s="47">
        <v>95772.0</v>
      </c>
      <c r="E3624" s="47"/>
      <c r="F3624" s="39" t="s">
        <v>3275</v>
      </c>
    </row>
    <row r="3625">
      <c r="A3625" s="1" t="s">
        <v>3276</v>
      </c>
      <c r="B3625" s="1" t="s">
        <v>2019</v>
      </c>
      <c r="D3625" s="1">
        <v>654696.0</v>
      </c>
      <c r="E3625" s="1"/>
      <c r="F3625" s="1" t="s">
        <v>3176</v>
      </c>
    </row>
    <row r="3626">
      <c r="B3626" s="1" t="s">
        <v>2003</v>
      </c>
      <c r="D3626" s="1">
        <v>539168.0</v>
      </c>
      <c r="E3626" s="1"/>
      <c r="F3626" s="1" t="s">
        <v>3217</v>
      </c>
    </row>
    <row r="3627">
      <c r="B3627" s="1" t="s">
        <v>2005</v>
      </c>
      <c r="D3627" s="1">
        <v>496393.0</v>
      </c>
      <c r="E3627" s="1"/>
      <c r="F3627" s="1" t="s">
        <v>3163</v>
      </c>
    </row>
    <row r="3628">
      <c r="A3628" s="48" t="s">
        <v>3277</v>
      </c>
      <c r="B3628" s="40" t="s">
        <v>2150</v>
      </c>
      <c r="C3628" s="40"/>
      <c r="D3628" s="41">
        <v>3472820.0</v>
      </c>
      <c r="E3628" s="41"/>
      <c r="F3628" s="42" t="s">
        <v>2241</v>
      </c>
    </row>
    <row r="3629">
      <c r="A3629" s="48" t="s">
        <v>3277</v>
      </c>
      <c r="B3629" s="5" t="s">
        <v>2881</v>
      </c>
      <c r="D3629" s="1">
        <v>211210.0</v>
      </c>
      <c r="E3629" s="1"/>
      <c r="F3629" s="1" t="s">
        <v>3060</v>
      </c>
    </row>
    <row r="3630">
      <c r="A3630" s="1" t="s">
        <v>3277</v>
      </c>
      <c r="B3630" s="1" t="s">
        <v>276</v>
      </c>
      <c r="D3630" s="1">
        <v>362630.0</v>
      </c>
      <c r="E3630" s="1"/>
      <c r="F3630" s="1"/>
    </row>
    <row r="3631">
      <c r="B3631" s="1" t="s">
        <v>1224</v>
      </c>
      <c r="D3631" s="1">
        <v>36250.0</v>
      </c>
      <c r="E3631" s="1"/>
      <c r="F3631" s="1"/>
    </row>
    <row r="3632">
      <c r="A3632" s="1" t="s">
        <v>3278</v>
      </c>
      <c r="B3632" s="1" t="s">
        <v>3279</v>
      </c>
      <c r="D3632" s="1">
        <v>48500.0</v>
      </c>
      <c r="E3632" s="1"/>
      <c r="F3632" s="1"/>
    </row>
    <row r="3633">
      <c r="A3633" s="48" t="s">
        <v>3277</v>
      </c>
      <c r="B3633" s="2" t="s">
        <v>2886</v>
      </c>
      <c r="C3633" s="29"/>
      <c r="D3633" s="2">
        <v>140800.0</v>
      </c>
      <c r="E3633" s="2"/>
      <c r="F3633" s="2" t="s">
        <v>3267</v>
      </c>
    </row>
    <row r="3634">
      <c r="A3634" s="48" t="s">
        <v>3280</v>
      </c>
      <c r="B3634" s="39" t="s">
        <v>2985</v>
      </c>
      <c r="C3634" s="40"/>
      <c r="D3634" s="41">
        <v>2070943.0</v>
      </c>
      <c r="E3634" s="41"/>
      <c r="F3634" s="1"/>
    </row>
    <row r="3635">
      <c r="A3635" s="48" t="s">
        <v>3281</v>
      </c>
      <c r="B3635" s="39" t="s">
        <v>1769</v>
      </c>
      <c r="C3635" s="40"/>
      <c r="D3635" s="41">
        <v>1972857.0</v>
      </c>
      <c r="E3635" s="41"/>
      <c r="F3635" s="1"/>
    </row>
    <row r="3636">
      <c r="A3636" s="48" t="s">
        <v>3282</v>
      </c>
      <c r="B3636" s="40" t="s">
        <v>280</v>
      </c>
      <c r="C3636" s="40"/>
      <c r="D3636" s="41">
        <v>2297223.0</v>
      </c>
      <c r="E3636" s="41"/>
      <c r="F3636" s="1"/>
    </row>
    <row r="3637">
      <c r="A3637" s="48" t="s">
        <v>3283</v>
      </c>
      <c r="B3637" s="48" t="s">
        <v>3145</v>
      </c>
      <c r="C3637" s="40"/>
      <c r="D3637" s="41">
        <v>722020.0</v>
      </c>
      <c r="E3637" s="41"/>
      <c r="F3637" s="1"/>
    </row>
    <row r="3638">
      <c r="A3638" s="48" t="s">
        <v>3284</v>
      </c>
      <c r="B3638" s="1" t="s">
        <v>1021</v>
      </c>
      <c r="D3638" s="1">
        <v>2190133.0</v>
      </c>
      <c r="E3638" s="1"/>
      <c r="F3638" s="1"/>
    </row>
    <row r="3639">
      <c r="A3639" s="1" t="s">
        <v>3282</v>
      </c>
      <c r="B3639" s="1" t="s">
        <v>2019</v>
      </c>
      <c r="D3639" s="1">
        <v>678078.0</v>
      </c>
      <c r="E3639" s="1"/>
      <c r="F3639" s="1" t="s">
        <v>3161</v>
      </c>
    </row>
    <row r="3640">
      <c r="B3640" s="1" t="s">
        <v>2003</v>
      </c>
      <c r="D3640" s="1">
        <v>558424.0</v>
      </c>
      <c r="E3640" s="1"/>
      <c r="F3640" s="1" t="s">
        <v>3207</v>
      </c>
    </row>
    <row r="3641">
      <c r="B3641" s="1" t="s">
        <v>2005</v>
      </c>
      <c r="D3641" s="1">
        <v>445042.0</v>
      </c>
      <c r="E3641" s="1"/>
      <c r="F3641" s="1" t="s">
        <v>3165</v>
      </c>
    </row>
    <row r="3642">
      <c r="A3642" s="1" t="s">
        <v>3284</v>
      </c>
      <c r="B3642" s="1" t="s">
        <v>2633</v>
      </c>
      <c r="D3642" s="1">
        <v>47500.0</v>
      </c>
      <c r="E3642" s="1"/>
      <c r="F3642" s="1" t="s">
        <v>2653</v>
      </c>
    </row>
    <row r="3643">
      <c r="B3643" s="28" t="s">
        <v>1953</v>
      </c>
      <c r="D3643" s="1">
        <v>4148856.0</v>
      </c>
      <c r="E3643" s="1"/>
      <c r="F3643" s="1"/>
    </row>
    <row r="3644">
      <c r="B3644" s="3" t="s">
        <v>648</v>
      </c>
      <c r="D3644" s="1">
        <v>165000.0</v>
      </c>
      <c r="E3644" s="1"/>
    </row>
    <row r="3645">
      <c r="B3645" s="45" t="s">
        <v>2523</v>
      </c>
      <c r="C3645" s="46"/>
      <c r="D3645" s="47">
        <v>124484.0</v>
      </c>
      <c r="E3645" s="47"/>
      <c r="F3645" s="39" t="s">
        <v>3275</v>
      </c>
    </row>
    <row r="3646">
      <c r="A3646" s="1" t="s">
        <v>3281</v>
      </c>
      <c r="B3646" s="1" t="s">
        <v>3150</v>
      </c>
      <c r="D3646" s="1">
        <v>297000.0</v>
      </c>
      <c r="E3646" s="1"/>
      <c r="F3646" s="3" t="s">
        <v>1147</v>
      </c>
    </row>
    <row r="3647">
      <c r="B3647" s="39" t="s">
        <v>3285</v>
      </c>
      <c r="C3647" s="40"/>
      <c r="D3647" s="41">
        <v>200000.0</v>
      </c>
      <c r="E3647" s="41"/>
      <c r="F3647" s="40" t="s">
        <v>1147</v>
      </c>
    </row>
    <row r="3648">
      <c r="A3648" s="1" t="s">
        <v>3286</v>
      </c>
      <c r="B3648" s="1" t="s">
        <v>2019</v>
      </c>
      <c r="D3648" s="1">
        <v>631314.0</v>
      </c>
      <c r="E3648" s="1"/>
      <c r="F3648" s="1" t="s">
        <v>3253</v>
      </c>
    </row>
    <row r="3649">
      <c r="B3649" s="1" t="s">
        <v>2003</v>
      </c>
      <c r="D3649" s="1">
        <v>539168.0</v>
      </c>
      <c r="E3649" s="1"/>
      <c r="F3649" s="1" t="s">
        <v>3217</v>
      </c>
    </row>
    <row r="3650">
      <c r="B3650" s="1" t="s">
        <v>2005</v>
      </c>
      <c r="D3650" s="1">
        <v>479276.0</v>
      </c>
      <c r="E3650" s="1"/>
      <c r="F3650" s="1" t="s">
        <v>3287</v>
      </c>
    </row>
    <row r="3651">
      <c r="A3651" s="48" t="s">
        <v>3288</v>
      </c>
      <c r="B3651" s="40" t="s">
        <v>2150</v>
      </c>
      <c r="C3651" s="40"/>
      <c r="D3651" s="41">
        <v>1455710.0</v>
      </c>
      <c r="E3651" s="41"/>
      <c r="F3651" s="42" t="s">
        <v>2241</v>
      </c>
    </row>
    <row r="3652">
      <c r="A3652" s="48" t="s">
        <v>3288</v>
      </c>
      <c r="B3652" s="5" t="s">
        <v>2881</v>
      </c>
      <c r="D3652" s="1">
        <v>211210.0</v>
      </c>
      <c r="E3652" s="1"/>
      <c r="F3652" s="1" t="s">
        <v>3060</v>
      </c>
    </row>
    <row r="3653">
      <c r="A3653" s="1" t="s">
        <v>3288</v>
      </c>
      <c r="B3653" s="1" t="s">
        <v>276</v>
      </c>
      <c r="D3653" s="1">
        <v>377050.0</v>
      </c>
      <c r="E3653" s="1"/>
    </row>
    <row r="3654">
      <c r="B3654" s="1" t="s">
        <v>1224</v>
      </c>
      <c r="D3654" s="1">
        <v>37690.0</v>
      </c>
      <c r="E3654" s="1"/>
    </row>
    <row r="3655">
      <c r="A3655" s="48" t="s">
        <v>3289</v>
      </c>
      <c r="B3655" s="2" t="s">
        <v>2905</v>
      </c>
      <c r="C3655" s="29"/>
      <c r="D3655" s="2">
        <v>140800.0</v>
      </c>
      <c r="E3655" s="2"/>
      <c r="F3655" s="2" t="s">
        <v>3267</v>
      </c>
    </row>
    <row r="3656">
      <c r="A3656" s="48" t="s">
        <v>3288</v>
      </c>
      <c r="B3656" s="39" t="s">
        <v>2985</v>
      </c>
      <c r="C3656" s="40"/>
      <c r="D3656" s="41">
        <v>2070843.0</v>
      </c>
      <c r="E3656" s="41"/>
      <c r="F3656" s="1"/>
    </row>
    <row r="3657">
      <c r="A3657" s="48" t="s">
        <v>3290</v>
      </c>
      <c r="B3657" s="39" t="s">
        <v>1769</v>
      </c>
      <c r="C3657" s="40"/>
      <c r="D3657" s="41">
        <v>1972757.0</v>
      </c>
      <c r="E3657" s="41"/>
      <c r="F3657" s="1"/>
    </row>
    <row r="3658">
      <c r="A3658" s="48" t="s">
        <v>3291</v>
      </c>
      <c r="B3658" s="40" t="s">
        <v>280</v>
      </c>
      <c r="C3658" s="40"/>
      <c r="D3658" s="41">
        <v>2305503.0</v>
      </c>
      <c r="E3658" s="41"/>
      <c r="F3658" s="1"/>
    </row>
    <row r="3659">
      <c r="A3659" s="48" t="s">
        <v>3292</v>
      </c>
      <c r="B3659" s="48" t="s">
        <v>3145</v>
      </c>
      <c r="C3659" s="40"/>
      <c r="D3659" s="41">
        <v>721980.0</v>
      </c>
      <c r="E3659" s="41"/>
      <c r="F3659" s="1"/>
    </row>
    <row r="3660">
      <c r="A3660" s="48" t="s">
        <v>3293</v>
      </c>
      <c r="B3660" s="1" t="s">
        <v>1021</v>
      </c>
      <c r="D3660" s="1">
        <v>2192913.0</v>
      </c>
      <c r="E3660" s="1"/>
      <c r="F3660" s="1"/>
    </row>
    <row r="3661">
      <c r="A3661" s="1" t="s">
        <v>3294</v>
      </c>
      <c r="B3661" s="1" t="s">
        <v>2019</v>
      </c>
      <c r="D3661" s="1">
        <v>678078.0</v>
      </c>
      <c r="E3661" s="1"/>
      <c r="F3661" s="1" t="s">
        <v>3161</v>
      </c>
    </row>
    <row r="3662">
      <c r="B3662" s="1" t="s">
        <v>2003</v>
      </c>
      <c r="D3662" s="1">
        <v>539168.0</v>
      </c>
      <c r="E3662" s="1"/>
      <c r="F3662" s="1" t="s">
        <v>3217</v>
      </c>
    </row>
    <row r="3663">
      <c r="B3663" s="1" t="s">
        <v>2005</v>
      </c>
      <c r="D3663" s="1">
        <v>496393.0</v>
      </c>
      <c r="E3663" s="1"/>
      <c r="F3663" s="1" t="s">
        <v>3163</v>
      </c>
    </row>
    <row r="3664">
      <c r="A3664" s="1" t="s">
        <v>3295</v>
      </c>
      <c r="B3664" s="1" t="s">
        <v>3296</v>
      </c>
      <c r="D3664" s="1">
        <v>27000.0</v>
      </c>
      <c r="E3664" s="1"/>
      <c r="F3664" s="1" t="s">
        <v>275</v>
      </c>
    </row>
    <row r="3665">
      <c r="A3665" s="1" t="s">
        <v>3297</v>
      </c>
      <c r="B3665" s="1" t="s">
        <v>2633</v>
      </c>
      <c r="D3665" s="1">
        <v>47500.0</v>
      </c>
      <c r="E3665" s="1"/>
      <c r="F3665" s="1" t="s">
        <v>2653</v>
      </c>
    </row>
    <row r="3666">
      <c r="B3666" s="28" t="s">
        <v>1953</v>
      </c>
      <c r="D3666" s="1">
        <v>4187234.0</v>
      </c>
      <c r="E3666" s="1"/>
      <c r="F3666" s="1"/>
    </row>
    <row r="3667">
      <c r="B3667" s="3" t="s">
        <v>648</v>
      </c>
      <c r="D3667" s="1">
        <v>165000.0</v>
      </c>
      <c r="E3667" s="1"/>
    </row>
    <row r="3668">
      <c r="B3668" s="45" t="s">
        <v>2542</v>
      </c>
      <c r="C3668" s="46"/>
      <c r="D3668" s="47">
        <v>108633.0</v>
      </c>
      <c r="E3668" s="47"/>
      <c r="F3668" s="39" t="s">
        <v>3275</v>
      </c>
    </row>
    <row r="3669">
      <c r="A3669" s="1" t="s">
        <v>3298</v>
      </c>
      <c r="B3669" s="1" t="s">
        <v>2853</v>
      </c>
      <c r="D3669" s="1">
        <v>39688.0</v>
      </c>
      <c r="E3669" s="1"/>
      <c r="F3669" s="1" t="s">
        <v>1332</v>
      </c>
    </row>
    <row r="3670">
      <c r="A3670" s="1" t="s">
        <v>3299</v>
      </c>
      <c r="B3670" s="1" t="s">
        <v>2019</v>
      </c>
      <c r="D3670" s="1">
        <v>678078.0</v>
      </c>
      <c r="E3670" s="1"/>
      <c r="F3670" s="1" t="s">
        <v>3161</v>
      </c>
    </row>
    <row r="3671">
      <c r="B3671" s="1" t="s">
        <v>2003</v>
      </c>
      <c r="D3671" s="1">
        <v>616192.0</v>
      </c>
      <c r="E3671" s="1"/>
      <c r="F3671" s="1" t="s">
        <v>3300</v>
      </c>
    </row>
    <row r="3672">
      <c r="B3672" s="1" t="s">
        <v>2005</v>
      </c>
      <c r="D3672" s="1">
        <v>513510.0</v>
      </c>
      <c r="E3672" s="1"/>
      <c r="F3672" s="1" t="s">
        <v>3153</v>
      </c>
    </row>
    <row r="3673">
      <c r="A3673" s="48" t="s">
        <v>3301</v>
      </c>
      <c r="B3673" s="40" t="s">
        <v>2150</v>
      </c>
      <c r="C3673" s="40"/>
      <c r="D3673" s="41">
        <v>3208970.0</v>
      </c>
      <c r="E3673" s="41"/>
      <c r="F3673" s="42" t="s">
        <v>2241</v>
      </c>
    </row>
    <row r="3674">
      <c r="A3674" s="48" t="s">
        <v>3302</v>
      </c>
      <c r="B3674" s="5" t="s">
        <v>2881</v>
      </c>
      <c r="D3674" s="1">
        <v>211470.0</v>
      </c>
      <c r="E3674" s="1"/>
      <c r="F3674" s="1" t="s">
        <v>3060</v>
      </c>
    </row>
    <row r="3675">
      <c r="B3675" s="1" t="s">
        <v>3303</v>
      </c>
      <c r="D3675" s="1">
        <v>563530.0</v>
      </c>
      <c r="E3675" s="1"/>
    </row>
    <row r="3676">
      <c r="A3676" s="1" t="s">
        <v>3304</v>
      </c>
      <c r="B3676" s="1" t="s">
        <v>3305</v>
      </c>
      <c r="D3676" s="1">
        <v>64000.0</v>
      </c>
      <c r="E3676" s="1"/>
      <c r="F3676" s="1" t="s">
        <v>1332</v>
      </c>
    </row>
    <row r="3677">
      <c r="A3677" s="48" t="s">
        <v>3306</v>
      </c>
      <c r="B3677" s="2" t="s">
        <v>2917</v>
      </c>
      <c r="C3677" s="29"/>
      <c r="D3677" s="2">
        <v>140800.0</v>
      </c>
      <c r="E3677" s="2"/>
      <c r="F3677" s="2" t="s">
        <v>3267</v>
      </c>
    </row>
    <row r="3678">
      <c r="A3678" s="48" t="s">
        <v>3306</v>
      </c>
      <c r="B3678" s="39" t="s">
        <v>2985</v>
      </c>
      <c r="C3678" s="40"/>
      <c r="D3678" s="41">
        <v>2070843.0</v>
      </c>
      <c r="E3678" s="41"/>
      <c r="F3678" s="1"/>
    </row>
    <row r="3679">
      <c r="A3679" s="48" t="s">
        <v>3307</v>
      </c>
      <c r="B3679" s="39" t="s">
        <v>1769</v>
      </c>
      <c r="C3679" s="40"/>
      <c r="D3679" s="41">
        <v>1968697.0</v>
      </c>
      <c r="E3679" s="41"/>
      <c r="F3679" s="1"/>
    </row>
    <row r="3680">
      <c r="A3680" s="48" t="s">
        <v>3308</v>
      </c>
      <c r="B3680" s="40" t="s">
        <v>280</v>
      </c>
      <c r="C3680" s="40"/>
      <c r="D3680" s="41">
        <v>2308413.0</v>
      </c>
      <c r="E3680" s="41"/>
      <c r="F3680" s="1"/>
    </row>
    <row r="3681">
      <c r="A3681" s="48" t="s">
        <v>3309</v>
      </c>
      <c r="B3681" s="48" t="s">
        <v>3145</v>
      </c>
      <c r="C3681" s="40"/>
      <c r="D3681" s="41">
        <v>721980.0</v>
      </c>
      <c r="E3681" s="41"/>
      <c r="F3681" s="1"/>
    </row>
    <row r="3682">
      <c r="A3682" s="48" t="s">
        <v>3310</v>
      </c>
      <c r="B3682" s="48" t="s">
        <v>3145</v>
      </c>
      <c r="C3682" s="40"/>
      <c r="D3682" s="41">
        <v>721980.0</v>
      </c>
      <c r="E3682" s="41"/>
      <c r="F3682" s="1" t="s">
        <v>3311</v>
      </c>
    </row>
    <row r="3683">
      <c r="A3683" s="48" t="s">
        <v>3312</v>
      </c>
      <c r="B3683" s="1" t="s">
        <v>1021</v>
      </c>
      <c r="D3683" s="1">
        <v>2195783.0</v>
      </c>
      <c r="E3683" s="1"/>
      <c r="F3683" s="1"/>
    </row>
    <row r="3684">
      <c r="A3684" s="1" t="s">
        <v>3306</v>
      </c>
      <c r="B3684" s="1" t="s">
        <v>276</v>
      </c>
      <c r="D3684" s="1">
        <v>367280.0</v>
      </c>
      <c r="E3684" s="1"/>
    </row>
    <row r="3685">
      <c r="B3685" s="1" t="s">
        <v>1224</v>
      </c>
      <c r="D3685" s="1">
        <v>36710.0</v>
      </c>
      <c r="E3685" s="1"/>
    </row>
    <row r="3686">
      <c r="A3686" s="1" t="s">
        <v>3308</v>
      </c>
      <c r="B3686" s="1" t="s">
        <v>2019</v>
      </c>
      <c r="D3686" s="1">
        <v>654696.0</v>
      </c>
      <c r="E3686" s="1"/>
      <c r="F3686" s="1" t="s">
        <v>3313</v>
      </c>
    </row>
    <row r="3687">
      <c r="B3687" s="1" t="s">
        <v>2003</v>
      </c>
      <c r="D3687" s="1">
        <v>539168.0</v>
      </c>
      <c r="E3687" s="1"/>
      <c r="F3687" s="1" t="s">
        <v>3217</v>
      </c>
    </row>
    <row r="3688">
      <c r="B3688" s="1" t="s">
        <v>2005</v>
      </c>
      <c r="D3688" s="1">
        <v>513510.0</v>
      </c>
      <c r="E3688" s="1"/>
      <c r="F3688" s="1" t="s">
        <v>3153</v>
      </c>
    </row>
    <row r="3689">
      <c r="A3689" s="1" t="s">
        <v>3314</v>
      </c>
      <c r="B3689" s="1" t="s">
        <v>3315</v>
      </c>
      <c r="D3689" s="1">
        <v>3886425.0</v>
      </c>
      <c r="E3689" s="1"/>
      <c r="F3689" s="1" t="s">
        <v>2554</v>
      </c>
    </row>
    <row r="3690">
      <c r="B3690" s="1" t="s">
        <v>3316</v>
      </c>
      <c r="D3690" s="1">
        <v>3352132.0</v>
      </c>
      <c r="E3690" s="1"/>
      <c r="F3690" s="1" t="s">
        <v>2554</v>
      </c>
    </row>
    <row r="3691">
      <c r="A3691" s="1" t="s">
        <v>3317</v>
      </c>
      <c r="B3691" s="1" t="s">
        <v>3180</v>
      </c>
      <c r="D3691" s="1">
        <v>60170.0</v>
      </c>
      <c r="E3691" s="1"/>
      <c r="F3691" s="1" t="s">
        <v>3318</v>
      </c>
    </row>
    <row r="3692">
      <c r="A3692" s="1" t="s">
        <v>3312</v>
      </c>
      <c r="B3692" s="1" t="s">
        <v>2633</v>
      </c>
      <c r="D3692" s="1">
        <v>47500.0</v>
      </c>
      <c r="E3692" s="1"/>
      <c r="F3692" s="1" t="s">
        <v>2653</v>
      </c>
    </row>
    <row r="3693">
      <c r="B3693" s="28" t="s">
        <v>1953</v>
      </c>
      <c r="D3693" s="1">
        <v>4167891.0</v>
      </c>
      <c r="E3693" s="1"/>
      <c r="F3693" s="1"/>
    </row>
    <row r="3694">
      <c r="B3694" s="3" t="s">
        <v>648</v>
      </c>
      <c r="D3694" s="1">
        <v>165000.0</v>
      </c>
      <c r="E3694" s="1"/>
    </row>
    <row r="3695">
      <c r="B3695" s="45" t="s">
        <v>2555</v>
      </c>
      <c r="C3695" s="46"/>
      <c r="D3695" s="47">
        <v>102631.0</v>
      </c>
      <c r="E3695" s="47"/>
      <c r="F3695" s="39" t="s">
        <v>3275</v>
      </c>
    </row>
    <row r="3696">
      <c r="A3696" s="1" t="s">
        <v>3319</v>
      </c>
      <c r="B3696" s="1" t="s">
        <v>2019</v>
      </c>
      <c r="D3696" s="1">
        <v>551218.0</v>
      </c>
      <c r="E3696" s="1"/>
      <c r="F3696" s="1" t="s">
        <v>3320</v>
      </c>
    </row>
    <row r="3697">
      <c r="B3697" s="1" t="s">
        <v>2003</v>
      </c>
      <c r="D3697" s="1">
        <v>519912.0</v>
      </c>
      <c r="E3697" s="1"/>
      <c r="F3697" s="1" t="s">
        <v>3187</v>
      </c>
    </row>
    <row r="3698">
      <c r="B3698" s="1" t="s">
        <v>2005</v>
      </c>
      <c r="D3698" s="1">
        <v>479276.0</v>
      </c>
      <c r="E3698" s="1"/>
      <c r="F3698" s="1" t="s">
        <v>3287</v>
      </c>
    </row>
    <row r="3699">
      <c r="A3699" s="48" t="s">
        <v>3321</v>
      </c>
      <c r="B3699" s="40" t="s">
        <v>2150</v>
      </c>
      <c r="C3699" s="40"/>
      <c r="D3699" s="41">
        <v>3189130.0</v>
      </c>
      <c r="E3699" s="41"/>
      <c r="F3699" s="42" t="s">
        <v>2241</v>
      </c>
    </row>
    <row r="3700">
      <c r="A3700" s="48" t="s">
        <v>3321</v>
      </c>
      <c r="B3700" s="5" t="s">
        <v>2881</v>
      </c>
      <c r="D3700" s="1">
        <v>211470.0</v>
      </c>
      <c r="E3700" s="1"/>
      <c r="F3700" s="1" t="s">
        <v>3060</v>
      </c>
    </row>
    <row r="3701">
      <c r="A3701" s="48" t="s">
        <v>3321</v>
      </c>
      <c r="B3701" s="2" t="s">
        <v>2934</v>
      </c>
      <c r="C3701" s="29"/>
      <c r="D3701" s="2">
        <v>140800.0</v>
      </c>
      <c r="E3701" s="2"/>
      <c r="F3701" s="2" t="s">
        <v>3267</v>
      </c>
    </row>
    <row r="3702">
      <c r="A3702" s="48" t="s">
        <v>3321</v>
      </c>
      <c r="B3702" s="39" t="s">
        <v>3322</v>
      </c>
      <c r="C3702" s="40"/>
      <c r="D3702" s="41">
        <v>2300153.0</v>
      </c>
      <c r="E3702" s="41"/>
      <c r="F3702" s="1"/>
    </row>
    <row r="3703">
      <c r="A3703" s="48" t="s">
        <v>3323</v>
      </c>
      <c r="B3703" s="39" t="s">
        <v>1769</v>
      </c>
      <c r="C3703" s="40"/>
      <c r="D3703" s="41">
        <v>2842527.0</v>
      </c>
      <c r="E3703" s="41"/>
      <c r="F3703" s="1"/>
    </row>
    <row r="3704">
      <c r="A3704" s="48" t="s">
        <v>3324</v>
      </c>
      <c r="B3704" s="40" t="s">
        <v>280</v>
      </c>
      <c r="C3704" s="40"/>
      <c r="D3704" s="41">
        <v>2577903.0</v>
      </c>
      <c r="E3704" s="41"/>
      <c r="F3704" s="1"/>
    </row>
    <row r="3705">
      <c r="A3705" s="48" t="s">
        <v>3325</v>
      </c>
      <c r="B3705" s="48" t="s">
        <v>3145</v>
      </c>
      <c r="C3705" s="40"/>
      <c r="D3705" s="41">
        <v>721980.0</v>
      </c>
      <c r="E3705" s="41"/>
      <c r="F3705" s="1"/>
    </row>
    <row r="3706">
      <c r="A3706" s="48" t="s">
        <v>3326</v>
      </c>
      <c r="B3706" s="1" t="s">
        <v>1021</v>
      </c>
      <c r="D3706" s="1">
        <v>3068343.0</v>
      </c>
      <c r="E3706" s="1"/>
      <c r="F3706" s="1"/>
    </row>
    <row r="3707">
      <c r="A3707" s="1" t="s">
        <v>3324</v>
      </c>
      <c r="B3707" s="1" t="s">
        <v>2019</v>
      </c>
      <c r="D3707" s="1">
        <v>695014.0</v>
      </c>
      <c r="E3707" s="1"/>
      <c r="F3707" s="1" t="s">
        <v>3327</v>
      </c>
    </row>
    <row r="3708">
      <c r="B3708" s="1" t="s">
        <v>2003</v>
      </c>
      <c r="D3708" s="1">
        <v>500656.0</v>
      </c>
      <c r="E3708" s="1"/>
      <c r="F3708" s="1" t="s">
        <v>3260</v>
      </c>
    </row>
    <row r="3709">
      <c r="B3709" s="1" t="s">
        <v>2005</v>
      </c>
      <c r="D3709" s="1">
        <v>513510.0</v>
      </c>
      <c r="E3709" s="1"/>
      <c r="F3709" s="1" t="s">
        <v>3153</v>
      </c>
    </row>
    <row r="3710">
      <c r="A3710" s="39" t="s">
        <v>3328</v>
      </c>
      <c r="B3710" s="40" t="s">
        <v>2633</v>
      </c>
      <c r="C3710" s="40"/>
      <c r="D3710" s="50">
        <v>47500.0</v>
      </c>
      <c r="E3710" s="50"/>
      <c r="F3710" s="40" t="s">
        <v>2653</v>
      </c>
    </row>
    <row r="3711">
      <c r="A3711" s="40"/>
      <c r="B3711" s="57" t="s">
        <v>1953</v>
      </c>
      <c r="C3711" s="40"/>
      <c r="D3711" s="41">
        <v>4127188.0</v>
      </c>
      <c r="E3711" s="41"/>
      <c r="F3711" s="40"/>
    </row>
    <row r="3712">
      <c r="A3712" s="40"/>
      <c r="B3712" s="40" t="s">
        <v>648</v>
      </c>
      <c r="C3712" s="40"/>
      <c r="D3712" s="50">
        <v>165000.0</v>
      </c>
      <c r="E3712" s="50"/>
      <c r="F3712" s="40"/>
    </row>
    <row r="3713">
      <c r="A3713" s="40"/>
      <c r="B3713" s="45" t="s">
        <v>2570</v>
      </c>
      <c r="C3713" s="46"/>
      <c r="D3713" s="47">
        <v>54808.0</v>
      </c>
      <c r="E3713" s="47"/>
      <c r="F3713" s="40" t="s">
        <v>3275</v>
      </c>
    </row>
    <row r="3714">
      <c r="A3714" s="1" t="s">
        <v>3329</v>
      </c>
      <c r="B3714" s="1" t="s">
        <v>2019</v>
      </c>
      <c r="D3714" s="1">
        <v>766912.0</v>
      </c>
      <c r="E3714" s="1"/>
      <c r="F3714" s="1" t="s">
        <v>3330</v>
      </c>
    </row>
    <row r="3715">
      <c r="B3715" s="1" t="s">
        <v>2003</v>
      </c>
      <c r="D3715" s="1">
        <v>616192.0</v>
      </c>
      <c r="E3715" s="1"/>
      <c r="F3715" s="1" t="s">
        <v>3300</v>
      </c>
    </row>
    <row r="3716">
      <c r="B3716" s="1" t="s">
        <v>2005</v>
      </c>
      <c r="D3716" s="1">
        <v>511299.0</v>
      </c>
      <c r="E3716" s="1"/>
      <c r="F3716" s="1" t="s">
        <v>3331</v>
      </c>
    </row>
    <row r="3717">
      <c r="A3717" s="48" t="s">
        <v>3332</v>
      </c>
      <c r="B3717" s="40" t="s">
        <v>2150</v>
      </c>
      <c r="C3717" s="40"/>
      <c r="D3717" s="41">
        <v>3189130.0</v>
      </c>
      <c r="E3717" s="41"/>
      <c r="F3717" s="42" t="s">
        <v>2241</v>
      </c>
    </row>
    <row r="3718">
      <c r="A3718" s="48" t="s">
        <v>3332</v>
      </c>
      <c r="B3718" s="5" t="s">
        <v>2881</v>
      </c>
      <c r="D3718" s="1">
        <v>211470.0</v>
      </c>
      <c r="E3718" s="1"/>
      <c r="F3718" s="1" t="s">
        <v>3060</v>
      </c>
    </row>
    <row r="3719">
      <c r="A3719" s="48" t="s">
        <v>3332</v>
      </c>
      <c r="B3719" s="2" t="s">
        <v>2957</v>
      </c>
      <c r="C3719" s="29"/>
      <c r="D3719" s="2">
        <v>140800.0</v>
      </c>
      <c r="E3719" s="2"/>
      <c r="F3719" s="2" t="s">
        <v>3267</v>
      </c>
    </row>
    <row r="3720">
      <c r="A3720" s="1" t="s">
        <v>3329</v>
      </c>
      <c r="B3720" s="1" t="s">
        <v>3333</v>
      </c>
      <c r="D3720" s="1">
        <v>397000.0</v>
      </c>
      <c r="E3720" s="1"/>
      <c r="F3720" s="3" t="s">
        <v>1147</v>
      </c>
    </row>
    <row r="3721">
      <c r="A3721" s="56" t="s">
        <v>3332</v>
      </c>
      <c r="B3721" s="56" t="s">
        <v>3334</v>
      </c>
      <c r="C3721" s="32"/>
      <c r="D3721" s="56">
        <v>575220.0</v>
      </c>
      <c r="E3721" s="56"/>
      <c r="F3721" s="1" t="s">
        <v>3335</v>
      </c>
    </row>
    <row r="3722">
      <c r="A3722" s="48" t="s">
        <v>3332</v>
      </c>
      <c r="B3722" s="39" t="s">
        <v>3322</v>
      </c>
      <c r="C3722" s="40"/>
      <c r="D3722" s="41">
        <v>2070843.0</v>
      </c>
      <c r="E3722" s="41"/>
    </row>
    <row r="3723">
      <c r="A3723" s="48" t="s">
        <v>3336</v>
      </c>
      <c r="B3723" s="39" t="s">
        <v>1769</v>
      </c>
      <c r="C3723" s="40"/>
      <c r="D3723" s="41">
        <v>2028157.0</v>
      </c>
      <c r="E3723" s="41"/>
    </row>
    <row r="3724">
      <c r="A3724" s="48" t="s">
        <v>3337</v>
      </c>
      <c r="B3724" s="40" t="s">
        <v>280</v>
      </c>
      <c r="C3724" s="40"/>
      <c r="D3724" s="41">
        <v>2290323.0</v>
      </c>
      <c r="E3724" s="41"/>
    </row>
    <row r="3725">
      <c r="A3725" s="48" t="s">
        <v>3338</v>
      </c>
      <c r="B3725" s="48" t="s">
        <v>3145</v>
      </c>
      <c r="C3725" s="40"/>
      <c r="D3725" s="41">
        <v>721980.0</v>
      </c>
      <c r="E3725" s="41"/>
    </row>
    <row r="3726">
      <c r="A3726" s="48" t="s">
        <v>3339</v>
      </c>
      <c r="B3726" s="1" t="s">
        <v>1021</v>
      </c>
      <c r="D3726" s="1">
        <v>2231863.0</v>
      </c>
      <c r="E3726" s="1"/>
      <c r="F3726" s="1"/>
    </row>
    <row r="3727">
      <c r="A3727" s="1" t="s">
        <v>3339</v>
      </c>
      <c r="B3727" s="1" t="s">
        <v>3340</v>
      </c>
      <c r="D3727" s="1">
        <v>220000.0</v>
      </c>
      <c r="E3727" s="1"/>
      <c r="F3727" s="1" t="s">
        <v>3341</v>
      </c>
    </row>
    <row r="3728">
      <c r="A3728" s="1" t="s">
        <v>3342</v>
      </c>
      <c r="B3728" s="1" t="s">
        <v>2019</v>
      </c>
      <c r="D3728" s="1">
        <v>718980.0</v>
      </c>
      <c r="E3728" s="1"/>
      <c r="F3728" s="1" t="s">
        <v>3343</v>
      </c>
    </row>
    <row r="3729">
      <c r="B3729" s="1" t="s">
        <v>2003</v>
      </c>
      <c r="D3729" s="1">
        <v>539168.0</v>
      </c>
      <c r="E3729" s="1"/>
      <c r="F3729" s="1" t="s">
        <v>3217</v>
      </c>
    </row>
    <row r="3730">
      <c r="B3730" s="1" t="s">
        <v>2005</v>
      </c>
      <c r="D3730" s="1">
        <v>476037.0</v>
      </c>
      <c r="E3730" s="1"/>
      <c r="F3730" s="1" t="s">
        <v>3344</v>
      </c>
    </row>
    <row r="3731">
      <c r="A3731" s="39" t="s">
        <v>3339</v>
      </c>
      <c r="B3731" s="40" t="s">
        <v>2633</v>
      </c>
      <c r="C3731" s="40"/>
      <c r="D3731" s="50">
        <v>47500.0</v>
      </c>
      <c r="E3731" s="50"/>
      <c r="F3731" s="40" t="s">
        <v>2653</v>
      </c>
    </row>
    <row r="3732">
      <c r="A3732" s="40"/>
      <c r="B3732" s="57" t="s">
        <v>1953</v>
      </c>
      <c r="C3732" s="40"/>
      <c r="D3732" s="41">
        <v>4058793.0</v>
      </c>
      <c r="E3732" s="41"/>
      <c r="F3732" s="40"/>
    </row>
    <row r="3733">
      <c r="A3733" s="40"/>
      <c r="B3733" s="40" t="s">
        <v>648</v>
      </c>
      <c r="C3733" s="40"/>
      <c r="D3733" s="50">
        <v>165000.0</v>
      </c>
      <c r="E3733" s="50"/>
      <c r="F3733" s="40"/>
    </row>
    <row r="3734">
      <c r="A3734" s="40"/>
      <c r="B3734" s="45" t="s">
        <v>2587</v>
      </c>
      <c r="C3734" s="46"/>
      <c r="D3734" s="47">
        <v>94548.0</v>
      </c>
      <c r="E3734" s="47"/>
      <c r="F3734" s="40" t="s">
        <v>3275</v>
      </c>
    </row>
    <row r="3735">
      <c r="A3735" s="1" t="s">
        <v>3345</v>
      </c>
      <c r="B3735" s="1" t="s">
        <v>2019</v>
      </c>
      <c r="D3735" s="1">
        <v>671048.0</v>
      </c>
      <c r="E3735" s="1"/>
      <c r="F3735" s="1" t="s">
        <v>3313</v>
      </c>
    </row>
    <row r="3736">
      <c r="B3736" s="1" t="s">
        <v>2003</v>
      </c>
      <c r="D3736" s="1">
        <v>558424.0</v>
      </c>
      <c r="E3736" s="1"/>
      <c r="F3736" s="1" t="s">
        <v>3207</v>
      </c>
    </row>
    <row r="3737">
      <c r="B3737" s="1" t="s">
        <v>2005</v>
      </c>
      <c r="D3737" s="1">
        <v>493668.0</v>
      </c>
      <c r="E3737" s="1"/>
      <c r="F3737" s="1" t="s">
        <v>3346</v>
      </c>
    </row>
    <row r="3738">
      <c r="A3738" s="48" t="s">
        <v>3347</v>
      </c>
      <c r="B3738" s="40" t="s">
        <v>2150</v>
      </c>
      <c r="C3738" s="40"/>
      <c r="D3738" s="41">
        <v>4012860.0</v>
      </c>
      <c r="E3738" s="41"/>
      <c r="F3738" s="42" t="s">
        <v>2241</v>
      </c>
    </row>
    <row r="3739">
      <c r="A3739" s="48" t="s">
        <v>3347</v>
      </c>
      <c r="B3739" s="5" t="s">
        <v>2881</v>
      </c>
      <c r="D3739" s="1">
        <v>211470.0</v>
      </c>
      <c r="E3739" s="1"/>
      <c r="F3739" s="1" t="s">
        <v>3060</v>
      </c>
    </row>
    <row r="3740">
      <c r="A3740" s="48" t="s">
        <v>3347</v>
      </c>
      <c r="B3740" s="2" t="s">
        <v>2974</v>
      </c>
      <c r="C3740" s="29"/>
      <c r="D3740" s="2">
        <v>140800.0</v>
      </c>
      <c r="E3740" s="2"/>
      <c r="F3740" s="2" t="s">
        <v>3267</v>
      </c>
    </row>
    <row r="3741">
      <c r="A3741" s="48" t="s">
        <v>3347</v>
      </c>
      <c r="B3741" s="39" t="s">
        <v>3322</v>
      </c>
      <c r="C3741" s="40"/>
      <c r="D3741" s="41">
        <v>2061673.0</v>
      </c>
      <c r="E3741" s="41"/>
    </row>
    <row r="3742">
      <c r="A3742" s="48" t="s">
        <v>3348</v>
      </c>
      <c r="B3742" s="39" t="s">
        <v>1769</v>
      </c>
      <c r="C3742" s="40"/>
      <c r="D3742" s="41">
        <v>1982237.0</v>
      </c>
      <c r="E3742" s="41"/>
    </row>
    <row r="3743">
      <c r="A3743" s="48" t="s">
        <v>3349</v>
      </c>
      <c r="B3743" s="40" t="s">
        <v>280</v>
      </c>
      <c r="C3743" s="40"/>
      <c r="D3743" s="41">
        <v>2249463.0</v>
      </c>
      <c r="E3743" s="41"/>
    </row>
    <row r="3744">
      <c r="A3744" s="48" t="s">
        <v>3350</v>
      </c>
      <c r="B3744" s="48" t="s">
        <v>3145</v>
      </c>
      <c r="C3744" s="40"/>
      <c r="D3744" s="41">
        <v>719000.0</v>
      </c>
      <c r="E3744" s="41"/>
    </row>
    <row r="3745">
      <c r="A3745" s="48" t="s">
        <v>3351</v>
      </c>
      <c r="B3745" s="1" t="s">
        <v>1021</v>
      </c>
      <c r="D3745" s="1">
        <v>2073903.0</v>
      </c>
      <c r="E3745" s="1"/>
    </row>
    <row r="3746">
      <c r="A3746" s="1" t="s">
        <v>3349</v>
      </c>
      <c r="B3746" s="1" t="s">
        <v>2019</v>
      </c>
      <c r="D3746" s="1">
        <v>695014.0</v>
      </c>
      <c r="E3746" s="1"/>
      <c r="F3746" s="1" t="s">
        <v>3327</v>
      </c>
    </row>
    <row r="3747">
      <c r="B3747" s="1" t="s">
        <v>2003</v>
      </c>
      <c r="D3747" s="1">
        <v>539168.0</v>
      </c>
      <c r="E3747" s="1"/>
      <c r="F3747" s="1" t="s">
        <v>3217</v>
      </c>
    </row>
    <row r="3748">
      <c r="B3748" s="1" t="s">
        <v>2005</v>
      </c>
      <c r="D3748" s="1">
        <v>511299.0</v>
      </c>
      <c r="E3748" s="1"/>
      <c r="F3748" s="1" t="s">
        <v>3331</v>
      </c>
    </row>
    <row r="3749">
      <c r="A3749" s="39" t="s">
        <v>3352</v>
      </c>
      <c r="B3749" s="40" t="s">
        <v>2633</v>
      </c>
      <c r="C3749" s="40"/>
      <c r="D3749" s="50">
        <v>47500.0</v>
      </c>
      <c r="E3749" s="50"/>
      <c r="F3749" s="40" t="s">
        <v>2653</v>
      </c>
    </row>
    <row r="3750">
      <c r="A3750" s="40"/>
      <c r="B3750" s="57" t="s">
        <v>1953</v>
      </c>
      <c r="C3750" s="40"/>
      <c r="D3750" s="41">
        <v>4048780.0</v>
      </c>
      <c r="E3750" s="41"/>
      <c r="F3750" s="40"/>
    </row>
    <row r="3751">
      <c r="A3751" s="40"/>
      <c r="B3751" s="40" t="s">
        <v>648</v>
      </c>
      <c r="C3751" s="40"/>
      <c r="D3751" s="50">
        <v>165000.0</v>
      </c>
      <c r="E3751" s="50"/>
      <c r="F3751" s="40"/>
    </row>
    <row r="3752">
      <c r="A3752" s="40"/>
      <c r="B3752" s="45" t="s">
        <v>3353</v>
      </c>
      <c r="C3752" s="46"/>
      <c r="D3752" s="47">
        <v>144237.0</v>
      </c>
      <c r="E3752" s="47"/>
      <c r="F3752" s="40" t="s">
        <v>3275</v>
      </c>
    </row>
    <row r="3753">
      <c r="A3753" s="1" t="s">
        <v>3354</v>
      </c>
      <c r="B3753" s="1" t="s">
        <v>2019</v>
      </c>
      <c r="D3753" s="1">
        <v>718980.0</v>
      </c>
      <c r="E3753" s="1"/>
      <c r="F3753" s="1" t="s">
        <v>3343</v>
      </c>
    </row>
    <row r="3754">
      <c r="B3754" s="1" t="s">
        <v>2003</v>
      </c>
      <c r="D3754" s="1">
        <v>558424.0</v>
      </c>
      <c r="E3754" s="1"/>
      <c r="F3754" s="1" t="s">
        <v>3207</v>
      </c>
    </row>
    <row r="3755">
      <c r="B3755" s="1" t="s">
        <v>2005</v>
      </c>
      <c r="D3755" s="1">
        <v>564192.0</v>
      </c>
      <c r="E3755" s="1"/>
      <c r="F3755" s="1" t="s">
        <v>3355</v>
      </c>
    </row>
    <row r="3756">
      <c r="A3756" s="48" t="s">
        <v>3356</v>
      </c>
      <c r="B3756" s="40" t="s">
        <v>2150</v>
      </c>
      <c r="C3756" s="40"/>
      <c r="D3756" s="41">
        <v>4012110.0</v>
      </c>
      <c r="E3756" s="41"/>
      <c r="F3756" s="42" t="s">
        <v>2241</v>
      </c>
    </row>
    <row r="3757">
      <c r="A3757" s="48" t="s">
        <v>3356</v>
      </c>
      <c r="B3757" s="5" t="s">
        <v>2881</v>
      </c>
      <c r="D3757" s="1">
        <v>211470.0</v>
      </c>
      <c r="E3757" s="1"/>
      <c r="F3757" s="1" t="s">
        <v>3060</v>
      </c>
    </row>
    <row r="3758">
      <c r="A3758" s="48" t="s">
        <v>3356</v>
      </c>
      <c r="B3758" s="2" t="s">
        <v>3001</v>
      </c>
      <c r="C3758" s="29"/>
      <c r="D3758" s="2">
        <v>140800.0</v>
      </c>
      <c r="E3758" s="2"/>
      <c r="F3758" s="2" t="s">
        <v>3267</v>
      </c>
    </row>
    <row r="3759">
      <c r="A3759" s="39" t="s">
        <v>3354</v>
      </c>
      <c r="B3759" s="39" t="s">
        <v>3357</v>
      </c>
      <c r="C3759" s="40"/>
      <c r="D3759" s="41">
        <v>5000.0</v>
      </c>
      <c r="E3759" s="41"/>
      <c r="F3759" s="40" t="s">
        <v>2653</v>
      </c>
    </row>
    <row r="3760">
      <c r="A3760" s="48" t="s">
        <v>3356</v>
      </c>
      <c r="B3760" s="39" t="s">
        <v>3322</v>
      </c>
      <c r="C3760" s="40"/>
      <c r="D3760" s="41">
        <v>2157283.0</v>
      </c>
      <c r="E3760" s="41"/>
      <c r="F3760" s="1" t="s">
        <v>3358</v>
      </c>
    </row>
    <row r="3761">
      <c r="A3761" s="48" t="s">
        <v>3359</v>
      </c>
      <c r="B3761" s="39" t="s">
        <v>1769</v>
      </c>
      <c r="C3761" s="40"/>
      <c r="D3761" s="41">
        <v>1979497.0</v>
      </c>
      <c r="E3761" s="41"/>
      <c r="F3761" s="1" t="s">
        <v>3360</v>
      </c>
    </row>
    <row r="3762">
      <c r="A3762" s="48" t="s">
        <v>3361</v>
      </c>
      <c r="B3762" s="40" t="s">
        <v>280</v>
      </c>
      <c r="C3762" s="40"/>
      <c r="D3762" s="41">
        <v>2268213.0</v>
      </c>
      <c r="E3762" s="41"/>
      <c r="F3762" s="1" t="s">
        <v>3362</v>
      </c>
    </row>
    <row r="3763">
      <c r="A3763" s="48" t="s">
        <v>3363</v>
      </c>
      <c r="B3763" s="48" t="s">
        <v>3145</v>
      </c>
      <c r="C3763" s="40"/>
      <c r="D3763" s="41">
        <v>719060.0</v>
      </c>
      <c r="E3763" s="41"/>
      <c r="F3763" s="1" t="s">
        <v>3364</v>
      </c>
    </row>
    <row r="3764">
      <c r="A3764" s="48" t="s">
        <v>3365</v>
      </c>
      <c r="B3764" s="1" t="s">
        <v>1021</v>
      </c>
      <c r="D3764" s="1">
        <v>2143900.0</v>
      </c>
      <c r="E3764" s="1"/>
      <c r="F3764" s="1" t="s">
        <v>3366</v>
      </c>
    </row>
    <row r="3765">
      <c r="A3765" s="1" t="s">
        <v>3367</v>
      </c>
      <c r="B3765" s="1" t="s">
        <v>2019</v>
      </c>
      <c r="D3765" s="1">
        <v>647082.0</v>
      </c>
      <c r="E3765" s="1"/>
      <c r="F3765" s="1" t="s">
        <v>3368</v>
      </c>
    </row>
    <row r="3766">
      <c r="B3766" s="1" t="s">
        <v>2003</v>
      </c>
      <c r="D3766" s="1">
        <v>553560.0</v>
      </c>
      <c r="E3766" s="1"/>
      <c r="F3766" s="1" t="s">
        <v>3369</v>
      </c>
    </row>
    <row r="3767">
      <c r="B3767" s="1" t="s">
        <v>2005</v>
      </c>
      <c r="D3767" s="1">
        <v>528930.0</v>
      </c>
      <c r="E3767" s="1"/>
      <c r="F3767" s="1" t="s">
        <v>3370</v>
      </c>
    </row>
    <row r="3768">
      <c r="A3768" s="39" t="s">
        <v>3365</v>
      </c>
      <c r="B3768" s="40" t="s">
        <v>2633</v>
      </c>
      <c r="C3768" s="40"/>
      <c r="D3768" s="50">
        <v>47500.0</v>
      </c>
      <c r="E3768" s="50"/>
      <c r="F3768" s="40" t="s">
        <v>2653</v>
      </c>
    </row>
    <row r="3769">
      <c r="A3769" s="40"/>
      <c r="B3769" s="57" t="s">
        <v>1953</v>
      </c>
      <c r="C3769" s="40"/>
      <c r="D3769" s="41">
        <v>4037090.0</v>
      </c>
      <c r="E3769" s="41"/>
      <c r="F3769" s="40"/>
    </row>
    <row r="3770">
      <c r="A3770" s="40"/>
      <c r="B3770" s="40" t="s">
        <v>648</v>
      </c>
      <c r="C3770" s="40"/>
      <c r="D3770" s="50">
        <v>165000.0</v>
      </c>
      <c r="E3770" s="50"/>
      <c r="F3770" s="40"/>
    </row>
    <row r="3771">
      <c r="A3771" s="40"/>
      <c r="B3771" s="45" t="s">
        <v>3371</v>
      </c>
      <c r="C3771" s="46"/>
      <c r="D3771" s="47">
        <v>101433.0</v>
      </c>
      <c r="E3771" s="47"/>
      <c r="F3771" s="40" t="s">
        <v>3275</v>
      </c>
    </row>
    <row r="3772">
      <c r="A3772" s="1" t="s">
        <v>3372</v>
      </c>
      <c r="B3772" s="1" t="s">
        <v>2019</v>
      </c>
      <c r="D3772" s="1">
        <v>647082.0</v>
      </c>
      <c r="E3772" s="1"/>
      <c r="F3772" s="1" t="s">
        <v>3368</v>
      </c>
    </row>
    <row r="3773">
      <c r="B3773" s="1" t="s">
        <v>2019</v>
      </c>
      <c r="D3773" s="1">
        <f>695014-647082</f>
        <v>47932</v>
      </c>
      <c r="E3773" s="1"/>
      <c r="F3773" s="1"/>
    </row>
    <row r="3774">
      <c r="B3774" s="1" t="s">
        <v>2003</v>
      </c>
      <c r="D3774" s="1">
        <v>553560.0</v>
      </c>
      <c r="E3774" s="1"/>
      <c r="F3774" s="1" t="s">
        <v>3369</v>
      </c>
    </row>
    <row r="3775">
      <c r="B3775" s="1" t="s">
        <v>2005</v>
      </c>
      <c r="D3775" s="1">
        <v>528930.0</v>
      </c>
      <c r="E3775" s="1"/>
      <c r="F3775" s="1" t="s">
        <v>3370</v>
      </c>
    </row>
    <row r="3776">
      <c r="A3776" s="1" t="s">
        <v>3373</v>
      </c>
      <c r="B3776" s="1" t="s">
        <v>3374</v>
      </c>
      <c r="D3776" s="1">
        <v>9634860.0</v>
      </c>
      <c r="E3776" s="1"/>
      <c r="F3776" s="1" t="s">
        <v>275</v>
      </c>
    </row>
    <row r="3777">
      <c r="B3777" s="1" t="s">
        <v>3375</v>
      </c>
      <c r="D3777" s="1">
        <v>3105120.0</v>
      </c>
      <c r="E3777" s="1"/>
      <c r="F3777" s="1" t="s">
        <v>275</v>
      </c>
    </row>
    <row r="3778">
      <c r="B3778" s="1" t="s">
        <v>1828</v>
      </c>
      <c r="D3778" s="1">
        <v>1568600.0</v>
      </c>
      <c r="E3778" s="1"/>
    </row>
    <row r="3779">
      <c r="B3779" s="1" t="s">
        <v>2033</v>
      </c>
      <c r="D3779" s="1">
        <v>1435940.0</v>
      </c>
      <c r="E3779" s="1"/>
    </row>
    <row r="3780">
      <c r="A3780" s="48" t="s">
        <v>3376</v>
      </c>
      <c r="B3780" s="40" t="s">
        <v>2150</v>
      </c>
      <c r="C3780" s="40"/>
      <c r="D3780" s="41">
        <v>3660530.0</v>
      </c>
      <c r="E3780" s="41"/>
      <c r="F3780" s="42" t="s">
        <v>2241</v>
      </c>
    </row>
    <row r="3781">
      <c r="A3781" s="48" t="s">
        <v>3376</v>
      </c>
      <c r="B3781" s="5" t="s">
        <v>2881</v>
      </c>
      <c r="D3781" s="1">
        <v>211470.0</v>
      </c>
      <c r="E3781" s="1"/>
      <c r="F3781" s="1" t="s">
        <v>3060</v>
      </c>
    </row>
    <row r="3782">
      <c r="A3782" s="48" t="s">
        <v>3376</v>
      </c>
      <c r="B3782" s="39" t="s">
        <v>3322</v>
      </c>
      <c r="C3782" s="40"/>
      <c r="D3782" s="41">
        <v>2157283.0</v>
      </c>
      <c r="E3782" s="41"/>
      <c r="F3782" s="1" t="s">
        <v>3358</v>
      </c>
    </row>
    <row r="3783">
      <c r="A3783" s="48" t="s">
        <v>3377</v>
      </c>
      <c r="B3783" s="39" t="s">
        <v>1769</v>
      </c>
      <c r="C3783" s="40"/>
      <c r="D3783" s="41">
        <v>1967947.0</v>
      </c>
      <c r="E3783" s="41"/>
      <c r="F3783" s="1" t="s">
        <v>3360</v>
      </c>
    </row>
    <row r="3784">
      <c r="A3784" s="48" t="s">
        <v>3378</v>
      </c>
      <c r="B3784" s="40" t="s">
        <v>280</v>
      </c>
      <c r="C3784" s="40"/>
      <c r="D3784" s="41">
        <v>2268213.0</v>
      </c>
      <c r="E3784" s="41"/>
      <c r="F3784" s="1" t="s">
        <v>3362</v>
      </c>
    </row>
    <row r="3785">
      <c r="A3785" s="48" t="s">
        <v>3379</v>
      </c>
      <c r="B3785" s="48" t="s">
        <v>3145</v>
      </c>
      <c r="C3785" s="40"/>
      <c r="D3785" s="41">
        <v>719060.0</v>
      </c>
      <c r="E3785" s="41"/>
      <c r="F3785" s="1" t="s">
        <v>3364</v>
      </c>
    </row>
    <row r="3786">
      <c r="A3786" s="48" t="s">
        <v>3380</v>
      </c>
      <c r="B3786" s="1" t="s">
        <v>1021</v>
      </c>
      <c r="D3786" s="1">
        <v>2141113.0</v>
      </c>
      <c r="E3786" s="1"/>
      <c r="F3786" s="1" t="s">
        <v>3366</v>
      </c>
    </row>
    <row r="3787">
      <c r="A3787" s="39" t="s">
        <v>3381</v>
      </c>
      <c r="B3787" s="40" t="s">
        <v>2633</v>
      </c>
      <c r="C3787" s="40"/>
      <c r="D3787" s="41">
        <v>45000.0</v>
      </c>
      <c r="E3787" s="50"/>
      <c r="F3787" s="40" t="s">
        <v>2653</v>
      </c>
    </row>
    <row r="3788">
      <c r="A3788" s="40"/>
      <c r="B3788" s="57" t="s">
        <v>1953</v>
      </c>
      <c r="C3788" s="40"/>
      <c r="D3788" s="41">
        <v>4065060.0</v>
      </c>
      <c r="E3788" s="41"/>
      <c r="F3788" s="40"/>
    </row>
    <row r="3789">
      <c r="A3789" s="40"/>
      <c r="B3789" s="40" t="s">
        <v>648</v>
      </c>
      <c r="C3789" s="40"/>
      <c r="D3789" s="50">
        <v>165000.0</v>
      </c>
      <c r="E3789" s="50"/>
      <c r="F3789" s="40"/>
    </row>
    <row r="3790">
      <c r="A3790" s="40"/>
      <c r="B3790" s="45" t="s">
        <v>3382</v>
      </c>
      <c r="C3790" s="46"/>
      <c r="D3790" s="47">
        <v>102833.0</v>
      </c>
      <c r="E3790" s="47"/>
      <c r="F3790" s="40" t="s">
        <v>3275</v>
      </c>
    </row>
    <row r="3791">
      <c r="B3791" s="1" t="s">
        <v>3333</v>
      </c>
      <c r="D3791" s="1">
        <v>397000.0</v>
      </c>
      <c r="E3791" s="1"/>
      <c r="F3791" s="3" t="s">
        <v>1147</v>
      </c>
    </row>
    <row r="3792">
      <c r="A3792" s="1" t="s">
        <v>3383</v>
      </c>
      <c r="B3792" s="1" t="s">
        <v>3384</v>
      </c>
      <c r="D3792" s="1">
        <v>991990.0</v>
      </c>
    </row>
    <row r="3793">
      <c r="B3793" s="1" t="s">
        <v>3211</v>
      </c>
      <c r="D3793" s="1">
        <v>991990.0</v>
      </c>
    </row>
    <row r="3794">
      <c r="B3794" s="1" t="s">
        <v>3213</v>
      </c>
      <c r="D3794" s="1">
        <v>1539290.0</v>
      </c>
    </row>
    <row r="3795">
      <c r="B3795" s="1" t="s">
        <v>3385</v>
      </c>
      <c r="D3795" s="1">
        <v>1459650.0</v>
      </c>
    </row>
    <row r="3796">
      <c r="B3796" s="1" t="s">
        <v>3386</v>
      </c>
      <c r="D3796" s="1">
        <v>6820.0</v>
      </c>
    </row>
    <row r="3797">
      <c r="A3797" s="1" t="s">
        <v>3387</v>
      </c>
      <c r="B3797" s="1" t="s">
        <v>2019</v>
      </c>
      <c r="D3797" s="1">
        <v>814844.0</v>
      </c>
      <c r="E3797" s="1"/>
      <c r="F3797" s="1" t="s">
        <v>3388</v>
      </c>
    </row>
    <row r="3798">
      <c r="B3798" s="1" t="s">
        <v>2003</v>
      </c>
      <c r="D3798" s="1">
        <v>711720.0</v>
      </c>
      <c r="E3798" s="1"/>
      <c r="F3798" s="1" t="s">
        <v>3389</v>
      </c>
    </row>
    <row r="3799">
      <c r="B3799" s="1" t="s">
        <v>2005</v>
      </c>
      <c r="D3799" s="1">
        <v>581823.0</v>
      </c>
      <c r="E3799" s="1"/>
      <c r="F3799" s="1" t="s">
        <v>3390</v>
      </c>
    </row>
    <row r="3800">
      <c r="A3800" s="48" t="s">
        <v>3391</v>
      </c>
      <c r="B3800" s="40" t="s">
        <v>2150</v>
      </c>
      <c r="C3800" s="40"/>
      <c r="D3800" s="41">
        <v>2515670.0</v>
      </c>
      <c r="E3800" s="41"/>
      <c r="F3800" s="42" t="s">
        <v>2241</v>
      </c>
    </row>
    <row r="3801">
      <c r="A3801" s="48" t="s">
        <v>3391</v>
      </c>
      <c r="B3801" s="5" t="s">
        <v>2881</v>
      </c>
      <c r="D3801" s="1">
        <v>211470.0</v>
      </c>
      <c r="E3801" s="1"/>
      <c r="F3801" s="1" t="s">
        <v>3060</v>
      </c>
    </row>
    <row r="3802">
      <c r="A3802" s="48" t="s">
        <v>3391</v>
      </c>
      <c r="B3802" s="2" t="s">
        <v>3023</v>
      </c>
      <c r="C3802" s="29"/>
      <c r="D3802" s="2">
        <v>140800.0</v>
      </c>
      <c r="E3802" s="2"/>
      <c r="F3802" s="2" t="s">
        <v>3267</v>
      </c>
    </row>
    <row r="3803">
      <c r="A3803" s="1" t="s">
        <v>3391</v>
      </c>
      <c r="B3803" s="1" t="s">
        <v>276</v>
      </c>
      <c r="D3803" s="1">
        <v>482390.0</v>
      </c>
      <c r="F3803" s="1" t="s">
        <v>275</v>
      </c>
    </row>
    <row r="3804">
      <c r="B3804" s="1" t="s">
        <v>1224</v>
      </c>
      <c r="D3804" s="1">
        <v>48220.0</v>
      </c>
      <c r="F3804" s="1" t="s">
        <v>275</v>
      </c>
    </row>
    <row r="3805">
      <c r="A3805" s="48" t="s">
        <v>3392</v>
      </c>
      <c r="B3805" s="39" t="s">
        <v>3322</v>
      </c>
      <c r="C3805" s="40"/>
      <c r="D3805" s="41">
        <v>2146703.0</v>
      </c>
      <c r="E3805" s="41"/>
      <c r="F3805" s="1" t="s">
        <v>3358</v>
      </c>
    </row>
    <row r="3806">
      <c r="A3806" s="48" t="s">
        <v>3393</v>
      </c>
      <c r="B3806" s="39" t="s">
        <v>1769</v>
      </c>
      <c r="C3806" s="40"/>
      <c r="D3806" s="41">
        <v>2060327.0</v>
      </c>
      <c r="E3806" s="41"/>
      <c r="F3806" s="1" t="s">
        <v>3360</v>
      </c>
    </row>
    <row r="3807">
      <c r="A3807" s="48" t="s">
        <v>3394</v>
      </c>
      <c r="B3807" s="40" t="s">
        <v>280</v>
      </c>
      <c r="C3807" s="40"/>
      <c r="D3807" s="41">
        <v>2374903.0</v>
      </c>
      <c r="E3807" s="41"/>
      <c r="F3807" s="1" t="s">
        <v>3362</v>
      </c>
    </row>
    <row r="3808">
      <c r="A3808" s="48" t="s">
        <v>3395</v>
      </c>
      <c r="B3808" s="48" t="s">
        <v>3145</v>
      </c>
      <c r="C3808" s="40"/>
      <c r="D3808" s="41">
        <v>719060.0</v>
      </c>
      <c r="E3808" s="41"/>
      <c r="F3808" s="1" t="s">
        <v>3364</v>
      </c>
    </row>
    <row r="3809">
      <c r="A3809" s="48" t="s">
        <v>3396</v>
      </c>
      <c r="B3809" s="1" t="s">
        <v>1021</v>
      </c>
      <c r="D3809" s="1">
        <v>2227723.0</v>
      </c>
      <c r="E3809" s="1"/>
      <c r="F3809" s="1" t="s">
        <v>3366</v>
      </c>
    </row>
    <row r="3810">
      <c r="A3810" s="48" t="s">
        <v>3397</v>
      </c>
      <c r="B3810" s="2" t="s">
        <v>3002</v>
      </c>
      <c r="C3810" s="29"/>
      <c r="D3810" s="2">
        <v>140800.0</v>
      </c>
      <c r="E3810" s="2"/>
      <c r="F3810" s="2" t="s">
        <v>3267</v>
      </c>
    </row>
    <row r="3811">
      <c r="A3811" s="1" t="s">
        <v>3391</v>
      </c>
      <c r="B3811" s="1" t="s">
        <v>3398</v>
      </c>
      <c r="D3811" s="1">
        <v>62500.0</v>
      </c>
      <c r="F3811" s="1" t="s">
        <v>275</v>
      </c>
    </row>
    <row r="3812">
      <c r="B3812" s="1" t="s">
        <v>69</v>
      </c>
      <c r="D3812" s="1">
        <v>6000.0</v>
      </c>
      <c r="F3812" s="1" t="s">
        <v>275</v>
      </c>
    </row>
    <row r="3813">
      <c r="A3813" s="1" t="s">
        <v>3394</v>
      </c>
      <c r="B3813" s="1" t="s">
        <v>2019</v>
      </c>
      <c r="D3813" s="1">
        <v>623116.0</v>
      </c>
      <c r="E3813" s="1"/>
      <c r="F3813" s="1" t="s">
        <v>3399</v>
      </c>
    </row>
    <row r="3814">
      <c r="B3814" s="1" t="s">
        <v>2003</v>
      </c>
      <c r="D3814" s="1">
        <v>553560.0</v>
      </c>
      <c r="E3814" s="1"/>
      <c r="F3814" s="1" t="s">
        <v>3369</v>
      </c>
    </row>
    <row r="3815">
      <c r="B3815" s="1" t="s">
        <v>2005</v>
      </c>
      <c r="D3815" s="1">
        <v>528930.0</v>
      </c>
      <c r="E3815" s="1"/>
      <c r="F3815" s="1" t="s">
        <v>3370</v>
      </c>
    </row>
    <row r="3816">
      <c r="A3816" s="39" t="s">
        <v>3396</v>
      </c>
      <c r="B3816" s="40" t="s">
        <v>2633</v>
      </c>
      <c r="C3816" s="40"/>
      <c r="D3816" s="41">
        <v>47500.0</v>
      </c>
      <c r="E3816" s="50"/>
      <c r="F3816" s="40" t="s">
        <v>2653</v>
      </c>
    </row>
    <row r="3817">
      <c r="A3817" s="40"/>
      <c r="B3817" s="57" t="s">
        <v>1953</v>
      </c>
      <c r="C3817" s="40"/>
      <c r="D3817" s="41">
        <v>4096183.0</v>
      </c>
      <c r="E3817" s="41"/>
      <c r="F3817" s="40"/>
    </row>
    <row r="3818">
      <c r="A3818" s="40"/>
      <c r="B3818" s="40" t="s">
        <v>648</v>
      </c>
      <c r="C3818" s="40"/>
      <c r="D3818" s="50">
        <v>165000.0</v>
      </c>
      <c r="E3818" s="50"/>
      <c r="F3818" s="40"/>
    </row>
    <row r="3819">
      <c r="A3819" s="40"/>
      <c r="B3819" s="45" t="s">
        <v>3400</v>
      </c>
      <c r="C3819" s="46"/>
      <c r="D3819" s="47">
        <v>92113.0</v>
      </c>
      <c r="E3819" s="47"/>
      <c r="F3819" s="40" t="s">
        <v>3275</v>
      </c>
    </row>
    <row r="3820">
      <c r="A3820" s="1" t="s">
        <v>3401</v>
      </c>
      <c r="B3820" s="1" t="s">
        <v>2019</v>
      </c>
      <c r="D3820" s="1">
        <v>766912.0</v>
      </c>
      <c r="E3820" s="1"/>
      <c r="F3820" s="1" t="s">
        <v>3330</v>
      </c>
    </row>
    <row r="3821">
      <c r="B3821" s="1" t="s">
        <v>2003</v>
      </c>
      <c r="D3821" s="1">
        <v>553560.0</v>
      </c>
      <c r="E3821" s="1"/>
      <c r="F3821" s="1" t="s">
        <v>3369</v>
      </c>
    </row>
    <row r="3822">
      <c r="B3822" s="1" t="s">
        <v>2005</v>
      </c>
      <c r="D3822" s="1">
        <v>528930.0</v>
      </c>
      <c r="E3822" s="1"/>
      <c r="F3822" s="1" t="s">
        <v>3370</v>
      </c>
    </row>
    <row r="3823">
      <c r="A3823" s="1" t="s">
        <v>3396</v>
      </c>
      <c r="B3823" s="1" t="s">
        <v>2853</v>
      </c>
      <c r="D3823" s="1">
        <v>126400.0</v>
      </c>
      <c r="E3823" s="1"/>
      <c r="F3823" s="1" t="s">
        <v>3402</v>
      </c>
    </row>
    <row r="3824">
      <c r="A3824" s="48" t="s">
        <v>3403</v>
      </c>
      <c r="B3824" s="40" t="s">
        <v>2150</v>
      </c>
      <c r="C3824" s="40"/>
      <c r="D3824" s="41">
        <v>3729190.0</v>
      </c>
      <c r="E3824" s="41"/>
      <c r="F3824" s="42" t="s">
        <v>2241</v>
      </c>
    </row>
    <row r="3825">
      <c r="A3825" s="48" t="s">
        <v>3404</v>
      </c>
      <c r="B3825" s="5" t="s">
        <v>2881</v>
      </c>
      <c r="D3825" s="1">
        <v>211470.0</v>
      </c>
      <c r="E3825" s="1"/>
      <c r="F3825" s="1" t="s">
        <v>3060</v>
      </c>
    </row>
    <row r="3826">
      <c r="A3826" s="48" t="s">
        <v>3403</v>
      </c>
      <c r="B3826" s="2" t="s">
        <v>3041</v>
      </c>
      <c r="C3826" s="29"/>
      <c r="D3826" s="2">
        <v>140800.0</v>
      </c>
      <c r="E3826" s="2"/>
      <c r="F3826" s="2" t="s">
        <v>3267</v>
      </c>
    </row>
    <row r="3827">
      <c r="A3827" s="48" t="s">
        <v>3403</v>
      </c>
      <c r="B3827" s="39" t="s">
        <v>3322</v>
      </c>
      <c r="C3827" s="40"/>
      <c r="D3827" s="41">
        <v>2146703.0</v>
      </c>
      <c r="E3827" s="41"/>
      <c r="F3827" s="1" t="s">
        <v>3358</v>
      </c>
    </row>
    <row r="3828">
      <c r="A3828" s="48" t="s">
        <v>3405</v>
      </c>
      <c r="B3828" s="39" t="s">
        <v>1769</v>
      </c>
      <c r="C3828" s="40"/>
      <c r="D3828" s="41">
        <v>1993907.0</v>
      </c>
      <c r="E3828" s="41"/>
      <c r="F3828" s="1" t="s">
        <v>3360</v>
      </c>
    </row>
    <row r="3829">
      <c r="A3829" s="48" t="s">
        <v>3405</v>
      </c>
      <c r="B3829" s="40" t="s">
        <v>280</v>
      </c>
      <c r="C3829" s="40"/>
      <c r="D3829" s="41">
        <v>2257853.0</v>
      </c>
      <c r="E3829" s="41"/>
      <c r="F3829" s="1" t="s">
        <v>3362</v>
      </c>
    </row>
    <row r="3830">
      <c r="A3830" s="48" t="s">
        <v>3406</v>
      </c>
      <c r="B3830" s="48" t="s">
        <v>3145</v>
      </c>
      <c r="C3830" s="40"/>
      <c r="D3830" s="41">
        <v>719060.0</v>
      </c>
      <c r="E3830" s="41"/>
      <c r="F3830" s="1" t="s">
        <v>3364</v>
      </c>
    </row>
    <row r="3831">
      <c r="A3831" s="48" t="s">
        <v>3407</v>
      </c>
      <c r="B3831" s="1" t="s">
        <v>1021</v>
      </c>
      <c r="D3831" s="1">
        <v>2132733.0</v>
      </c>
      <c r="E3831" s="1"/>
      <c r="F3831" s="1" t="s">
        <v>3366</v>
      </c>
    </row>
    <row r="3832">
      <c r="A3832" s="35" t="s">
        <v>3408</v>
      </c>
      <c r="B3832" s="35" t="s">
        <v>3409</v>
      </c>
      <c r="C3832" s="36"/>
      <c r="D3832" s="56">
        <v>386522.0</v>
      </c>
      <c r="E3832" s="56"/>
      <c r="F3832" s="35" t="s">
        <v>2813</v>
      </c>
    </row>
    <row r="3833">
      <c r="A3833" s="1" t="s">
        <v>3404</v>
      </c>
      <c r="B3833" s="1" t="s">
        <v>276</v>
      </c>
      <c r="D3833" s="1">
        <v>279050.0</v>
      </c>
      <c r="F3833" s="1" t="s">
        <v>275</v>
      </c>
    </row>
    <row r="3834">
      <c r="B3834" s="1" t="s">
        <v>1224</v>
      </c>
      <c r="D3834" s="1">
        <v>27890.0</v>
      </c>
      <c r="F3834" s="1" t="s">
        <v>275</v>
      </c>
    </row>
    <row r="3835">
      <c r="A3835" s="1" t="s">
        <v>3405</v>
      </c>
      <c r="B3835" s="1" t="s">
        <v>2019</v>
      </c>
      <c r="D3835" s="1">
        <v>695014.0</v>
      </c>
      <c r="E3835" s="1"/>
      <c r="F3835" s="1" t="s">
        <v>3327</v>
      </c>
    </row>
    <row r="3836">
      <c r="B3836" s="1" t="s">
        <v>2003</v>
      </c>
      <c r="D3836" s="1">
        <v>573330.0</v>
      </c>
      <c r="E3836" s="1"/>
      <c r="F3836" s="1" t="s">
        <v>3410</v>
      </c>
    </row>
    <row r="3837">
      <c r="B3837" s="1" t="s">
        <v>2005</v>
      </c>
      <c r="D3837" s="1">
        <v>528930.0</v>
      </c>
      <c r="E3837" s="1"/>
      <c r="F3837" s="1" t="s">
        <v>3370</v>
      </c>
    </row>
    <row r="3838">
      <c r="A3838" s="39" t="s">
        <v>3407</v>
      </c>
      <c r="B3838" s="40" t="s">
        <v>2633</v>
      </c>
      <c r="C3838" s="40"/>
      <c r="D3838" s="41">
        <v>47500.0</v>
      </c>
      <c r="E3838" s="50"/>
      <c r="F3838" s="40" t="s">
        <v>2653</v>
      </c>
    </row>
    <row r="3839">
      <c r="A3839" s="40"/>
      <c r="B3839" s="57" t="s">
        <v>1953</v>
      </c>
      <c r="C3839" s="40"/>
      <c r="D3839" s="41">
        <v>4128998.0</v>
      </c>
      <c r="E3839" s="41"/>
      <c r="F3839" s="40"/>
    </row>
    <row r="3840">
      <c r="A3840" s="40"/>
      <c r="B3840" s="40" t="s">
        <v>648</v>
      </c>
      <c r="C3840" s="40"/>
      <c r="D3840" s="50">
        <v>165000.0</v>
      </c>
      <c r="E3840" s="50"/>
      <c r="F3840" s="40"/>
    </row>
    <row r="3841">
      <c r="A3841" s="40"/>
      <c r="B3841" s="45" t="s">
        <v>3411</v>
      </c>
      <c r="C3841" s="46"/>
      <c r="D3841" s="47">
        <v>21618.0</v>
      </c>
      <c r="E3841" s="47"/>
      <c r="F3841" s="40" t="s">
        <v>3275</v>
      </c>
    </row>
    <row r="3842">
      <c r="A3842" s="1" t="s">
        <v>3412</v>
      </c>
      <c r="B3842" s="1" t="s">
        <v>2019</v>
      </c>
      <c r="D3842" s="58">
        <f>766912-47932</f>
        <v>718980</v>
      </c>
      <c r="E3842" s="59" t="s">
        <v>3413</v>
      </c>
      <c r="F3842" s="1" t="s">
        <v>3343</v>
      </c>
      <c r="G3842" s="60">
        <f>766912-718980</f>
        <v>47932</v>
      </c>
      <c r="H3842" s="58" t="s">
        <v>3414</v>
      </c>
    </row>
    <row r="3843">
      <c r="B3843" s="1" t="s">
        <v>2003</v>
      </c>
      <c r="D3843" s="58">
        <f>553560+39540</f>
        <v>593100</v>
      </c>
      <c r="E3843" s="58" t="s">
        <v>3415</v>
      </c>
      <c r="F3843" s="1" t="s">
        <v>3416</v>
      </c>
      <c r="G3843" s="60">
        <f>593100-553560</f>
        <v>39540</v>
      </c>
      <c r="H3843" s="58" t="s">
        <v>3417</v>
      </c>
    </row>
    <row r="3844">
      <c r="B3844" s="1" t="s">
        <v>2005</v>
      </c>
      <c r="D3844" s="1">
        <v>528930.0</v>
      </c>
      <c r="E3844" s="1"/>
      <c r="F3844" s="1" t="s">
        <v>3370</v>
      </c>
    </row>
    <row r="3845">
      <c r="A3845" s="48" t="s">
        <v>3418</v>
      </c>
      <c r="B3845" s="40" t="s">
        <v>2150</v>
      </c>
      <c r="C3845" s="40"/>
      <c r="D3845" s="41">
        <v>3729190.0</v>
      </c>
      <c r="E3845" s="41"/>
      <c r="F3845" s="42" t="s">
        <v>2241</v>
      </c>
    </row>
    <row r="3846">
      <c r="A3846" s="48" t="s">
        <v>3418</v>
      </c>
      <c r="B3846" s="5" t="s">
        <v>2881</v>
      </c>
      <c r="D3846" s="1">
        <v>211470.0</v>
      </c>
      <c r="E3846" s="1"/>
      <c r="F3846" s="1" t="s">
        <v>3060</v>
      </c>
    </row>
    <row r="3847">
      <c r="A3847" s="48" t="s">
        <v>3418</v>
      </c>
      <c r="B3847" s="2" t="s">
        <v>3073</v>
      </c>
      <c r="C3847" s="29"/>
      <c r="D3847" s="2">
        <v>140800.0</v>
      </c>
      <c r="E3847" s="2"/>
      <c r="F3847" s="2" t="s">
        <v>3267</v>
      </c>
    </row>
    <row r="3848">
      <c r="A3848" s="48" t="s">
        <v>3418</v>
      </c>
      <c r="B3848" s="39" t="s">
        <v>3322</v>
      </c>
      <c r="C3848" s="40"/>
      <c r="D3848" s="41">
        <v>2146703.0</v>
      </c>
      <c r="E3848" s="41"/>
      <c r="F3848" s="1" t="s">
        <v>3358</v>
      </c>
    </row>
    <row r="3849">
      <c r="A3849" s="48" t="s">
        <v>3419</v>
      </c>
      <c r="B3849" s="39" t="s">
        <v>1769</v>
      </c>
      <c r="C3849" s="40"/>
      <c r="D3849" s="41">
        <v>1999757.0</v>
      </c>
      <c r="E3849" s="41"/>
      <c r="F3849" s="1" t="s">
        <v>3360</v>
      </c>
    </row>
    <row r="3850">
      <c r="A3850" s="48" t="s">
        <v>3420</v>
      </c>
      <c r="B3850" s="40" t="s">
        <v>280</v>
      </c>
      <c r="C3850" s="40"/>
      <c r="D3850" s="41">
        <v>2254703.0</v>
      </c>
      <c r="E3850" s="41"/>
      <c r="F3850" s="1" t="s">
        <v>3362</v>
      </c>
    </row>
    <row r="3851">
      <c r="A3851" s="48" t="s">
        <v>3421</v>
      </c>
      <c r="B3851" s="48" t="s">
        <v>3145</v>
      </c>
      <c r="C3851" s="40"/>
      <c r="D3851" s="41">
        <v>719060.0</v>
      </c>
      <c r="E3851" s="41"/>
      <c r="F3851" s="1" t="s">
        <v>3364</v>
      </c>
    </row>
    <row r="3852">
      <c r="A3852" s="48" t="s">
        <v>3422</v>
      </c>
      <c r="B3852" s="1" t="s">
        <v>1021</v>
      </c>
      <c r="D3852" s="1">
        <v>2156253.0</v>
      </c>
      <c r="E3852" s="1"/>
      <c r="F3852" s="1" t="s">
        <v>3366</v>
      </c>
    </row>
    <row r="3853">
      <c r="A3853" s="1" t="s">
        <v>3418</v>
      </c>
      <c r="B3853" s="1" t="s">
        <v>276</v>
      </c>
      <c r="D3853" s="1">
        <v>515530.0</v>
      </c>
      <c r="F3853" s="1" t="s">
        <v>275</v>
      </c>
    </row>
    <row r="3854">
      <c r="B3854" s="1" t="s">
        <v>1224</v>
      </c>
      <c r="D3854" s="1">
        <v>51530.0</v>
      </c>
      <c r="F3854" s="1" t="s">
        <v>275</v>
      </c>
    </row>
    <row r="3855">
      <c r="A3855" s="1" t="s">
        <v>3420</v>
      </c>
      <c r="B3855" s="1" t="s">
        <v>2019</v>
      </c>
      <c r="D3855" s="58">
        <f>647082+47932</f>
        <v>695014</v>
      </c>
      <c r="E3855" s="59" t="s">
        <v>3423</v>
      </c>
      <c r="F3855" s="1" t="s">
        <v>3327</v>
      </c>
      <c r="G3855" s="58">
        <f>695014-47932</f>
        <v>647082</v>
      </c>
      <c r="H3855" s="58" t="s">
        <v>3424</v>
      </c>
    </row>
    <row r="3856">
      <c r="B3856" s="1" t="s">
        <v>2003</v>
      </c>
      <c r="D3856" s="33">
        <v>553560.0</v>
      </c>
      <c r="E3856" s="33"/>
      <c r="F3856" s="1" t="s">
        <v>3369</v>
      </c>
    </row>
    <row r="3857">
      <c r="B3857" s="1" t="s">
        <v>2005</v>
      </c>
      <c r="D3857" s="1">
        <v>493668.0</v>
      </c>
      <c r="E3857" s="1"/>
      <c r="F3857" s="1" t="s">
        <v>3346</v>
      </c>
    </row>
    <row r="3858">
      <c r="A3858" s="39" t="s">
        <v>3425</v>
      </c>
      <c r="B3858" s="40" t="s">
        <v>2633</v>
      </c>
      <c r="C3858" s="40"/>
      <c r="D3858" s="41">
        <v>47500.0</v>
      </c>
      <c r="E3858" s="50"/>
      <c r="F3858" s="40" t="s">
        <v>2653</v>
      </c>
    </row>
    <row r="3859">
      <c r="A3859" s="40"/>
      <c r="B3859" s="57" t="s">
        <v>1953</v>
      </c>
      <c r="C3859" s="40"/>
      <c r="D3859" s="41">
        <v>4007068.0</v>
      </c>
      <c r="E3859" s="41"/>
      <c r="F3859" s="40"/>
    </row>
    <row r="3860">
      <c r="A3860" s="40"/>
      <c r="B3860" s="40" t="s">
        <v>648</v>
      </c>
      <c r="C3860" s="40"/>
      <c r="D3860" s="50">
        <v>165000.0</v>
      </c>
      <c r="E3860" s="50"/>
      <c r="F3860" s="40"/>
    </row>
    <row r="3861">
      <c r="A3861" s="40"/>
      <c r="B3861" s="45" t="s">
        <v>3426</v>
      </c>
      <c r="C3861" s="46"/>
      <c r="D3861" s="47">
        <v>115607.0</v>
      </c>
      <c r="E3861" s="47"/>
      <c r="F3861" s="40" t="s">
        <v>3275</v>
      </c>
    </row>
    <row r="3862">
      <c r="A3862" s="1" t="s">
        <v>3425</v>
      </c>
      <c r="B3862" s="1" t="s">
        <v>2400</v>
      </c>
      <c r="D3862" s="1">
        <v>65000.0</v>
      </c>
      <c r="E3862" s="1"/>
      <c r="F3862" s="1" t="s">
        <v>2948</v>
      </c>
    </row>
    <row r="3863">
      <c r="B3863" s="1" t="s">
        <v>3055</v>
      </c>
      <c r="D3863" s="1">
        <v>65000.0</v>
      </c>
      <c r="E3863" s="1"/>
      <c r="F3863" s="1" t="s">
        <v>2948</v>
      </c>
    </row>
    <row r="3864">
      <c r="B3864" s="1" t="s">
        <v>2324</v>
      </c>
      <c r="D3864" s="1">
        <v>100000.0</v>
      </c>
      <c r="E3864" s="1"/>
      <c r="F3864" s="1" t="s">
        <v>2948</v>
      </c>
    </row>
    <row r="3865">
      <c r="B3865" s="1" t="s">
        <v>2326</v>
      </c>
      <c r="D3865" s="1">
        <v>100000.0</v>
      </c>
      <c r="E3865" s="1"/>
      <c r="F3865" s="1" t="s">
        <v>2948</v>
      </c>
    </row>
    <row r="3866">
      <c r="B3866" s="1" t="s">
        <v>3333</v>
      </c>
      <c r="D3866" s="1">
        <v>627000.0</v>
      </c>
      <c r="E3866" s="1"/>
      <c r="F3866" s="3" t="s">
        <v>1147</v>
      </c>
      <c r="G3866" s="61" t="s">
        <v>3427</v>
      </c>
    </row>
    <row r="3867">
      <c r="A3867" s="1" t="s">
        <v>3428</v>
      </c>
      <c r="B3867" s="1" t="s">
        <v>2019</v>
      </c>
      <c r="D3867" s="1">
        <v>742946.0</v>
      </c>
      <c r="E3867" s="62"/>
      <c r="F3867" s="1" t="s">
        <v>3429</v>
      </c>
      <c r="G3867" s="63">
        <f t="shared" ref="G3867:G3869" si="5">D3867-D3842</f>
        <v>23966</v>
      </c>
    </row>
    <row r="3868">
      <c r="B3868" s="1" t="s">
        <v>2003</v>
      </c>
      <c r="D3868" s="1">
        <v>632640.0</v>
      </c>
      <c r="F3868" s="1" t="s">
        <v>3430</v>
      </c>
      <c r="G3868" s="63">
        <f t="shared" si="5"/>
        <v>39540</v>
      </c>
    </row>
    <row r="3869">
      <c r="B3869" s="1" t="s">
        <v>2005</v>
      </c>
      <c r="D3869" s="1">
        <v>564192.0</v>
      </c>
      <c r="E3869" s="1"/>
      <c r="F3869" s="1" t="s">
        <v>3355</v>
      </c>
      <c r="G3869" s="63">
        <f t="shared" si="5"/>
        <v>35262</v>
      </c>
    </row>
    <row r="3870">
      <c r="A3870" s="48" t="s">
        <v>3431</v>
      </c>
      <c r="B3870" s="40" t="s">
        <v>2150</v>
      </c>
      <c r="C3870" s="40"/>
      <c r="D3870" s="41">
        <v>3729190.0</v>
      </c>
      <c r="E3870" s="41"/>
      <c r="F3870" s="42" t="s">
        <v>2241</v>
      </c>
    </row>
    <row r="3871">
      <c r="A3871" s="48" t="s">
        <v>3431</v>
      </c>
      <c r="B3871" s="5" t="s">
        <v>2881</v>
      </c>
      <c r="D3871" s="1">
        <v>211470.0</v>
      </c>
      <c r="E3871" s="1"/>
      <c r="F3871" s="1" t="s">
        <v>3060</v>
      </c>
    </row>
    <row r="3872">
      <c r="A3872" s="48" t="s">
        <v>3431</v>
      </c>
      <c r="B3872" s="2" t="s">
        <v>2875</v>
      </c>
      <c r="C3872" s="29"/>
      <c r="D3872" s="2">
        <v>140800.0</v>
      </c>
      <c r="E3872" s="2"/>
      <c r="F3872" s="2" t="s">
        <v>3267</v>
      </c>
    </row>
    <row r="3873">
      <c r="A3873" s="1" t="s">
        <v>3432</v>
      </c>
      <c r="B3873" s="1" t="s">
        <v>3433</v>
      </c>
      <c r="D3873" s="1">
        <v>176000.0</v>
      </c>
      <c r="F3873" s="1" t="s">
        <v>1332</v>
      </c>
    </row>
    <row r="3874">
      <c r="A3874" s="48" t="s">
        <v>3431</v>
      </c>
      <c r="B3874" s="39" t="s">
        <v>3322</v>
      </c>
      <c r="C3874" s="40"/>
      <c r="D3874" s="41">
        <v>2146703.0</v>
      </c>
      <c r="E3874" s="41"/>
      <c r="F3874" s="1" t="s">
        <v>3358</v>
      </c>
    </row>
    <row r="3875">
      <c r="A3875" s="48" t="s">
        <v>3434</v>
      </c>
      <c r="B3875" s="39" t="s">
        <v>1769</v>
      </c>
      <c r="C3875" s="40"/>
      <c r="D3875" s="41">
        <v>2005447.0</v>
      </c>
      <c r="E3875" s="41"/>
      <c r="F3875" s="1" t="s">
        <v>3360</v>
      </c>
    </row>
    <row r="3876">
      <c r="A3876" s="48" t="s">
        <v>3435</v>
      </c>
      <c r="B3876" s="40" t="s">
        <v>280</v>
      </c>
      <c r="C3876" s="40"/>
      <c r="D3876" s="41">
        <v>2261013.0</v>
      </c>
      <c r="E3876" s="41"/>
      <c r="F3876" s="1" t="s">
        <v>3362</v>
      </c>
    </row>
    <row r="3877">
      <c r="A3877" s="48" t="s">
        <v>3436</v>
      </c>
      <c r="B3877" s="48" t="s">
        <v>3145</v>
      </c>
      <c r="C3877" s="40"/>
      <c r="D3877" s="64">
        <v>719060.0</v>
      </c>
      <c r="E3877" s="41"/>
      <c r="F3877" s="1" t="s">
        <v>3437</v>
      </c>
    </row>
    <row r="3878">
      <c r="A3878" s="48" t="s">
        <v>3438</v>
      </c>
      <c r="B3878" s="1" t="s">
        <v>1021</v>
      </c>
      <c r="D3878" s="1">
        <v>2153383.0</v>
      </c>
      <c r="E3878" s="1"/>
      <c r="F3878" s="1" t="s">
        <v>3366</v>
      </c>
    </row>
    <row r="3879">
      <c r="A3879" s="1" t="s">
        <v>3431</v>
      </c>
      <c r="B3879" s="1" t="s">
        <v>276</v>
      </c>
      <c r="D3879" s="1">
        <v>493060.0</v>
      </c>
      <c r="F3879" s="1" t="s">
        <v>275</v>
      </c>
    </row>
    <row r="3880">
      <c r="B3880" s="1" t="s">
        <v>1224</v>
      </c>
      <c r="D3880" s="1">
        <v>49300.0</v>
      </c>
      <c r="F3880" s="1" t="s">
        <v>275</v>
      </c>
    </row>
    <row r="3881">
      <c r="A3881" s="1" t="s">
        <v>3435</v>
      </c>
      <c r="B3881" s="1" t="s">
        <v>2019</v>
      </c>
      <c r="D3881" s="1">
        <v>671048.0</v>
      </c>
      <c r="E3881" s="62"/>
      <c r="F3881" s="1" t="s">
        <v>3313</v>
      </c>
    </row>
    <row r="3882">
      <c r="B3882" s="1" t="s">
        <v>2003</v>
      </c>
      <c r="D3882" s="1">
        <v>573330.0</v>
      </c>
      <c r="F3882" s="1" t="s">
        <v>3410</v>
      </c>
    </row>
    <row r="3883">
      <c r="B3883" s="1" t="s">
        <v>2005</v>
      </c>
      <c r="D3883" s="1">
        <v>440775.0</v>
      </c>
      <c r="E3883" s="1"/>
      <c r="F3883" s="1" t="s">
        <v>3439</v>
      </c>
    </row>
    <row r="3884">
      <c r="A3884" s="39" t="s">
        <v>3438</v>
      </c>
      <c r="B3884" s="40" t="s">
        <v>2633</v>
      </c>
      <c r="C3884" s="40"/>
      <c r="D3884" s="41">
        <v>47500.0</v>
      </c>
      <c r="E3884" s="50"/>
      <c r="F3884" s="40" t="s">
        <v>2653</v>
      </c>
    </row>
    <row r="3885">
      <c r="A3885" s="40"/>
      <c r="B3885" s="57" t="s">
        <v>1953</v>
      </c>
      <c r="C3885" s="40"/>
      <c r="D3885" s="41">
        <v>4052021.0</v>
      </c>
      <c r="E3885" s="41"/>
      <c r="F3885" s="40"/>
    </row>
    <row r="3886">
      <c r="A3886" s="40"/>
      <c r="B3886" s="40" t="s">
        <v>648</v>
      </c>
      <c r="C3886" s="40"/>
      <c r="D3886" s="50">
        <v>165000.0</v>
      </c>
      <c r="E3886" s="50"/>
      <c r="F3886" s="40"/>
    </row>
    <row r="3887">
      <c r="A3887" s="1" t="s">
        <v>3438</v>
      </c>
      <c r="B3887" s="45" t="s">
        <v>3440</v>
      </c>
      <c r="C3887" s="46"/>
      <c r="D3887" s="47">
        <v>58920.0</v>
      </c>
      <c r="E3887" s="47"/>
      <c r="F3887" s="40" t="s">
        <v>3275</v>
      </c>
    </row>
    <row r="3888">
      <c r="B3888" s="1" t="s">
        <v>3085</v>
      </c>
      <c r="D3888" s="1">
        <v>1.5522E7</v>
      </c>
      <c r="F3888" s="1" t="s">
        <v>275</v>
      </c>
    </row>
    <row r="3889">
      <c r="A3889" s="1" t="s">
        <v>3441</v>
      </c>
      <c r="B3889" s="1" t="s">
        <v>3442</v>
      </c>
      <c r="D3889" s="1">
        <v>870000.0</v>
      </c>
      <c r="F3889" s="1" t="s">
        <v>1332</v>
      </c>
    </row>
    <row r="3890">
      <c r="A3890" s="1" t="s">
        <v>3443</v>
      </c>
      <c r="B3890" s="1" t="s">
        <v>2019</v>
      </c>
      <c r="D3890" s="1">
        <v>695014.0</v>
      </c>
      <c r="E3890" s="62"/>
      <c r="F3890" s="1" t="s">
        <v>3327</v>
      </c>
    </row>
    <row r="3891">
      <c r="B3891" s="1" t="s">
        <v>2003</v>
      </c>
      <c r="D3891" s="1">
        <v>553560.0</v>
      </c>
      <c r="F3891" s="1" t="s">
        <v>3369</v>
      </c>
    </row>
    <row r="3892">
      <c r="B3892" s="1" t="s">
        <v>2005</v>
      </c>
      <c r="D3892" s="1">
        <v>528930.0</v>
      </c>
      <c r="E3892" s="1"/>
      <c r="F3892" s="1" t="s">
        <v>3370</v>
      </c>
    </row>
    <row r="3893">
      <c r="A3893" s="48" t="s">
        <v>3444</v>
      </c>
      <c r="B3893" s="40" t="s">
        <v>2150</v>
      </c>
      <c r="C3893" s="40"/>
      <c r="D3893" s="41">
        <v>3729190.0</v>
      </c>
      <c r="E3893" s="41"/>
      <c r="F3893" s="42" t="s">
        <v>2241</v>
      </c>
    </row>
    <row r="3894">
      <c r="A3894" s="48" t="s">
        <v>3444</v>
      </c>
      <c r="B3894" s="5" t="s">
        <v>2881</v>
      </c>
      <c r="D3894" s="1">
        <v>0.0</v>
      </c>
      <c r="E3894" s="1"/>
      <c r="F3894" s="1" t="s">
        <v>3060</v>
      </c>
    </row>
    <row r="3895">
      <c r="A3895" s="48" t="s">
        <v>3444</v>
      </c>
      <c r="B3895" s="2" t="s">
        <v>2886</v>
      </c>
      <c r="C3895" s="29"/>
      <c r="D3895" s="2">
        <v>140800.0</v>
      </c>
      <c r="E3895" s="2"/>
      <c r="F3895" s="2" t="s">
        <v>3267</v>
      </c>
    </row>
    <row r="3896">
      <c r="A3896" s="30" t="s">
        <v>3443</v>
      </c>
      <c r="B3896" s="30" t="s">
        <v>3445</v>
      </c>
      <c r="C3896" s="31"/>
      <c r="D3896" s="30">
        <v>300000.0</v>
      </c>
      <c r="E3896" s="30"/>
      <c r="F3896" s="30" t="s">
        <v>3446</v>
      </c>
    </row>
    <row r="3897">
      <c r="A3897" s="48" t="s">
        <v>3444</v>
      </c>
      <c r="B3897" s="39" t="s">
        <v>3322</v>
      </c>
      <c r="C3897" s="40"/>
      <c r="D3897" s="41">
        <v>2146703.0</v>
      </c>
      <c r="E3897" s="41"/>
      <c r="F3897" s="1" t="s">
        <v>3358</v>
      </c>
    </row>
    <row r="3898">
      <c r="A3898" s="48" t="s">
        <v>3447</v>
      </c>
      <c r="B3898" s="39" t="s">
        <v>1769</v>
      </c>
      <c r="C3898" s="40"/>
      <c r="D3898" s="41">
        <v>2008297.0</v>
      </c>
      <c r="E3898" s="41"/>
      <c r="F3898" s="1" t="s">
        <v>3360</v>
      </c>
    </row>
    <row r="3899">
      <c r="A3899" s="48" t="s">
        <v>3448</v>
      </c>
      <c r="B3899" s="40" t="s">
        <v>280</v>
      </c>
      <c r="C3899" s="40"/>
      <c r="D3899" s="41">
        <v>2261013.0</v>
      </c>
      <c r="E3899" s="41"/>
      <c r="F3899" s="1" t="s">
        <v>3362</v>
      </c>
    </row>
    <row r="3900">
      <c r="A3900" s="48" t="s">
        <v>3449</v>
      </c>
      <c r="B3900" s="48" t="s">
        <v>3145</v>
      </c>
      <c r="C3900" s="40"/>
      <c r="D3900" s="47">
        <v>719060.0</v>
      </c>
      <c r="E3900" s="41"/>
      <c r="F3900" s="1" t="s">
        <v>3364</v>
      </c>
    </row>
    <row r="3901">
      <c r="A3901" s="48" t="s">
        <v>3450</v>
      </c>
      <c r="B3901" s="1" t="s">
        <v>1021</v>
      </c>
      <c r="D3901" s="1">
        <v>2142023.0</v>
      </c>
      <c r="E3901" s="1"/>
      <c r="F3901" s="1" t="s">
        <v>3366</v>
      </c>
    </row>
    <row r="3902">
      <c r="A3902" s="1" t="s">
        <v>3451</v>
      </c>
      <c r="B3902" s="1" t="s">
        <v>276</v>
      </c>
      <c r="D3902" s="1">
        <v>485280.0</v>
      </c>
      <c r="F3902" s="1" t="s">
        <v>275</v>
      </c>
    </row>
    <row r="3903">
      <c r="B3903" s="1" t="s">
        <v>1224</v>
      </c>
      <c r="D3903" s="1">
        <v>48510.0</v>
      </c>
      <c r="F3903" s="1" t="s">
        <v>275</v>
      </c>
    </row>
    <row r="3904">
      <c r="B3904" s="1" t="s">
        <v>3452</v>
      </c>
      <c r="D3904" s="1">
        <v>1834060.0</v>
      </c>
      <c r="F3904" s="1" t="s">
        <v>275</v>
      </c>
    </row>
    <row r="3905">
      <c r="A3905" s="1" t="s">
        <v>3453</v>
      </c>
      <c r="B3905" s="1" t="s">
        <v>2019</v>
      </c>
      <c r="D3905" s="1">
        <v>695014.0</v>
      </c>
      <c r="E3905" s="62"/>
      <c r="F3905" s="1" t="s">
        <v>3327</v>
      </c>
    </row>
    <row r="3906">
      <c r="B3906" s="1" t="s">
        <v>2003</v>
      </c>
      <c r="D3906" s="1">
        <v>514020.0</v>
      </c>
      <c r="F3906" s="1" t="s">
        <v>3454</v>
      </c>
    </row>
    <row r="3907">
      <c r="B3907" s="1" t="s">
        <v>2005</v>
      </c>
      <c r="D3907" s="1">
        <v>511299.0</v>
      </c>
      <c r="E3907" s="1"/>
      <c r="F3907" s="1" t="s">
        <v>3331</v>
      </c>
    </row>
    <row r="3908">
      <c r="A3908" s="1" t="s">
        <v>3455</v>
      </c>
      <c r="B3908" s="1" t="s">
        <v>3456</v>
      </c>
      <c r="D3908" s="1">
        <v>116840.0</v>
      </c>
      <c r="F3908" s="1" t="s">
        <v>3457</v>
      </c>
    </row>
    <row r="3909">
      <c r="A3909" s="39" t="s">
        <v>3458</v>
      </c>
      <c r="B3909" s="40" t="s">
        <v>2633</v>
      </c>
      <c r="C3909" s="40"/>
      <c r="D3909" s="41">
        <v>47500.0</v>
      </c>
      <c r="E3909" s="50"/>
      <c r="F3909" s="40" t="s">
        <v>2653</v>
      </c>
    </row>
    <row r="3910">
      <c r="A3910" s="40"/>
      <c r="B3910" s="57" t="s">
        <v>1953</v>
      </c>
      <c r="C3910" s="40"/>
      <c r="D3910" s="41">
        <v>4101281.0</v>
      </c>
      <c r="E3910" s="41"/>
      <c r="F3910" s="40"/>
    </row>
    <row r="3911">
      <c r="A3911" s="40"/>
      <c r="B3911" s="40" t="s">
        <v>648</v>
      </c>
      <c r="C3911" s="40"/>
      <c r="D3911" s="50">
        <v>165000.0</v>
      </c>
      <c r="E3911" s="50"/>
      <c r="F3911" s="40"/>
    </row>
    <row r="3912">
      <c r="B3912" s="45" t="s">
        <v>3459</v>
      </c>
      <c r="C3912" s="46"/>
      <c r="D3912" s="47">
        <v>66846.0</v>
      </c>
      <c r="E3912" s="47"/>
      <c r="F3912" s="40" t="s">
        <v>3275</v>
      </c>
    </row>
    <row r="3913">
      <c r="A3913" s="1" t="s">
        <v>3460</v>
      </c>
      <c r="B3913" s="1" t="s">
        <v>2019</v>
      </c>
      <c r="D3913" s="1">
        <v>718980.0</v>
      </c>
      <c r="E3913" s="62"/>
      <c r="F3913" s="1" t="s">
        <v>3343</v>
      </c>
    </row>
    <row r="3914">
      <c r="B3914" s="1" t="s">
        <v>2003</v>
      </c>
      <c r="D3914" s="1">
        <v>612870.0</v>
      </c>
      <c r="F3914" s="1" t="s">
        <v>3461</v>
      </c>
    </row>
    <row r="3915">
      <c r="B3915" s="1" t="s">
        <v>2005</v>
      </c>
      <c r="D3915" s="1">
        <v>528930.0</v>
      </c>
      <c r="E3915" s="1"/>
      <c r="F3915" s="1" t="s">
        <v>3370</v>
      </c>
    </row>
    <row r="3916">
      <c r="A3916" s="1" t="s">
        <v>3460</v>
      </c>
      <c r="B3916" s="1" t="s">
        <v>3462</v>
      </c>
      <c r="D3916" s="1">
        <v>3446493.0</v>
      </c>
      <c r="E3916" s="1"/>
      <c r="F3916" s="1" t="s">
        <v>2554</v>
      </c>
    </row>
    <row r="3917">
      <c r="A3917" s="48" t="s">
        <v>3463</v>
      </c>
      <c r="B3917" s="40" t="s">
        <v>2150</v>
      </c>
      <c r="C3917" s="40"/>
      <c r="D3917" s="41">
        <v>3730330.0</v>
      </c>
      <c r="E3917" s="41"/>
      <c r="F3917" s="42" t="s">
        <v>2241</v>
      </c>
    </row>
    <row r="3918">
      <c r="A3918" s="48"/>
      <c r="B3918" s="5" t="s">
        <v>2881</v>
      </c>
      <c r="D3918" s="1">
        <v>0.0</v>
      </c>
      <c r="E3918" s="1"/>
      <c r="F3918" s="1" t="s">
        <v>3060</v>
      </c>
    </row>
    <row r="3919">
      <c r="A3919" s="48" t="s">
        <v>3463</v>
      </c>
      <c r="B3919" s="2" t="s">
        <v>2905</v>
      </c>
      <c r="C3919" s="29"/>
      <c r="D3919" s="2">
        <v>140800.0</v>
      </c>
      <c r="E3919" s="2"/>
      <c r="F3919" s="2" t="s">
        <v>3267</v>
      </c>
    </row>
    <row r="3920">
      <c r="A3920" s="48" t="s">
        <v>3463</v>
      </c>
      <c r="B3920" s="39" t="s">
        <v>3322</v>
      </c>
      <c r="C3920" s="40"/>
      <c r="D3920" s="41">
        <v>2146703.0</v>
      </c>
      <c r="E3920" s="41"/>
      <c r="F3920" s="1" t="s">
        <v>3358</v>
      </c>
    </row>
    <row r="3921">
      <c r="A3921" s="48" t="s">
        <v>3464</v>
      </c>
      <c r="B3921" s="39" t="s">
        <v>1769</v>
      </c>
      <c r="C3921" s="40"/>
      <c r="D3921" s="41">
        <v>2002607.0</v>
      </c>
      <c r="E3921" s="41"/>
      <c r="F3921" s="1" t="s">
        <v>3360</v>
      </c>
    </row>
    <row r="3922">
      <c r="A3922" s="48" t="s">
        <v>3465</v>
      </c>
      <c r="B3922" s="40" t="s">
        <v>280</v>
      </c>
      <c r="C3922" s="40"/>
      <c r="D3922" s="41">
        <v>2264153.0</v>
      </c>
      <c r="E3922" s="41"/>
      <c r="F3922" s="1" t="s">
        <v>3362</v>
      </c>
    </row>
    <row r="3923">
      <c r="A3923" s="48" t="s">
        <v>3466</v>
      </c>
      <c r="B3923" s="48" t="s">
        <v>3145</v>
      </c>
      <c r="C3923" s="40"/>
      <c r="D3923" s="47">
        <v>719060.0</v>
      </c>
      <c r="E3923" s="41"/>
      <c r="F3923" s="1" t="s">
        <v>3364</v>
      </c>
    </row>
    <row r="3924">
      <c r="A3924" s="48" t="s">
        <v>3467</v>
      </c>
      <c r="B3924" s="1" t="s">
        <v>1021</v>
      </c>
      <c r="D3924" s="1">
        <v>2164853.0</v>
      </c>
      <c r="E3924" s="1"/>
      <c r="F3924" s="1" t="s">
        <v>3366</v>
      </c>
    </row>
    <row r="3925">
      <c r="A3925" s="1" t="s">
        <v>3463</v>
      </c>
      <c r="B3925" s="1" t="s">
        <v>276</v>
      </c>
      <c r="D3925" s="1">
        <v>492680.0</v>
      </c>
      <c r="F3925" s="1" t="s">
        <v>275</v>
      </c>
    </row>
    <row r="3926">
      <c r="B3926" s="1" t="s">
        <v>1224</v>
      </c>
      <c r="D3926" s="1">
        <v>49250.0</v>
      </c>
      <c r="F3926" s="1" t="s">
        <v>275</v>
      </c>
    </row>
    <row r="3927">
      <c r="A3927" s="1" t="s">
        <v>3468</v>
      </c>
      <c r="B3927" s="1" t="s">
        <v>2019</v>
      </c>
      <c r="D3927" s="1">
        <v>671048.0</v>
      </c>
      <c r="E3927" s="62"/>
      <c r="F3927" s="1" t="s">
        <v>3313</v>
      </c>
    </row>
    <row r="3928">
      <c r="B3928" s="1" t="s">
        <v>2003</v>
      </c>
      <c r="D3928" s="1">
        <v>573330.0</v>
      </c>
      <c r="F3928" s="1" t="s">
        <v>3410</v>
      </c>
    </row>
    <row r="3929">
      <c r="B3929" s="1" t="s">
        <v>2005</v>
      </c>
      <c r="D3929" s="1">
        <v>511299.0</v>
      </c>
      <c r="E3929" s="1"/>
      <c r="F3929" s="1" t="s">
        <v>3331</v>
      </c>
    </row>
    <row r="3930">
      <c r="A3930" s="39" t="s">
        <v>3467</v>
      </c>
      <c r="B3930" s="40" t="s">
        <v>2633</v>
      </c>
      <c r="C3930" s="40"/>
      <c r="D3930" s="41">
        <v>45000.0</v>
      </c>
      <c r="E3930" s="50"/>
      <c r="F3930" s="40" t="s">
        <v>2653</v>
      </c>
    </row>
    <row r="3931">
      <c r="A3931" s="40"/>
      <c r="B3931" s="57" t="s">
        <v>1953</v>
      </c>
      <c r="C3931" s="40"/>
      <c r="D3931" s="41">
        <v>4270801.0</v>
      </c>
      <c r="E3931" s="41"/>
      <c r="F3931" s="40"/>
    </row>
    <row r="3932">
      <c r="A3932" s="40"/>
      <c r="B3932" s="40" t="s">
        <v>648</v>
      </c>
      <c r="C3932" s="40"/>
      <c r="D3932" s="50">
        <v>165000.0</v>
      </c>
      <c r="E3932" s="50"/>
      <c r="F3932" s="40"/>
    </row>
    <row r="3933">
      <c r="B3933" s="45" t="s">
        <v>3469</v>
      </c>
      <c r="C3933" s="46"/>
      <c r="D3933" s="47">
        <v>170608.0</v>
      </c>
      <c r="E3933" s="47"/>
      <c r="F3933" s="40" t="s">
        <v>3275</v>
      </c>
    </row>
    <row r="3934">
      <c r="A3934" s="1" t="s">
        <v>3470</v>
      </c>
      <c r="B3934" s="1" t="s">
        <v>3471</v>
      </c>
      <c r="D3934" s="1">
        <v>27000.0</v>
      </c>
      <c r="F3934" s="1" t="s">
        <v>275</v>
      </c>
    </row>
    <row r="3935">
      <c r="A3935" s="1" t="s">
        <v>3472</v>
      </c>
      <c r="B3935" s="1" t="s">
        <v>3473</v>
      </c>
      <c r="D3935" s="1">
        <v>220000.0</v>
      </c>
      <c r="E3935" s="1"/>
      <c r="F3935" s="3" t="s">
        <v>1147</v>
      </c>
    </row>
    <row r="3936">
      <c r="A3936" s="1" t="s">
        <v>3474</v>
      </c>
      <c r="B3936" s="1" t="s">
        <v>2019</v>
      </c>
      <c r="D3936" s="1">
        <v>718980.0</v>
      </c>
      <c r="E3936" s="62"/>
      <c r="F3936" s="1" t="s">
        <v>3343</v>
      </c>
    </row>
    <row r="3937">
      <c r="B3937" s="1" t="s">
        <v>2003</v>
      </c>
      <c r="D3937" s="1">
        <v>632640.0</v>
      </c>
      <c r="F3937" s="1" t="s">
        <v>3430</v>
      </c>
    </row>
    <row r="3938">
      <c r="B3938" s="1" t="s">
        <v>2005</v>
      </c>
      <c r="D3938" s="1">
        <v>564192.0</v>
      </c>
      <c r="E3938" s="1"/>
      <c r="F3938" s="1" t="s">
        <v>3355</v>
      </c>
    </row>
    <row r="3939">
      <c r="A3939" s="48" t="s">
        <v>3475</v>
      </c>
      <c r="B3939" s="40" t="s">
        <v>2150</v>
      </c>
      <c r="C3939" s="40"/>
      <c r="D3939" s="41">
        <v>3729190.0</v>
      </c>
      <c r="E3939" s="41"/>
      <c r="F3939" s="42" t="s">
        <v>2241</v>
      </c>
    </row>
    <row r="3940">
      <c r="A3940" s="48" t="s">
        <v>3475</v>
      </c>
      <c r="B3940" s="2" t="s">
        <v>2917</v>
      </c>
      <c r="C3940" s="29"/>
      <c r="D3940" s="2">
        <v>140800.0</v>
      </c>
      <c r="E3940" s="2"/>
      <c r="F3940" s="2" t="s">
        <v>3267</v>
      </c>
    </row>
    <row r="3941">
      <c r="A3941" s="48" t="s">
        <v>3475</v>
      </c>
      <c r="B3941" s="39" t="s">
        <v>3322</v>
      </c>
      <c r="C3941" s="40"/>
      <c r="D3941" s="41">
        <v>2146703.0</v>
      </c>
      <c r="E3941" s="41"/>
      <c r="F3941" s="1" t="s">
        <v>3358</v>
      </c>
    </row>
    <row r="3942">
      <c r="A3942" s="48" t="s">
        <v>3476</v>
      </c>
      <c r="B3942" s="39" t="s">
        <v>1769</v>
      </c>
      <c r="C3942" s="40"/>
      <c r="D3942" s="41">
        <v>2002607.0</v>
      </c>
      <c r="E3942" s="41"/>
      <c r="F3942" s="1" t="s">
        <v>3360</v>
      </c>
    </row>
    <row r="3943">
      <c r="A3943" s="48" t="s">
        <v>3477</v>
      </c>
      <c r="B3943" s="40" t="s">
        <v>280</v>
      </c>
      <c r="C3943" s="40"/>
      <c r="D3943" s="41">
        <v>2264153.0</v>
      </c>
      <c r="E3943" s="41"/>
      <c r="F3943" s="1" t="s">
        <v>3362</v>
      </c>
    </row>
    <row r="3944">
      <c r="A3944" s="48" t="s">
        <v>3478</v>
      </c>
      <c r="B3944" s="48" t="s">
        <v>3145</v>
      </c>
      <c r="C3944" s="40"/>
      <c r="D3944" s="47">
        <v>719060.0</v>
      </c>
      <c r="E3944" s="41"/>
      <c r="F3944" s="1" t="s">
        <v>3364</v>
      </c>
    </row>
    <row r="3945">
      <c r="A3945" s="48" t="s">
        <v>3479</v>
      </c>
      <c r="B3945" s="1" t="s">
        <v>1021</v>
      </c>
      <c r="D3945" s="1">
        <v>2145133.0</v>
      </c>
      <c r="E3945" s="1"/>
      <c r="F3945" s="1" t="s">
        <v>3366</v>
      </c>
    </row>
    <row r="3946">
      <c r="A3946" s="1" t="s">
        <v>3475</v>
      </c>
      <c r="B3946" s="1" t="s">
        <v>276</v>
      </c>
      <c r="D3946" s="1">
        <v>475280.0</v>
      </c>
      <c r="F3946" s="1" t="s">
        <v>275</v>
      </c>
    </row>
    <row r="3947">
      <c r="B3947" s="1" t="s">
        <v>1224</v>
      </c>
      <c r="D3947" s="1">
        <v>47510.0</v>
      </c>
      <c r="F3947" s="1" t="s">
        <v>275</v>
      </c>
    </row>
    <row r="3948">
      <c r="A3948" s="1" t="s">
        <v>3475</v>
      </c>
      <c r="B3948" s="1" t="s">
        <v>3333</v>
      </c>
      <c r="D3948" s="1">
        <v>397000.0</v>
      </c>
      <c r="E3948" s="1"/>
      <c r="F3948" s="3" t="s">
        <v>1147</v>
      </c>
    </row>
    <row r="3949">
      <c r="A3949" s="1" t="s">
        <v>3480</v>
      </c>
      <c r="B3949" s="1" t="s">
        <v>2019</v>
      </c>
      <c r="D3949" s="1">
        <v>647082.0</v>
      </c>
      <c r="E3949" s="62"/>
      <c r="F3949" s="1" t="s">
        <v>3368</v>
      </c>
    </row>
    <row r="3950">
      <c r="B3950" s="1" t="s">
        <v>2003</v>
      </c>
      <c r="D3950" s="1">
        <v>494250.0</v>
      </c>
      <c r="F3950" s="1" t="s">
        <v>3481</v>
      </c>
    </row>
    <row r="3951">
      <c r="B3951" s="1" t="s">
        <v>2005</v>
      </c>
      <c r="D3951" s="1">
        <v>476037.0</v>
      </c>
      <c r="E3951" s="1"/>
      <c r="F3951" s="1" t="s">
        <v>3344</v>
      </c>
    </row>
    <row r="3952">
      <c r="A3952" s="39" t="s">
        <v>3479</v>
      </c>
      <c r="B3952" s="40" t="s">
        <v>2633</v>
      </c>
      <c r="C3952" s="40"/>
      <c r="D3952" s="41">
        <v>47500.0</v>
      </c>
      <c r="E3952" s="50"/>
      <c r="F3952" s="40" t="s">
        <v>2653</v>
      </c>
    </row>
    <row r="3953">
      <c r="A3953" s="40"/>
      <c r="B3953" s="57" t="s">
        <v>1953</v>
      </c>
      <c r="C3953" s="40"/>
      <c r="D3953" s="41">
        <v>4196887.0</v>
      </c>
      <c r="E3953" s="41"/>
      <c r="F3953" s="40"/>
    </row>
    <row r="3954">
      <c r="A3954" s="40"/>
      <c r="B3954" s="40" t="s">
        <v>648</v>
      </c>
      <c r="C3954" s="40"/>
      <c r="D3954" s="50">
        <v>165000.0</v>
      </c>
      <c r="E3954" s="50"/>
      <c r="F3954" s="40"/>
    </row>
    <row r="3955">
      <c r="B3955" s="45" t="s">
        <v>3482</v>
      </c>
      <c r="C3955" s="46"/>
      <c r="D3955" s="47">
        <v>48342.0</v>
      </c>
      <c r="E3955" s="47"/>
      <c r="F3955" s="40" t="s">
        <v>3275</v>
      </c>
    </row>
    <row r="3956">
      <c r="A3956" s="1" t="s">
        <v>3483</v>
      </c>
      <c r="B3956" s="1" t="s">
        <v>2019</v>
      </c>
      <c r="D3956" s="1">
        <v>589176.0</v>
      </c>
      <c r="E3956" s="62"/>
      <c r="F3956" s="1" t="s">
        <v>3484</v>
      </c>
    </row>
    <row r="3957">
      <c r="B3957" s="1" t="s">
        <v>2003</v>
      </c>
      <c r="D3957" s="1">
        <v>494250.0</v>
      </c>
      <c r="F3957" s="1" t="s">
        <v>3481</v>
      </c>
    </row>
    <row r="3958">
      <c r="B3958" s="1" t="s">
        <v>2005</v>
      </c>
      <c r="D3958" s="1">
        <v>458406.0</v>
      </c>
      <c r="E3958" s="1"/>
      <c r="F3958" s="1" t="s">
        <v>3485</v>
      </c>
    </row>
    <row r="3959">
      <c r="A3959" s="48" t="s">
        <v>3486</v>
      </c>
      <c r="B3959" s="40" t="s">
        <v>2150</v>
      </c>
      <c r="C3959" s="40"/>
      <c r="D3959" s="41">
        <v>3535250.0</v>
      </c>
      <c r="E3959" s="41"/>
      <c r="F3959" s="42" t="s">
        <v>2241</v>
      </c>
    </row>
    <row r="3960">
      <c r="A3960" s="48" t="s">
        <v>3486</v>
      </c>
      <c r="B3960" s="2" t="s">
        <v>2934</v>
      </c>
      <c r="C3960" s="29"/>
      <c r="D3960" s="2">
        <v>140800.0</v>
      </c>
      <c r="E3960" s="2"/>
      <c r="F3960" s="2" t="s">
        <v>3267</v>
      </c>
    </row>
    <row r="3961">
      <c r="A3961" s="48" t="s">
        <v>3486</v>
      </c>
      <c r="B3961" s="39" t="s">
        <v>3322</v>
      </c>
      <c r="C3961" s="40"/>
      <c r="D3961" s="41">
        <v>2403333.0</v>
      </c>
      <c r="E3961" s="41"/>
      <c r="F3961" s="1" t="s">
        <v>3358</v>
      </c>
    </row>
    <row r="3962">
      <c r="A3962" s="48" t="s">
        <v>3487</v>
      </c>
      <c r="B3962" s="39" t="s">
        <v>1769</v>
      </c>
      <c r="C3962" s="40"/>
      <c r="D3962" s="41">
        <v>2569307.0</v>
      </c>
      <c r="E3962" s="41"/>
      <c r="F3962" s="1" t="s">
        <v>3360</v>
      </c>
    </row>
    <row r="3963">
      <c r="A3963" s="48" t="s">
        <v>3488</v>
      </c>
      <c r="B3963" s="40" t="s">
        <v>280</v>
      </c>
      <c r="C3963" s="40"/>
      <c r="D3963" s="41">
        <v>3407583.0</v>
      </c>
      <c r="E3963" s="41"/>
      <c r="F3963" s="1" t="s">
        <v>3362</v>
      </c>
    </row>
    <row r="3964">
      <c r="A3964" s="48" t="s">
        <v>3489</v>
      </c>
      <c r="B3964" s="48" t="s">
        <v>3145</v>
      </c>
      <c r="C3964" s="40"/>
      <c r="D3964" s="47">
        <v>719060.0</v>
      </c>
      <c r="E3964" s="41"/>
      <c r="F3964" s="1" t="s">
        <v>3364</v>
      </c>
    </row>
    <row r="3965">
      <c r="A3965" s="48" t="s">
        <v>3490</v>
      </c>
      <c r="B3965" s="1" t="s">
        <v>1021</v>
      </c>
      <c r="D3965" s="1">
        <v>2250013.0</v>
      </c>
      <c r="E3965" s="1"/>
      <c r="F3965" s="1" t="s">
        <v>3366</v>
      </c>
    </row>
    <row r="3966">
      <c r="A3966" s="1" t="s">
        <v>3491</v>
      </c>
      <c r="B3966" s="1" t="s">
        <v>2019</v>
      </c>
      <c r="D3966" s="1">
        <v>687372.0</v>
      </c>
      <c r="E3966" s="62"/>
      <c r="F3966" s="1" t="s">
        <v>3492</v>
      </c>
    </row>
    <row r="3967">
      <c r="B3967" s="1" t="s">
        <v>2003</v>
      </c>
      <c r="D3967" s="1">
        <v>553560.0</v>
      </c>
      <c r="F3967" s="1" t="s">
        <v>3369</v>
      </c>
    </row>
    <row r="3968">
      <c r="B3968" s="1" t="s">
        <v>2005</v>
      </c>
      <c r="D3968" s="1">
        <v>493668.0</v>
      </c>
      <c r="E3968" s="1"/>
      <c r="F3968" s="1" t="s">
        <v>3346</v>
      </c>
    </row>
    <row r="3969">
      <c r="A3969" s="39" t="s">
        <v>3493</v>
      </c>
      <c r="B3969" s="40" t="s">
        <v>2633</v>
      </c>
      <c r="C3969" s="40"/>
      <c r="D3969" s="41">
        <v>47500.0</v>
      </c>
      <c r="E3969" s="50"/>
      <c r="F3969" s="40" t="s">
        <v>2653</v>
      </c>
    </row>
    <row r="3970">
      <c r="A3970" s="40"/>
      <c r="B3970" s="57" t="s">
        <v>1953</v>
      </c>
      <c r="C3970" s="40"/>
      <c r="D3970" s="41">
        <v>4151472.0</v>
      </c>
      <c r="E3970" s="41"/>
      <c r="F3970" s="40"/>
    </row>
    <row r="3971">
      <c r="A3971" s="40"/>
      <c r="B3971" s="40" t="s">
        <v>648</v>
      </c>
      <c r="C3971" s="40"/>
      <c r="D3971" s="50">
        <v>165000.0</v>
      </c>
      <c r="E3971" s="50"/>
      <c r="F3971" s="40"/>
    </row>
    <row r="3972">
      <c r="B3972" s="45" t="s">
        <v>3494</v>
      </c>
      <c r="C3972" s="46"/>
      <c r="D3972" s="47">
        <v>89912.0</v>
      </c>
      <c r="E3972" s="47"/>
      <c r="F3972" s="40" t="s">
        <v>3275</v>
      </c>
    </row>
    <row r="3973">
      <c r="A3973" s="27" t="s">
        <v>3495</v>
      </c>
      <c r="B3973" s="27" t="s">
        <v>3496</v>
      </c>
      <c r="C3973" s="65"/>
      <c r="D3973" s="27">
        <v>3000000.0</v>
      </c>
      <c r="E3973" s="65"/>
      <c r="F3973" s="27" t="s">
        <v>3497</v>
      </c>
    </row>
    <row r="3974">
      <c r="A3974" s="1" t="s">
        <v>3498</v>
      </c>
      <c r="B3974" s="1" t="s">
        <v>2019</v>
      </c>
      <c r="D3974" s="1">
        <v>761019.0</v>
      </c>
      <c r="E3974" s="62"/>
      <c r="F3974" s="1" t="s">
        <v>3499</v>
      </c>
    </row>
    <row r="3975">
      <c r="B3975" s="1" t="s">
        <v>2003</v>
      </c>
      <c r="D3975" s="1">
        <v>612870.0</v>
      </c>
      <c r="F3975" s="1" t="s">
        <v>3461</v>
      </c>
    </row>
    <row r="3976">
      <c r="B3976" s="1" t="s">
        <v>2005</v>
      </c>
      <c r="D3976" s="1">
        <v>526176.0</v>
      </c>
      <c r="E3976" s="1"/>
      <c r="F3976" s="1" t="s">
        <v>3500</v>
      </c>
    </row>
    <row r="3977">
      <c r="A3977" s="48" t="s">
        <v>3501</v>
      </c>
      <c r="B3977" s="40" t="s">
        <v>2150</v>
      </c>
      <c r="C3977" s="40"/>
      <c r="D3977" s="41">
        <v>3535250.0</v>
      </c>
      <c r="E3977" s="41"/>
      <c r="F3977" s="42" t="s">
        <v>2241</v>
      </c>
    </row>
    <row r="3978">
      <c r="A3978" s="48" t="s">
        <v>3501</v>
      </c>
      <c r="B3978" s="2" t="s">
        <v>2957</v>
      </c>
      <c r="C3978" s="29"/>
      <c r="D3978" s="2">
        <v>140800.0</v>
      </c>
      <c r="E3978" s="2"/>
      <c r="F3978" s="2" t="s">
        <v>3267</v>
      </c>
    </row>
    <row r="3979">
      <c r="A3979" s="48" t="s">
        <v>3501</v>
      </c>
      <c r="B3979" s="39" t="s">
        <v>3322</v>
      </c>
      <c r="C3979" s="40"/>
      <c r="D3979" s="41">
        <v>2146703.0</v>
      </c>
      <c r="E3979" s="41"/>
      <c r="F3979" s="1" t="s">
        <v>3358</v>
      </c>
    </row>
    <row r="3980">
      <c r="A3980" s="48" t="s">
        <v>3502</v>
      </c>
      <c r="B3980" s="39" t="s">
        <v>1769</v>
      </c>
      <c r="C3980" s="40"/>
      <c r="D3980" s="41">
        <v>2075457.0</v>
      </c>
      <c r="E3980" s="41"/>
      <c r="F3980" s="1" t="s">
        <v>3360</v>
      </c>
    </row>
    <row r="3981">
      <c r="A3981" s="48" t="s">
        <v>3503</v>
      </c>
      <c r="B3981" s="40" t="s">
        <v>280</v>
      </c>
      <c r="C3981" s="40"/>
      <c r="D3981" s="41">
        <v>2340423.0</v>
      </c>
      <c r="E3981" s="41"/>
      <c r="F3981" s="1" t="s">
        <v>3362</v>
      </c>
    </row>
    <row r="3982">
      <c r="A3982" s="48" t="s">
        <v>3504</v>
      </c>
      <c r="B3982" s="48" t="s">
        <v>3145</v>
      </c>
      <c r="C3982" s="40"/>
      <c r="D3982" s="47">
        <v>719060.0</v>
      </c>
      <c r="E3982" s="41"/>
      <c r="F3982" s="1" t="s">
        <v>3364</v>
      </c>
    </row>
    <row r="3983">
      <c r="A3983" s="48" t="s">
        <v>3505</v>
      </c>
      <c r="B3983" s="1" t="s">
        <v>1021</v>
      </c>
      <c r="D3983" s="1">
        <v>2167723.0</v>
      </c>
      <c r="E3983" s="1"/>
      <c r="F3983" s="1" t="s">
        <v>3366</v>
      </c>
    </row>
    <row r="3984">
      <c r="A3984" s="27" t="s">
        <v>3506</v>
      </c>
      <c r="B3984" s="27" t="s">
        <v>3507</v>
      </c>
      <c r="C3984" s="65"/>
      <c r="D3984" s="27">
        <v>9800000.0</v>
      </c>
      <c r="E3984" s="65"/>
      <c r="F3984" s="27" t="s">
        <v>3497</v>
      </c>
    </row>
    <row r="3985">
      <c r="A3985" s="1" t="s">
        <v>3508</v>
      </c>
      <c r="B3985" s="1" t="s">
        <v>2019</v>
      </c>
      <c r="D3985" s="1">
        <v>687372.0</v>
      </c>
      <c r="E3985" s="62"/>
      <c r="F3985" s="1" t="s">
        <v>3492</v>
      </c>
    </row>
    <row r="3986">
      <c r="B3986" s="1" t="s">
        <v>2003</v>
      </c>
      <c r="D3986" s="1">
        <v>593100.0</v>
      </c>
      <c r="F3986" s="1" t="s">
        <v>3416</v>
      </c>
    </row>
    <row r="3987">
      <c r="B3987" s="1" t="s">
        <v>2005</v>
      </c>
      <c r="D3987" s="1">
        <v>526176.0</v>
      </c>
      <c r="E3987" s="1"/>
      <c r="F3987" s="1" t="s">
        <v>3500</v>
      </c>
    </row>
    <row r="3988">
      <c r="A3988" s="39" t="s">
        <v>3505</v>
      </c>
      <c r="B3988" s="40" t="s">
        <v>2633</v>
      </c>
      <c r="C3988" s="40"/>
      <c r="D3988" s="41">
        <v>47500.0</v>
      </c>
      <c r="E3988" s="50"/>
      <c r="F3988" s="40" t="s">
        <v>2653</v>
      </c>
    </row>
    <row r="3989">
      <c r="A3989" s="40"/>
      <c r="B3989" s="57" t="s">
        <v>1953</v>
      </c>
      <c r="C3989" s="40"/>
      <c r="D3989" s="41">
        <v>4098920.0</v>
      </c>
      <c r="E3989" s="41"/>
      <c r="F3989" s="40"/>
    </row>
    <row r="3990">
      <c r="A3990" s="40"/>
      <c r="B3990" s="40" t="s">
        <v>648</v>
      </c>
      <c r="C3990" s="40"/>
      <c r="D3990" s="50">
        <v>165000.0</v>
      </c>
      <c r="E3990" s="50"/>
      <c r="F3990" s="40"/>
    </row>
    <row r="3991">
      <c r="B3991" s="45" t="s">
        <v>3509</v>
      </c>
      <c r="C3991" s="46"/>
      <c r="D3991" s="47">
        <v>95524.0</v>
      </c>
      <c r="E3991" s="47"/>
      <c r="F3991" s="40" t="s">
        <v>3275</v>
      </c>
    </row>
    <row r="3992">
      <c r="A3992" s="1" t="s">
        <v>3510</v>
      </c>
      <c r="B3992" s="1" t="s">
        <v>2019</v>
      </c>
      <c r="D3992" s="1">
        <v>711921.0</v>
      </c>
      <c r="E3992" s="62"/>
      <c r="F3992" s="1" t="s">
        <v>3511</v>
      </c>
    </row>
    <row r="3993">
      <c r="B3993" s="1" t="s">
        <v>2003</v>
      </c>
      <c r="D3993" s="1">
        <v>593100.0</v>
      </c>
      <c r="F3993" s="1" t="s">
        <v>3416</v>
      </c>
    </row>
    <row r="3994">
      <c r="B3994" s="1" t="s">
        <v>2005</v>
      </c>
      <c r="D3994" s="1">
        <v>526176.0</v>
      </c>
      <c r="E3994" s="1"/>
      <c r="F3994" s="1" t="s">
        <v>3500</v>
      </c>
    </row>
    <row r="3995">
      <c r="A3995" s="48" t="s">
        <v>3512</v>
      </c>
      <c r="B3995" s="40" t="s">
        <v>2150</v>
      </c>
      <c r="C3995" s="40"/>
      <c r="D3995" s="66">
        <v>8091420.0</v>
      </c>
      <c r="E3995" s="41"/>
      <c r="F3995" s="42" t="s">
        <v>2241</v>
      </c>
    </row>
    <row r="3996">
      <c r="A3996" s="48" t="s">
        <v>3512</v>
      </c>
      <c r="B3996" s="2" t="s">
        <v>2974</v>
      </c>
      <c r="C3996" s="29"/>
      <c r="D3996" s="2">
        <v>140800.0</v>
      </c>
      <c r="E3996" s="2"/>
      <c r="F3996" s="2" t="s">
        <v>3267</v>
      </c>
    </row>
    <row r="3997">
      <c r="A3997" s="48" t="s">
        <v>3513</v>
      </c>
      <c r="B3997" s="39" t="s">
        <v>3322</v>
      </c>
      <c r="C3997" s="40"/>
      <c r="D3997" s="41">
        <v>2081413.0</v>
      </c>
      <c r="E3997" s="41"/>
      <c r="F3997" s="1" t="s">
        <v>3358</v>
      </c>
    </row>
    <row r="3998">
      <c r="A3998" s="48" t="s">
        <v>3514</v>
      </c>
      <c r="B3998" s="39" t="s">
        <v>1769</v>
      </c>
      <c r="C3998" s="40"/>
      <c r="D3998" s="41">
        <v>1122817.0</v>
      </c>
      <c r="E3998" s="41"/>
      <c r="F3998" s="1" t="s">
        <v>3360</v>
      </c>
    </row>
    <row r="3999">
      <c r="A3999" s="48" t="s">
        <v>3515</v>
      </c>
      <c r="B3999" s="40" t="s">
        <v>280</v>
      </c>
      <c r="C3999" s="40"/>
      <c r="D3999" s="41">
        <v>2239333.0</v>
      </c>
      <c r="E3999" s="41"/>
      <c r="F3999" s="1" t="s">
        <v>3362</v>
      </c>
    </row>
    <row r="4000">
      <c r="A4000" s="48" t="s">
        <v>3516</v>
      </c>
      <c r="B4000" s="48" t="s">
        <v>3145</v>
      </c>
      <c r="C4000" s="40"/>
      <c r="D4000" s="47">
        <v>707950.0</v>
      </c>
      <c r="E4000" s="41"/>
      <c r="F4000" s="1" t="s">
        <v>3364</v>
      </c>
    </row>
    <row r="4001">
      <c r="A4001" s="48" t="s">
        <v>3517</v>
      </c>
      <c r="B4001" s="1" t="s">
        <v>1021</v>
      </c>
      <c r="D4001" s="1">
        <v>1406013.0</v>
      </c>
      <c r="E4001" s="1"/>
      <c r="F4001" s="1" t="s">
        <v>3366</v>
      </c>
    </row>
    <row r="4002">
      <c r="A4002" s="27" t="s">
        <v>3518</v>
      </c>
      <c r="B4002" s="27" t="s">
        <v>3519</v>
      </c>
      <c r="C4002" s="65"/>
      <c r="D4002" s="27">
        <v>9000000.0</v>
      </c>
      <c r="E4002" s="65"/>
      <c r="F4002" s="27" t="s">
        <v>3497</v>
      </c>
    </row>
    <row r="4003">
      <c r="A4003" s="1" t="s">
        <v>3515</v>
      </c>
      <c r="B4003" s="1" t="s">
        <v>2019</v>
      </c>
      <c r="D4003" s="1">
        <v>736470.0</v>
      </c>
      <c r="E4003" s="62"/>
      <c r="F4003" s="1" t="s">
        <v>3520</v>
      </c>
    </row>
    <row r="4004">
      <c r="B4004" s="1" t="s">
        <v>2003</v>
      </c>
      <c r="D4004" s="1">
        <v>593100.0</v>
      </c>
      <c r="F4004" s="1" t="s">
        <v>3416</v>
      </c>
    </row>
    <row r="4005">
      <c r="B4005" s="1" t="s">
        <v>2005</v>
      </c>
      <c r="D4005" s="1">
        <v>544320.0</v>
      </c>
      <c r="E4005" s="1"/>
      <c r="F4005" s="1" t="s">
        <v>3521</v>
      </c>
    </row>
    <row r="4006">
      <c r="A4006" s="1" t="s">
        <v>3522</v>
      </c>
      <c r="B4006" s="1" t="s">
        <v>3150</v>
      </c>
      <c r="D4006" s="1">
        <v>297000.0</v>
      </c>
      <c r="E4006" s="1"/>
      <c r="F4006" s="3" t="s">
        <v>1147</v>
      </c>
    </row>
    <row r="4007">
      <c r="A4007" s="39" t="s">
        <v>3517</v>
      </c>
      <c r="B4007" s="40" t="s">
        <v>2633</v>
      </c>
      <c r="C4007" s="40"/>
      <c r="D4007" s="41">
        <v>47500.0</v>
      </c>
      <c r="E4007" s="50"/>
      <c r="F4007" s="40" t="s">
        <v>2653</v>
      </c>
    </row>
    <row r="4008">
      <c r="A4008" s="40"/>
      <c r="B4008" s="57" t="s">
        <v>1953</v>
      </c>
      <c r="C4008" s="40"/>
      <c r="D4008" s="41">
        <v>4023851.0</v>
      </c>
      <c r="E4008" s="41"/>
      <c r="F4008" s="40"/>
    </row>
    <row r="4009">
      <c r="A4009" s="40"/>
      <c r="B4009" s="40" t="s">
        <v>648</v>
      </c>
      <c r="C4009" s="40"/>
      <c r="D4009" s="50">
        <v>165000.0</v>
      </c>
      <c r="E4009" s="50"/>
      <c r="F4009" s="40"/>
    </row>
    <row r="4010">
      <c r="B4010" s="45" t="s">
        <v>3353</v>
      </c>
      <c r="C4010" s="46"/>
      <c r="D4010" s="47">
        <v>110539.0</v>
      </c>
      <c r="E4010" s="47"/>
      <c r="F4010" s="40" t="s">
        <v>3275</v>
      </c>
    </row>
    <row r="4011">
      <c r="A4011" s="1" t="s">
        <v>3523</v>
      </c>
      <c r="B4011" s="1" t="s">
        <v>2019</v>
      </c>
      <c r="D4011" s="1">
        <v>761019.0</v>
      </c>
      <c r="E4011" s="62"/>
      <c r="F4011" s="1" t="s">
        <v>3499</v>
      </c>
    </row>
    <row r="4012">
      <c r="B4012" s="1" t="s">
        <v>2003</v>
      </c>
      <c r="D4012" s="1">
        <v>593100.0</v>
      </c>
      <c r="F4012" s="1" t="s">
        <v>3416</v>
      </c>
    </row>
    <row r="4013">
      <c r="B4013" s="1" t="s">
        <v>2005</v>
      </c>
      <c r="D4013" s="1">
        <v>544320.0</v>
      </c>
      <c r="E4013" s="1"/>
      <c r="F4013" s="1" t="s">
        <v>3521</v>
      </c>
    </row>
    <row r="4014">
      <c r="A4014" s="48" t="s">
        <v>3524</v>
      </c>
      <c r="B4014" s="40" t="s">
        <v>2150</v>
      </c>
      <c r="C4014" s="40"/>
      <c r="D4014" s="66">
        <v>4492790.0</v>
      </c>
      <c r="E4014" s="41"/>
      <c r="F4014" s="42" t="s">
        <v>2241</v>
      </c>
    </row>
    <row r="4015">
      <c r="A4015" s="48" t="s">
        <v>3524</v>
      </c>
      <c r="B4015" s="2" t="s">
        <v>3001</v>
      </c>
      <c r="C4015" s="29"/>
      <c r="D4015" s="2">
        <v>140800.0</v>
      </c>
      <c r="E4015" s="2"/>
      <c r="F4015" s="2" t="s">
        <v>3267</v>
      </c>
    </row>
    <row r="4016">
      <c r="A4016" s="48" t="s">
        <v>3524</v>
      </c>
      <c r="B4016" s="39" t="s">
        <v>3322</v>
      </c>
      <c r="C4016" s="40"/>
      <c r="D4016" s="41">
        <v>2251823.0</v>
      </c>
      <c r="E4016" s="41"/>
      <c r="F4016" s="1" t="s">
        <v>3358</v>
      </c>
      <c r="G4016" s="65">
        <f>D4016-2081413</f>
        <v>170410</v>
      </c>
    </row>
    <row r="4017">
      <c r="A4017" s="48" t="s">
        <v>3525</v>
      </c>
      <c r="B4017" s="39" t="s">
        <v>1769</v>
      </c>
      <c r="C4017" s="40"/>
      <c r="D4017" s="41">
        <v>2051937.0</v>
      </c>
      <c r="E4017" s="41"/>
      <c r="F4017" s="1" t="s">
        <v>3360</v>
      </c>
    </row>
    <row r="4018">
      <c r="A4018" s="48" t="s">
        <v>3526</v>
      </c>
      <c r="B4018" s="40" t="s">
        <v>280</v>
      </c>
      <c r="C4018" s="40"/>
      <c r="D4018" s="41">
        <v>2317293.0</v>
      </c>
      <c r="E4018" s="41"/>
      <c r="F4018" s="1" t="s">
        <v>3362</v>
      </c>
    </row>
    <row r="4019">
      <c r="A4019" s="48" t="s">
        <v>3527</v>
      </c>
      <c r="B4019" s="48" t="s">
        <v>3145</v>
      </c>
      <c r="C4019" s="40"/>
      <c r="D4019" s="47">
        <v>723160.0</v>
      </c>
      <c r="E4019" s="41"/>
      <c r="F4019" s="1" t="s">
        <v>3364</v>
      </c>
    </row>
    <row r="4020">
      <c r="A4020" s="48" t="s">
        <v>3528</v>
      </c>
      <c r="B4020" s="1" t="s">
        <v>1021</v>
      </c>
      <c r="D4020" s="1">
        <v>2362993.0</v>
      </c>
      <c r="E4020" s="1"/>
      <c r="F4020" s="1" t="s">
        <v>3366</v>
      </c>
    </row>
    <row r="4021">
      <c r="A4021" s="1" t="s">
        <v>3524</v>
      </c>
      <c r="B4021" s="1" t="s">
        <v>276</v>
      </c>
      <c r="D4021" s="1">
        <v>150470.0</v>
      </c>
      <c r="F4021" s="1" t="s">
        <v>275</v>
      </c>
    </row>
    <row r="4022">
      <c r="B4022" s="1" t="s">
        <v>1224</v>
      </c>
      <c r="D4022" s="1">
        <v>15200.0</v>
      </c>
      <c r="F4022" s="1" t="s">
        <v>275</v>
      </c>
    </row>
    <row r="4023">
      <c r="A4023" s="27" t="s">
        <v>3529</v>
      </c>
      <c r="B4023" s="27" t="s">
        <v>3530</v>
      </c>
      <c r="C4023" s="65"/>
      <c r="D4023" s="27">
        <v>9000000.0</v>
      </c>
      <c r="E4023" s="65"/>
      <c r="F4023" s="27" t="s">
        <v>3497</v>
      </c>
    </row>
    <row r="4024">
      <c r="A4024" s="1" t="s">
        <v>3531</v>
      </c>
      <c r="B4024" s="1" t="s">
        <v>2019</v>
      </c>
      <c r="D4024" s="1">
        <v>711921.0</v>
      </c>
      <c r="E4024" s="62"/>
      <c r="F4024" s="1" t="s">
        <v>3511</v>
      </c>
    </row>
    <row r="4025">
      <c r="B4025" s="1" t="s">
        <v>2003</v>
      </c>
      <c r="D4025" s="1">
        <v>588207.0</v>
      </c>
      <c r="F4025" s="1" t="s">
        <v>3532</v>
      </c>
    </row>
    <row r="4026">
      <c r="B4026" s="1" t="s">
        <v>2005</v>
      </c>
      <c r="D4026" s="1">
        <v>526176.0</v>
      </c>
      <c r="E4026" s="1"/>
      <c r="F4026" s="1" t="s">
        <v>3500</v>
      </c>
    </row>
    <row r="4027">
      <c r="A4027" s="39" t="s">
        <v>3528</v>
      </c>
      <c r="B4027" s="40" t="s">
        <v>2633</v>
      </c>
      <c r="C4027" s="40"/>
      <c r="D4027" s="41">
        <v>47500.0</v>
      </c>
      <c r="E4027" s="50"/>
      <c r="F4027" s="40" t="s">
        <v>2653</v>
      </c>
    </row>
    <row r="4028">
      <c r="A4028" s="40"/>
      <c r="B4028" s="57" t="s">
        <v>1953</v>
      </c>
      <c r="C4028" s="40"/>
      <c r="D4028" s="41">
        <v>4032428.0</v>
      </c>
      <c r="E4028" s="41"/>
      <c r="F4028" s="40"/>
    </row>
    <row r="4029">
      <c r="A4029" s="40"/>
      <c r="B4029" s="40" t="s">
        <v>648</v>
      </c>
      <c r="C4029" s="40"/>
      <c r="D4029" s="50">
        <v>165000.0</v>
      </c>
      <c r="E4029" s="50"/>
      <c r="F4029" s="40"/>
    </row>
    <row r="4030">
      <c r="B4030" s="45" t="s">
        <v>3371</v>
      </c>
      <c r="C4030" s="46"/>
      <c r="D4030" s="47">
        <v>144601.0</v>
      </c>
      <c r="E4030" s="47"/>
      <c r="F4030" s="40" t="s">
        <v>3275</v>
      </c>
    </row>
    <row r="4031">
      <c r="A4031" s="1" t="s">
        <v>3533</v>
      </c>
      <c r="B4031" s="1" t="s">
        <v>2019</v>
      </c>
      <c r="D4031" s="1">
        <v>613725.0</v>
      </c>
      <c r="E4031" s="62"/>
      <c r="F4031" s="1" t="s">
        <v>3499</v>
      </c>
    </row>
    <row r="4032">
      <c r="B4032" s="1" t="s">
        <v>2003</v>
      </c>
      <c r="D4032" s="1">
        <v>507075.0</v>
      </c>
      <c r="F4032" s="1" t="s">
        <v>3416</v>
      </c>
    </row>
    <row r="4033">
      <c r="B4033" s="1" t="s">
        <v>2005</v>
      </c>
      <c r="D4033" s="1">
        <v>453600.0</v>
      </c>
      <c r="E4033" s="1"/>
      <c r="F4033" s="1" t="s">
        <v>3521</v>
      </c>
    </row>
    <row r="4034">
      <c r="A4034" s="48" t="s">
        <v>3534</v>
      </c>
      <c r="B4034" s="40" t="s">
        <v>2150</v>
      </c>
      <c r="C4034" s="40"/>
      <c r="D4034" s="66">
        <v>3869630.0</v>
      </c>
      <c r="E4034" s="41"/>
      <c r="F4034" s="42" t="s">
        <v>2241</v>
      </c>
    </row>
    <row r="4035">
      <c r="A4035" s="48" t="s">
        <v>3534</v>
      </c>
      <c r="B4035" s="2" t="s">
        <v>3002</v>
      </c>
      <c r="C4035" s="29"/>
      <c r="D4035" s="2">
        <v>140800.0</v>
      </c>
      <c r="E4035" s="2"/>
      <c r="F4035" s="2" t="s">
        <v>3267</v>
      </c>
    </row>
    <row r="4036">
      <c r="A4036" s="48" t="s">
        <v>3534</v>
      </c>
      <c r="B4036" s="39" t="s">
        <v>3322</v>
      </c>
      <c r="C4036" s="40"/>
      <c r="D4036" s="41">
        <v>2242563.0</v>
      </c>
      <c r="E4036" s="41"/>
      <c r="F4036" s="1" t="s">
        <v>3358</v>
      </c>
    </row>
    <row r="4037">
      <c r="A4037" s="48" t="s">
        <v>3535</v>
      </c>
      <c r="B4037" s="39" t="s">
        <v>1769</v>
      </c>
      <c r="C4037" s="40"/>
      <c r="D4037" s="41">
        <v>2010877.0</v>
      </c>
      <c r="E4037" s="41"/>
      <c r="F4037" s="1" t="s">
        <v>3360</v>
      </c>
    </row>
    <row r="4038">
      <c r="A4038" s="48" t="s">
        <v>3536</v>
      </c>
      <c r="B4038" s="40" t="s">
        <v>280</v>
      </c>
      <c r="C4038" s="40"/>
      <c r="D4038" s="41">
        <v>2308953.0</v>
      </c>
      <c r="E4038" s="41"/>
      <c r="F4038" s="1" t="s">
        <v>3362</v>
      </c>
    </row>
    <row r="4039">
      <c r="A4039" s="48" t="s">
        <v>3537</v>
      </c>
      <c r="B4039" s="48" t="s">
        <v>3145</v>
      </c>
      <c r="C4039" s="40"/>
      <c r="D4039" s="47">
        <v>719988.0</v>
      </c>
      <c r="E4039" s="41"/>
      <c r="F4039" s="1" t="s">
        <v>3364</v>
      </c>
    </row>
    <row r="4040">
      <c r="A4040" s="48" t="s">
        <v>3538</v>
      </c>
      <c r="B4040" s="1" t="s">
        <v>1021</v>
      </c>
      <c r="D4040" s="23">
        <v>2227773.0</v>
      </c>
      <c r="E4040" s="1"/>
      <c r="F4040" s="1" t="s">
        <v>3366</v>
      </c>
    </row>
    <row r="4041">
      <c r="A4041" s="1" t="s">
        <v>3539</v>
      </c>
      <c r="B4041" s="1" t="s">
        <v>3540</v>
      </c>
      <c r="D4041" s="1">
        <v>4265860.0</v>
      </c>
      <c r="E4041" s="1" t="s">
        <v>275</v>
      </c>
    </row>
    <row r="4042">
      <c r="B4042" s="1" t="s">
        <v>3541</v>
      </c>
      <c r="D4042" s="1">
        <v>1.356985E7</v>
      </c>
      <c r="E4042" s="1" t="s">
        <v>3542</v>
      </c>
      <c r="F4042" s="1" t="s">
        <v>275</v>
      </c>
    </row>
    <row r="4043">
      <c r="A4043" s="1" t="s">
        <v>3543</v>
      </c>
      <c r="B4043" s="1" t="s">
        <v>1828</v>
      </c>
      <c r="D4043" s="1">
        <v>1560130.0</v>
      </c>
    </row>
    <row r="4044">
      <c r="B4044" s="1" t="s">
        <v>2033</v>
      </c>
      <c r="D4044" s="1">
        <v>1412950.0</v>
      </c>
    </row>
    <row r="4045">
      <c r="A4045" s="39" t="s">
        <v>3544</v>
      </c>
      <c r="B4045" s="40" t="s">
        <v>2633</v>
      </c>
      <c r="C4045" s="40"/>
      <c r="D4045" s="49">
        <v>45000.0</v>
      </c>
      <c r="E4045" s="50"/>
      <c r="F4045" s="40" t="s">
        <v>2653</v>
      </c>
    </row>
    <row r="4046">
      <c r="A4046" s="40"/>
      <c r="B4046" s="57" t="s">
        <v>1953</v>
      </c>
      <c r="C4046" s="40"/>
      <c r="D4046" s="49">
        <v>4040449.0</v>
      </c>
      <c r="E4046" s="41"/>
      <c r="F4046" s="40"/>
    </row>
    <row r="4047">
      <c r="A4047" s="40"/>
      <c r="B4047" s="40" t="s">
        <v>648</v>
      </c>
      <c r="C4047" s="40"/>
      <c r="D4047" s="67">
        <v>165000.0</v>
      </c>
      <c r="E4047" s="50"/>
      <c r="F4047" s="40"/>
    </row>
    <row r="4048">
      <c r="B4048" s="45" t="s">
        <v>3382</v>
      </c>
      <c r="C4048" s="46"/>
      <c r="D4048" s="68">
        <v>134614.0</v>
      </c>
      <c r="E4048" s="47"/>
      <c r="F4048" s="40" t="s">
        <v>3275</v>
      </c>
    </row>
    <row r="4049">
      <c r="A4049" s="1" t="s">
        <v>3545</v>
      </c>
      <c r="B4049" s="1" t="s">
        <v>3546</v>
      </c>
      <c r="D4049" s="1">
        <v>660000.0</v>
      </c>
      <c r="F4049" s="1" t="s">
        <v>1332</v>
      </c>
    </row>
    <row r="4050">
      <c r="A4050" s="1" t="s">
        <v>3547</v>
      </c>
      <c r="B4050" s="1" t="s">
        <v>3548</v>
      </c>
      <c r="D4050" s="1">
        <v>990000.0</v>
      </c>
    </row>
    <row r="4058">
      <c r="B4058" s="1" t="s">
        <v>3549</v>
      </c>
      <c r="D4058" s="1">
        <v>1.356116E7</v>
      </c>
      <c r="E4058" s="1" t="s">
        <v>3542</v>
      </c>
      <c r="F4058" s="1" t="s">
        <v>275</v>
      </c>
    </row>
    <row r="4063">
      <c r="A4063" s="3" t="s">
        <v>70</v>
      </c>
      <c r="B4063" s="3" t="s">
        <v>3550</v>
      </c>
      <c r="C4063" s="3">
        <v>600000.0</v>
      </c>
    </row>
    <row r="4064">
      <c r="B4064">
        <f>Sum(C4065:C4113)</f>
        <v>2032090070</v>
      </c>
    </row>
    <row r="4065">
      <c r="B4065" s="3" t="s">
        <v>3551</v>
      </c>
      <c r="C4065">
        <f t="shared" ref="C4065:C4069" si="6">Sum(F4066:H4066)</f>
        <v>17806370</v>
      </c>
      <c r="D4065" s="3" t="s">
        <v>3552</v>
      </c>
      <c r="E4065" s="3"/>
      <c r="F4065" s="3" t="s">
        <v>3553</v>
      </c>
      <c r="G4065" s="3" t="s">
        <v>3554</v>
      </c>
      <c r="H4065" s="3" t="s">
        <v>3555</v>
      </c>
    </row>
    <row r="4066">
      <c r="B4066" s="3" t="s">
        <v>3556</v>
      </c>
      <c r="C4066">
        <f t="shared" si="6"/>
        <v>26930520</v>
      </c>
      <c r="D4066" s="3" t="s">
        <v>325</v>
      </c>
      <c r="E4066" s="3"/>
      <c r="F4066" s="3">
        <v>8075700.0</v>
      </c>
      <c r="G4066" s="3">
        <v>3602250.0</v>
      </c>
      <c r="H4066" s="3">
        <v>6128420.0</v>
      </c>
    </row>
    <row r="4067">
      <c r="B4067" s="3" t="s">
        <v>3557</v>
      </c>
      <c r="C4067">
        <f t="shared" si="6"/>
        <v>29495160</v>
      </c>
      <c r="D4067" s="3" t="s">
        <v>3558</v>
      </c>
      <c r="E4067" s="3"/>
      <c r="F4067" s="3">
        <v>1.183871E7</v>
      </c>
      <c r="G4067" s="3">
        <v>4951900.0</v>
      </c>
      <c r="H4067" s="3">
        <v>1.013991E7</v>
      </c>
    </row>
    <row r="4068">
      <c r="B4068" s="3" t="s">
        <v>3559</v>
      </c>
      <c r="C4068">
        <f t="shared" si="6"/>
        <v>44699150</v>
      </c>
      <c r="D4068" s="3" t="s">
        <v>3560</v>
      </c>
      <c r="E4068" s="3"/>
      <c r="F4068" s="3">
        <v>1.321116E7</v>
      </c>
      <c r="G4068" s="3">
        <v>5681600.0</v>
      </c>
      <c r="H4068" s="3">
        <v>1.06024E7</v>
      </c>
    </row>
    <row r="4069">
      <c r="B4069" s="3" t="s">
        <v>3561</v>
      </c>
      <c r="C4069">
        <f t="shared" si="6"/>
        <v>49838340</v>
      </c>
      <c r="D4069" s="3" t="s">
        <v>3562</v>
      </c>
      <c r="E4069" s="3"/>
      <c r="F4069" s="3">
        <v>1.807259E7</v>
      </c>
      <c r="G4069" s="3">
        <v>8033500.0</v>
      </c>
      <c r="H4069" s="3">
        <v>1.859306E7</v>
      </c>
    </row>
    <row r="4070">
      <c r="B4070" s="3" t="s">
        <v>3563</v>
      </c>
      <c r="C4070">
        <f>Sum(F4072:H4072)</f>
        <v>45713430</v>
      </c>
      <c r="D4070" s="3" t="s">
        <v>3564</v>
      </c>
      <c r="E4070" s="3"/>
      <c r="F4070" s="3">
        <v>2.091686E7</v>
      </c>
      <c r="G4070" s="3">
        <v>8989080.0</v>
      </c>
      <c r="H4070" s="3">
        <v>1.99324E7</v>
      </c>
    </row>
    <row r="4072">
      <c r="B4072" s="3" t="s">
        <v>3565</v>
      </c>
      <c r="C4072">
        <f>Sum(F4073:H4073)</f>
        <v>25625970</v>
      </c>
      <c r="D4072" s="3" t="s">
        <v>462</v>
      </c>
      <c r="E4072" s="3"/>
      <c r="F4072" s="3">
        <v>2.12058E7</v>
      </c>
      <c r="G4072" s="3">
        <v>9224590.0</v>
      </c>
      <c r="H4072" s="3">
        <v>1.528304E7</v>
      </c>
    </row>
    <row r="4073">
      <c r="B4073" s="3" t="s">
        <v>3566</v>
      </c>
      <c r="C4073">
        <f>Sum(F4075:H4075)</f>
        <v>48401350</v>
      </c>
      <c r="D4073" s="3" t="s">
        <v>3567</v>
      </c>
      <c r="E4073" s="3"/>
      <c r="F4073" s="3">
        <v>1.159817E7</v>
      </c>
      <c r="G4073" s="3">
        <v>4912800.0</v>
      </c>
      <c r="H4073" s="3">
        <v>9115000.0</v>
      </c>
    </row>
    <row r="4075">
      <c r="B4075" s="3" t="s">
        <v>3568</v>
      </c>
      <c r="C4075">
        <f t="shared" ref="C4075:C4204" si="7">Sum(F4076:H4076)</f>
        <v>36623160</v>
      </c>
      <c r="D4075" s="3" t="s">
        <v>3569</v>
      </c>
      <c r="E4075" s="3"/>
      <c r="F4075" s="3">
        <v>2.032732E7</v>
      </c>
      <c r="G4075" s="3">
        <v>8866530.0</v>
      </c>
      <c r="H4075" s="3">
        <v>1.92075E7</v>
      </c>
    </row>
    <row r="4076">
      <c r="B4076" s="3" t="s">
        <v>3570</v>
      </c>
      <c r="C4076">
        <f t="shared" si="7"/>
        <v>39812240</v>
      </c>
      <c r="D4076" s="3" t="s">
        <v>3571</v>
      </c>
      <c r="E4076" s="3"/>
      <c r="F4076" s="3">
        <v>1.679938E7</v>
      </c>
      <c r="G4076" s="3">
        <v>7113980.0</v>
      </c>
      <c r="H4076" s="3">
        <v>1.27098E7</v>
      </c>
    </row>
    <row r="4077">
      <c r="B4077" s="3" t="s">
        <v>3572</v>
      </c>
      <c r="C4077">
        <f t="shared" si="7"/>
        <v>37479210</v>
      </c>
      <c r="D4077" s="3" t="s">
        <v>3573</v>
      </c>
      <c r="E4077" s="3"/>
      <c r="F4077" s="3">
        <v>1.894684E7</v>
      </c>
      <c r="G4077" s="3">
        <v>8235600.0</v>
      </c>
      <c r="H4077" s="3">
        <v>1.26298E7</v>
      </c>
    </row>
    <row r="4078">
      <c r="B4078" s="3" t="s">
        <v>3574</v>
      </c>
      <c r="C4078">
        <f t="shared" si="7"/>
        <v>44628400</v>
      </c>
      <c r="D4078" s="3" t="s">
        <v>3575</v>
      </c>
      <c r="E4078" s="3"/>
      <c r="F4078" s="3">
        <v>1.724499E7</v>
      </c>
      <c r="G4078" s="3">
        <v>7450120.0</v>
      </c>
      <c r="H4078" s="3">
        <v>1.27841E7</v>
      </c>
    </row>
    <row r="4079">
      <c r="B4079" s="3" t="s">
        <v>3576</v>
      </c>
      <c r="C4079">
        <f t="shared" si="7"/>
        <v>44206790</v>
      </c>
      <c r="D4079" s="3" t="s">
        <v>598</v>
      </c>
      <c r="E4079" s="3"/>
      <c r="F4079" s="3">
        <v>2.120611E7</v>
      </c>
      <c r="G4079" s="3">
        <v>8986890.0</v>
      </c>
      <c r="H4079" s="3">
        <v>1.44354E7</v>
      </c>
    </row>
    <row r="4080">
      <c r="B4080" s="3" t="s">
        <v>3577</v>
      </c>
      <c r="C4080">
        <f t="shared" si="7"/>
        <v>35664570</v>
      </c>
      <c r="D4080" s="3" t="s">
        <v>3578</v>
      </c>
      <c r="E4080" s="3"/>
      <c r="F4080" s="3">
        <v>2.014726E7</v>
      </c>
      <c r="G4080" s="3">
        <v>8423630.0</v>
      </c>
      <c r="H4080" s="3">
        <v>1.56359E7</v>
      </c>
    </row>
    <row r="4081">
      <c r="B4081" s="3" t="s">
        <v>3579</v>
      </c>
      <c r="C4081">
        <f t="shared" si="7"/>
        <v>36220880</v>
      </c>
      <c r="D4081" s="3" t="s">
        <v>3580</v>
      </c>
      <c r="E4081" s="3"/>
      <c r="F4081" s="3">
        <v>1.775427E7</v>
      </c>
      <c r="G4081" s="3">
        <v>7401500.0</v>
      </c>
      <c r="H4081" s="3">
        <v>1.05088E7</v>
      </c>
    </row>
    <row r="4082">
      <c r="B4082" s="3" t="s">
        <v>3581</v>
      </c>
      <c r="C4082">
        <f t="shared" si="7"/>
        <v>45543430</v>
      </c>
      <c r="D4082" s="3" t="s">
        <v>3582</v>
      </c>
      <c r="E4082" s="3"/>
      <c r="F4082" s="3">
        <v>1.80678E7</v>
      </c>
      <c r="G4082" s="3">
        <v>7882680.0</v>
      </c>
      <c r="H4082" s="3">
        <v>1.02704E7</v>
      </c>
    </row>
    <row r="4083">
      <c r="B4083" s="3" t="s">
        <v>3583</v>
      </c>
      <c r="C4083">
        <f t="shared" si="7"/>
        <v>53873920</v>
      </c>
      <c r="D4083" s="3" t="s">
        <v>694</v>
      </c>
      <c r="E4083" s="3"/>
      <c r="F4083" s="3">
        <v>2.228027E7</v>
      </c>
      <c r="G4083" s="3">
        <v>9687650.0</v>
      </c>
      <c r="H4083" s="3">
        <v>1.357551E7</v>
      </c>
    </row>
    <row r="4084">
      <c r="B4084" s="3" t="s">
        <v>3584</v>
      </c>
      <c r="C4084">
        <f t="shared" si="7"/>
        <v>51822950</v>
      </c>
      <c r="D4084" s="3" t="s">
        <v>3585</v>
      </c>
      <c r="E4084" s="3"/>
      <c r="F4084" s="3">
        <v>2.791062E7</v>
      </c>
      <c r="G4084" s="3">
        <v>1.175128E7</v>
      </c>
      <c r="H4084" s="3">
        <v>1.421202E7</v>
      </c>
    </row>
    <row r="4085">
      <c r="B4085" s="3" t="s">
        <v>3586</v>
      </c>
      <c r="C4085">
        <f t="shared" si="7"/>
        <v>51285920</v>
      </c>
      <c r="D4085" s="3" t="s">
        <v>736</v>
      </c>
      <c r="E4085" s="3"/>
      <c r="F4085" s="3">
        <v>2.628592E7</v>
      </c>
      <c r="G4085" s="3">
        <v>1.101679E7</v>
      </c>
      <c r="H4085" s="3">
        <v>1.452024E7</v>
      </c>
    </row>
    <row r="4086">
      <c r="B4086" s="3" t="s">
        <v>3587</v>
      </c>
      <c r="C4086">
        <f t="shared" si="7"/>
        <v>42329410</v>
      </c>
      <c r="D4086" s="3" t="s">
        <v>763</v>
      </c>
      <c r="E4086" s="3"/>
      <c r="F4086" s="3">
        <v>2.531462E7</v>
      </c>
      <c r="G4086" s="3">
        <v>1.05243E7</v>
      </c>
      <c r="H4086" s="3">
        <v>1.5447E7</v>
      </c>
    </row>
    <row r="4087">
      <c r="B4087" s="3" t="s">
        <v>3588</v>
      </c>
      <c r="C4087">
        <f t="shared" si="7"/>
        <v>42832310</v>
      </c>
      <c r="D4087" s="3" t="s">
        <v>3589</v>
      </c>
      <c r="E4087" s="3"/>
      <c r="F4087" s="3">
        <v>2.114286E7</v>
      </c>
      <c r="G4087" s="3">
        <v>9051450.0</v>
      </c>
      <c r="H4087" s="3">
        <v>1.21351E7</v>
      </c>
    </row>
    <row r="4088">
      <c r="B4088" s="3" t="s">
        <v>3590</v>
      </c>
      <c r="C4088">
        <f t="shared" si="7"/>
        <v>37636760</v>
      </c>
      <c r="D4088" s="3" t="s">
        <v>3591</v>
      </c>
      <c r="E4088" s="3"/>
      <c r="F4088" s="3">
        <v>2.189321E7</v>
      </c>
      <c r="G4088" s="3">
        <v>9149100.0</v>
      </c>
      <c r="H4088" s="3">
        <v>1.179E7</v>
      </c>
    </row>
    <row r="4089">
      <c r="B4089" s="3" t="s">
        <v>3592</v>
      </c>
      <c r="C4089">
        <f t="shared" si="7"/>
        <v>42144490</v>
      </c>
      <c r="D4089" s="3" t="s">
        <v>797</v>
      </c>
      <c r="E4089" s="3"/>
      <c r="F4089" s="3">
        <v>1.99516E7</v>
      </c>
      <c r="G4089" s="3">
        <v>8323760.0</v>
      </c>
      <c r="H4089" s="3">
        <v>9361400.0</v>
      </c>
    </row>
    <row r="4090">
      <c r="B4090" s="3" t="s">
        <v>3593</v>
      </c>
      <c r="C4090">
        <f t="shared" si="7"/>
        <v>45279860</v>
      </c>
      <c r="D4090" s="3" t="s">
        <v>807</v>
      </c>
      <c r="E4090" s="3"/>
      <c r="F4090" s="3">
        <v>2.224355E7</v>
      </c>
      <c r="G4090" s="3">
        <v>9408140.0</v>
      </c>
      <c r="H4090" s="3">
        <v>1.04928E7</v>
      </c>
    </row>
    <row r="4091">
      <c r="B4091" s="3" t="s">
        <v>3594</v>
      </c>
      <c r="C4091">
        <f t="shared" si="7"/>
        <v>53780440</v>
      </c>
      <c r="D4091" s="3" t="s">
        <v>3595</v>
      </c>
      <c r="E4091" s="3"/>
      <c r="F4091" s="3">
        <v>2.258333E7</v>
      </c>
      <c r="G4091" s="3">
        <v>9655090.0</v>
      </c>
      <c r="H4091" s="3">
        <v>1.304144E7</v>
      </c>
    </row>
    <row r="4092">
      <c r="B4092" s="3" t="s">
        <v>3596</v>
      </c>
      <c r="C4092">
        <f t="shared" si="7"/>
        <v>51319140</v>
      </c>
      <c r="D4092" s="3" t="s">
        <v>3597</v>
      </c>
      <c r="E4092" s="3"/>
      <c r="F4092" s="3">
        <v>2.701454E7</v>
      </c>
      <c r="G4092" s="3">
        <v>1.14439E7</v>
      </c>
      <c r="H4092" s="3">
        <v>1.5322E7</v>
      </c>
    </row>
    <row r="4093">
      <c r="B4093" s="3" t="s">
        <v>3598</v>
      </c>
      <c r="C4093">
        <f t="shared" si="7"/>
        <v>48152880</v>
      </c>
      <c r="D4093" s="3" t="s">
        <v>3599</v>
      </c>
      <c r="E4093" s="3"/>
      <c r="F4093" s="3">
        <v>2.755416E7</v>
      </c>
      <c r="G4093" s="3">
        <v>1.15432E7</v>
      </c>
      <c r="H4093" s="3">
        <v>1.222178E7</v>
      </c>
    </row>
    <row r="4094">
      <c r="B4094" s="3" t="s">
        <v>3599</v>
      </c>
      <c r="C4094">
        <f t="shared" si="7"/>
        <v>50716900</v>
      </c>
      <c r="D4094" s="3" t="s">
        <v>3600</v>
      </c>
      <c r="E4094" s="3"/>
      <c r="F4094" s="3">
        <v>2.450627E7</v>
      </c>
      <c r="G4094" s="3">
        <v>1.041761E7</v>
      </c>
      <c r="H4094" s="3">
        <v>1.3229E7</v>
      </c>
    </row>
    <row r="4095">
      <c r="B4095" s="3" t="s">
        <v>3601</v>
      </c>
      <c r="C4095">
        <f t="shared" si="7"/>
        <v>55348590</v>
      </c>
      <c r="D4095" s="3" t="s">
        <v>900</v>
      </c>
      <c r="E4095" s="3"/>
      <c r="F4095" s="3">
        <v>2.764639E7</v>
      </c>
      <c r="G4095" s="3">
        <v>1.140944E7</v>
      </c>
      <c r="H4095" s="3">
        <v>1.166107E7</v>
      </c>
    </row>
    <row r="4096">
      <c r="B4096" s="3" t="s">
        <v>3602</v>
      </c>
      <c r="C4096">
        <f t="shared" si="7"/>
        <v>56206560</v>
      </c>
      <c r="D4096" s="3" t="s">
        <v>3603</v>
      </c>
      <c r="E4096" s="3"/>
      <c r="F4096" s="3">
        <v>2.916106E7</v>
      </c>
      <c r="G4096" s="3">
        <v>1.223293E7</v>
      </c>
      <c r="H4096" s="3">
        <v>1.39546E7</v>
      </c>
    </row>
    <row r="4097">
      <c r="B4097" s="3" t="s">
        <v>3604</v>
      </c>
      <c r="C4097">
        <f t="shared" si="7"/>
        <v>46540200</v>
      </c>
      <c r="D4097" s="3" t="s">
        <v>918</v>
      </c>
      <c r="E4097" s="3"/>
      <c r="F4097" s="3">
        <v>2.921563E7</v>
      </c>
      <c r="G4097" s="3">
        <v>1.263453E7</v>
      </c>
      <c r="H4097" s="3">
        <v>1.43564E7</v>
      </c>
    </row>
    <row r="4098">
      <c r="B4098" s="3" t="s">
        <v>3605</v>
      </c>
      <c r="C4098">
        <f t="shared" si="7"/>
        <v>42590070</v>
      </c>
      <c r="D4098" s="3" t="s">
        <v>3606</v>
      </c>
      <c r="E4098" s="3"/>
      <c r="F4098" s="3">
        <v>2.533665E7</v>
      </c>
      <c r="G4098" s="3">
        <v>1.061435E7</v>
      </c>
      <c r="H4098" s="3">
        <v>1.05892E7</v>
      </c>
    </row>
    <row r="4099">
      <c r="B4099" s="3" t="s">
        <v>3607</v>
      </c>
      <c r="C4099">
        <f t="shared" si="7"/>
        <v>48189370</v>
      </c>
      <c r="D4099" s="3" t="s">
        <v>955</v>
      </c>
      <c r="E4099" s="3"/>
      <c r="F4099" s="3">
        <v>2.322583E7</v>
      </c>
      <c r="G4099" s="3">
        <v>9771440.0</v>
      </c>
      <c r="H4099" s="3">
        <v>9592800.0</v>
      </c>
    </row>
    <row r="4100">
      <c r="B4100" s="3" t="s">
        <v>3608</v>
      </c>
      <c r="C4100">
        <f t="shared" si="7"/>
        <v>47931240</v>
      </c>
      <c r="D4100" s="3" t="s">
        <v>3609</v>
      </c>
      <c r="E4100" s="3"/>
      <c r="F4100" s="3">
        <v>2.49751E7</v>
      </c>
      <c r="G4100" s="3">
        <v>1.060297E7</v>
      </c>
      <c r="H4100" s="3">
        <v>1.26113E7</v>
      </c>
    </row>
    <row r="4101">
      <c r="B4101" s="3" t="s">
        <v>3610</v>
      </c>
      <c r="C4101">
        <f t="shared" si="7"/>
        <v>42595410</v>
      </c>
      <c r="D4101" s="3" t="s">
        <v>3611</v>
      </c>
      <c r="E4101" s="3"/>
      <c r="F4101" s="3">
        <v>2.576393E7</v>
      </c>
      <c r="G4101" s="3">
        <v>1.067513E7</v>
      </c>
      <c r="H4101" s="3">
        <v>1.149218E7</v>
      </c>
    </row>
    <row r="4102">
      <c r="B4102" s="3" t="s">
        <v>3612</v>
      </c>
      <c r="C4102">
        <f t="shared" si="7"/>
        <v>41440920</v>
      </c>
      <c r="D4102" s="3" t="s">
        <v>3613</v>
      </c>
      <c r="E4102" s="3"/>
      <c r="F4102" s="3">
        <v>2.308862E7</v>
      </c>
      <c r="G4102" s="3">
        <v>9101430.0</v>
      </c>
      <c r="H4102" s="3">
        <v>1.040536E7</v>
      </c>
    </row>
    <row r="4103">
      <c r="B4103" s="3" t="s">
        <v>3614</v>
      </c>
      <c r="C4103">
        <f t="shared" si="7"/>
        <v>47278940</v>
      </c>
      <c r="D4103" s="3" t="s">
        <v>3615</v>
      </c>
      <c r="E4103" s="3"/>
      <c r="F4103" s="3">
        <v>2.166982E7</v>
      </c>
      <c r="G4103" s="3">
        <v>8697700.0</v>
      </c>
      <c r="H4103" s="3">
        <v>1.10734E7</v>
      </c>
    </row>
    <row r="4104">
      <c r="B4104" s="3" t="s">
        <v>3616</v>
      </c>
      <c r="C4104">
        <f t="shared" si="7"/>
        <v>45621550</v>
      </c>
      <c r="D4104" s="3" t="s">
        <v>3617</v>
      </c>
      <c r="E4104" s="3"/>
      <c r="F4104" s="3">
        <v>2.521148E7</v>
      </c>
      <c r="G4104" s="3">
        <v>1.081586E7</v>
      </c>
      <c r="H4104" s="3">
        <v>1.12516E7</v>
      </c>
    </row>
    <row r="4105">
      <c r="B4105" s="3" t="s">
        <v>3618</v>
      </c>
      <c r="C4105">
        <f t="shared" si="7"/>
        <v>43382980</v>
      </c>
      <c r="D4105" s="3" t="s">
        <v>3619</v>
      </c>
      <c r="E4105" s="3"/>
      <c r="F4105" s="3">
        <v>2.390773E7</v>
      </c>
      <c r="G4105" s="3">
        <v>1.052232E7</v>
      </c>
      <c r="H4105" s="3">
        <v>1.11915E7</v>
      </c>
    </row>
    <row r="4106">
      <c r="B4106" s="3" t="s">
        <v>3620</v>
      </c>
      <c r="C4106">
        <f t="shared" si="7"/>
        <v>44165440</v>
      </c>
      <c r="D4106" s="3" t="s">
        <v>1071</v>
      </c>
      <c r="E4106" s="3"/>
      <c r="F4106" s="3">
        <v>2.272905E7</v>
      </c>
      <c r="G4106" s="3">
        <v>9355150.0</v>
      </c>
      <c r="H4106" s="3">
        <v>1.129878E7</v>
      </c>
    </row>
    <row r="4107">
      <c r="B4107" s="3" t="s">
        <v>3621</v>
      </c>
      <c r="C4107">
        <f t="shared" si="7"/>
        <v>43654440</v>
      </c>
      <c r="D4107" s="3" t="s">
        <v>3622</v>
      </c>
      <c r="E4107" s="3"/>
      <c r="F4107" s="3">
        <v>2.400877E7</v>
      </c>
      <c r="G4107" s="3">
        <v>1.053939E7</v>
      </c>
      <c r="H4107" s="3">
        <v>9617280.0</v>
      </c>
    </row>
    <row r="4108">
      <c r="B4108" s="3" t="s">
        <v>3623</v>
      </c>
      <c r="C4108">
        <f t="shared" si="7"/>
        <v>38308560</v>
      </c>
      <c r="D4108" s="3" t="s">
        <v>1110</v>
      </c>
      <c r="E4108" s="3"/>
      <c r="F4108" s="3">
        <v>2.187794E7</v>
      </c>
      <c r="G4108" s="3">
        <v>1.04503E7</v>
      </c>
      <c r="H4108" s="3">
        <v>1.13262E7</v>
      </c>
    </row>
    <row r="4109">
      <c r="B4109" s="3" t="s">
        <v>3624</v>
      </c>
      <c r="C4109">
        <f t="shared" si="7"/>
        <v>38655400</v>
      </c>
      <c r="D4109" s="3" t="s">
        <v>1121</v>
      </c>
      <c r="E4109" s="3"/>
      <c r="F4109" s="3">
        <v>2.083088E7</v>
      </c>
      <c r="G4109" s="3">
        <v>8504500.0</v>
      </c>
      <c r="H4109" s="3">
        <v>8973180.0</v>
      </c>
    </row>
    <row r="4110">
      <c r="B4110" s="3" t="s">
        <v>3625</v>
      </c>
      <c r="C4110">
        <f t="shared" si="7"/>
        <v>44907780</v>
      </c>
      <c r="D4110" s="3" t="s">
        <v>3626</v>
      </c>
      <c r="E4110" s="3"/>
      <c r="F4110" s="3">
        <v>2.085274E7</v>
      </c>
      <c r="G4110" s="3">
        <v>8888860.0</v>
      </c>
      <c r="H4110" s="3">
        <v>8913800.0</v>
      </c>
    </row>
    <row r="4111">
      <c r="B4111" s="3" t="s">
        <v>3627</v>
      </c>
      <c r="C4111">
        <f t="shared" si="7"/>
        <v>38773030</v>
      </c>
      <c r="D4111" s="3" t="s">
        <v>3628</v>
      </c>
      <c r="E4111" s="3"/>
      <c r="F4111" s="3">
        <v>2.393163E7</v>
      </c>
      <c r="G4111" s="3">
        <v>1.078625E7</v>
      </c>
      <c r="H4111" s="3">
        <v>1.01899E7</v>
      </c>
    </row>
    <row r="4112">
      <c r="B4112" s="3" t="s">
        <v>3629</v>
      </c>
      <c r="C4112">
        <f t="shared" si="7"/>
        <v>46026790</v>
      </c>
      <c r="D4112" s="3" t="s">
        <v>1159</v>
      </c>
      <c r="E4112" s="3"/>
      <c r="F4112" s="3">
        <v>2.133119E7</v>
      </c>
      <c r="G4112" s="3">
        <v>8795740.0</v>
      </c>
      <c r="H4112" s="3">
        <v>8646100.0</v>
      </c>
    </row>
    <row r="4113">
      <c r="B4113" s="3" t="s">
        <v>3630</v>
      </c>
      <c r="C4113">
        <f t="shared" si="7"/>
        <v>40608850</v>
      </c>
      <c r="D4113" s="3" t="s">
        <v>1169</v>
      </c>
      <c r="E4113" s="3"/>
      <c r="F4113" s="3">
        <v>2.507062E7</v>
      </c>
      <c r="G4113" s="3">
        <v>1.055677E7</v>
      </c>
      <c r="H4113" s="3">
        <v>1.03994E7</v>
      </c>
    </row>
    <row r="4114">
      <c r="B4114" s="3" t="s">
        <v>3631</v>
      </c>
      <c r="C4114">
        <f t="shared" si="7"/>
        <v>43355670</v>
      </c>
      <c r="D4114" s="3" t="s">
        <v>1183</v>
      </c>
      <c r="E4114" s="3"/>
      <c r="F4114" s="3">
        <v>2.278429E7</v>
      </c>
      <c r="G4114" s="3">
        <v>9773760.0</v>
      </c>
      <c r="H4114" s="3">
        <v>8050800.0</v>
      </c>
    </row>
    <row r="4115">
      <c r="B4115" s="3" t="s">
        <v>3632</v>
      </c>
      <c r="C4115">
        <f t="shared" si="7"/>
        <v>40695840</v>
      </c>
      <c r="D4115" s="3" t="s">
        <v>3633</v>
      </c>
      <c r="E4115" s="3"/>
      <c r="F4115" s="3">
        <v>2.406481E7</v>
      </c>
      <c r="G4115" s="3">
        <v>9766660.0</v>
      </c>
      <c r="H4115" s="3">
        <v>9524200.0</v>
      </c>
    </row>
    <row r="4116">
      <c r="B4116" s="3" t="s">
        <v>3634</v>
      </c>
      <c r="C4116">
        <f t="shared" si="7"/>
        <v>40515460</v>
      </c>
      <c r="D4116" s="3" t="s">
        <v>1213</v>
      </c>
      <c r="E4116" s="3"/>
      <c r="F4116" s="3">
        <v>2.281788E7</v>
      </c>
      <c r="G4116" s="3">
        <v>9974360.0</v>
      </c>
      <c r="H4116" s="3">
        <v>7903600.0</v>
      </c>
    </row>
    <row r="4117">
      <c r="B4117" s="3" t="s">
        <v>3635</v>
      </c>
      <c r="C4117">
        <f t="shared" si="7"/>
        <v>42242364</v>
      </c>
      <c r="D4117" s="3" t="s">
        <v>3636</v>
      </c>
      <c r="E4117" s="3"/>
      <c r="F4117" s="3">
        <v>2.190018E7</v>
      </c>
      <c r="G4117" s="3">
        <v>9218680.0</v>
      </c>
      <c r="H4117" s="3">
        <v>9396600.0</v>
      </c>
    </row>
    <row r="4118">
      <c r="B4118" s="3" t="s">
        <v>3637</v>
      </c>
      <c r="C4118">
        <f t="shared" si="7"/>
        <v>44181450</v>
      </c>
      <c r="D4118" s="3" t="s">
        <v>3638</v>
      </c>
      <c r="E4118" s="3"/>
      <c r="F4118" s="3">
        <v>2.370471E7</v>
      </c>
      <c r="G4118" s="3">
        <v>9818840.0</v>
      </c>
      <c r="H4118" s="3">
        <v>8718814.0</v>
      </c>
    </row>
    <row r="4119">
      <c r="B4119" s="3" t="s">
        <v>3639</v>
      </c>
      <c r="C4119">
        <f t="shared" si="7"/>
        <v>37246640</v>
      </c>
      <c r="D4119" s="3" t="s">
        <v>3640</v>
      </c>
      <c r="E4119" s="3"/>
      <c r="F4119" s="3">
        <v>2.472289E7</v>
      </c>
      <c r="G4119" s="3">
        <v>1.092096E7</v>
      </c>
      <c r="H4119" s="3">
        <v>8537600.0</v>
      </c>
    </row>
    <row r="4120">
      <c r="B4120" s="3" t="s">
        <v>3641</v>
      </c>
      <c r="C4120">
        <f t="shared" si="7"/>
        <v>36602750</v>
      </c>
      <c r="D4120" s="3" t="s">
        <v>3642</v>
      </c>
      <c r="E4120" s="3"/>
      <c r="F4120" s="3">
        <v>2.11866E7</v>
      </c>
      <c r="G4120" s="3">
        <v>8712460.0</v>
      </c>
      <c r="H4120" s="3">
        <v>7347580.0</v>
      </c>
    </row>
    <row r="4121">
      <c r="B4121" s="3" t="s">
        <v>3643</v>
      </c>
      <c r="C4121">
        <f t="shared" si="7"/>
        <v>37888330</v>
      </c>
      <c r="D4121" s="3" t="s">
        <v>3644</v>
      </c>
      <c r="E4121" s="3"/>
      <c r="F4121" s="3">
        <v>2.124014E7</v>
      </c>
      <c r="G4121" s="3">
        <v>8647610.0</v>
      </c>
      <c r="H4121" s="3">
        <v>6715000.0</v>
      </c>
    </row>
    <row r="4122">
      <c r="B4122" s="3" t="s">
        <v>3645</v>
      </c>
      <c r="C4122">
        <f t="shared" si="7"/>
        <v>38109972</v>
      </c>
      <c r="D4122" s="3" t="s">
        <v>1293</v>
      </c>
      <c r="E4122" s="3"/>
      <c r="F4122" s="3">
        <v>2.150938E7</v>
      </c>
      <c r="G4122" s="3">
        <v>8903750.0</v>
      </c>
      <c r="H4122" s="3">
        <v>7475200.0</v>
      </c>
    </row>
    <row r="4123">
      <c r="B4123" s="3" t="s">
        <v>3646</v>
      </c>
      <c r="C4123">
        <f t="shared" si="7"/>
        <v>38720800</v>
      </c>
      <c r="D4123" s="3" t="s">
        <v>1305</v>
      </c>
      <c r="E4123" s="3"/>
      <c r="F4123" s="3">
        <v>2.132671E7</v>
      </c>
      <c r="G4123" s="3">
        <v>8712950.0</v>
      </c>
      <c r="H4123" s="3">
        <v>8070312.0</v>
      </c>
    </row>
    <row r="4124">
      <c r="B4124" s="3" t="s">
        <v>3647</v>
      </c>
      <c r="C4124">
        <f t="shared" si="7"/>
        <v>34069730</v>
      </c>
      <c r="D4124" s="3" t="s">
        <v>1315</v>
      </c>
      <c r="E4124" s="3"/>
      <c r="F4124" s="3">
        <v>2.132059E7</v>
      </c>
      <c r="G4124" s="3">
        <v>9332510.0</v>
      </c>
      <c r="H4124" s="3">
        <v>8067700.0</v>
      </c>
    </row>
    <row r="4125">
      <c r="B4125" s="3" t="s">
        <v>3648</v>
      </c>
      <c r="C4125">
        <f t="shared" si="7"/>
        <v>40205890</v>
      </c>
      <c r="D4125" s="3" t="s">
        <v>3649</v>
      </c>
      <c r="E4125" s="3"/>
      <c r="F4125" s="3">
        <v>1.918841E7</v>
      </c>
      <c r="G4125" s="3">
        <v>8015420.0</v>
      </c>
      <c r="H4125" s="3">
        <v>6865900.0</v>
      </c>
    </row>
    <row r="4126">
      <c r="B4126" s="3" t="s">
        <v>3650</v>
      </c>
      <c r="C4126">
        <f t="shared" si="7"/>
        <v>39931060</v>
      </c>
      <c r="D4126" s="3" t="s">
        <v>3651</v>
      </c>
      <c r="E4126" s="3"/>
      <c r="F4126" s="3">
        <v>2.302656E7</v>
      </c>
      <c r="G4126" s="3">
        <v>9664090.0</v>
      </c>
      <c r="H4126" s="3">
        <v>7515240.0</v>
      </c>
    </row>
    <row r="4127">
      <c r="B4127" s="3" t="s">
        <v>3652</v>
      </c>
      <c r="C4127">
        <f t="shared" si="7"/>
        <v>45318170</v>
      </c>
      <c r="D4127" s="3" t="s">
        <v>3653</v>
      </c>
      <c r="E4127" s="3"/>
      <c r="F4127" s="3">
        <v>2.211056E7</v>
      </c>
      <c r="G4127" s="3">
        <v>9180500.0</v>
      </c>
      <c r="H4127" s="3">
        <v>8640000.0</v>
      </c>
    </row>
    <row r="4128">
      <c r="B4128" s="3" t="s">
        <v>3654</v>
      </c>
      <c r="C4128">
        <f t="shared" si="7"/>
        <v>46220190</v>
      </c>
      <c r="D4128" s="3" t="s">
        <v>3655</v>
      </c>
      <c r="E4128" s="3"/>
      <c r="F4128" s="3">
        <v>2.562455E7</v>
      </c>
      <c r="G4128" s="3">
        <v>1.121722E7</v>
      </c>
      <c r="H4128" s="3">
        <v>8476400.0</v>
      </c>
    </row>
    <row r="4129">
      <c r="B4129" s="3" t="s">
        <v>3656</v>
      </c>
      <c r="C4129">
        <f t="shared" si="7"/>
        <v>51234630</v>
      </c>
      <c r="D4129" s="3" t="s">
        <v>3657</v>
      </c>
      <c r="E4129" s="3"/>
      <c r="F4129" s="3">
        <v>2.520624E7</v>
      </c>
      <c r="G4129" s="3">
        <v>1.050995E7</v>
      </c>
      <c r="H4129" s="3">
        <v>1.0504E7</v>
      </c>
    </row>
    <row r="4130">
      <c r="B4130" s="3" t="s">
        <v>3658</v>
      </c>
      <c r="C4130">
        <f t="shared" si="7"/>
        <v>46389510</v>
      </c>
      <c r="D4130" s="3" t="s">
        <v>1406</v>
      </c>
      <c r="E4130" s="3"/>
      <c r="F4130" s="3">
        <v>2.797473E7</v>
      </c>
      <c r="G4130" s="3">
        <v>1.193246E7</v>
      </c>
      <c r="H4130" s="3">
        <v>1.132744E7</v>
      </c>
    </row>
    <row r="4131">
      <c r="B4131" s="3" t="s">
        <v>3659</v>
      </c>
      <c r="C4131">
        <f t="shared" si="7"/>
        <v>45132280</v>
      </c>
      <c r="D4131" s="3" t="s">
        <v>3660</v>
      </c>
      <c r="E4131" s="3"/>
      <c r="F4131" s="3">
        <v>2.550811E7</v>
      </c>
      <c r="G4131" s="3">
        <v>1.08472E7</v>
      </c>
      <c r="H4131" s="3">
        <v>1.00342E7</v>
      </c>
    </row>
    <row r="4132">
      <c r="B4132" s="3" t="s">
        <v>3661</v>
      </c>
      <c r="C4132">
        <f t="shared" si="7"/>
        <v>42509860</v>
      </c>
      <c r="D4132" s="3" t="s">
        <v>1423</v>
      </c>
      <c r="E4132" s="3"/>
      <c r="F4132" s="3">
        <v>2.54627E7</v>
      </c>
      <c r="G4132" s="3">
        <v>1.05864E7</v>
      </c>
      <c r="H4132" s="3">
        <v>9083180.0</v>
      </c>
    </row>
    <row r="4133">
      <c r="B4133" s="3" t="s">
        <v>3662</v>
      </c>
      <c r="C4133">
        <f t="shared" si="7"/>
        <v>41196470</v>
      </c>
      <c r="D4133" s="3" t="s">
        <v>3663</v>
      </c>
      <c r="E4133" s="3"/>
      <c r="F4133" s="3">
        <v>2.345149E7</v>
      </c>
      <c r="G4133" s="3">
        <v>9704370.0</v>
      </c>
      <c r="H4133" s="3">
        <v>9354000.0</v>
      </c>
    </row>
    <row r="4134">
      <c r="B4134" s="3" t="s">
        <v>3664</v>
      </c>
      <c r="C4134">
        <f t="shared" si="7"/>
        <v>38691410</v>
      </c>
      <c r="D4134" s="3" t="s">
        <v>1442</v>
      </c>
      <c r="E4134" s="3"/>
      <c r="F4134" s="3">
        <v>2.287024E7</v>
      </c>
      <c r="G4134" s="3">
        <v>9339850.0</v>
      </c>
      <c r="H4134" s="3">
        <v>8986380.0</v>
      </c>
    </row>
    <row r="4135">
      <c r="B4135" s="3" t="s">
        <v>3665</v>
      </c>
      <c r="C4135">
        <f t="shared" si="7"/>
        <v>41212746</v>
      </c>
      <c r="D4135" s="3" t="s">
        <v>3666</v>
      </c>
      <c r="E4135" s="3"/>
      <c r="F4135" s="3">
        <v>2.05454E7</v>
      </c>
      <c r="G4135" s="3">
        <v>8595830.0</v>
      </c>
      <c r="H4135" s="3">
        <v>9550180.0</v>
      </c>
    </row>
    <row r="4136">
      <c r="B4136" s="3" t="s">
        <v>3667</v>
      </c>
      <c r="C4136">
        <f t="shared" si="7"/>
        <v>40399911</v>
      </c>
      <c r="D4136" s="3" t="s">
        <v>1315</v>
      </c>
      <c r="E4136" s="3"/>
      <c r="F4136" s="3">
        <v>2.284117E7</v>
      </c>
      <c r="G4136" s="3">
        <v>9290460.0</v>
      </c>
      <c r="H4136" s="3">
        <v>9081116.0</v>
      </c>
    </row>
    <row r="4137">
      <c r="B4137" s="3" t="s">
        <v>3668</v>
      </c>
      <c r="C4137">
        <f t="shared" si="7"/>
        <v>44581822</v>
      </c>
      <c r="D4137" s="3" t="s">
        <v>1323</v>
      </c>
      <c r="E4137" s="3"/>
      <c r="F4137" s="3">
        <v>2.240852E7</v>
      </c>
      <c r="G4137" s="3">
        <v>9399450.0</v>
      </c>
      <c r="H4137" s="3">
        <v>8591941.0</v>
      </c>
    </row>
    <row r="4138">
      <c r="B4138" s="3" t="s">
        <v>3669</v>
      </c>
      <c r="C4138">
        <f t="shared" si="7"/>
        <v>41888987</v>
      </c>
      <c r="D4138" s="3" t="s">
        <v>1476</v>
      </c>
      <c r="E4138" s="3"/>
      <c r="F4138" s="3">
        <v>2.466016E7</v>
      </c>
      <c r="G4138" s="3">
        <v>1.02528E7</v>
      </c>
      <c r="H4138" s="3">
        <v>9668862.0</v>
      </c>
    </row>
    <row r="4139">
      <c r="B4139" s="3" t="s">
        <v>3670</v>
      </c>
      <c r="C4139">
        <f t="shared" si="7"/>
        <v>39415280</v>
      </c>
      <c r="D4139" s="3" t="s">
        <v>1490</v>
      </c>
      <c r="E4139" s="3"/>
      <c r="F4139" s="3">
        <v>2.270345E7</v>
      </c>
      <c r="G4139" s="3">
        <v>9893120.0</v>
      </c>
      <c r="H4139" s="3">
        <v>9292417.0</v>
      </c>
    </row>
    <row r="4140">
      <c r="B4140" s="3" t="s">
        <v>3671</v>
      </c>
      <c r="C4140">
        <f t="shared" si="7"/>
        <v>41111230</v>
      </c>
      <c r="D4140" s="3" t="s">
        <v>3672</v>
      </c>
      <c r="E4140" s="3"/>
      <c r="F4140" s="3">
        <v>2.222564E7</v>
      </c>
      <c r="G4140" s="3">
        <v>9547000.0</v>
      </c>
      <c r="H4140" s="3">
        <v>7642640.0</v>
      </c>
    </row>
    <row r="4141">
      <c r="B4141" s="3" t="s">
        <v>3673</v>
      </c>
      <c r="C4141">
        <f t="shared" si="7"/>
        <v>41519890</v>
      </c>
      <c r="D4141" s="3" t="s">
        <v>1510</v>
      </c>
      <c r="E4141" s="3"/>
      <c r="F4141" s="3">
        <v>2.367499E7</v>
      </c>
      <c r="G4141" s="3">
        <v>9790810.0</v>
      </c>
      <c r="H4141" s="3">
        <v>7645430.0</v>
      </c>
    </row>
    <row r="4142">
      <c r="B4142" s="3" t="s">
        <v>3674</v>
      </c>
      <c r="C4142">
        <f t="shared" si="7"/>
        <v>41595440</v>
      </c>
      <c r="D4142" s="3" t="s">
        <v>1517</v>
      </c>
      <c r="E4142" s="3"/>
      <c r="F4142" s="3">
        <v>2.403E7</v>
      </c>
      <c r="G4142" s="3">
        <v>1.037781E7</v>
      </c>
      <c r="H4142" s="3">
        <v>7112080.0</v>
      </c>
    </row>
    <row r="4143">
      <c r="B4143" s="3" t="s">
        <v>3675</v>
      </c>
      <c r="C4143">
        <f t="shared" si="7"/>
        <v>31039110</v>
      </c>
      <c r="D4143" s="3" t="s">
        <v>3676</v>
      </c>
      <c r="E4143" s="3"/>
      <c r="F4143" s="3">
        <v>2.362583E7</v>
      </c>
      <c r="G4143" s="3">
        <v>9751510.0</v>
      </c>
      <c r="H4143" s="3">
        <v>8218100.0</v>
      </c>
    </row>
    <row r="4144">
      <c r="B4144" s="3" t="s">
        <v>3677</v>
      </c>
      <c r="C4144">
        <f t="shared" si="7"/>
        <v>46286440</v>
      </c>
      <c r="D4144" s="3" t="s">
        <v>1549</v>
      </c>
      <c r="E4144" s="3"/>
      <c r="F4144" s="3">
        <v>1.804462E7</v>
      </c>
      <c r="G4144" s="3">
        <v>7392850.0</v>
      </c>
      <c r="H4144" s="3">
        <v>5601640.0</v>
      </c>
    </row>
    <row r="4145">
      <c r="B4145" s="3" t="s">
        <v>3678</v>
      </c>
      <c r="C4145">
        <f t="shared" si="7"/>
        <v>40398460</v>
      </c>
      <c r="D4145" s="3" t="s">
        <v>3679</v>
      </c>
      <c r="E4145" s="3"/>
      <c r="F4145" s="3">
        <v>2.690164E7</v>
      </c>
      <c r="G4145" s="3">
        <v>1.12448E7</v>
      </c>
      <c r="H4145" s="3">
        <v>8140000.0</v>
      </c>
    </row>
    <row r="4146">
      <c r="B4146" s="3" t="s">
        <v>3680</v>
      </c>
      <c r="C4146">
        <f t="shared" si="7"/>
        <v>35876200</v>
      </c>
      <c r="D4146" s="3" t="s">
        <v>3681</v>
      </c>
      <c r="E4146" s="3"/>
      <c r="F4146" s="3">
        <v>2.389367E7</v>
      </c>
      <c r="G4146" s="3">
        <v>9881950.0</v>
      </c>
      <c r="H4146" s="3">
        <v>6622840.0</v>
      </c>
    </row>
    <row r="4147">
      <c r="B4147" s="3" t="s">
        <v>3682</v>
      </c>
      <c r="C4147">
        <f t="shared" si="7"/>
        <v>41463640</v>
      </c>
      <c r="D4147" s="3" t="s">
        <v>1591</v>
      </c>
      <c r="E4147" s="3"/>
      <c r="F4147" s="3">
        <v>1.903283E7</v>
      </c>
      <c r="G4147" s="3">
        <v>8840570.0</v>
      </c>
      <c r="H4147" s="3">
        <v>8002800.0</v>
      </c>
    </row>
    <row r="4148">
      <c r="B4148" s="3" t="s">
        <v>3683</v>
      </c>
      <c r="C4148">
        <f t="shared" si="7"/>
        <v>46893000</v>
      </c>
      <c r="D4148" s="3" t="s">
        <v>3684</v>
      </c>
      <c r="E4148" s="3"/>
      <c r="F4148" s="3">
        <v>2.422586E7</v>
      </c>
      <c r="G4148" s="3">
        <v>1.023978E7</v>
      </c>
      <c r="H4148" s="3">
        <v>6998000.0</v>
      </c>
    </row>
    <row r="4149">
      <c r="B4149" s="3" t="s">
        <v>3685</v>
      </c>
      <c r="C4149">
        <f t="shared" si="7"/>
        <v>49945370</v>
      </c>
      <c r="D4149" s="1" t="s">
        <v>3686</v>
      </c>
      <c r="E4149" s="1"/>
      <c r="F4149" s="3">
        <v>2.691576E7</v>
      </c>
      <c r="G4149" s="3">
        <v>1.138E7</v>
      </c>
      <c r="H4149" s="3">
        <v>8597240.0</v>
      </c>
    </row>
    <row r="4150">
      <c r="B4150" s="3" t="s">
        <v>3687</v>
      </c>
      <c r="C4150">
        <f t="shared" si="7"/>
        <v>38274340</v>
      </c>
      <c r="D4150" s="1" t="s">
        <v>1624</v>
      </c>
      <c r="E4150" s="1"/>
      <c r="F4150" s="1">
        <v>2.853581E7</v>
      </c>
      <c r="G4150" s="3">
        <v>1.207256E7</v>
      </c>
      <c r="H4150" s="3">
        <v>9337000.0</v>
      </c>
    </row>
    <row r="4151">
      <c r="B4151" s="3" t="s">
        <v>3688</v>
      </c>
      <c r="C4151">
        <f t="shared" si="7"/>
        <v>48879280</v>
      </c>
      <c r="D4151" s="1" t="s">
        <v>3689</v>
      </c>
      <c r="E4151" s="1"/>
      <c r="F4151" s="1">
        <v>2.187151E7</v>
      </c>
      <c r="G4151" s="1">
        <v>8992830.0</v>
      </c>
      <c r="H4151" s="1">
        <v>7410000.0</v>
      </c>
    </row>
    <row r="4152">
      <c r="B4152" s="3" t="s">
        <v>3690</v>
      </c>
      <c r="C4152">
        <f t="shared" si="7"/>
        <v>47140540</v>
      </c>
      <c r="D4152" s="1" t="s">
        <v>3691</v>
      </c>
      <c r="E4152" s="1"/>
      <c r="F4152" s="1">
        <v>2.783528E7</v>
      </c>
      <c r="G4152" s="1">
        <v>1.1452E7</v>
      </c>
      <c r="H4152" s="1">
        <v>9592000.0</v>
      </c>
    </row>
    <row r="4153">
      <c r="B4153" s="3" t="s">
        <v>3692</v>
      </c>
      <c r="C4153">
        <f t="shared" si="7"/>
        <v>36492240</v>
      </c>
      <c r="D4153" s="1" t="s">
        <v>1659</v>
      </c>
      <c r="E4153" s="1"/>
      <c r="F4153" s="1">
        <v>2.720334E7</v>
      </c>
      <c r="G4153" s="1">
        <v>1.09342E7</v>
      </c>
      <c r="H4153" s="1">
        <v>9003000.0</v>
      </c>
    </row>
    <row r="4154">
      <c r="B4154" s="1" t="s">
        <v>3693</v>
      </c>
      <c r="C4154">
        <f t="shared" si="7"/>
        <v>37942070</v>
      </c>
      <c r="D4154" s="1" t="s">
        <v>3694</v>
      </c>
      <c r="E4154" s="1"/>
      <c r="F4154" s="1">
        <v>2.132411E7</v>
      </c>
      <c r="G4154" s="1">
        <v>9192930.0</v>
      </c>
      <c r="H4154" s="1">
        <v>5975200.0</v>
      </c>
    </row>
    <row r="4155">
      <c r="B4155" s="1" t="s">
        <v>3695</v>
      </c>
      <c r="C4155">
        <f t="shared" si="7"/>
        <v>57772720</v>
      </c>
      <c r="D4155" s="1" t="s">
        <v>3696</v>
      </c>
      <c r="E4155" s="1"/>
      <c r="F4155" s="1">
        <v>2.281E7</v>
      </c>
      <c r="G4155" s="1">
        <v>9301070.0</v>
      </c>
      <c r="H4155" s="1">
        <v>5831000.0</v>
      </c>
    </row>
    <row r="4156">
      <c r="B4156" s="1" t="s">
        <v>1683</v>
      </c>
      <c r="C4156">
        <f t="shared" si="7"/>
        <v>47770490</v>
      </c>
      <c r="D4156" s="1" t="s">
        <v>3697</v>
      </c>
      <c r="E4156" s="1"/>
      <c r="F4156" s="1">
        <v>3.417E7</v>
      </c>
      <c r="G4156" s="1">
        <v>1.412272E7</v>
      </c>
      <c r="H4156" s="1">
        <v>9480000.0</v>
      </c>
    </row>
    <row r="4157">
      <c r="B4157" s="1" t="s">
        <v>3698</v>
      </c>
      <c r="C4157">
        <f t="shared" si="7"/>
        <v>41380362</v>
      </c>
      <c r="D4157" s="1" t="s">
        <v>3699</v>
      </c>
      <c r="E4157" s="1"/>
      <c r="F4157" s="1">
        <v>2.803E7</v>
      </c>
      <c r="G4157" s="1">
        <v>1.172909E7</v>
      </c>
      <c r="H4157" s="1">
        <v>8011400.0</v>
      </c>
    </row>
    <row r="4158">
      <c r="B4158" s="1" t="s">
        <v>3700</v>
      </c>
      <c r="C4158">
        <f t="shared" si="7"/>
        <v>41658510</v>
      </c>
      <c r="D4158" s="1" t="s">
        <v>3701</v>
      </c>
      <c r="E4158" s="1"/>
      <c r="F4158" s="1">
        <v>2.366E7</v>
      </c>
      <c r="G4158" s="1">
        <v>9743510.0</v>
      </c>
      <c r="H4158" s="1">
        <v>7976852.0</v>
      </c>
    </row>
    <row r="4159">
      <c r="B4159" s="1" t="s">
        <v>3702</v>
      </c>
      <c r="C4159">
        <f t="shared" si="7"/>
        <v>40746130</v>
      </c>
      <c r="D4159" s="1" t="s">
        <v>3703</v>
      </c>
      <c r="E4159" s="1"/>
      <c r="F4159" s="1">
        <v>2.407E7</v>
      </c>
      <c r="G4159" s="1">
        <v>1.046331E7</v>
      </c>
      <c r="H4159" s="1">
        <v>7125200.0</v>
      </c>
    </row>
    <row r="4160">
      <c r="B4160" s="1" t="s">
        <v>3704</v>
      </c>
      <c r="C4160">
        <f t="shared" si="7"/>
        <v>37081700</v>
      </c>
      <c r="D4160" s="1" t="s">
        <v>3705</v>
      </c>
      <c r="E4160" s="1"/>
      <c r="F4160" s="1">
        <v>2.213E7</v>
      </c>
      <c r="G4160" s="1">
        <v>9686690.0</v>
      </c>
      <c r="H4160" s="1">
        <v>8929440.0</v>
      </c>
    </row>
    <row r="4161">
      <c r="B4161" s="1" t="s">
        <v>3706</v>
      </c>
      <c r="C4161">
        <f t="shared" si="7"/>
        <v>45093190</v>
      </c>
      <c r="D4161" s="1" t="s">
        <v>3707</v>
      </c>
      <c r="E4161" s="1"/>
      <c r="F4161" s="1">
        <v>2.093E7</v>
      </c>
      <c r="G4161" s="1">
        <v>8980300.0</v>
      </c>
      <c r="H4161" s="1">
        <v>7171400.0</v>
      </c>
    </row>
    <row r="4162">
      <c r="B4162" s="1" t="s">
        <v>3708</v>
      </c>
      <c r="C4162">
        <f t="shared" si="7"/>
        <v>40854500</v>
      </c>
      <c r="D4162" s="1" t="s">
        <v>3709</v>
      </c>
      <c r="E4162" s="1"/>
      <c r="F4162" s="1">
        <v>2.489E7</v>
      </c>
      <c r="G4162" s="1">
        <v>1.119739E7</v>
      </c>
      <c r="H4162" s="1">
        <v>9005800.0</v>
      </c>
    </row>
    <row r="4163">
      <c r="B4163" s="1" t="s">
        <v>3710</v>
      </c>
      <c r="C4163">
        <f t="shared" si="7"/>
        <v>43321490</v>
      </c>
      <c r="D4163" s="1" t="s">
        <v>3711</v>
      </c>
      <c r="E4163" s="1"/>
      <c r="F4163" s="1">
        <v>2.357E7</v>
      </c>
      <c r="G4163" s="1">
        <v>9932900.0</v>
      </c>
      <c r="H4163" s="1">
        <v>7351600.0</v>
      </c>
    </row>
    <row r="4164">
      <c r="B4164" s="1" t="s">
        <v>3712</v>
      </c>
      <c r="C4164">
        <f t="shared" si="7"/>
        <v>41175970</v>
      </c>
      <c r="D4164" s="1" t="s">
        <v>3713</v>
      </c>
      <c r="E4164" s="1"/>
      <c r="F4164" s="1">
        <v>2.495E7</v>
      </c>
      <c r="G4164" s="1">
        <v>1.074629E7</v>
      </c>
      <c r="H4164" s="1">
        <v>7625200.0</v>
      </c>
    </row>
    <row r="4165">
      <c r="B4165" s="1" t="s">
        <v>3714</v>
      </c>
      <c r="C4165">
        <f t="shared" si="7"/>
        <v>44798550</v>
      </c>
      <c r="D4165" s="1" t="s">
        <v>3715</v>
      </c>
      <c r="E4165" s="1"/>
      <c r="F4165" s="1">
        <v>2.351E7</v>
      </c>
      <c r="G4165" s="1">
        <v>1.016817E7</v>
      </c>
      <c r="H4165" s="1">
        <v>7497800.0</v>
      </c>
    </row>
    <row r="4166">
      <c r="B4166" s="1" t="s">
        <v>3716</v>
      </c>
      <c r="C4166">
        <f t="shared" si="7"/>
        <v>45816580</v>
      </c>
      <c r="D4166" s="1" t="s">
        <v>3717</v>
      </c>
      <c r="E4166" s="1"/>
      <c r="F4166" s="1">
        <v>2.538E7</v>
      </c>
      <c r="G4166" s="1">
        <v>1.102835E7</v>
      </c>
      <c r="H4166" s="1">
        <v>8390200.0</v>
      </c>
    </row>
    <row r="4167">
      <c r="B4167" s="1" t="s">
        <v>3718</v>
      </c>
      <c r="C4167">
        <f t="shared" si="7"/>
        <v>45301670</v>
      </c>
      <c r="D4167" s="1" t="s">
        <v>1851</v>
      </c>
      <c r="E4167" s="1"/>
      <c r="F4167" s="1">
        <v>2.549E7</v>
      </c>
      <c r="G4167" s="1">
        <v>1.08957E7</v>
      </c>
      <c r="H4167" s="1">
        <v>9430880.0</v>
      </c>
    </row>
    <row r="4168">
      <c r="B4168" s="1" t="s">
        <v>3719</v>
      </c>
      <c r="C4168">
        <f t="shared" si="7"/>
        <v>40428150</v>
      </c>
      <c r="D4168" s="1" t="s">
        <v>3720</v>
      </c>
      <c r="E4168" s="1"/>
      <c r="F4168" s="1">
        <v>2.58E7</v>
      </c>
      <c r="G4168" s="1">
        <v>1.157167E7</v>
      </c>
      <c r="H4168" s="1">
        <v>7930000.0</v>
      </c>
    </row>
    <row r="4169">
      <c r="B4169" s="1" t="s">
        <v>3721</v>
      </c>
      <c r="C4169">
        <f t="shared" si="7"/>
        <v>49234820</v>
      </c>
      <c r="D4169" s="1" t="s">
        <v>3722</v>
      </c>
      <c r="E4169" s="1"/>
      <c r="F4169" s="1">
        <v>2.279E7</v>
      </c>
      <c r="G4169" s="1">
        <v>9773350.0</v>
      </c>
      <c r="H4169" s="1">
        <v>7864800.0</v>
      </c>
    </row>
    <row r="4170">
      <c r="B4170" s="1" t="s">
        <v>3723</v>
      </c>
      <c r="C4170">
        <f t="shared" si="7"/>
        <v>47076160</v>
      </c>
      <c r="D4170" s="1" t="s">
        <v>3724</v>
      </c>
      <c r="E4170" s="1"/>
      <c r="F4170" s="1">
        <v>2.714E7</v>
      </c>
      <c r="G4170" s="1">
        <v>1.230564E7</v>
      </c>
      <c r="H4170" s="1">
        <v>9789180.0</v>
      </c>
    </row>
    <row r="4171">
      <c r="B4171" s="1" t="s">
        <v>3725</v>
      </c>
      <c r="C4171">
        <f t="shared" si="7"/>
        <v>50227940</v>
      </c>
      <c r="D4171" s="1" t="s">
        <v>1894</v>
      </c>
      <c r="E4171" s="1"/>
      <c r="F4171" s="1">
        <v>2.554E7</v>
      </c>
      <c r="G4171" s="1">
        <v>1.124156E7</v>
      </c>
      <c r="H4171" s="1">
        <v>1.02946E7</v>
      </c>
    </row>
    <row r="4172">
      <c r="B4172" s="1" t="s">
        <v>3726</v>
      </c>
      <c r="C4172">
        <f t="shared" si="7"/>
        <v>51435370</v>
      </c>
      <c r="D4172" s="1" t="s">
        <v>1911</v>
      </c>
      <c r="E4172" s="1"/>
      <c r="F4172" s="1">
        <v>2.75E7</v>
      </c>
      <c r="G4172" s="1">
        <v>1.207074E7</v>
      </c>
      <c r="H4172" s="1">
        <v>1.06572E7</v>
      </c>
    </row>
    <row r="4173">
      <c r="B4173" s="1" t="s">
        <v>3727</v>
      </c>
      <c r="C4173">
        <f t="shared" si="7"/>
        <v>43335210</v>
      </c>
      <c r="D4173" s="1" t="s">
        <v>3728</v>
      </c>
      <c r="E4173" s="1"/>
      <c r="F4173" s="1">
        <v>2.93E7</v>
      </c>
      <c r="G4173" s="1">
        <v>1.298877E7</v>
      </c>
      <c r="H4173" s="1">
        <v>9146600.0</v>
      </c>
    </row>
    <row r="4174">
      <c r="B4174" s="1" t="s">
        <v>3729</v>
      </c>
      <c r="C4174">
        <f t="shared" si="7"/>
        <v>43091000</v>
      </c>
      <c r="D4174" s="1" t="s">
        <v>3730</v>
      </c>
      <c r="E4174" s="1"/>
      <c r="F4174" s="1">
        <v>2.564E7</v>
      </c>
      <c r="G4174" s="1">
        <v>1.118901E7</v>
      </c>
      <c r="H4174" s="1">
        <v>6506200.0</v>
      </c>
    </row>
    <row r="4175">
      <c r="B4175" s="1" t="s">
        <v>3731</v>
      </c>
      <c r="C4175">
        <f t="shared" si="7"/>
        <v>46261870</v>
      </c>
      <c r="D4175" s="1" t="s">
        <v>3732</v>
      </c>
      <c r="E4175" s="1"/>
      <c r="F4175" s="1">
        <v>2.538E7</v>
      </c>
      <c r="G4175" s="1">
        <v>1.1033E7</v>
      </c>
      <c r="H4175" s="1">
        <v>6678000.0</v>
      </c>
    </row>
    <row r="4176">
      <c r="B4176" s="1" t="s">
        <v>3732</v>
      </c>
      <c r="C4176">
        <f t="shared" si="7"/>
        <v>40512670</v>
      </c>
      <c r="D4176" s="1" t="s">
        <v>1999</v>
      </c>
      <c r="E4176" s="1"/>
      <c r="F4176" s="1">
        <v>2.777E7</v>
      </c>
      <c r="G4176" s="1">
        <v>1.251283E7</v>
      </c>
      <c r="H4176" s="1">
        <v>5979040.0</v>
      </c>
    </row>
    <row r="4177">
      <c r="B4177" s="1" t="s">
        <v>3733</v>
      </c>
      <c r="C4177">
        <f t="shared" si="7"/>
        <v>42996050</v>
      </c>
      <c r="D4177" s="1" t="s">
        <v>3734</v>
      </c>
      <c r="E4177" s="1"/>
      <c r="F4177" s="1">
        <v>2.272E7</v>
      </c>
      <c r="G4177" s="1">
        <v>1.204847E7</v>
      </c>
      <c r="H4177" s="1">
        <v>5744200.0</v>
      </c>
    </row>
    <row r="4178">
      <c r="B4178" s="1" t="s">
        <v>3735</v>
      </c>
      <c r="C4178">
        <f t="shared" si="7"/>
        <v>42580760</v>
      </c>
      <c r="D4178" s="1" t="s">
        <v>3736</v>
      </c>
      <c r="E4178" s="1"/>
      <c r="F4178" s="1">
        <v>2.864E7</v>
      </c>
      <c r="G4178" s="1">
        <v>9820250.0</v>
      </c>
      <c r="H4178" s="1">
        <v>4535800.0</v>
      </c>
    </row>
    <row r="4179">
      <c r="B4179" s="1" t="s">
        <v>3737</v>
      </c>
      <c r="C4179">
        <f t="shared" si="7"/>
        <v>41424080</v>
      </c>
      <c r="D4179" s="1" t="s">
        <v>2056</v>
      </c>
      <c r="E4179" s="1"/>
      <c r="F4179" s="1">
        <v>2.588E7</v>
      </c>
      <c r="G4179" s="1">
        <v>1.117812E7</v>
      </c>
      <c r="H4179" s="1">
        <v>5522640.0</v>
      </c>
    </row>
    <row r="4180">
      <c r="B4180" s="1" t="s">
        <v>3738</v>
      </c>
      <c r="C4180">
        <f t="shared" si="7"/>
        <v>43857140</v>
      </c>
      <c r="D4180" s="1" t="s">
        <v>3739</v>
      </c>
      <c r="E4180" s="1"/>
      <c r="F4180" s="1">
        <v>2.369E7</v>
      </c>
      <c r="G4180" s="1">
        <v>1.286604E7</v>
      </c>
      <c r="H4180" s="1">
        <v>4868040.0</v>
      </c>
    </row>
    <row r="4181">
      <c r="C4181">
        <f t="shared" si="7"/>
        <v>32493530</v>
      </c>
      <c r="D4181" s="1" t="s">
        <v>2091</v>
      </c>
      <c r="E4181" s="1"/>
      <c r="F4181" s="1">
        <v>2.897411E7</v>
      </c>
      <c r="G4181" s="1">
        <v>1.194463E7</v>
      </c>
      <c r="H4181" s="1">
        <v>2938400.0</v>
      </c>
    </row>
    <row r="4182">
      <c r="C4182">
        <f t="shared" si="7"/>
        <v>43820570</v>
      </c>
      <c r="D4182" s="1" t="s">
        <v>3740</v>
      </c>
      <c r="E4182" s="1"/>
      <c r="F4182" s="1">
        <v>1.763E7</v>
      </c>
      <c r="G4182" s="1">
        <v>1.211553E7</v>
      </c>
      <c r="H4182" s="1">
        <v>2748000.0</v>
      </c>
      <c r="I4182" s="1" t="s">
        <v>3741</v>
      </c>
    </row>
    <row r="4183">
      <c r="C4183">
        <f t="shared" si="7"/>
        <v>38889570</v>
      </c>
      <c r="D4183" s="1" t="s">
        <v>3742</v>
      </c>
      <c r="E4183" s="1"/>
      <c r="F4183" s="1">
        <v>2.46E7</v>
      </c>
      <c r="G4183" s="1">
        <v>1.076597E7</v>
      </c>
      <c r="H4183" s="1">
        <v>8454600.0</v>
      </c>
      <c r="I4183" s="1" t="s">
        <v>3743</v>
      </c>
    </row>
    <row r="4184">
      <c r="C4184">
        <f t="shared" si="7"/>
        <v>39661840</v>
      </c>
      <c r="D4184" s="1" t="s">
        <v>2131</v>
      </c>
      <c r="E4184" s="1"/>
      <c r="F4184" s="1">
        <v>2.211E7</v>
      </c>
      <c r="G4184" s="1">
        <v>1.197233E7</v>
      </c>
      <c r="H4184" s="1">
        <v>4807240.0</v>
      </c>
    </row>
    <row r="4185">
      <c r="C4185">
        <f t="shared" si="7"/>
        <v>4821450</v>
      </c>
      <c r="D4185" s="1" t="s">
        <v>3744</v>
      </c>
      <c r="E4185" s="1"/>
      <c r="F4185" s="1">
        <v>2.437E7</v>
      </c>
      <c r="G4185" s="1">
        <v>1.083104E7</v>
      </c>
      <c r="H4185" s="1">
        <v>4460800.0</v>
      </c>
    </row>
    <row r="4186">
      <c r="C4186">
        <f t="shared" si="7"/>
        <v>37138880</v>
      </c>
      <c r="D4186" s="1" t="s">
        <v>3745</v>
      </c>
      <c r="E4186" s="1"/>
      <c r="F4186" s="1">
        <v>4821450.0</v>
      </c>
    </row>
    <row r="4187">
      <c r="C4187">
        <f t="shared" si="7"/>
        <v>4079430</v>
      </c>
      <c r="D4187" s="1" t="s">
        <v>3746</v>
      </c>
      <c r="E4187" s="1"/>
      <c r="F4187" s="1">
        <v>2.239E7</v>
      </c>
      <c r="G4187" s="1">
        <v>1.174138E7</v>
      </c>
      <c r="H4187" s="1">
        <v>3007500.0</v>
      </c>
    </row>
    <row r="4188">
      <c r="C4188">
        <f t="shared" si="7"/>
        <v>39953740</v>
      </c>
      <c r="D4188" s="1" t="s">
        <v>3747</v>
      </c>
      <c r="E4188" s="1"/>
      <c r="F4188" s="1">
        <v>4079430.0</v>
      </c>
    </row>
    <row r="4189">
      <c r="C4189">
        <f t="shared" si="7"/>
        <v>4289890</v>
      </c>
      <c r="D4189" s="1" t="s">
        <v>3748</v>
      </c>
      <c r="E4189" s="1"/>
      <c r="F4189" s="1">
        <v>2.499E7</v>
      </c>
      <c r="G4189" s="1">
        <v>1.066494E7</v>
      </c>
      <c r="H4189" s="1">
        <v>4298800.0</v>
      </c>
    </row>
    <row r="4190">
      <c r="C4190">
        <f t="shared" si="7"/>
        <v>25800000</v>
      </c>
      <c r="D4190" s="1" t="s">
        <v>2178</v>
      </c>
      <c r="E4190" s="1"/>
      <c r="F4190" s="1">
        <v>4289890.0</v>
      </c>
    </row>
    <row r="4191">
      <c r="C4191">
        <f t="shared" si="7"/>
        <v>2339430</v>
      </c>
      <c r="D4191" s="1" t="s">
        <v>3749</v>
      </c>
      <c r="E4191" s="1"/>
      <c r="F4191" s="1">
        <v>2.58E7</v>
      </c>
    </row>
    <row r="4192">
      <c r="C4192">
        <f t="shared" si="7"/>
        <v>2657570</v>
      </c>
      <c r="D4192" s="1" t="s">
        <v>2191</v>
      </c>
      <c r="E4192" s="1"/>
      <c r="F4192" s="1">
        <v>2339430.0</v>
      </c>
    </row>
    <row r="4193">
      <c r="C4193">
        <f t="shared" si="7"/>
        <v>28308780</v>
      </c>
      <c r="F4193" s="1">
        <v>2657570.0</v>
      </c>
    </row>
    <row r="4194">
      <c r="C4194">
        <f t="shared" si="7"/>
        <v>19260000</v>
      </c>
      <c r="D4194" s="1" t="s">
        <v>3750</v>
      </c>
      <c r="E4194" s="1"/>
      <c r="F4194" s="1">
        <v>2.830878E7</v>
      </c>
    </row>
    <row r="4195">
      <c r="C4195">
        <f t="shared" si="7"/>
        <v>3098310</v>
      </c>
      <c r="D4195" s="1" t="s">
        <v>2220</v>
      </c>
      <c r="E4195" s="1"/>
      <c r="F4195" s="1">
        <v>1.926E7</v>
      </c>
    </row>
    <row r="4196">
      <c r="C4196">
        <f t="shared" si="7"/>
        <v>27214470</v>
      </c>
      <c r="D4196" s="1" t="s">
        <v>3751</v>
      </c>
      <c r="E4196" s="1"/>
      <c r="F4196" s="1">
        <v>3098310.0</v>
      </c>
    </row>
    <row r="4197">
      <c r="C4197">
        <f t="shared" si="7"/>
        <v>26971240</v>
      </c>
      <c r="D4197" s="1" t="s">
        <v>3752</v>
      </c>
      <c r="E4197" s="1"/>
      <c r="F4197" s="1">
        <v>2.721447E7</v>
      </c>
    </row>
    <row r="4198">
      <c r="C4198">
        <f t="shared" si="7"/>
        <v>24370000</v>
      </c>
      <c r="D4198" s="1" t="s">
        <v>2273</v>
      </c>
      <c r="E4198" s="1"/>
      <c r="F4198" s="1">
        <v>2.697124E7</v>
      </c>
    </row>
    <row r="4199">
      <c r="C4199">
        <f t="shared" si="7"/>
        <v>4768810</v>
      </c>
      <c r="D4199" s="1" t="s">
        <v>2290</v>
      </c>
      <c r="E4199" s="1"/>
      <c r="F4199" s="1">
        <v>2.437E7</v>
      </c>
    </row>
    <row r="4200">
      <c r="C4200">
        <f t="shared" si="7"/>
        <v>33388620</v>
      </c>
      <c r="D4200" s="1" t="s">
        <v>2285</v>
      </c>
      <c r="E4200" s="1"/>
      <c r="F4200" s="1">
        <v>4768810.0</v>
      </c>
    </row>
    <row r="4201">
      <c r="C4201">
        <f t="shared" si="7"/>
        <v>33948720</v>
      </c>
      <c r="D4201" s="1" t="s">
        <v>2305</v>
      </c>
      <c r="E4201" s="1"/>
      <c r="F4201" s="1">
        <v>3.338862E7</v>
      </c>
    </row>
    <row r="4202">
      <c r="C4202">
        <f t="shared" si="7"/>
        <v>34899430</v>
      </c>
      <c r="D4202" s="1" t="s">
        <v>2333</v>
      </c>
      <c r="E4202" s="1"/>
      <c r="F4202" s="1">
        <v>3.394872E7</v>
      </c>
    </row>
    <row r="4203">
      <c r="C4203">
        <f t="shared" si="7"/>
        <v>27087550</v>
      </c>
      <c r="D4203" s="1" t="s">
        <v>2347</v>
      </c>
      <c r="E4203" s="1"/>
      <c r="F4203" s="1">
        <v>3.489943E7</v>
      </c>
    </row>
    <row r="4204">
      <c r="C4204">
        <f t="shared" si="7"/>
        <v>32567020</v>
      </c>
      <c r="D4204" s="1" t="s">
        <v>2356</v>
      </c>
      <c r="E4204" s="1"/>
      <c r="F4204" s="1">
        <v>2.708755E7</v>
      </c>
    </row>
    <row r="4205">
      <c r="D4205" s="1" t="s">
        <v>2371</v>
      </c>
      <c r="E4205" s="1"/>
      <c r="F4205" s="1">
        <v>3.256702E7</v>
      </c>
    </row>
    <row r="4206">
      <c r="D4206" s="1" t="s">
        <v>3753</v>
      </c>
      <c r="E4206" s="1"/>
      <c r="F4206" s="1">
        <v>3.541754E7</v>
      </c>
    </row>
    <row r="4207">
      <c r="D4207" s="1" t="s">
        <v>3754</v>
      </c>
      <c r="E4207" s="1"/>
      <c r="F4207" s="1">
        <v>3.123074E7</v>
      </c>
    </row>
    <row r="4208">
      <c r="D4208" s="1" t="s">
        <v>2416</v>
      </c>
      <c r="E4208" s="1"/>
      <c r="F4208" s="1">
        <v>3.2388E7</v>
      </c>
    </row>
    <row r="4209">
      <c r="D4209" s="1" t="s">
        <v>2439</v>
      </c>
      <c r="E4209" s="1"/>
      <c r="F4209" s="1">
        <v>3.199214E7</v>
      </c>
    </row>
    <row r="4210">
      <c r="D4210" s="1" t="s">
        <v>2446</v>
      </c>
      <c r="E4210" s="1"/>
      <c r="F4210" s="1">
        <v>3.165463E7</v>
      </c>
    </row>
    <row r="4211">
      <c r="D4211" s="1" t="s">
        <v>3755</v>
      </c>
      <c r="E4211" s="1"/>
      <c r="F4211" s="1">
        <v>2.737123E7</v>
      </c>
    </row>
    <row r="4212">
      <c r="D4212" s="1" t="s">
        <v>3756</v>
      </c>
      <c r="E4212" s="1"/>
      <c r="F4212" s="1">
        <v>3.266349E7</v>
      </c>
    </row>
    <row r="4213">
      <c r="D4213" s="1" t="s">
        <v>3757</v>
      </c>
      <c r="E4213" s="1"/>
      <c r="F4213" s="1">
        <v>3.323004E7</v>
      </c>
    </row>
    <row r="4214">
      <c r="D4214" s="1" t="s">
        <v>2538</v>
      </c>
      <c r="E4214" s="1"/>
      <c r="F4214" s="1">
        <v>3.206815E7</v>
      </c>
    </row>
    <row r="4215">
      <c r="D4215" s="1" t="s">
        <v>3758</v>
      </c>
      <c r="E4215" s="1"/>
      <c r="F4215" s="1">
        <v>3.034503E7</v>
      </c>
    </row>
    <row r="4216">
      <c r="D4216" s="1" t="s">
        <v>3759</v>
      </c>
      <c r="E4216" s="1"/>
      <c r="F4216" s="1">
        <v>2.797E7</v>
      </c>
    </row>
    <row r="4217">
      <c r="D4217" s="1" t="s">
        <v>2563</v>
      </c>
      <c r="E4217" s="1"/>
      <c r="F4217" s="1">
        <v>1411890.0</v>
      </c>
    </row>
    <row r="4218">
      <c r="D4218" s="1" t="s">
        <v>3760</v>
      </c>
      <c r="E4218" s="1"/>
      <c r="F4218" s="1">
        <v>2.345E7</v>
      </c>
    </row>
    <row r="4219">
      <c r="D4219" s="1" t="s">
        <v>3761</v>
      </c>
      <c r="E4219" s="1"/>
      <c r="F4219" s="1">
        <v>1434550.0</v>
      </c>
    </row>
    <row r="4220">
      <c r="D4220" s="1" t="s">
        <v>2602</v>
      </c>
      <c r="E4220" s="1"/>
      <c r="F4220" s="1">
        <v>2.876E7</v>
      </c>
    </row>
    <row r="4221">
      <c r="D4221" s="1" t="s">
        <v>3762</v>
      </c>
      <c r="E4221" s="1"/>
      <c r="F4221" s="1">
        <v>1706950.0</v>
      </c>
    </row>
    <row r="4222">
      <c r="D4222" s="1" t="s">
        <v>3763</v>
      </c>
      <c r="E4222" s="1"/>
      <c r="F4222" s="1">
        <v>2.813E7</v>
      </c>
    </row>
    <row r="4223">
      <c r="D4223" s="1" t="s">
        <v>2613</v>
      </c>
      <c r="E4223" s="1"/>
      <c r="F4223" s="1">
        <v>1841470.0</v>
      </c>
    </row>
    <row r="4224">
      <c r="D4224" s="1" t="s">
        <v>3764</v>
      </c>
      <c r="E4224" s="1"/>
      <c r="F4224" s="1">
        <v>3.113E7</v>
      </c>
    </row>
    <row r="4225">
      <c r="D4225" s="1" t="s">
        <v>3765</v>
      </c>
      <c r="E4225" s="1"/>
      <c r="F4225" s="1">
        <v>1913170.0</v>
      </c>
    </row>
    <row r="4226">
      <c r="D4226" s="1" t="s">
        <v>2644</v>
      </c>
      <c r="E4226" s="1"/>
      <c r="F4226" s="1">
        <v>2.684E7</v>
      </c>
    </row>
    <row r="4227">
      <c r="D4227" s="1" t="s">
        <v>3766</v>
      </c>
      <c r="E4227" s="1"/>
      <c r="F4227" s="1">
        <v>1850670.0</v>
      </c>
    </row>
    <row r="4228">
      <c r="D4228" s="1" t="s">
        <v>3767</v>
      </c>
      <c r="E4228" s="1"/>
      <c r="F4228" s="1">
        <v>2.987E7</v>
      </c>
    </row>
    <row r="4229">
      <c r="D4229" s="1" t="s">
        <v>2672</v>
      </c>
      <c r="E4229" s="1"/>
      <c r="F4229" s="1">
        <v>1609720.0</v>
      </c>
    </row>
    <row r="4230">
      <c r="D4230" s="1" t="s">
        <v>2690</v>
      </c>
      <c r="E4230" s="1"/>
      <c r="F4230" s="1">
        <v>2.969E7</v>
      </c>
    </row>
    <row r="4231">
      <c r="D4231" s="1" t="s">
        <v>3768</v>
      </c>
      <c r="E4231" s="1"/>
      <c r="F4231" s="1">
        <v>1838710.0</v>
      </c>
    </row>
    <row r="4232">
      <c r="D4232" s="1" t="s">
        <v>2699</v>
      </c>
      <c r="E4232" s="1"/>
      <c r="F4232" s="1">
        <v>2.605E7</v>
      </c>
    </row>
    <row r="4233">
      <c r="D4233" s="1" t="s">
        <v>2702</v>
      </c>
      <c r="E4233" s="1"/>
      <c r="F4233" s="1">
        <v>1534670.0</v>
      </c>
    </row>
    <row r="4234">
      <c r="D4234" s="1" t="s">
        <v>2719</v>
      </c>
      <c r="E4234" s="1"/>
      <c r="F4234" s="1">
        <v>2.854E7</v>
      </c>
    </row>
    <row r="4235">
      <c r="D4235" s="1" t="s">
        <v>2725</v>
      </c>
      <c r="E4235" s="1"/>
      <c r="F4235" s="1">
        <v>1816600.0</v>
      </c>
    </row>
    <row r="4236">
      <c r="D4236" s="1" t="s">
        <v>2740</v>
      </c>
      <c r="E4236" s="1"/>
      <c r="F4236" s="1">
        <v>2.678E7</v>
      </c>
    </row>
    <row r="4237">
      <c r="D4237" s="1" t="s">
        <v>3769</v>
      </c>
      <c r="E4237" s="1"/>
      <c r="F4237" s="1">
        <v>1622620.0</v>
      </c>
    </row>
    <row r="4238">
      <c r="D4238" s="1" t="s">
        <v>3770</v>
      </c>
      <c r="E4238" s="1"/>
      <c r="F4238" s="1">
        <v>2.666E7</v>
      </c>
    </row>
    <row r="4239">
      <c r="D4239" s="1" t="s">
        <v>2771</v>
      </c>
      <c r="E4239" s="1"/>
      <c r="F4239" s="1">
        <v>1698850.0</v>
      </c>
    </row>
    <row r="4240">
      <c r="D4240" s="1" t="s">
        <v>3771</v>
      </c>
      <c r="E4240" s="1"/>
      <c r="F4240" s="1">
        <v>2.456E7</v>
      </c>
    </row>
    <row r="4241">
      <c r="D4241" s="1" t="s">
        <v>3772</v>
      </c>
      <c r="E4241" s="1"/>
      <c r="F4241" s="1">
        <v>1567590.0</v>
      </c>
    </row>
    <row r="4242">
      <c r="D4242" s="1" t="s">
        <v>3773</v>
      </c>
      <c r="E4242" s="1"/>
      <c r="F4242" s="1">
        <v>3.095E7</v>
      </c>
    </row>
    <row r="4243">
      <c r="D4243" s="1" t="s">
        <v>3774</v>
      </c>
      <c r="E4243" s="1"/>
      <c r="F4243" s="1">
        <v>1650300.0</v>
      </c>
    </row>
    <row r="4244">
      <c r="D4244" s="1" t="s">
        <v>3775</v>
      </c>
      <c r="E4244" s="1"/>
      <c r="F4244" s="1">
        <v>3.009E7</v>
      </c>
    </row>
    <row r="4245">
      <c r="D4245" s="1" t="s">
        <v>2797</v>
      </c>
      <c r="E4245" s="1"/>
      <c r="F4245" s="1">
        <v>1761250.0</v>
      </c>
    </row>
    <row r="4246">
      <c r="D4246" s="1" t="s">
        <v>3776</v>
      </c>
      <c r="E4246" s="1"/>
      <c r="F4246" s="1">
        <v>2.641E7</v>
      </c>
    </row>
    <row r="4247">
      <c r="D4247" s="1" t="s">
        <v>2804</v>
      </c>
      <c r="E4247" s="1"/>
      <c r="F4247" s="1">
        <v>1606050.0</v>
      </c>
    </row>
    <row r="4248">
      <c r="D4248" s="1" t="s">
        <v>3777</v>
      </c>
      <c r="E4248" s="1"/>
      <c r="F4248" s="1">
        <v>3.193E7</v>
      </c>
    </row>
    <row r="4249">
      <c r="D4249" s="1" t="s">
        <v>3778</v>
      </c>
      <c r="E4249" s="1"/>
      <c r="F4249" s="1">
        <v>1869110.0</v>
      </c>
    </row>
    <row r="4250">
      <c r="D4250" s="1" t="s">
        <v>2832</v>
      </c>
      <c r="E4250" s="1"/>
      <c r="F4250" s="1">
        <v>2.955E7</v>
      </c>
    </row>
    <row r="4251">
      <c r="D4251" s="1" t="s">
        <v>2836</v>
      </c>
      <c r="E4251" s="1"/>
      <c r="F4251" s="1">
        <v>1844180.0</v>
      </c>
    </row>
    <row r="4252">
      <c r="D4252" s="1" t="s">
        <v>3779</v>
      </c>
      <c r="E4252" s="1"/>
      <c r="F4252" s="1">
        <v>2.382E7</v>
      </c>
    </row>
    <row r="4253">
      <c r="D4253" s="1" t="s">
        <v>2849</v>
      </c>
      <c r="E4253" s="1"/>
      <c r="F4253" s="1">
        <v>1342620.0</v>
      </c>
    </row>
    <row r="4254">
      <c r="D4254" s="1" t="s">
        <v>3780</v>
      </c>
      <c r="E4254" s="1"/>
      <c r="F4254" s="1">
        <v>2.739E7</v>
      </c>
    </row>
    <row r="4255">
      <c r="D4255" s="1" t="s">
        <v>2860</v>
      </c>
      <c r="E4255" s="1"/>
      <c r="F4255" s="1">
        <v>1598470.0</v>
      </c>
    </row>
    <row r="4256">
      <c r="D4256" s="1" t="s">
        <v>3781</v>
      </c>
      <c r="E4256" s="1"/>
      <c r="F4256" s="1">
        <v>2.422E7</v>
      </c>
    </row>
    <row r="4257">
      <c r="D4257" s="1" t="s">
        <v>2867</v>
      </c>
      <c r="E4257" s="1"/>
      <c r="F4257" s="1">
        <v>1303990.0</v>
      </c>
    </row>
    <row r="4258">
      <c r="D4258" s="1" t="s">
        <v>3782</v>
      </c>
      <c r="E4258" s="1"/>
      <c r="F4258" s="1">
        <v>2.882E7</v>
      </c>
    </row>
    <row r="4259">
      <c r="F4259" s="1">
        <v>0.0</v>
      </c>
    </row>
    <row r="4260">
      <c r="D4260" s="1" t="s">
        <v>2904</v>
      </c>
      <c r="E4260" s="1"/>
      <c r="F4260" s="1">
        <v>2.621E7</v>
      </c>
    </row>
    <row r="4261">
      <c r="D4261" s="1" t="s">
        <v>2903</v>
      </c>
      <c r="E4261" s="1"/>
      <c r="F4261" s="1">
        <v>42180.0</v>
      </c>
    </row>
    <row r="4262">
      <c r="D4262" s="1" t="s">
        <v>3783</v>
      </c>
      <c r="E4262" s="1"/>
      <c r="F4262" s="1">
        <v>2.459E7</v>
      </c>
    </row>
    <row r="4263">
      <c r="F4263" s="1">
        <v>0.0</v>
      </c>
    </row>
    <row r="4264">
      <c r="D4264" s="1" t="s">
        <v>2933</v>
      </c>
      <c r="E4264" s="1"/>
      <c r="F4264" s="1">
        <v>2.455E7</v>
      </c>
    </row>
    <row r="4265">
      <c r="F4265" s="1">
        <v>0.0</v>
      </c>
    </row>
    <row r="4266">
      <c r="D4266" s="1" t="s">
        <v>2956</v>
      </c>
      <c r="E4266" s="1"/>
      <c r="F4266" s="1">
        <v>2.437E7</v>
      </c>
    </row>
    <row r="4267">
      <c r="D4267" s="1" t="s">
        <v>3784</v>
      </c>
      <c r="E4267" s="1"/>
      <c r="F4267" s="1">
        <v>1155180.0</v>
      </c>
    </row>
    <row r="4268">
      <c r="D4268" s="1" t="s">
        <v>2972</v>
      </c>
      <c r="E4268" s="1"/>
      <c r="F4268" s="1">
        <v>2.727E7</v>
      </c>
    </row>
    <row r="4269">
      <c r="D4269" s="1" t="s">
        <v>2976</v>
      </c>
      <c r="E4269" s="1"/>
      <c r="F4269" s="1">
        <v>1582990.0</v>
      </c>
    </row>
    <row r="4270">
      <c r="D4270" s="1" t="s">
        <v>2981</v>
      </c>
      <c r="E4270" s="1"/>
      <c r="F4270" s="1">
        <v>3.051E7</v>
      </c>
    </row>
    <row r="4271">
      <c r="D4271" s="1" t="s">
        <v>3785</v>
      </c>
      <c r="E4271" s="1"/>
      <c r="F4271" s="1">
        <v>1927390.0</v>
      </c>
    </row>
    <row r="4272">
      <c r="D4272" s="1" t="s">
        <v>3786</v>
      </c>
      <c r="E4272" s="1"/>
      <c r="F4272" s="1">
        <v>2.697E7</v>
      </c>
    </row>
    <row r="4273">
      <c r="D4273" s="1" t="s">
        <v>3787</v>
      </c>
      <c r="E4273" s="1"/>
      <c r="F4273" s="1">
        <v>1586460.0</v>
      </c>
    </row>
    <row r="4274">
      <c r="D4274" s="1" t="s">
        <v>3022</v>
      </c>
      <c r="E4274" s="1"/>
      <c r="F4274" s="1">
        <v>2.458E7</v>
      </c>
    </row>
    <row r="4275">
      <c r="D4275" s="1" t="s">
        <v>3788</v>
      </c>
      <c r="E4275" s="1"/>
      <c r="F4275" s="1">
        <v>1375210.0</v>
      </c>
    </row>
    <row r="4276">
      <c r="D4276" s="1" t="s">
        <v>3040</v>
      </c>
      <c r="E4276" s="1"/>
      <c r="F4276" s="1">
        <v>1.803E7</v>
      </c>
    </row>
    <row r="4277">
      <c r="D4277" s="1" t="s">
        <v>3051</v>
      </c>
      <c r="E4277" s="1"/>
      <c r="F4277" s="1">
        <v>852950.0</v>
      </c>
    </row>
    <row r="4278">
      <c r="D4278" s="1" t="s">
        <v>3789</v>
      </c>
      <c r="E4278" s="1"/>
      <c r="F4278" s="1">
        <v>2.023E7</v>
      </c>
    </row>
    <row r="4279">
      <c r="D4279" s="1" t="s">
        <v>3790</v>
      </c>
      <c r="E4279" s="1"/>
      <c r="F4279" s="1">
        <v>1091720.0</v>
      </c>
    </row>
    <row r="4280">
      <c r="D4280" s="1" t="s">
        <v>3791</v>
      </c>
      <c r="E4280" s="1"/>
      <c r="F4280" s="1">
        <v>2.365E7</v>
      </c>
    </row>
    <row r="4281">
      <c r="D4281" s="1" t="s">
        <v>3075</v>
      </c>
      <c r="E4281" s="1"/>
      <c r="F4281" s="1">
        <v>1367770.0</v>
      </c>
    </row>
    <row r="4282">
      <c r="D4282" s="1" t="s">
        <v>3087</v>
      </c>
      <c r="E4282" s="1"/>
      <c r="F4282" s="1">
        <v>2.821E7</v>
      </c>
    </row>
    <row r="4283">
      <c r="D4283" s="1" t="s">
        <v>3792</v>
      </c>
      <c r="E4283" s="1"/>
      <c r="F4283" s="1">
        <v>1760420.0</v>
      </c>
    </row>
    <row r="4284">
      <c r="D4284" s="1" t="s">
        <v>3793</v>
      </c>
      <c r="E4284" s="1"/>
      <c r="F4284" s="1">
        <v>2.682E7</v>
      </c>
    </row>
    <row r="4285">
      <c r="D4285" s="1" t="s">
        <v>3794</v>
      </c>
      <c r="E4285" s="1"/>
      <c r="F4285" s="1">
        <v>1597080.0</v>
      </c>
    </row>
    <row r="4286">
      <c r="D4286" s="1" t="s">
        <v>3795</v>
      </c>
      <c r="E4286" s="1"/>
      <c r="F4286" s="1">
        <v>2.245E7</v>
      </c>
    </row>
    <row r="4287">
      <c r="D4287" s="1" t="s">
        <v>3129</v>
      </c>
      <c r="E4287" s="1"/>
      <c r="F4287" s="1">
        <v>1453740.0</v>
      </c>
    </row>
    <row r="4288">
      <c r="D4288" s="1" t="s">
        <v>3138</v>
      </c>
      <c r="E4288" s="1"/>
      <c r="F4288" s="1">
        <v>2.928E7</v>
      </c>
    </row>
    <row r="4289">
      <c r="D4289" s="1" t="s">
        <v>3144</v>
      </c>
      <c r="E4289" s="1"/>
      <c r="F4289" s="1">
        <v>1693510.0</v>
      </c>
    </row>
    <row r="4290">
      <c r="D4290" s="1" t="s">
        <v>3154</v>
      </c>
      <c r="E4290" s="1"/>
      <c r="F4290" s="1">
        <v>2.83E7</v>
      </c>
    </row>
    <row r="4291">
      <c r="D4291" s="1" t="s">
        <v>3157</v>
      </c>
      <c r="E4291" s="1"/>
      <c r="F4291" s="1">
        <v>1738730.0</v>
      </c>
    </row>
    <row r="4292">
      <c r="D4292" s="1" t="s">
        <v>3796</v>
      </c>
      <c r="E4292" s="1"/>
      <c r="F4292" s="1">
        <v>2.499E7</v>
      </c>
    </row>
    <row r="4293">
      <c r="D4293" s="1" t="s">
        <v>3797</v>
      </c>
      <c r="E4293" s="1"/>
      <c r="F4293" s="1">
        <v>1474130.0</v>
      </c>
    </row>
    <row r="4294">
      <c r="D4294" s="1" t="s">
        <v>3798</v>
      </c>
      <c r="E4294" s="1"/>
      <c r="F4294" s="1">
        <v>2.687E7</v>
      </c>
    </row>
    <row r="4295">
      <c r="D4295" s="1" t="s">
        <v>3799</v>
      </c>
      <c r="E4295" s="1"/>
      <c r="F4295" s="1">
        <v>1688450.0</v>
      </c>
    </row>
    <row r="4296">
      <c r="D4296" s="1" t="s">
        <v>3198</v>
      </c>
      <c r="E4296" s="1"/>
      <c r="F4296" s="1">
        <v>2.27E7</v>
      </c>
    </row>
    <row r="4297">
      <c r="D4297" s="1" t="s">
        <v>3800</v>
      </c>
      <c r="E4297" s="1"/>
      <c r="F4297" s="1">
        <v>1213630.0</v>
      </c>
    </row>
    <row r="4298" ht="13.5" customHeight="1">
      <c r="D4298" s="1" t="s">
        <v>3224</v>
      </c>
      <c r="E4298" s="1"/>
      <c r="F4298" s="1">
        <v>2.785E7</v>
      </c>
    </row>
    <row r="4299" ht="13.5" customHeight="1">
      <c r="D4299" s="1" t="s">
        <v>3801</v>
      </c>
      <c r="E4299" s="1"/>
      <c r="F4299" s="1">
        <v>1718070.0</v>
      </c>
    </row>
    <row r="4300" ht="13.5" customHeight="1">
      <c r="D4300" s="1" t="s">
        <v>3802</v>
      </c>
      <c r="E4300" s="1"/>
      <c r="F4300" s="1">
        <v>1.674E7</v>
      </c>
    </row>
    <row r="4301" ht="13.5" customHeight="1">
      <c r="D4301" s="1" t="s">
        <v>3803</v>
      </c>
      <c r="E4301" s="1"/>
      <c r="F4301" s="1">
        <v>1115440.0</v>
      </c>
    </row>
    <row r="4302" ht="13.5" customHeight="1">
      <c r="D4302" s="1" t="s">
        <v>3804</v>
      </c>
      <c r="E4302" s="1"/>
      <c r="F4302" s="1">
        <v>2.5E7</v>
      </c>
    </row>
    <row r="4303" ht="13.5" customHeight="1">
      <c r="D4303" s="1" t="s">
        <v>3805</v>
      </c>
      <c r="E4303" s="1"/>
      <c r="F4303" s="1">
        <v>1724730.0</v>
      </c>
    </row>
    <row r="4304" ht="13.5" customHeight="1">
      <c r="D4304" s="1" t="s">
        <v>3272</v>
      </c>
      <c r="E4304" s="1"/>
      <c r="F4304" s="1">
        <v>2.447E7</v>
      </c>
    </row>
    <row r="4305" ht="13.5" customHeight="1">
      <c r="D4305" s="1" t="s">
        <v>3806</v>
      </c>
      <c r="E4305" s="1"/>
      <c r="F4305" s="1">
        <v>1522610.0</v>
      </c>
    </row>
    <row r="4306" ht="13.5" customHeight="1">
      <c r="D4306" s="1" t="s">
        <v>3807</v>
      </c>
      <c r="E4306" s="1"/>
      <c r="F4306" s="1">
        <v>2.539E7</v>
      </c>
    </row>
    <row r="4307" ht="13.5" customHeight="1">
      <c r="D4307" s="1" t="s">
        <v>3283</v>
      </c>
      <c r="E4307" s="1"/>
      <c r="F4307" s="1">
        <v>1779620.0</v>
      </c>
    </row>
    <row r="4308" ht="13.5" customHeight="1">
      <c r="D4308" s="1" t="s">
        <v>3288</v>
      </c>
      <c r="E4308" s="1"/>
      <c r="F4308" s="1">
        <v>2.501E7</v>
      </c>
    </row>
    <row r="4309" ht="13.5" customHeight="1">
      <c r="D4309" s="1" t="s">
        <v>3292</v>
      </c>
      <c r="E4309" s="1"/>
      <c r="F4309" s="1">
        <v>1748870.0</v>
      </c>
    </row>
    <row r="4310">
      <c r="D4310" s="1" t="s">
        <v>3808</v>
      </c>
      <c r="E4310" s="1"/>
      <c r="F4310" s="1">
        <v>2.682E7</v>
      </c>
    </row>
    <row r="4311">
      <c r="D4311" s="1" t="s">
        <v>3309</v>
      </c>
      <c r="E4311" s="1"/>
      <c r="F4311" s="1">
        <v>1843360.0</v>
      </c>
    </row>
    <row r="4312">
      <c r="D4312" s="1" t="s">
        <v>3809</v>
      </c>
      <c r="E4312" s="1"/>
      <c r="F4312" s="1">
        <v>2.38E7</v>
      </c>
    </row>
    <row r="4313">
      <c r="D4313" s="1" t="s">
        <v>3325</v>
      </c>
      <c r="E4313" s="1"/>
      <c r="F4313" s="1">
        <v>1634390.0</v>
      </c>
    </row>
    <row r="4314">
      <c r="D4314" s="1" t="s">
        <v>3332</v>
      </c>
      <c r="E4314" s="1"/>
      <c r="F4314" s="1">
        <v>2.565E7</v>
      </c>
    </row>
    <row r="4315">
      <c r="D4315" s="1" t="s">
        <v>3338</v>
      </c>
      <c r="E4315" s="1"/>
      <c r="F4315" s="1">
        <v>1896440.0</v>
      </c>
    </row>
    <row r="4316">
      <c r="D4316" s="1" t="s">
        <v>3347</v>
      </c>
      <c r="E4316" s="1"/>
      <c r="F4316" s="1">
        <v>2.876E7</v>
      </c>
    </row>
    <row r="4317">
      <c r="D4317" s="1" t="s">
        <v>3350</v>
      </c>
      <c r="F4317" s="1">
        <v>2006990.0</v>
      </c>
    </row>
    <row r="4318">
      <c r="D4318" s="1" t="s">
        <v>3810</v>
      </c>
      <c r="E4318" s="1"/>
      <c r="F4318" s="1">
        <v>2.692E7</v>
      </c>
    </row>
    <row r="4319">
      <c r="D4319" s="1" t="s">
        <v>3811</v>
      </c>
      <c r="F4319" s="1">
        <v>1778920.0</v>
      </c>
    </row>
    <row r="4320">
      <c r="D4320" s="1" t="s">
        <v>3812</v>
      </c>
      <c r="F4320" s="1">
        <v>2.799E7</v>
      </c>
    </row>
    <row r="4321">
      <c r="D4321" s="1" t="s">
        <v>3813</v>
      </c>
      <c r="F4321" s="1">
        <v>1979230.0</v>
      </c>
    </row>
    <row r="4322">
      <c r="D4322" s="1" t="s">
        <v>3814</v>
      </c>
      <c r="F4322" s="1">
        <v>1.801E7</v>
      </c>
    </row>
    <row r="4323">
      <c r="D4323" s="1" t="s">
        <v>3815</v>
      </c>
      <c r="F4323" s="1">
        <v>1231530.0</v>
      </c>
    </row>
    <row r="4324">
      <c r="D4324" s="1" t="s">
        <v>3404</v>
      </c>
      <c r="F4324" s="1">
        <v>2.579E7</v>
      </c>
    </row>
    <row r="4325">
      <c r="D4325" s="1" t="s">
        <v>3816</v>
      </c>
      <c r="F4325" s="1">
        <v>1768860.0</v>
      </c>
    </row>
    <row r="4326">
      <c r="D4326" s="1" t="s">
        <v>3817</v>
      </c>
      <c r="F4326" s="1">
        <v>2.154E7</v>
      </c>
    </row>
    <row r="4327">
      <c r="D4327" s="1" t="s">
        <v>3818</v>
      </c>
      <c r="F4327" s="1">
        <v>1564070.0</v>
      </c>
    </row>
    <row r="4328">
      <c r="D4328" s="1" t="s">
        <v>3819</v>
      </c>
      <c r="F4328" s="1">
        <v>2.392E7</v>
      </c>
    </row>
    <row r="4329">
      <c r="D4329" s="1" t="s">
        <v>3436</v>
      </c>
      <c r="F4329" s="1">
        <v>1595830.0</v>
      </c>
    </row>
    <row r="4330">
      <c r="D4330" s="1" t="s">
        <v>3451</v>
      </c>
      <c r="F4330" s="1">
        <v>2.598E7</v>
      </c>
    </row>
    <row r="4331">
      <c r="D4331" s="1" t="s">
        <v>3820</v>
      </c>
      <c r="F4331" s="1">
        <v>1820860.0</v>
      </c>
    </row>
    <row r="4332">
      <c r="D4332" s="1" t="s">
        <v>3821</v>
      </c>
      <c r="F4332" s="1">
        <v>2.506E7</v>
      </c>
    </row>
    <row r="4333">
      <c r="D4333" s="1" t="s">
        <v>3470</v>
      </c>
      <c r="F4333" s="1">
        <v>1747440.0</v>
      </c>
    </row>
    <row r="4334">
      <c r="D4334" s="1" t="s">
        <v>3475</v>
      </c>
      <c r="F4334" s="1">
        <v>2.315E7</v>
      </c>
    </row>
    <row r="4335">
      <c r="D4335" s="1" t="s">
        <v>3480</v>
      </c>
      <c r="F4335" s="1">
        <v>1717730.0</v>
      </c>
    </row>
    <row r="4336">
      <c r="D4336" s="1" t="s">
        <v>3822</v>
      </c>
      <c r="F4336" s="1">
        <v>2.242E7</v>
      </c>
    </row>
    <row r="4337">
      <c r="D4337" s="1" t="s">
        <v>3495</v>
      </c>
      <c r="F4337" s="1">
        <v>1548610.0</v>
      </c>
    </row>
    <row r="4338">
      <c r="D4338" s="1" t="s">
        <v>3823</v>
      </c>
      <c r="F4338" s="1">
        <v>2.609E7</v>
      </c>
    </row>
    <row r="4339">
      <c r="D4339" s="1" t="s">
        <v>3504</v>
      </c>
      <c r="F4339" s="1">
        <v>1786190.0</v>
      </c>
    </row>
    <row r="4340">
      <c r="D4340" s="1" t="s">
        <v>3824</v>
      </c>
      <c r="F4340" s="1">
        <v>2.972E7</v>
      </c>
    </row>
    <row r="4341">
      <c r="D4341" s="1" t="s">
        <v>3825</v>
      </c>
      <c r="F4341" s="1">
        <v>2155280.0</v>
      </c>
    </row>
    <row r="4342">
      <c r="D4342" s="1" t="s">
        <v>3826</v>
      </c>
      <c r="F4342" s="1">
        <v>2.397E7</v>
      </c>
    </row>
    <row r="4343">
      <c r="D4343" s="1" t="s">
        <v>3827</v>
      </c>
      <c r="F4343" s="1">
        <v>1642580.0</v>
      </c>
    </row>
    <row r="4344">
      <c r="D4344" s="1" t="s">
        <v>3537</v>
      </c>
      <c r="F4344" s="1">
        <v>2.525E7</v>
      </c>
    </row>
    <row r="4354">
      <c r="C4354">
        <f>Sum(C3:C4246)</f>
        <v>5703776474</v>
      </c>
      <c r="D4354">
        <f>Sum(D3:D4063)</f>
        <v>6086513377</v>
      </c>
    </row>
    <row r="4355">
      <c r="D4355" s="3" t="s">
        <v>3828</v>
      </c>
      <c r="E4355" s="3"/>
      <c r="F4355">
        <f>C4354-D4354</f>
        <v>-382736903</v>
      </c>
    </row>
    <row r="4363">
      <c r="A4363" s="3" t="s">
        <v>11</v>
      </c>
      <c r="B4363" s="3" t="s">
        <v>3829</v>
      </c>
      <c r="C4363" s="3">
        <v>200.0</v>
      </c>
    </row>
    <row r="4365">
      <c r="B4365" s="3" t="s">
        <v>3830</v>
      </c>
      <c r="C4365" s="3">
        <v>20.0</v>
      </c>
    </row>
    <row r="4369">
      <c r="A4369" s="3" t="s">
        <v>21</v>
      </c>
      <c r="B4369" s="3" t="s">
        <v>737</v>
      </c>
    </row>
    <row r="4370">
      <c r="A4370" s="3" t="s">
        <v>26</v>
      </c>
      <c r="B4370" s="3" t="s">
        <v>280</v>
      </c>
    </row>
    <row r="4371">
      <c r="A4371" s="3" t="s">
        <v>37</v>
      </c>
      <c r="B4371" s="3" t="s">
        <v>245</v>
      </c>
    </row>
    <row r="4372">
      <c r="B4372" s="3" t="s">
        <v>246</v>
      </c>
    </row>
    <row r="4373">
      <c r="A4373" s="3" t="s">
        <v>0</v>
      </c>
      <c r="B4373" s="3" t="s">
        <v>1021</v>
      </c>
    </row>
    <row r="4374">
      <c r="A4374" s="3" t="s">
        <v>38</v>
      </c>
      <c r="B4374" s="3" t="s">
        <v>3831</v>
      </c>
      <c r="C4374" s="3">
        <v>25.0</v>
      </c>
    </row>
    <row r="4375">
      <c r="B4375" s="3" t="s">
        <v>437</v>
      </c>
      <c r="C4375" s="3">
        <v>25.0</v>
      </c>
    </row>
    <row r="4376">
      <c r="B4376" s="3" t="s">
        <v>648</v>
      </c>
      <c r="C4376" s="3">
        <v>13.0</v>
      </c>
    </row>
    <row r="4377">
      <c r="B4377" s="3" t="s">
        <v>3832</v>
      </c>
    </row>
    <row r="4378">
      <c r="B4378" s="3" t="s">
        <v>284</v>
      </c>
    </row>
    <row r="4379">
      <c r="B4379" s="3" t="s">
        <v>370</v>
      </c>
    </row>
    <row r="4380">
      <c r="B4380" s="3" t="s">
        <v>544</v>
      </c>
    </row>
    <row r="4381">
      <c r="A4381" s="3" t="s">
        <v>3833</v>
      </c>
      <c r="B4381" s="3" t="s">
        <v>493</v>
      </c>
      <c r="C4381" s="3">
        <v>25.0</v>
      </c>
      <c r="D4381" s="3" t="s">
        <v>3834</v>
      </c>
      <c r="E4381" s="3"/>
    </row>
    <row r="4382">
      <c r="B4382" s="3" t="s">
        <v>594</v>
      </c>
      <c r="C4382" s="3">
        <v>900.0</v>
      </c>
      <c r="D4382" s="3" t="s">
        <v>3835</v>
      </c>
      <c r="E4382" s="3"/>
    </row>
    <row r="4385">
      <c r="B4385" s="3" t="s">
        <v>3836</v>
      </c>
      <c r="C4385" s="3" t="s">
        <v>3837</v>
      </c>
    </row>
    <row r="4386">
      <c r="F4386" s="3" t="s">
        <v>3838</v>
      </c>
    </row>
  </sheetData>
  <hyperlinks>
    <hyperlink r:id="rId1" ref="F1236"/>
    <hyperlink r:id="rId2" ref="F1339"/>
    <hyperlink r:id="rId3" ref="F1442"/>
    <hyperlink r:id="rId4" ref="F1497"/>
    <hyperlink r:id="rId5" ref="F1498"/>
    <hyperlink r:id="rId6" ref="B1549"/>
    <hyperlink r:id="rId7" ref="F1770"/>
    <hyperlink r:id="rId8" ref="F1883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63"/>
    <col customWidth="1" min="2" max="2" width="36.38"/>
    <col customWidth="1" min="3" max="3" width="17.75"/>
    <col customWidth="1" min="4" max="4" width="23.75"/>
    <col customWidth="1" min="5" max="5" width="51.75"/>
    <col customWidth="1" min="6" max="6" width="27.0"/>
  </cols>
  <sheetData>
    <row r="1">
      <c r="A1" s="1" t="s">
        <v>3839</v>
      </c>
      <c r="B1" s="1" t="s">
        <v>3840</v>
      </c>
      <c r="C1" s="1" t="s">
        <v>3841</v>
      </c>
      <c r="D1" s="1" t="s">
        <v>3842</v>
      </c>
      <c r="E1" s="1" t="s">
        <v>3843</v>
      </c>
      <c r="F1" s="1" t="s">
        <v>3844</v>
      </c>
    </row>
    <row r="2">
      <c r="A2" s="1" t="s">
        <v>3845</v>
      </c>
      <c r="B2" s="1" t="s">
        <v>3846</v>
      </c>
      <c r="C2" s="1" t="s">
        <v>3847</v>
      </c>
      <c r="D2" s="1" t="s">
        <v>3848</v>
      </c>
      <c r="E2" s="1" t="s">
        <v>3849</v>
      </c>
    </row>
    <row r="3">
      <c r="A3" s="1"/>
      <c r="B3" s="1"/>
      <c r="C3" s="1"/>
      <c r="D3" s="1"/>
    </row>
    <row r="4">
      <c r="A4" s="1" t="s">
        <v>3850</v>
      </c>
      <c r="B4" s="1" t="s">
        <v>3851</v>
      </c>
      <c r="C4" s="1" t="s">
        <v>54</v>
      </c>
      <c r="D4" s="1" t="s">
        <v>55</v>
      </c>
      <c r="F4" s="1" t="s">
        <v>3852</v>
      </c>
    </row>
    <row r="5">
      <c r="A5" s="1" t="s">
        <v>1858</v>
      </c>
      <c r="B5" s="1" t="s">
        <v>3853</v>
      </c>
      <c r="D5" s="1">
        <v>4400.0</v>
      </c>
    </row>
    <row r="6">
      <c r="A6" s="1" t="s">
        <v>3720</v>
      </c>
      <c r="B6" s="1" t="s">
        <v>3854</v>
      </c>
      <c r="D6" s="1">
        <v>325000.0</v>
      </c>
      <c r="E6" s="1" t="s">
        <v>3855</v>
      </c>
    </row>
    <row r="7">
      <c r="B7" s="1" t="s">
        <v>3856</v>
      </c>
      <c r="D7" s="1">
        <v>775180.0</v>
      </c>
      <c r="E7" s="1" t="s">
        <v>3857</v>
      </c>
      <c r="F7" s="1" t="s">
        <v>3858</v>
      </c>
    </row>
    <row r="8">
      <c r="B8" s="1" t="s">
        <v>3859</v>
      </c>
      <c r="D8" s="1">
        <v>3509070.0</v>
      </c>
      <c r="E8" s="1" t="s">
        <v>3860</v>
      </c>
    </row>
    <row r="9">
      <c r="B9" s="1" t="s">
        <v>3861</v>
      </c>
      <c r="D9" s="1">
        <v>2.99E8</v>
      </c>
      <c r="E9" s="1" t="s">
        <v>3860</v>
      </c>
    </row>
    <row r="10">
      <c r="A10" s="1" t="s">
        <v>3862</v>
      </c>
      <c r="B10" s="1" t="s">
        <v>3863</v>
      </c>
      <c r="D10" s="1">
        <v>783130.0</v>
      </c>
      <c r="E10" s="1" t="s">
        <v>3860</v>
      </c>
    </row>
    <row r="11">
      <c r="B11" s="69" t="s">
        <v>3864</v>
      </c>
      <c r="D11" s="1">
        <v>3.575E7</v>
      </c>
      <c r="E11" s="1" t="s">
        <v>3865</v>
      </c>
      <c r="F11" s="1" t="s">
        <v>3858</v>
      </c>
    </row>
    <row r="12">
      <c r="A12" s="1" t="s">
        <v>3866</v>
      </c>
      <c r="B12" s="1" t="s">
        <v>3867</v>
      </c>
      <c r="D12" s="1">
        <v>327600.0</v>
      </c>
      <c r="E12" s="1" t="s">
        <v>1632</v>
      </c>
    </row>
    <row r="13">
      <c r="A13" s="1" t="s">
        <v>1861</v>
      </c>
      <c r="B13" s="1" t="s">
        <v>3868</v>
      </c>
      <c r="D13" s="1">
        <v>372333.0</v>
      </c>
      <c r="E13" s="1" t="s">
        <v>3869</v>
      </c>
    </row>
    <row r="14">
      <c r="A14" s="1" t="s">
        <v>3866</v>
      </c>
      <c r="B14" s="1" t="s">
        <v>3870</v>
      </c>
      <c r="C14" s="1">
        <v>1254000.0</v>
      </c>
    </row>
    <row r="15">
      <c r="A15" s="1" t="s">
        <v>3871</v>
      </c>
      <c r="B15" s="1" t="s">
        <v>3872</v>
      </c>
      <c r="C15" s="1">
        <v>1.0E7</v>
      </c>
    </row>
    <row r="16">
      <c r="A16" s="1" t="s">
        <v>3873</v>
      </c>
      <c r="B16" s="1" t="s">
        <v>3874</v>
      </c>
      <c r="C16" s="1">
        <v>1114666.0</v>
      </c>
    </row>
    <row r="17">
      <c r="A17" s="1" t="s">
        <v>1861</v>
      </c>
      <c r="B17" s="1" t="s">
        <v>3875</v>
      </c>
      <c r="C17" s="1">
        <v>1205230.0</v>
      </c>
    </row>
    <row r="18">
      <c r="B18" s="1" t="s">
        <v>3876</v>
      </c>
      <c r="C18" s="1">
        <v>1532666.0</v>
      </c>
      <c r="F18" s="1" t="s">
        <v>3877</v>
      </c>
    </row>
    <row r="19">
      <c r="B19" s="1" t="s">
        <v>3878</v>
      </c>
      <c r="C19" s="1">
        <v>1254000.0</v>
      </c>
      <c r="F19" s="23" t="s">
        <v>3879</v>
      </c>
      <c r="G19" s="1" t="s">
        <v>3880</v>
      </c>
    </row>
    <row r="20">
      <c r="B20" s="1" t="s">
        <v>3881</v>
      </c>
      <c r="C20" s="1">
        <v>905666.0</v>
      </c>
      <c r="F20" s="23" t="s">
        <v>3882</v>
      </c>
    </row>
    <row r="21">
      <c r="B21" s="1" t="s">
        <v>3883</v>
      </c>
      <c r="C21" s="1">
        <v>1114666.0</v>
      </c>
      <c r="F21" s="23" t="s">
        <v>3884</v>
      </c>
    </row>
    <row r="22">
      <c r="B22" s="1" t="s">
        <v>3885</v>
      </c>
      <c r="C22" s="1">
        <v>1219166.0</v>
      </c>
      <c r="F22" s="23" t="s">
        <v>3886</v>
      </c>
    </row>
    <row r="23">
      <c r="A23" s="1" t="s">
        <v>3887</v>
      </c>
      <c r="B23" s="1" t="s">
        <v>3888</v>
      </c>
      <c r="C23" s="1">
        <v>1602334.0</v>
      </c>
      <c r="F23" s="61" t="s">
        <v>3889</v>
      </c>
      <c r="G23" s="1" t="s">
        <v>3890</v>
      </c>
    </row>
    <row r="24">
      <c r="A24" s="1" t="s">
        <v>3891</v>
      </c>
      <c r="B24" s="1" t="s">
        <v>3892</v>
      </c>
      <c r="C24" s="1">
        <v>1602334.0</v>
      </c>
    </row>
    <row r="25">
      <c r="A25" s="1" t="s">
        <v>3893</v>
      </c>
      <c r="B25" s="1" t="s">
        <v>3894</v>
      </c>
      <c r="D25" s="1">
        <v>1358150.0</v>
      </c>
      <c r="E25" s="1" t="s">
        <v>3895</v>
      </c>
    </row>
    <row r="26">
      <c r="B26" s="1" t="s">
        <v>3896</v>
      </c>
      <c r="E26" s="1" t="s">
        <v>3897</v>
      </c>
    </row>
    <row r="27">
      <c r="A27" s="1" t="s">
        <v>1866</v>
      </c>
      <c r="B27" s="1" t="s">
        <v>3898</v>
      </c>
      <c r="E27" s="1" t="s">
        <v>3899</v>
      </c>
    </row>
    <row r="28">
      <c r="B28" s="1" t="s">
        <v>3900</v>
      </c>
      <c r="E28" s="1" t="s">
        <v>3901</v>
      </c>
    </row>
    <row r="29">
      <c r="A29" s="1" t="s">
        <v>3902</v>
      </c>
      <c r="B29" s="1" t="s">
        <v>3903</v>
      </c>
      <c r="D29" s="1">
        <v>9200000.0</v>
      </c>
      <c r="E29" s="1" t="s">
        <v>3904</v>
      </c>
    </row>
    <row r="30">
      <c r="A30" s="1" t="s">
        <v>3905</v>
      </c>
      <c r="B30" s="1" t="s">
        <v>3906</v>
      </c>
      <c r="D30" s="1">
        <v>462580.0</v>
      </c>
      <c r="E30" s="1" t="s">
        <v>3907</v>
      </c>
    </row>
    <row r="31">
      <c r="A31" s="1" t="s">
        <v>1869</v>
      </c>
      <c r="B31" s="1" t="s">
        <v>3908</v>
      </c>
      <c r="D31" s="1">
        <v>907790.0</v>
      </c>
      <c r="E31" s="1" t="s">
        <v>3909</v>
      </c>
      <c r="F31" s="1" t="s">
        <v>3858</v>
      </c>
    </row>
    <row r="32">
      <c r="A32" s="1" t="s">
        <v>3910</v>
      </c>
      <c r="B32" s="1" t="s">
        <v>75</v>
      </c>
      <c r="D32" s="1">
        <v>9500.0</v>
      </c>
      <c r="E32" s="1" t="s">
        <v>3911</v>
      </c>
      <c r="F32" s="1" t="s">
        <v>3858</v>
      </c>
    </row>
    <row r="33">
      <c r="A33" s="1" t="s">
        <v>3912</v>
      </c>
      <c r="B33" s="70" t="s">
        <v>3870</v>
      </c>
      <c r="C33" s="1">
        <v>2062734.0</v>
      </c>
    </row>
    <row r="34">
      <c r="B34" s="1" t="s">
        <v>3883</v>
      </c>
      <c r="C34" s="1">
        <v>1874116.0</v>
      </c>
    </row>
    <row r="35">
      <c r="A35" s="1" t="s">
        <v>1871</v>
      </c>
      <c r="B35" s="1" t="s">
        <v>3913</v>
      </c>
      <c r="D35" s="1">
        <v>430000.0</v>
      </c>
      <c r="E35" s="1" t="s">
        <v>3869</v>
      </c>
    </row>
    <row r="36">
      <c r="B36" s="1" t="s">
        <v>3914</v>
      </c>
      <c r="D36" s="1">
        <v>110000.0</v>
      </c>
      <c r="E36" s="1" t="s">
        <v>3915</v>
      </c>
    </row>
    <row r="37">
      <c r="B37" s="1" t="s">
        <v>3916</v>
      </c>
      <c r="D37" s="1">
        <v>147000.0</v>
      </c>
      <c r="E37" s="1" t="s">
        <v>3917</v>
      </c>
    </row>
    <row r="38">
      <c r="A38" s="1" t="s">
        <v>3910</v>
      </c>
      <c r="B38" s="1" t="s">
        <v>3878</v>
      </c>
      <c r="C38" s="1">
        <v>2041528.0</v>
      </c>
    </row>
    <row r="39">
      <c r="A39" s="1" t="s">
        <v>1871</v>
      </c>
      <c r="B39" s="1" t="s">
        <v>3875</v>
      </c>
      <c r="C39" s="1">
        <v>1903000.0</v>
      </c>
    </row>
    <row r="40">
      <c r="B40" s="1" t="s">
        <v>3918</v>
      </c>
      <c r="C40" s="1">
        <v>106730.0</v>
      </c>
    </row>
    <row r="41">
      <c r="B41" s="1" t="s">
        <v>3888</v>
      </c>
      <c r="C41" s="1">
        <v>2625470.0</v>
      </c>
    </row>
    <row r="42">
      <c r="B42" s="1" t="s">
        <v>3876</v>
      </c>
      <c r="C42" s="1">
        <v>2420000.0</v>
      </c>
    </row>
    <row r="43">
      <c r="B43" s="1" t="s">
        <v>3919</v>
      </c>
      <c r="C43" s="1">
        <v>207687.0</v>
      </c>
    </row>
    <row r="44">
      <c r="B44" s="1" t="s">
        <v>3874</v>
      </c>
      <c r="C44" s="1">
        <v>1760000.0</v>
      </c>
      <c r="E44" s="1" t="s">
        <v>3920</v>
      </c>
    </row>
    <row r="45">
      <c r="B45" s="1" t="s">
        <v>3885</v>
      </c>
      <c r="C45" s="1">
        <v>1219166.0</v>
      </c>
    </row>
    <row r="46">
      <c r="A46" s="1" t="s">
        <v>1870</v>
      </c>
      <c r="B46" s="1" t="s">
        <v>3885</v>
      </c>
      <c r="C46" s="1">
        <v>829241.0</v>
      </c>
      <c r="D46" s="1" t="s">
        <v>3921</v>
      </c>
      <c r="E46" s="1" t="s">
        <v>3922</v>
      </c>
    </row>
    <row r="47">
      <c r="A47" s="1" t="s">
        <v>3923</v>
      </c>
      <c r="B47" s="1" t="s">
        <v>3881</v>
      </c>
      <c r="C47" s="1">
        <v>1569149.0</v>
      </c>
    </row>
    <row r="48">
      <c r="B48" s="1" t="s">
        <v>3924</v>
      </c>
      <c r="C48" s="1">
        <v>400000.0</v>
      </c>
      <c r="E48" s="1" t="s">
        <v>3925</v>
      </c>
    </row>
    <row r="49">
      <c r="A49" s="1" t="s">
        <v>3926</v>
      </c>
      <c r="B49" s="1" t="s">
        <v>3892</v>
      </c>
      <c r="C49" s="1">
        <v>2692656.0</v>
      </c>
      <c r="E49" s="1" t="s">
        <v>3927</v>
      </c>
    </row>
    <row r="50">
      <c r="A50" s="1" t="s">
        <v>1876</v>
      </c>
      <c r="B50" s="1" t="s">
        <v>3892</v>
      </c>
      <c r="C50" s="1">
        <v>230000.0</v>
      </c>
      <c r="E50" s="1" t="s">
        <v>3928</v>
      </c>
    </row>
    <row r="51">
      <c r="A51" s="1" t="s">
        <v>1880</v>
      </c>
      <c r="B51" s="1" t="s">
        <v>3929</v>
      </c>
      <c r="D51" s="1">
        <v>90000.0</v>
      </c>
      <c r="E51" s="1" t="s">
        <v>3917</v>
      </c>
    </row>
    <row r="52">
      <c r="A52" s="1" t="s">
        <v>3930</v>
      </c>
      <c r="B52" s="1" t="s">
        <v>3913</v>
      </c>
      <c r="D52" s="1">
        <v>430000.0</v>
      </c>
      <c r="E52" s="1" t="s">
        <v>3869</v>
      </c>
    </row>
    <row r="53">
      <c r="B53" s="1" t="s">
        <v>3914</v>
      </c>
      <c r="D53" s="1">
        <v>110000.0</v>
      </c>
      <c r="E53" s="1" t="s">
        <v>3915</v>
      </c>
    </row>
    <row r="54">
      <c r="A54" s="1" t="s">
        <v>1884</v>
      </c>
      <c r="B54" s="1" t="s">
        <v>3906</v>
      </c>
      <c r="D54" s="1">
        <v>455480.0</v>
      </c>
      <c r="E54" s="1" t="s">
        <v>3931</v>
      </c>
    </row>
    <row r="55">
      <c r="B55" s="1" t="s">
        <v>3908</v>
      </c>
      <c r="D55" s="1">
        <v>1057810.0</v>
      </c>
      <c r="E55" s="1" t="s">
        <v>3932</v>
      </c>
    </row>
    <row r="56">
      <c r="A56" s="1" t="s">
        <v>1880</v>
      </c>
      <c r="B56" s="1" t="s">
        <v>3883</v>
      </c>
      <c r="C56" s="1">
        <v>1960056.0</v>
      </c>
    </row>
    <row r="57">
      <c r="A57" s="1" t="s">
        <v>3933</v>
      </c>
      <c r="B57" s="70" t="s">
        <v>3870</v>
      </c>
      <c r="C57" s="1">
        <v>2128291.0</v>
      </c>
    </row>
    <row r="58">
      <c r="A58" s="1" t="s">
        <v>1884</v>
      </c>
      <c r="B58" s="1" t="s">
        <v>3876</v>
      </c>
      <c r="C58" s="1">
        <v>2420000.0</v>
      </c>
    </row>
    <row r="59">
      <c r="B59" s="1" t="s">
        <v>3919</v>
      </c>
      <c r="C59" s="1">
        <v>106672.0</v>
      </c>
      <c r="E59" s="1" t="s">
        <v>3921</v>
      </c>
    </row>
    <row r="60">
      <c r="B60" s="1" t="s">
        <v>3934</v>
      </c>
      <c r="C60" s="1">
        <v>67803.0</v>
      </c>
    </row>
    <row r="61">
      <c r="B61" s="1" t="s">
        <v>3875</v>
      </c>
      <c r="C61" s="1">
        <v>1903000.0</v>
      </c>
    </row>
    <row r="62">
      <c r="B62" s="1" t="s">
        <v>3918</v>
      </c>
      <c r="C62" s="1">
        <v>64590.0</v>
      </c>
    </row>
    <row r="63">
      <c r="B63" s="1" t="s">
        <v>3935</v>
      </c>
      <c r="C63" s="1">
        <v>31610.0</v>
      </c>
    </row>
    <row r="64">
      <c r="B64" s="1" t="s">
        <v>3885</v>
      </c>
      <c r="C64" s="1">
        <v>2094637.0</v>
      </c>
    </row>
    <row r="65">
      <c r="B65" s="1" t="s">
        <v>3874</v>
      </c>
      <c r="C65" s="1">
        <v>1760000.0</v>
      </c>
    </row>
    <row r="66">
      <c r="B66" s="1" t="s">
        <v>3936</v>
      </c>
      <c r="C66" s="1">
        <v>151093.0</v>
      </c>
    </row>
    <row r="67">
      <c r="B67" s="1" t="s">
        <v>3937</v>
      </c>
      <c r="C67" s="1">
        <v>122083.0</v>
      </c>
    </row>
    <row r="68">
      <c r="B68" s="1" t="s">
        <v>3881</v>
      </c>
      <c r="C68" s="1">
        <v>1525184.0</v>
      </c>
    </row>
    <row r="69">
      <c r="A69" s="1" t="s">
        <v>1889</v>
      </c>
      <c r="B69" s="1" t="s">
        <v>3938</v>
      </c>
      <c r="D69" s="1">
        <v>1.155E7</v>
      </c>
      <c r="E69" s="1" t="s">
        <v>3917</v>
      </c>
    </row>
    <row r="70">
      <c r="B70" s="1" t="s">
        <v>3888</v>
      </c>
      <c r="C70" s="1">
        <v>2658492.0</v>
      </c>
    </row>
    <row r="71">
      <c r="A71" s="1" t="s">
        <v>3939</v>
      </c>
      <c r="B71" s="1" t="s">
        <v>3940</v>
      </c>
      <c r="D71" s="1">
        <v>242000.0</v>
      </c>
      <c r="E71" s="1" t="s">
        <v>1885</v>
      </c>
    </row>
    <row r="72">
      <c r="A72" s="1" t="s">
        <v>1893</v>
      </c>
      <c r="B72" s="1" t="s">
        <v>521</v>
      </c>
      <c r="D72" s="1">
        <v>121000.0</v>
      </c>
      <c r="E72" s="1" t="s">
        <v>1885</v>
      </c>
    </row>
    <row r="73">
      <c r="A73" s="1" t="s">
        <v>1891</v>
      </c>
      <c r="B73" s="1" t="s">
        <v>3941</v>
      </c>
      <c r="D73" s="5">
        <v>1.98E7</v>
      </c>
      <c r="E73" s="15" t="s">
        <v>3942</v>
      </c>
      <c r="F73" s="16" t="s">
        <v>1897</v>
      </c>
    </row>
    <row r="74">
      <c r="B74" s="1" t="s">
        <v>3943</v>
      </c>
      <c r="D74" s="5">
        <v>8580000.0</v>
      </c>
      <c r="E74" s="17">
        <v>1.8E7</v>
      </c>
      <c r="F74" s="63">
        <f t="shared" ref="F74:F77" si="1">E74*1.1</f>
        <v>19800000</v>
      </c>
    </row>
    <row r="75">
      <c r="A75" s="1" t="s">
        <v>3944</v>
      </c>
      <c r="B75" s="1" t="s">
        <v>3945</v>
      </c>
      <c r="C75" s="1">
        <v>2300000.0</v>
      </c>
      <c r="E75" s="17">
        <v>2.4E7</v>
      </c>
      <c r="F75" s="71">
        <f t="shared" si="1"/>
        <v>26400000</v>
      </c>
    </row>
    <row r="76">
      <c r="A76" s="1" t="s">
        <v>1892</v>
      </c>
      <c r="B76" s="1" t="s">
        <v>3929</v>
      </c>
      <c r="D76" s="1">
        <v>90000.0</v>
      </c>
      <c r="E76" s="17">
        <v>1.8E7</v>
      </c>
      <c r="F76" s="72">
        <f t="shared" si="1"/>
        <v>19800000</v>
      </c>
      <c r="G76" s="18">
        <f>19800000-1900000*1.1</f>
        <v>17710000</v>
      </c>
    </row>
    <row r="77">
      <c r="A77" s="1" t="s">
        <v>1893</v>
      </c>
      <c r="B77" s="1" t="s">
        <v>3946</v>
      </c>
      <c r="D77" s="1">
        <v>530000.0</v>
      </c>
      <c r="E77" s="73">
        <f>SUM(E74:E76)</f>
        <v>60000000</v>
      </c>
      <c r="F77" s="72">
        <f t="shared" si="1"/>
        <v>66000000</v>
      </c>
    </row>
    <row r="78">
      <c r="B78" s="1" t="s">
        <v>3947</v>
      </c>
      <c r="D78" s="1">
        <v>110000.0</v>
      </c>
      <c r="E78" s="17" t="s">
        <v>3948</v>
      </c>
      <c r="F78" s="72"/>
    </row>
    <row r="79">
      <c r="A79" s="1" t="s">
        <v>3921</v>
      </c>
      <c r="B79" s="1" t="s">
        <v>3949</v>
      </c>
      <c r="D79" s="1"/>
      <c r="E79" s="17">
        <v>7800000.0</v>
      </c>
      <c r="F79" s="63">
        <f t="shared" ref="F79:F82" si="2">E79*1.1</f>
        <v>8580000</v>
      </c>
    </row>
    <row r="80">
      <c r="B80" s="1" t="s">
        <v>3908</v>
      </c>
      <c r="D80" s="1">
        <v>1374480.0</v>
      </c>
      <c r="E80" s="17">
        <v>1.04E7</v>
      </c>
      <c r="F80" s="71">
        <f t="shared" si="2"/>
        <v>11440000</v>
      </c>
    </row>
    <row r="81">
      <c r="B81" s="1" t="s">
        <v>3950</v>
      </c>
      <c r="E81" s="17">
        <v>7800000.0</v>
      </c>
      <c r="F81" s="18">
        <f t="shared" si="2"/>
        <v>8580000</v>
      </c>
    </row>
    <row r="82">
      <c r="A82" s="1" t="s">
        <v>1892</v>
      </c>
      <c r="B82" s="1" t="s">
        <v>3951</v>
      </c>
      <c r="C82" s="1">
        <v>586154.0</v>
      </c>
      <c r="E82" s="19">
        <f>SUM(E79:E81)</f>
        <v>26000000</v>
      </c>
      <c r="F82" s="20">
        <f t="shared" si="2"/>
        <v>28600000</v>
      </c>
    </row>
    <row r="83">
      <c r="A83" s="1" t="s">
        <v>1899</v>
      </c>
      <c r="B83" s="70" t="s">
        <v>3870</v>
      </c>
      <c r="C83" s="1">
        <v>2231095.0</v>
      </c>
    </row>
    <row r="84">
      <c r="B84" s="1" t="s">
        <v>3883</v>
      </c>
      <c r="C84" s="1">
        <v>1857110.0</v>
      </c>
    </row>
    <row r="85">
      <c r="A85" s="1" t="s">
        <v>3952</v>
      </c>
      <c r="B85" s="1" t="s">
        <v>3875</v>
      </c>
      <c r="C85" s="1">
        <v>1903000.0</v>
      </c>
    </row>
    <row r="86">
      <c r="B86" s="1" t="s">
        <v>3918</v>
      </c>
      <c r="C86" s="1">
        <v>83280.0</v>
      </c>
    </row>
    <row r="87">
      <c r="A87" s="1" t="s">
        <v>1893</v>
      </c>
      <c r="B87" s="1" t="s">
        <v>3876</v>
      </c>
      <c r="C87" s="1">
        <v>2420000.0</v>
      </c>
    </row>
    <row r="88">
      <c r="B88" s="1" t="s">
        <v>3919</v>
      </c>
      <c r="C88" s="1">
        <v>161231.0</v>
      </c>
    </row>
    <row r="89">
      <c r="B89" s="1" t="s">
        <v>3936</v>
      </c>
      <c r="C89" s="1">
        <v>108477.0</v>
      </c>
    </row>
    <row r="90">
      <c r="B90" s="1" t="s">
        <v>3885</v>
      </c>
      <c r="C90" s="1">
        <v>2070712.0</v>
      </c>
    </row>
    <row r="91">
      <c r="A91" s="1" t="s">
        <v>1901</v>
      </c>
      <c r="B91" s="23" t="s">
        <v>3953</v>
      </c>
      <c r="C91" s="18"/>
      <c r="D91" s="74">
        <v>2.64E7</v>
      </c>
      <c r="E91" s="1" t="s">
        <v>1897</v>
      </c>
    </row>
    <row r="92">
      <c r="A92" s="1" t="s">
        <v>1902</v>
      </c>
      <c r="B92" s="1" t="s">
        <v>3874</v>
      </c>
      <c r="C92" s="1">
        <v>1760000.0</v>
      </c>
    </row>
    <row r="93">
      <c r="A93" s="1" t="s">
        <v>3954</v>
      </c>
      <c r="B93" s="1" t="s">
        <v>3888</v>
      </c>
      <c r="C93" s="1">
        <v>2640657.0</v>
      </c>
    </row>
    <row r="94">
      <c r="A94" s="1" t="s">
        <v>1906</v>
      </c>
      <c r="B94" s="1" t="s">
        <v>3955</v>
      </c>
      <c r="C94" s="1">
        <v>18057.0</v>
      </c>
      <c r="D94" s="1" t="s">
        <v>3956</v>
      </c>
    </row>
    <row r="95">
      <c r="A95" s="1" t="s">
        <v>1907</v>
      </c>
      <c r="B95" s="23" t="s">
        <v>3953</v>
      </c>
      <c r="C95" s="18"/>
      <c r="D95" s="74">
        <v>1.144E7</v>
      </c>
      <c r="E95" s="1" t="s">
        <v>1897</v>
      </c>
    </row>
    <row r="96">
      <c r="A96" s="1" t="s">
        <v>1908</v>
      </c>
      <c r="B96" s="1" t="s">
        <v>3957</v>
      </c>
      <c r="D96" s="1">
        <v>3015460.0</v>
      </c>
      <c r="E96" s="1" t="s">
        <v>3958</v>
      </c>
    </row>
    <row r="97">
      <c r="A97" s="1" t="s">
        <v>3959</v>
      </c>
      <c r="B97" s="1" t="s">
        <v>3960</v>
      </c>
      <c r="D97" s="1">
        <v>630000.0</v>
      </c>
    </row>
    <row r="98">
      <c r="B98" s="1" t="s">
        <v>3947</v>
      </c>
      <c r="D98" s="1">
        <v>110000.0</v>
      </c>
    </row>
    <row r="99">
      <c r="B99" s="1" t="s">
        <v>3961</v>
      </c>
      <c r="D99" s="1">
        <v>438820.0</v>
      </c>
    </row>
    <row r="100">
      <c r="B100" s="1" t="s">
        <v>3908</v>
      </c>
      <c r="D100" s="1">
        <v>1788070.0</v>
      </c>
    </row>
    <row r="101">
      <c r="A101" s="1" t="s">
        <v>3921</v>
      </c>
      <c r="B101" s="1" t="s">
        <v>3962</v>
      </c>
      <c r="D101" s="1">
        <v>77000.0</v>
      </c>
      <c r="E101" s="1" t="s">
        <v>3963</v>
      </c>
    </row>
    <row r="102">
      <c r="B102" s="1" t="s">
        <v>3964</v>
      </c>
      <c r="D102" s="1">
        <v>90000.0</v>
      </c>
    </row>
    <row r="103">
      <c r="A103" s="1" t="s">
        <v>3959</v>
      </c>
      <c r="B103" s="1" t="s">
        <v>3965</v>
      </c>
      <c r="C103" s="1">
        <v>2286059.0</v>
      </c>
      <c r="D103" s="1" t="s">
        <v>3921</v>
      </c>
    </row>
    <row r="104">
      <c r="B104" s="1" t="s">
        <v>3883</v>
      </c>
      <c r="C104" s="1">
        <v>1911446.0</v>
      </c>
    </row>
    <row r="105">
      <c r="A105" s="1" t="s">
        <v>1928</v>
      </c>
      <c r="B105" s="1" t="s">
        <v>3875</v>
      </c>
      <c r="C105" s="1">
        <v>1903000.0</v>
      </c>
    </row>
    <row r="106">
      <c r="B106" s="1" t="s">
        <v>3918</v>
      </c>
      <c r="C106" s="1">
        <v>99840.0</v>
      </c>
    </row>
    <row r="107">
      <c r="B107" s="1" t="s">
        <v>3935</v>
      </c>
      <c r="C107" s="1">
        <v>20300.0</v>
      </c>
    </row>
    <row r="108">
      <c r="B108" s="1" t="s">
        <v>3966</v>
      </c>
      <c r="C108" s="1">
        <v>1760000.0</v>
      </c>
    </row>
    <row r="109">
      <c r="B109" s="1" t="s">
        <v>3967</v>
      </c>
      <c r="C109" s="1">
        <v>114271.0</v>
      </c>
    </row>
    <row r="110">
      <c r="B110" s="1" t="s">
        <v>3968</v>
      </c>
      <c r="C110" s="1">
        <v>78412.0</v>
      </c>
    </row>
    <row r="111">
      <c r="B111" s="1" t="s">
        <v>3876</v>
      </c>
      <c r="C111" s="1">
        <v>2420000.0</v>
      </c>
    </row>
    <row r="112">
      <c r="B112" s="1" t="s">
        <v>3919</v>
      </c>
      <c r="C112" s="1">
        <v>160579.0</v>
      </c>
    </row>
    <row r="113">
      <c r="B113" s="1" t="s">
        <v>3934</v>
      </c>
      <c r="C113" s="1">
        <v>43549.0</v>
      </c>
    </row>
    <row r="114">
      <c r="B114" s="1" t="s">
        <v>3969</v>
      </c>
      <c r="C114" s="1">
        <v>2792493.0</v>
      </c>
    </row>
    <row r="115">
      <c r="A115" s="1" t="s">
        <v>1931</v>
      </c>
      <c r="C115" s="1">
        <v>4047178.0</v>
      </c>
    </row>
    <row r="116">
      <c r="A116" s="1"/>
      <c r="B116" s="23" t="s">
        <v>3970</v>
      </c>
      <c r="C116" s="23"/>
      <c r="D116" s="74">
        <v>8580000.0</v>
      </c>
      <c r="E116" s="23" t="s">
        <v>1897</v>
      </c>
    </row>
    <row r="117">
      <c r="A117" s="1"/>
      <c r="B117" s="23" t="s">
        <v>3970</v>
      </c>
      <c r="C117" s="23"/>
      <c r="D117" s="74">
        <v>1.771E7</v>
      </c>
      <c r="E117" s="23" t="s">
        <v>3971</v>
      </c>
    </row>
    <row r="118">
      <c r="A118" s="1" t="s">
        <v>1909</v>
      </c>
      <c r="B118" s="1" t="s">
        <v>3885</v>
      </c>
      <c r="C118" s="1">
        <v>2167196.0</v>
      </c>
    </row>
    <row r="119">
      <c r="B119" s="1" t="s">
        <v>3972</v>
      </c>
      <c r="C119" s="1">
        <v>43106.0</v>
      </c>
    </row>
    <row r="120">
      <c r="A120" s="1" t="s">
        <v>3973</v>
      </c>
      <c r="B120" s="1" t="s">
        <v>3974</v>
      </c>
      <c r="D120" s="1">
        <v>96000.0</v>
      </c>
      <c r="E120" s="1" t="s">
        <v>3975</v>
      </c>
    </row>
    <row r="121">
      <c r="B121" s="1" t="s">
        <v>3976</v>
      </c>
      <c r="E121" s="1" t="s">
        <v>3977</v>
      </c>
    </row>
    <row r="122">
      <c r="B122" s="1" t="s">
        <v>3978</v>
      </c>
      <c r="C122" s="1">
        <v>1568074.0</v>
      </c>
    </row>
    <row r="123">
      <c r="B123" s="1" t="s">
        <v>3979</v>
      </c>
      <c r="C123" s="1">
        <v>2031927.0</v>
      </c>
    </row>
    <row r="124">
      <c r="B124" s="1" t="s">
        <v>3980</v>
      </c>
      <c r="C124" s="1">
        <v>2086668.0</v>
      </c>
    </row>
    <row r="125">
      <c r="B125" s="1" t="s">
        <v>3981</v>
      </c>
      <c r="C125" s="1">
        <v>2153276.0</v>
      </c>
    </row>
    <row r="126">
      <c r="B126" s="1" t="s">
        <v>3982</v>
      </c>
      <c r="C126" s="1">
        <v>46642.0</v>
      </c>
    </row>
    <row r="127">
      <c r="A127" s="1" t="s">
        <v>1950</v>
      </c>
      <c r="B127" s="1" t="s">
        <v>267</v>
      </c>
      <c r="D127" s="1">
        <v>1683000.0</v>
      </c>
      <c r="E127" s="1" t="s">
        <v>3983</v>
      </c>
    </row>
    <row r="128">
      <c r="B128" s="1" t="s">
        <v>3908</v>
      </c>
      <c r="D128" s="1">
        <v>2099750.0</v>
      </c>
      <c r="E128" s="1" t="s">
        <v>275</v>
      </c>
    </row>
    <row r="129">
      <c r="A129" s="1"/>
      <c r="B129" s="1" t="s">
        <v>3984</v>
      </c>
      <c r="C129" s="1">
        <v>4172365.0</v>
      </c>
      <c r="D129" s="1"/>
    </row>
    <row r="130">
      <c r="A130" s="1" t="s">
        <v>1942</v>
      </c>
      <c r="B130" s="1" t="s">
        <v>3985</v>
      </c>
      <c r="D130" s="1">
        <v>430000.0</v>
      </c>
    </row>
    <row r="131">
      <c r="B131" s="1" t="s">
        <v>3947</v>
      </c>
      <c r="D131" s="1">
        <v>110000.0</v>
      </c>
      <c r="E131" s="1" t="s">
        <v>3986</v>
      </c>
    </row>
    <row r="132">
      <c r="B132" s="1" t="s">
        <v>3964</v>
      </c>
      <c r="D132" s="1">
        <v>90000.0</v>
      </c>
    </row>
    <row r="133">
      <c r="B133" s="1" t="s">
        <v>648</v>
      </c>
      <c r="D133" s="1">
        <v>110000.0</v>
      </c>
    </row>
    <row r="134">
      <c r="A134" s="1" t="s">
        <v>3987</v>
      </c>
      <c r="B134" s="1" t="s">
        <v>3988</v>
      </c>
      <c r="C134" s="1">
        <v>1838057.0</v>
      </c>
    </row>
    <row r="135">
      <c r="A135" s="1" t="s">
        <v>3989</v>
      </c>
      <c r="B135" s="1" t="s">
        <v>3965</v>
      </c>
      <c r="C135" s="1">
        <v>2316744.0</v>
      </c>
    </row>
    <row r="136">
      <c r="A136" s="1" t="s">
        <v>1942</v>
      </c>
      <c r="B136" s="1" t="s">
        <v>3876</v>
      </c>
      <c r="C136" s="1">
        <v>2420000.0</v>
      </c>
    </row>
    <row r="137">
      <c r="B137" s="1" t="s">
        <v>3919</v>
      </c>
      <c r="C137" s="1">
        <v>224261.0</v>
      </c>
    </row>
    <row r="138">
      <c r="B138" s="1" t="s">
        <v>3990</v>
      </c>
      <c r="C138" s="1">
        <v>2117301.0</v>
      </c>
    </row>
    <row r="139">
      <c r="A139" s="1" t="s">
        <v>3991</v>
      </c>
      <c r="B139" s="1" t="s">
        <v>3992</v>
      </c>
      <c r="C139" s="1">
        <v>133939.0</v>
      </c>
    </row>
    <row r="140">
      <c r="A140" s="1" t="s">
        <v>3993</v>
      </c>
      <c r="B140" s="1" t="s">
        <v>3994</v>
      </c>
      <c r="C140" s="1">
        <v>2762811.0</v>
      </c>
    </row>
    <row r="141">
      <c r="A141" s="1" t="s">
        <v>3995</v>
      </c>
      <c r="B141" s="1" t="s">
        <v>3875</v>
      </c>
      <c r="C141" s="1">
        <v>1903000.0</v>
      </c>
    </row>
    <row r="142">
      <c r="B142" s="1" t="s">
        <v>3918</v>
      </c>
      <c r="C142" s="1">
        <v>122430.0</v>
      </c>
    </row>
    <row r="143">
      <c r="A143" s="1" t="s">
        <v>1960</v>
      </c>
      <c r="B143" s="1" t="s">
        <v>3996</v>
      </c>
      <c r="C143" s="1">
        <v>2878066.0</v>
      </c>
    </row>
    <row r="144">
      <c r="A144" s="1" t="s">
        <v>1965</v>
      </c>
      <c r="B144" s="1" t="s">
        <v>3997</v>
      </c>
      <c r="D144" s="1">
        <v>4950000.0</v>
      </c>
      <c r="E144" s="1" t="s">
        <v>3917</v>
      </c>
    </row>
    <row r="145">
      <c r="B145" s="1" t="s">
        <v>3998</v>
      </c>
      <c r="D145" s="1">
        <v>1650000.0</v>
      </c>
      <c r="E145" s="1" t="s">
        <v>3917</v>
      </c>
    </row>
    <row r="146">
      <c r="A146" s="1" t="s">
        <v>3999</v>
      </c>
      <c r="B146" s="1" t="s">
        <v>4000</v>
      </c>
      <c r="C146" s="1">
        <v>2000000.0</v>
      </c>
      <c r="E146" s="1" t="s">
        <v>4001</v>
      </c>
    </row>
    <row r="147">
      <c r="A147" s="1" t="s">
        <v>1962</v>
      </c>
      <c r="B147" s="1" t="s">
        <v>4002</v>
      </c>
      <c r="C147" s="1">
        <v>2915583.0</v>
      </c>
      <c r="E147" s="23" t="s">
        <v>4003</v>
      </c>
    </row>
    <row r="148">
      <c r="B148" s="1" t="s">
        <v>4004</v>
      </c>
      <c r="C148" s="1">
        <v>2851535.0</v>
      </c>
    </row>
    <row r="149">
      <c r="B149" s="1" t="s">
        <v>4005</v>
      </c>
      <c r="C149" s="1">
        <v>1603731.0</v>
      </c>
      <c r="E149" s="1" t="s">
        <v>4006</v>
      </c>
    </row>
    <row r="150">
      <c r="B150" s="1" t="s">
        <v>4007</v>
      </c>
      <c r="D150" s="1">
        <v>1.2629151E7</v>
      </c>
    </row>
    <row r="151">
      <c r="B151" s="1" t="s">
        <v>4008</v>
      </c>
      <c r="C151" s="1">
        <v>2.0E7</v>
      </c>
      <c r="E151" s="1" t="s">
        <v>4009</v>
      </c>
    </row>
    <row r="152">
      <c r="A152" s="1" t="s">
        <v>1968</v>
      </c>
      <c r="B152" s="1" t="s">
        <v>267</v>
      </c>
      <c r="D152" s="1">
        <v>1155000.0</v>
      </c>
      <c r="E152" s="1" t="s">
        <v>3983</v>
      </c>
    </row>
    <row r="153">
      <c r="B153" s="1" t="s">
        <v>3908</v>
      </c>
      <c r="D153" s="1">
        <v>1610830.0</v>
      </c>
      <c r="E153" s="1" t="s">
        <v>275</v>
      </c>
    </row>
    <row r="154">
      <c r="B154" s="1" t="s">
        <v>1975</v>
      </c>
      <c r="D154" s="1">
        <v>294050.0</v>
      </c>
      <c r="E154" s="1" t="s">
        <v>275</v>
      </c>
    </row>
    <row r="155">
      <c r="A155" s="1" t="s">
        <v>1973</v>
      </c>
      <c r="B155" s="1" t="s">
        <v>3985</v>
      </c>
      <c r="D155" s="1">
        <v>430000.0</v>
      </c>
    </row>
    <row r="156">
      <c r="B156" s="1" t="s">
        <v>3947</v>
      </c>
      <c r="D156" s="1">
        <v>110000.0</v>
      </c>
      <c r="E156" s="1" t="s">
        <v>4010</v>
      </c>
    </row>
    <row r="157">
      <c r="B157" s="1" t="s">
        <v>3964</v>
      </c>
      <c r="D157" s="1">
        <v>90000.0</v>
      </c>
    </row>
    <row r="158">
      <c r="B158" s="1" t="s">
        <v>648</v>
      </c>
      <c r="D158" s="1">
        <v>110000.0</v>
      </c>
    </row>
    <row r="159">
      <c r="A159" s="1" t="s">
        <v>1968</v>
      </c>
      <c r="B159" s="3" t="s">
        <v>1137</v>
      </c>
      <c r="D159" s="1">
        <v>87980.0</v>
      </c>
    </row>
    <row r="160">
      <c r="A160" s="1" t="s">
        <v>1963</v>
      </c>
      <c r="B160" s="1" t="s">
        <v>4011</v>
      </c>
      <c r="C160" s="1">
        <v>1872695.0</v>
      </c>
    </row>
    <row r="161">
      <c r="A161" s="1" t="s">
        <v>4012</v>
      </c>
      <c r="B161" s="1" t="s">
        <v>4013</v>
      </c>
      <c r="C161" s="1">
        <v>1142581.0</v>
      </c>
    </row>
    <row r="162">
      <c r="A162" s="1" t="s">
        <v>1976</v>
      </c>
      <c r="B162" s="1" t="s">
        <v>3875</v>
      </c>
      <c r="C162" s="1">
        <v>1903000.0</v>
      </c>
    </row>
    <row r="163">
      <c r="B163" s="1" t="s">
        <v>3918</v>
      </c>
      <c r="C163" s="1">
        <v>74340.0</v>
      </c>
    </row>
    <row r="164">
      <c r="B164" s="1" t="s">
        <v>3935</v>
      </c>
      <c r="C164" s="1">
        <v>11340.0</v>
      </c>
    </row>
    <row r="165">
      <c r="B165" s="1" t="s">
        <v>4014</v>
      </c>
      <c r="C165" s="1">
        <v>2748996.0</v>
      </c>
    </row>
    <row r="166">
      <c r="A166" s="1" t="s">
        <v>1973</v>
      </c>
      <c r="B166" s="1" t="s">
        <v>3984</v>
      </c>
      <c r="C166" s="1">
        <v>4093882.0</v>
      </c>
    </row>
    <row r="167">
      <c r="B167" s="1" t="s">
        <v>4015</v>
      </c>
      <c r="C167" s="1">
        <v>48923.0</v>
      </c>
    </row>
    <row r="168">
      <c r="B168" s="1" t="s">
        <v>4016</v>
      </c>
      <c r="C168" s="1">
        <v>2279255.0</v>
      </c>
    </row>
    <row r="169">
      <c r="B169" s="1" t="s">
        <v>3876</v>
      </c>
      <c r="C169" s="1">
        <v>2420000.0</v>
      </c>
    </row>
    <row r="170">
      <c r="B170" s="1" t="s">
        <v>3919</v>
      </c>
      <c r="C170" s="1">
        <v>151062.0</v>
      </c>
    </row>
    <row r="171">
      <c r="B171" s="1" t="s">
        <v>3934</v>
      </c>
      <c r="C171" s="1">
        <v>24326.0</v>
      </c>
    </row>
    <row r="172">
      <c r="B172" s="1" t="s">
        <v>4017</v>
      </c>
      <c r="C172" s="1">
        <v>2099431.0</v>
      </c>
    </row>
    <row r="173">
      <c r="B173" s="1" t="s">
        <v>4018</v>
      </c>
      <c r="C173" s="1">
        <v>1760000.0</v>
      </c>
    </row>
    <row r="174">
      <c r="A174" s="1" t="s">
        <v>4019</v>
      </c>
      <c r="B174" s="1" t="s">
        <v>4020</v>
      </c>
      <c r="C174" s="1">
        <v>138981.0</v>
      </c>
    </row>
    <row r="175">
      <c r="B175" s="1" t="s">
        <v>4021</v>
      </c>
      <c r="C175" s="1">
        <v>43801.0</v>
      </c>
    </row>
    <row r="176">
      <c r="B176" s="1" t="s">
        <v>4022</v>
      </c>
      <c r="C176" s="1">
        <v>1537087.0</v>
      </c>
    </row>
    <row r="177">
      <c r="B177" s="1" t="s">
        <v>4023</v>
      </c>
      <c r="C177" s="1">
        <v>1598734.0</v>
      </c>
    </row>
    <row r="178">
      <c r="B178" s="1" t="s">
        <v>4024</v>
      </c>
      <c r="C178" s="1">
        <v>1566382.0</v>
      </c>
    </row>
    <row r="179">
      <c r="A179" s="1" t="s">
        <v>1979</v>
      </c>
      <c r="B179" s="1" t="s">
        <v>4025</v>
      </c>
      <c r="D179" s="1">
        <v>1315000.0</v>
      </c>
      <c r="E179" s="1" t="s">
        <v>4026</v>
      </c>
    </row>
    <row r="180">
      <c r="A180" s="1" t="s">
        <v>4027</v>
      </c>
      <c r="B180" s="1" t="s">
        <v>4028</v>
      </c>
      <c r="C180" s="1">
        <v>8000000.0</v>
      </c>
    </row>
    <row r="181">
      <c r="A181" s="1" t="s">
        <v>1983</v>
      </c>
      <c r="B181" s="1" t="s">
        <v>4029</v>
      </c>
      <c r="C181" s="1">
        <v>1.0E7</v>
      </c>
    </row>
    <row r="182">
      <c r="A182" s="1" t="s">
        <v>4030</v>
      </c>
      <c r="B182" s="69" t="s">
        <v>4031</v>
      </c>
      <c r="D182" s="1">
        <v>660000.0</v>
      </c>
      <c r="E182" s="1" t="s">
        <v>4032</v>
      </c>
    </row>
    <row r="183">
      <c r="A183" s="1" t="s">
        <v>1988</v>
      </c>
      <c r="B183" s="3" t="s">
        <v>1137</v>
      </c>
      <c r="D183" s="1">
        <v>82700.0</v>
      </c>
    </row>
    <row r="184">
      <c r="A184" s="1" t="s">
        <v>1990</v>
      </c>
      <c r="B184" s="1" t="s">
        <v>267</v>
      </c>
      <c r="D184" s="1">
        <v>1045000.0</v>
      </c>
      <c r="E184" s="1" t="s">
        <v>3983</v>
      </c>
    </row>
    <row r="185">
      <c r="A185" s="1" t="s">
        <v>1988</v>
      </c>
      <c r="B185" s="1" t="s">
        <v>3908</v>
      </c>
      <c r="D185" s="1">
        <v>1047320.0</v>
      </c>
      <c r="E185" s="1" t="s">
        <v>4033</v>
      </c>
    </row>
    <row r="186">
      <c r="A186" s="1" t="s">
        <v>1991</v>
      </c>
      <c r="B186" s="1" t="s">
        <v>3985</v>
      </c>
      <c r="D186" s="1">
        <v>430000.0</v>
      </c>
    </row>
    <row r="187">
      <c r="B187" s="1" t="s">
        <v>3947</v>
      </c>
      <c r="D187" s="1">
        <v>110000.0</v>
      </c>
      <c r="E187" s="1" t="s">
        <v>4010</v>
      </c>
    </row>
    <row r="188">
      <c r="B188" s="1" t="s">
        <v>3964</v>
      </c>
      <c r="D188" s="1">
        <v>90000.0</v>
      </c>
    </row>
    <row r="189">
      <c r="B189" s="1" t="s">
        <v>648</v>
      </c>
      <c r="D189" s="1">
        <v>110000.0</v>
      </c>
    </row>
    <row r="190">
      <c r="A190" s="1" t="s">
        <v>4034</v>
      </c>
      <c r="B190" s="1" t="s">
        <v>3988</v>
      </c>
      <c r="C190" s="1">
        <v>1820334.0</v>
      </c>
    </row>
    <row r="191">
      <c r="A191" s="1" t="s">
        <v>1991</v>
      </c>
      <c r="B191" s="1" t="s">
        <v>4035</v>
      </c>
      <c r="D191" s="1">
        <v>1403503.0</v>
      </c>
      <c r="E191" s="1" t="s">
        <v>4036</v>
      </c>
    </row>
    <row r="192">
      <c r="A192" s="1" t="s">
        <v>1994</v>
      </c>
      <c r="B192" s="1" t="s">
        <v>3875</v>
      </c>
      <c r="C192" s="1">
        <v>1903000.0</v>
      </c>
    </row>
    <row r="193">
      <c r="B193" s="1" t="s">
        <v>3918</v>
      </c>
      <c r="C193" s="1">
        <v>47820.0</v>
      </c>
    </row>
    <row r="194">
      <c r="B194" s="1" t="s">
        <v>4037</v>
      </c>
      <c r="C194" s="1">
        <v>2766956.0</v>
      </c>
    </row>
    <row r="195">
      <c r="A195" s="1" t="s">
        <v>1991</v>
      </c>
      <c r="B195" s="1" t="s">
        <v>3990</v>
      </c>
      <c r="C195" s="1">
        <v>2040356.0</v>
      </c>
    </row>
    <row r="196">
      <c r="B196" s="1" t="s">
        <v>3876</v>
      </c>
      <c r="C196" s="1">
        <v>2420000.0</v>
      </c>
    </row>
    <row r="197">
      <c r="B197" s="1" t="s">
        <v>3919</v>
      </c>
      <c r="C197" s="1">
        <v>101554.0</v>
      </c>
    </row>
    <row r="198">
      <c r="B198" s="1" t="s">
        <v>3994</v>
      </c>
      <c r="C198" s="1">
        <v>2704985.0</v>
      </c>
    </row>
    <row r="199">
      <c r="A199" s="1"/>
      <c r="B199" s="1" t="s">
        <v>3984</v>
      </c>
      <c r="C199" s="1">
        <v>4037218.0</v>
      </c>
    </row>
    <row r="200">
      <c r="A200" s="1" t="s">
        <v>4038</v>
      </c>
      <c r="B200" s="1" t="s">
        <v>4039</v>
      </c>
      <c r="C200" s="1">
        <v>484000.0</v>
      </c>
    </row>
    <row r="201">
      <c r="A201" s="1" t="s">
        <v>1985</v>
      </c>
      <c r="B201" s="1" t="s">
        <v>4040</v>
      </c>
      <c r="C201" s="1">
        <v>1760000.0</v>
      </c>
    </row>
    <row r="202">
      <c r="A202" s="1" t="s">
        <v>4041</v>
      </c>
      <c r="B202" s="1" t="s">
        <v>3965</v>
      </c>
      <c r="C202" s="1">
        <v>2176969.0</v>
      </c>
    </row>
    <row r="203">
      <c r="B203" s="1" t="s">
        <v>4042</v>
      </c>
      <c r="C203" s="1">
        <v>113759.0</v>
      </c>
    </row>
    <row r="204">
      <c r="A204" s="1" t="s">
        <v>4043</v>
      </c>
      <c r="B204" s="1" t="s">
        <v>4035</v>
      </c>
      <c r="D204" s="1">
        <v>1698720.0</v>
      </c>
      <c r="E204" s="1" t="s">
        <v>4036</v>
      </c>
    </row>
    <row r="205">
      <c r="A205" s="1" t="s">
        <v>1996</v>
      </c>
      <c r="B205" s="1" t="s">
        <v>4044</v>
      </c>
      <c r="D205" s="1">
        <v>5610000.0</v>
      </c>
      <c r="E205" s="1" t="s">
        <v>4045</v>
      </c>
    </row>
    <row r="206">
      <c r="A206" s="1" t="s">
        <v>2006</v>
      </c>
      <c r="B206" s="3" t="s">
        <v>1137</v>
      </c>
      <c r="D206" s="1">
        <v>76120.0</v>
      </c>
    </row>
    <row r="207">
      <c r="B207" s="1" t="s">
        <v>267</v>
      </c>
      <c r="D207" s="1">
        <v>935000.0</v>
      </c>
      <c r="E207" s="1" t="s">
        <v>4046</v>
      </c>
    </row>
    <row r="208">
      <c r="B208" s="1" t="s">
        <v>3908</v>
      </c>
      <c r="D208" s="1">
        <v>940790.0</v>
      </c>
    </row>
    <row r="209">
      <c r="B209" s="1" t="s">
        <v>4047</v>
      </c>
      <c r="D209" s="1">
        <v>346930.0</v>
      </c>
    </row>
    <row r="210">
      <c r="A210" s="1" t="s">
        <v>2007</v>
      </c>
      <c r="B210" s="1" t="s">
        <v>3985</v>
      </c>
      <c r="D210" s="1">
        <v>430000.0</v>
      </c>
    </row>
    <row r="211">
      <c r="B211" s="1" t="s">
        <v>3947</v>
      </c>
      <c r="D211" s="1">
        <v>110000.0</v>
      </c>
      <c r="E211" s="1" t="s">
        <v>4010</v>
      </c>
    </row>
    <row r="212">
      <c r="B212" s="1" t="s">
        <v>3964</v>
      </c>
      <c r="D212" s="1">
        <v>90000.0</v>
      </c>
    </row>
    <row r="213">
      <c r="B213" s="1" t="s">
        <v>648</v>
      </c>
      <c r="D213" s="1">
        <v>110000.0</v>
      </c>
    </row>
    <row r="214">
      <c r="B214" s="1" t="s">
        <v>4048</v>
      </c>
      <c r="C214" s="1">
        <v>1950269.0</v>
      </c>
    </row>
    <row r="215">
      <c r="A215" s="1" t="s">
        <v>4049</v>
      </c>
      <c r="B215" s="1" t="s">
        <v>3875</v>
      </c>
      <c r="C215" s="1">
        <v>1903000.0</v>
      </c>
    </row>
    <row r="216">
      <c r="B216" s="1" t="s">
        <v>3918</v>
      </c>
      <c r="C216" s="1">
        <v>36560.0</v>
      </c>
    </row>
    <row r="217">
      <c r="B217" s="1" t="s">
        <v>3935</v>
      </c>
      <c r="C217" s="1">
        <v>12940.0</v>
      </c>
    </row>
    <row r="218">
      <c r="A218" s="1" t="s">
        <v>4050</v>
      </c>
      <c r="B218" s="1" t="s">
        <v>4051</v>
      </c>
      <c r="C218" s="1">
        <v>2779451.0</v>
      </c>
    </row>
    <row r="219">
      <c r="A219" s="1" t="s">
        <v>4052</v>
      </c>
      <c r="B219" s="1" t="s">
        <v>4053</v>
      </c>
      <c r="C219" s="1">
        <v>1494402.0</v>
      </c>
    </row>
    <row r="220">
      <c r="A220" s="1" t="s">
        <v>4043</v>
      </c>
      <c r="B220" s="1" t="s">
        <v>4039</v>
      </c>
      <c r="C220" s="1">
        <v>1348220.0</v>
      </c>
    </row>
    <row r="221">
      <c r="A221" s="1" t="s">
        <v>2007</v>
      </c>
      <c r="B221" s="1" t="s">
        <v>4054</v>
      </c>
      <c r="C221" s="1">
        <v>4028795.0</v>
      </c>
    </row>
    <row r="222">
      <c r="B222" s="1" t="s">
        <v>4055</v>
      </c>
      <c r="C222" s="1">
        <v>2684528.0</v>
      </c>
    </row>
    <row r="223">
      <c r="B223" s="1" t="s">
        <v>3876</v>
      </c>
      <c r="C223" s="1">
        <v>2420000.0</v>
      </c>
    </row>
    <row r="224">
      <c r="B224" s="1" t="s">
        <v>3919</v>
      </c>
      <c r="C224" s="1">
        <v>75562.0</v>
      </c>
    </row>
    <row r="225">
      <c r="B225" s="1" t="s">
        <v>3934</v>
      </c>
      <c r="C225" s="1">
        <v>27760.0</v>
      </c>
    </row>
    <row r="226">
      <c r="B226" s="1" t="s">
        <v>4016</v>
      </c>
      <c r="C226" s="1">
        <v>2161843.0</v>
      </c>
    </row>
    <row r="227">
      <c r="B227" s="1" t="s">
        <v>4017</v>
      </c>
      <c r="C227" s="1">
        <v>2013236.0</v>
      </c>
    </row>
    <row r="228">
      <c r="A228" s="1" t="s">
        <v>4056</v>
      </c>
      <c r="B228" s="1" t="s">
        <v>4057</v>
      </c>
      <c r="C228" s="1">
        <v>1760000.0</v>
      </c>
    </row>
    <row r="229">
      <c r="A229" s="1" t="s">
        <v>1998</v>
      </c>
      <c r="B229" s="1" t="s">
        <v>4058</v>
      </c>
      <c r="C229" s="1">
        <v>89155.0</v>
      </c>
    </row>
    <row r="230">
      <c r="B230" s="1" t="s">
        <v>4059</v>
      </c>
      <c r="C230" s="1">
        <v>49983.0</v>
      </c>
    </row>
    <row r="231">
      <c r="A231" s="1" t="s">
        <v>4060</v>
      </c>
      <c r="B231" s="3" t="s">
        <v>1137</v>
      </c>
      <c r="D231" s="1">
        <v>81770.0</v>
      </c>
      <c r="E231" s="1" t="s">
        <v>4061</v>
      </c>
    </row>
    <row r="232">
      <c r="A232" s="1" t="s">
        <v>4060</v>
      </c>
      <c r="B232" s="1" t="s">
        <v>267</v>
      </c>
      <c r="D232" s="1">
        <v>1100000.0</v>
      </c>
      <c r="E232" s="1" t="s">
        <v>4046</v>
      </c>
    </row>
    <row r="233">
      <c r="A233" s="1" t="s">
        <v>4060</v>
      </c>
      <c r="B233" s="1" t="s">
        <v>3908</v>
      </c>
      <c r="D233" s="1">
        <v>1103970.0</v>
      </c>
      <c r="E233" s="1" t="s">
        <v>4062</v>
      </c>
    </row>
    <row r="234">
      <c r="A234" s="1" t="s">
        <v>2016</v>
      </c>
      <c r="B234" s="1" t="s">
        <v>3985</v>
      </c>
      <c r="D234" s="1">
        <v>430000.0</v>
      </c>
    </row>
    <row r="235">
      <c r="B235" s="1" t="s">
        <v>4035</v>
      </c>
      <c r="D235" s="1">
        <v>1698720.0</v>
      </c>
      <c r="E235" s="1" t="s">
        <v>4036</v>
      </c>
    </row>
    <row r="236">
      <c r="B236" s="1" t="s">
        <v>3947</v>
      </c>
      <c r="D236" s="1">
        <v>110000.0</v>
      </c>
      <c r="E236" s="1" t="s">
        <v>4010</v>
      </c>
    </row>
    <row r="237">
      <c r="B237" s="1" t="s">
        <v>3964</v>
      </c>
      <c r="D237" s="1">
        <v>90000.0</v>
      </c>
    </row>
    <row r="238">
      <c r="B238" s="1" t="s">
        <v>648</v>
      </c>
      <c r="D238" s="1">
        <v>110000.0</v>
      </c>
    </row>
    <row r="239">
      <c r="A239" s="1" t="s">
        <v>2013</v>
      </c>
      <c r="B239" s="1" t="s">
        <v>4063</v>
      </c>
      <c r="C239" s="1">
        <v>1000000.0</v>
      </c>
    </row>
    <row r="240">
      <c r="A240" s="1" t="s">
        <v>2017</v>
      </c>
      <c r="B240" s="1" t="s">
        <v>4064</v>
      </c>
      <c r="C240" s="1">
        <v>9000000.0</v>
      </c>
    </row>
    <row r="241">
      <c r="B241" s="1" t="s">
        <v>4065</v>
      </c>
      <c r="C241" s="1">
        <v>88000.0</v>
      </c>
    </row>
    <row r="242">
      <c r="B242" s="1" t="s">
        <v>4066</v>
      </c>
      <c r="D242">
        <f>10000000-9776061</f>
        <v>223939</v>
      </c>
      <c r="E242" s="1" t="s">
        <v>4067</v>
      </c>
    </row>
    <row r="243">
      <c r="B243" s="1" t="s">
        <v>4068</v>
      </c>
      <c r="D243" s="1">
        <v>300000.0</v>
      </c>
      <c r="E243" s="1" t="s">
        <v>4069</v>
      </c>
    </row>
    <row r="244">
      <c r="B244" s="69" t="s">
        <v>4070</v>
      </c>
      <c r="D244" s="1">
        <v>1045000.0</v>
      </c>
      <c r="E244" s="1" t="s">
        <v>4032</v>
      </c>
    </row>
    <row r="245">
      <c r="A245" s="1" t="s">
        <v>4071</v>
      </c>
      <c r="B245" s="1" t="s">
        <v>4072</v>
      </c>
      <c r="D245" s="1">
        <v>550000.0</v>
      </c>
      <c r="E245" s="1" t="s">
        <v>4073</v>
      </c>
    </row>
    <row r="246">
      <c r="B246" s="1" t="s">
        <v>3875</v>
      </c>
      <c r="C246" s="1">
        <v>1903000.0</v>
      </c>
    </row>
    <row r="247">
      <c r="B247" s="1" t="s">
        <v>3918</v>
      </c>
      <c r="C247" s="1">
        <v>44180.0</v>
      </c>
    </row>
    <row r="248">
      <c r="A248" s="1" t="s">
        <v>2026</v>
      </c>
      <c r="B248" s="1" t="s">
        <v>3988</v>
      </c>
      <c r="C248" s="1">
        <v>1916428.0</v>
      </c>
    </row>
    <row r="249">
      <c r="A249" s="1" t="s">
        <v>4074</v>
      </c>
      <c r="B249" s="1" t="s">
        <v>4037</v>
      </c>
      <c r="C249" s="1">
        <v>2798163.0</v>
      </c>
    </row>
    <row r="250">
      <c r="A250" s="1" t="s">
        <v>2016</v>
      </c>
      <c r="B250" s="1" t="s">
        <v>3984</v>
      </c>
      <c r="C250" s="1">
        <v>3967461.0</v>
      </c>
    </row>
    <row r="251">
      <c r="B251" s="1" t="s">
        <v>3994</v>
      </c>
      <c r="C251" s="1">
        <v>2663462.0</v>
      </c>
    </row>
    <row r="252">
      <c r="B252" s="1" t="s">
        <v>3876</v>
      </c>
      <c r="C252" s="1">
        <v>2420000.0</v>
      </c>
    </row>
    <row r="253">
      <c r="B253" s="1" t="s">
        <v>3919</v>
      </c>
      <c r="C253" s="1">
        <v>112748.0</v>
      </c>
    </row>
    <row r="254">
      <c r="B254" s="1" t="s">
        <v>3965</v>
      </c>
      <c r="C254" s="1">
        <v>2123546.0</v>
      </c>
    </row>
    <row r="255">
      <c r="B255" s="1" t="s">
        <v>4075</v>
      </c>
      <c r="C255" s="1">
        <v>1355826.0</v>
      </c>
    </row>
    <row r="256">
      <c r="B256" s="1" t="s">
        <v>3990</v>
      </c>
      <c r="C256" s="1">
        <v>1984939.0</v>
      </c>
    </row>
    <row r="257">
      <c r="A257" s="1" t="s">
        <v>2030</v>
      </c>
      <c r="B257" s="1" t="s">
        <v>2032</v>
      </c>
      <c r="D257" s="1">
        <v>482900.0</v>
      </c>
    </row>
    <row r="258">
      <c r="B258" s="1" t="s">
        <v>2033</v>
      </c>
      <c r="D258" s="1">
        <v>190630.0</v>
      </c>
    </row>
    <row r="259">
      <c r="A259" s="1" t="s">
        <v>4076</v>
      </c>
      <c r="B259" s="1" t="s">
        <v>3985</v>
      </c>
      <c r="D259" s="1">
        <v>430000.0</v>
      </c>
    </row>
    <row r="260">
      <c r="B260" s="1" t="s">
        <v>4035</v>
      </c>
      <c r="D260" s="1">
        <v>1698720.0</v>
      </c>
      <c r="E260" s="1" t="s">
        <v>4036</v>
      </c>
    </row>
    <row r="261">
      <c r="B261" s="1" t="s">
        <v>3947</v>
      </c>
      <c r="D261" s="1">
        <v>110000.0</v>
      </c>
      <c r="E261" s="1" t="s">
        <v>4010</v>
      </c>
    </row>
    <row r="262">
      <c r="B262" s="1" t="s">
        <v>3964</v>
      </c>
      <c r="D262" s="1">
        <v>90000.0</v>
      </c>
    </row>
    <row r="263">
      <c r="B263" s="1" t="s">
        <v>648</v>
      </c>
      <c r="D263" s="1">
        <v>110000.0</v>
      </c>
    </row>
    <row r="264">
      <c r="B264" s="3" t="s">
        <v>1137</v>
      </c>
      <c r="D264" s="23">
        <v>79420.0</v>
      </c>
      <c r="E264" s="1" t="s">
        <v>4077</v>
      </c>
    </row>
    <row r="265">
      <c r="A265" s="1" t="s">
        <v>4078</v>
      </c>
      <c r="B265" s="1" t="s">
        <v>267</v>
      </c>
      <c r="D265" s="1">
        <v>1045000.0</v>
      </c>
      <c r="E265" s="1" t="s">
        <v>4079</v>
      </c>
    </row>
    <row r="266">
      <c r="B266" s="1" t="s">
        <v>3908</v>
      </c>
      <c r="D266" s="1">
        <v>1591170.0</v>
      </c>
      <c r="E266" s="1" t="s">
        <v>4062</v>
      </c>
    </row>
    <row r="267">
      <c r="B267" s="1" t="s">
        <v>4047</v>
      </c>
      <c r="D267" s="1">
        <v>419660.0</v>
      </c>
      <c r="E267" s="1" t="s">
        <v>4080</v>
      </c>
    </row>
    <row r="268">
      <c r="A268" s="1" t="s">
        <v>2034</v>
      </c>
      <c r="B268" s="1" t="s">
        <v>4081</v>
      </c>
      <c r="C268" s="1">
        <v>93340.0</v>
      </c>
    </row>
    <row r="269">
      <c r="A269" s="1" t="s">
        <v>2038</v>
      </c>
      <c r="B269" s="1" t="s">
        <v>4082</v>
      </c>
      <c r="D269" s="1">
        <v>117000.0</v>
      </c>
      <c r="E269" s="1" t="s">
        <v>4083</v>
      </c>
    </row>
    <row r="270">
      <c r="B270" s="1" t="s">
        <v>4084</v>
      </c>
      <c r="D270" s="1">
        <v>770000.0</v>
      </c>
      <c r="E270" s="1" t="s">
        <v>4085</v>
      </c>
    </row>
    <row r="271">
      <c r="A271" s="1" t="s">
        <v>2036</v>
      </c>
      <c r="B271" s="30" t="s">
        <v>4086</v>
      </c>
      <c r="C271" s="31"/>
      <c r="D271" s="30">
        <v>2353190.0</v>
      </c>
      <c r="E271" s="30" t="s">
        <v>4087</v>
      </c>
    </row>
    <row r="272">
      <c r="A272" s="23" t="s">
        <v>4078</v>
      </c>
      <c r="B272" s="1" t="s">
        <v>3957</v>
      </c>
      <c r="D272" s="1">
        <v>3389360.0</v>
      </c>
      <c r="E272" s="1" t="s">
        <v>4088</v>
      </c>
    </row>
    <row r="273">
      <c r="A273" s="1" t="s">
        <v>4089</v>
      </c>
      <c r="B273" s="1" t="s">
        <v>4090</v>
      </c>
      <c r="D273" s="1">
        <v>543200.0</v>
      </c>
      <c r="E273" s="1" t="s">
        <v>393</v>
      </c>
    </row>
    <row r="274">
      <c r="B274" s="1" t="s">
        <v>4091</v>
      </c>
      <c r="D274" s="1">
        <v>467940.0</v>
      </c>
      <c r="E274" s="1" t="s">
        <v>393</v>
      </c>
    </row>
    <row r="275">
      <c r="B275" s="1" t="s">
        <v>4092</v>
      </c>
      <c r="D275" s="1">
        <v>645960.0</v>
      </c>
      <c r="E275" s="1" t="s">
        <v>393</v>
      </c>
    </row>
    <row r="276">
      <c r="A276" s="1" t="s">
        <v>4093</v>
      </c>
      <c r="B276" s="1" t="s">
        <v>3875</v>
      </c>
      <c r="C276" s="1">
        <v>1903000.0</v>
      </c>
    </row>
    <row r="277">
      <c r="B277" s="1" t="s">
        <v>3918</v>
      </c>
      <c r="C277" s="1">
        <v>80400.0</v>
      </c>
    </row>
    <row r="278">
      <c r="B278" s="1" t="s">
        <v>3935</v>
      </c>
      <c r="C278" s="1">
        <v>15650.0</v>
      </c>
    </row>
    <row r="279">
      <c r="A279" s="1" t="s">
        <v>4089</v>
      </c>
      <c r="B279" s="1" t="s">
        <v>4048</v>
      </c>
      <c r="C279" s="1">
        <v>1976373.0</v>
      </c>
    </row>
    <row r="280">
      <c r="A280" s="1" t="s">
        <v>4094</v>
      </c>
      <c r="B280" s="1" t="s">
        <v>4016</v>
      </c>
      <c r="C280" s="1">
        <v>2179031.0</v>
      </c>
    </row>
    <row r="281">
      <c r="B281" s="1" t="s">
        <v>4051</v>
      </c>
      <c r="C281" s="1">
        <v>2951262.0</v>
      </c>
    </row>
    <row r="282">
      <c r="A282" s="1" t="s">
        <v>4095</v>
      </c>
      <c r="B282" s="1" t="s">
        <v>4039</v>
      </c>
      <c r="C282" s="1">
        <v>1400000.0</v>
      </c>
      <c r="E282" s="1" t="s">
        <v>4096</v>
      </c>
    </row>
    <row r="283">
      <c r="A283" s="1" t="s">
        <v>4097</v>
      </c>
      <c r="B283" s="1" t="s">
        <v>4098</v>
      </c>
      <c r="C283" s="1">
        <v>2009013.0</v>
      </c>
    </row>
    <row r="284">
      <c r="A284" s="1" t="s">
        <v>4076</v>
      </c>
      <c r="B284" s="1" t="s">
        <v>4054</v>
      </c>
      <c r="C284" s="1">
        <v>4098996.0</v>
      </c>
    </row>
    <row r="285">
      <c r="B285" s="1" t="s">
        <v>3876</v>
      </c>
      <c r="C285" s="1">
        <v>2420000.0</v>
      </c>
    </row>
    <row r="286">
      <c r="B286" s="1" t="s">
        <v>3919</v>
      </c>
      <c r="C286" s="1">
        <v>179429.0</v>
      </c>
    </row>
    <row r="287">
      <c r="B287" s="1" t="s">
        <v>3934</v>
      </c>
      <c r="C287" s="1">
        <v>33579.0</v>
      </c>
    </row>
    <row r="288">
      <c r="B288" s="1" t="s">
        <v>4017</v>
      </c>
      <c r="C288" s="1">
        <v>2073061.0</v>
      </c>
    </row>
    <row r="289">
      <c r="A289" s="1" t="s">
        <v>2037</v>
      </c>
      <c r="B289" s="1" t="s">
        <v>4055</v>
      </c>
      <c r="C289" s="1">
        <v>2729341.0</v>
      </c>
    </row>
    <row r="290">
      <c r="A290" s="1" t="s">
        <v>2060</v>
      </c>
      <c r="B290" s="1" t="s">
        <v>3985</v>
      </c>
      <c r="D290" s="1">
        <v>430000.0</v>
      </c>
    </row>
    <row r="291">
      <c r="B291" s="1" t="s">
        <v>4035</v>
      </c>
      <c r="D291" s="1">
        <v>1698720.0</v>
      </c>
      <c r="E291" s="1" t="s">
        <v>4036</v>
      </c>
    </row>
    <row r="292">
      <c r="B292" s="1" t="s">
        <v>3947</v>
      </c>
      <c r="D292" s="1">
        <v>110000.0</v>
      </c>
      <c r="E292" s="1" t="s">
        <v>4010</v>
      </c>
    </row>
    <row r="293">
      <c r="B293" s="1" t="s">
        <v>3964</v>
      </c>
      <c r="D293" s="1">
        <v>90000.0</v>
      </c>
    </row>
    <row r="294">
      <c r="B294" s="1" t="s">
        <v>648</v>
      </c>
      <c r="D294" s="1">
        <v>110000.0</v>
      </c>
    </row>
    <row r="295">
      <c r="B295" s="3" t="s">
        <v>1137</v>
      </c>
      <c r="D295" s="75"/>
      <c r="E295" s="1" t="s">
        <v>4077</v>
      </c>
    </row>
    <row r="296">
      <c r="A296" s="1" t="s">
        <v>2059</v>
      </c>
      <c r="B296" s="1" t="s">
        <v>267</v>
      </c>
      <c r="D296" s="1">
        <v>1155000.0</v>
      </c>
      <c r="E296" s="1" t="s">
        <v>4099</v>
      </c>
    </row>
    <row r="297">
      <c r="B297" s="1" t="s">
        <v>3908</v>
      </c>
      <c r="D297" s="1">
        <v>1930570.0</v>
      </c>
      <c r="E297" s="1" t="s">
        <v>4062</v>
      </c>
    </row>
    <row r="298">
      <c r="B298" s="1" t="s">
        <v>69</v>
      </c>
      <c r="D298" s="1">
        <v>62500.0</v>
      </c>
      <c r="E298" s="1" t="s">
        <v>275</v>
      </c>
    </row>
    <row r="299">
      <c r="B299" s="1" t="s">
        <v>4100</v>
      </c>
      <c r="D299" s="1">
        <v>4400.0</v>
      </c>
      <c r="E299" s="1" t="s">
        <v>4101</v>
      </c>
    </row>
    <row r="300">
      <c r="A300" s="1" t="s">
        <v>4102</v>
      </c>
      <c r="B300" s="1" t="s">
        <v>3875</v>
      </c>
      <c r="C300" s="1">
        <v>1903000.0</v>
      </c>
    </row>
    <row r="301">
      <c r="B301" s="1" t="s">
        <v>3918</v>
      </c>
      <c r="C301" s="1">
        <v>94170.0</v>
      </c>
    </row>
    <row r="302">
      <c r="B302" s="1" t="s">
        <v>4103</v>
      </c>
      <c r="C302" s="1">
        <v>1714619.0</v>
      </c>
    </row>
    <row r="303">
      <c r="A303" s="1" t="s">
        <v>4104</v>
      </c>
      <c r="B303" s="1" t="s">
        <v>3988</v>
      </c>
      <c r="C303" s="1">
        <v>1938350.0</v>
      </c>
    </row>
    <row r="304">
      <c r="A304" s="1" t="s">
        <v>4105</v>
      </c>
      <c r="B304" s="1" t="s">
        <v>4037</v>
      </c>
      <c r="C304" s="1">
        <v>2993772.0</v>
      </c>
    </row>
    <row r="305">
      <c r="A305" s="1" t="s">
        <v>2060</v>
      </c>
      <c r="B305" s="1" t="s">
        <v>3984</v>
      </c>
      <c r="C305" s="1">
        <v>4023855.0</v>
      </c>
    </row>
    <row r="306">
      <c r="B306" s="1" t="s">
        <v>3965</v>
      </c>
      <c r="C306" s="1">
        <v>2159427.0</v>
      </c>
    </row>
    <row r="307">
      <c r="B307" s="1" t="s">
        <v>4075</v>
      </c>
      <c r="C307" s="1">
        <v>1391260.0</v>
      </c>
      <c r="E307" s="1" t="s">
        <v>4106</v>
      </c>
    </row>
    <row r="308">
      <c r="B308" s="1" t="s">
        <v>3990</v>
      </c>
      <c r="C308" s="1">
        <v>2151672.0</v>
      </c>
    </row>
    <row r="309">
      <c r="B309" s="1" t="s">
        <v>3876</v>
      </c>
      <c r="C309" s="1">
        <v>2474644.0</v>
      </c>
    </row>
    <row r="310">
      <c r="B310" s="1" t="s">
        <v>3919</v>
      </c>
      <c r="C310" s="1">
        <v>202490.0</v>
      </c>
    </row>
    <row r="311">
      <c r="B311" s="1" t="s">
        <v>3994</v>
      </c>
      <c r="C311" s="1">
        <v>2745008.0</v>
      </c>
    </row>
    <row r="312">
      <c r="B312" s="1" t="s">
        <v>4107</v>
      </c>
      <c r="C312" s="1">
        <v>2002584.0</v>
      </c>
    </row>
    <row r="313">
      <c r="A313" s="1" t="s">
        <v>2067</v>
      </c>
      <c r="B313" s="1" t="s">
        <v>4108</v>
      </c>
      <c r="C313" s="1"/>
      <c r="D313" s="1">
        <v>362170.0</v>
      </c>
      <c r="E313" s="1" t="s">
        <v>4109</v>
      </c>
    </row>
    <row r="314">
      <c r="B314" s="1" t="s">
        <v>4110</v>
      </c>
      <c r="C314" s="1">
        <v>1507303.0</v>
      </c>
    </row>
    <row r="315">
      <c r="B315" s="1" t="s">
        <v>4111</v>
      </c>
      <c r="C315" s="1">
        <v>1542292.0</v>
      </c>
    </row>
    <row r="316">
      <c r="B316" s="1" t="s">
        <v>4112</v>
      </c>
      <c r="C316" s="1">
        <v>1673479.0</v>
      </c>
    </row>
    <row r="317">
      <c r="A317" s="1" t="s">
        <v>2070</v>
      </c>
      <c r="B317" s="1" t="s">
        <v>4035</v>
      </c>
      <c r="D317" s="1">
        <v>1698720.0</v>
      </c>
      <c r="E317" s="1" t="s">
        <v>4036</v>
      </c>
    </row>
    <row r="318">
      <c r="B318" s="1" t="s">
        <v>3985</v>
      </c>
      <c r="D318" s="1">
        <v>530000.0</v>
      </c>
      <c r="E318" s="1" t="s">
        <v>4113</v>
      </c>
    </row>
    <row r="319">
      <c r="B319" s="1" t="s">
        <v>3947</v>
      </c>
      <c r="D319" s="1">
        <v>110000.0</v>
      </c>
      <c r="E319" s="1" t="s">
        <v>4010</v>
      </c>
    </row>
    <row r="320">
      <c r="B320" s="1" t="s">
        <v>3964</v>
      </c>
      <c r="D320" s="1">
        <v>90000.0</v>
      </c>
    </row>
    <row r="321">
      <c r="B321" s="1" t="s">
        <v>648</v>
      </c>
      <c r="D321" s="1">
        <v>110000.0</v>
      </c>
    </row>
    <row r="322">
      <c r="B322" s="3" t="s">
        <v>1137</v>
      </c>
      <c r="D322" s="1">
        <v>77660.0</v>
      </c>
      <c r="E322" s="1" t="s">
        <v>4077</v>
      </c>
    </row>
    <row r="323">
      <c r="A323" s="1" t="s">
        <v>2071</v>
      </c>
      <c r="B323" s="1" t="s">
        <v>267</v>
      </c>
      <c r="D323" s="1">
        <v>1155000.0</v>
      </c>
      <c r="E323" s="1" t="s">
        <v>4099</v>
      </c>
    </row>
    <row r="324">
      <c r="A324" s="1" t="s">
        <v>4114</v>
      </c>
      <c r="B324" s="1" t="s">
        <v>3908</v>
      </c>
      <c r="D324" s="1">
        <v>1433520.0</v>
      </c>
      <c r="E324" s="1" t="s">
        <v>4062</v>
      </c>
    </row>
    <row r="325">
      <c r="A325" s="1"/>
      <c r="B325" s="1" t="s">
        <v>4047</v>
      </c>
      <c r="D325" s="1">
        <v>400700.0</v>
      </c>
      <c r="E325" s="1" t="s">
        <v>4080</v>
      </c>
    </row>
    <row r="326">
      <c r="A326" s="1" t="s">
        <v>4115</v>
      </c>
      <c r="B326" s="1" t="s">
        <v>4116</v>
      </c>
      <c r="D326" s="1">
        <v>291700.0</v>
      </c>
      <c r="E326" s="1" t="s">
        <v>4117</v>
      </c>
    </row>
    <row r="327">
      <c r="B327" s="30" t="s">
        <v>4118</v>
      </c>
      <c r="C327" s="31"/>
      <c r="D327" s="30">
        <v>1.053517E7</v>
      </c>
      <c r="E327" s="30" t="s">
        <v>4119</v>
      </c>
    </row>
    <row r="328">
      <c r="A328" s="1" t="s">
        <v>4120</v>
      </c>
      <c r="B328" s="1" t="s">
        <v>4121</v>
      </c>
      <c r="D328">
        <f t="shared" ref="D328:D329" si="3">2325000*1.1</f>
        <v>2557500</v>
      </c>
      <c r="E328" s="1" t="s">
        <v>4122</v>
      </c>
    </row>
    <row r="329">
      <c r="A329" s="1" t="s">
        <v>2069</v>
      </c>
      <c r="B329" s="1" t="s">
        <v>4121</v>
      </c>
      <c r="D329">
        <f t="shared" si="3"/>
        <v>2557500</v>
      </c>
      <c r="E329" s="1" t="s">
        <v>4123</v>
      </c>
    </row>
    <row r="330">
      <c r="A330" s="1" t="s">
        <v>4114</v>
      </c>
      <c r="B330" s="1" t="s">
        <v>4016</v>
      </c>
      <c r="C330" s="1">
        <v>2159250.0</v>
      </c>
    </row>
    <row r="331">
      <c r="B331" s="1" t="s">
        <v>4124</v>
      </c>
      <c r="C331" s="1">
        <v>1370962.0</v>
      </c>
    </row>
    <row r="332">
      <c r="A332" s="1" t="s">
        <v>4125</v>
      </c>
      <c r="B332" s="1" t="s">
        <v>4048</v>
      </c>
      <c r="C332" s="1">
        <v>1965377.0</v>
      </c>
    </row>
    <row r="333">
      <c r="A333" s="1" t="s">
        <v>2080</v>
      </c>
      <c r="B333" s="1" t="s">
        <v>2081</v>
      </c>
      <c r="C333" s="1"/>
      <c r="D333" s="1">
        <v>499180.0</v>
      </c>
      <c r="E333" s="1" t="s">
        <v>4109</v>
      </c>
    </row>
    <row r="334">
      <c r="B334" s="1" t="s">
        <v>4098</v>
      </c>
      <c r="C334" s="1">
        <v>2020059.0</v>
      </c>
    </row>
    <row r="335">
      <c r="A335" s="1" t="s">
        <v>2070</v>
      </c>
      <c r="B335" s="1" t="s">
        <v>4054</v>
      </c>
      <c r="C335" s="1">
        <v>4078881.0</v>
      </c>
    </row>
    <row r="336">
      <c r="B336" s="1" t="s">
        <v>4055</v>
      </c>
      <c r="C336" s="1">
        <v>2721923.0</v>
      </c>
    </row>
    <row r="337">
      <c r="B337" s="1" t="s">
        <v>3875</v>
      </c>
      <c r="C337" s="1">
        <v>1903000.0</v>
      </c>
    </row>
    <row r="338">
      <c r="B338" s="1" t="s">
        <v>3918</v>
      </c>
      <c r="C338" s="1">
        <v>58690.0</v>
      </c>
    </row>
    <row r="339">
      <c r="B339" s="1" t="s">
        <v>3935</v>
      </c>
      <c r="C339" s="1">
        <v>14940.0</v>
      </c>
    </row>
    <row r="340">
      <c r="B340" s="1" t="s">
        <v>4017</v>
      </c>
      <c r="C340" s="1">
        <v>2129282.0</v>
      </c>
    </row>
    <row r="341">
      <c r="B341" s="1" t="s">
        <v>4051</v>
      </c>
      <c r="C341" s="1">
        <v>2942822.0</v>
      </c>
    </row>
    <row r="342">
      <c r="B342" s="1" t="s">
        <v>3876</v>
      </c>
      <c r="C342" s="1">
        <v>2497000.0</v>
      </c>
    </row>
    <row r="343">
      <c r="B343" s="1" t="s">
        <v>3919</v>
      </c>
      <c r="C343" s="1">
        <v>132928.0</v>
      </c>
    </row>
    <row r="344">
      <c r="B344" s="1" t="s">
        <v>3934</v>
      </c>
      <c r="C344" s="1">
        <v>32062.0</v>
      </c>
    </row>
    <row r="345">
      <c r="A345" s="1" t="s">
        <v>2090</v>
      </c>
      <c r="B345" s="1" t="s">
        <v>4035</v>
      </c>
      <c r="D345" s="1">
        <v>1698720.0</v>
      </c>
      <c r="E345" s="1" t="s">
        <v>4036</v>
      </c>
    </row>
    <row r="346">
      <c r="B346" s="1" t="s">
        <v>3985</v>
      </c>
      <c r="D346" s="1">
        <v>430000.0</v>
      </c>
      <c r="E346" s="1"/>
    </row>
    <row r="347">
      <c r="B347" s="1" t="s">
        <v>3947</v>
      </c>
      <c r="D347" s="1">
        <v>110000.0</v>
      </c>
      <c r="E347" s="1" t="s">
        <v>4010</v>
      </c>
    </row>
    <row r="348">
      <c r="B348" s="1" t="s">
        <v>3964</v>
      </c>
      <c r="D348" s="1">
        <v>90000.0</v>
      </c>
    </row>
    <row r="349">
      <c r="B349" s="1" t="s">
        <v>648</v>
      </c>
      <c r="D349" s="1">
        <v>110000.0</v>
      </c>
    </row>
    <row r="350">
      <c r="B350" s="3" t="s">
        <v>1137</v>
      </c>
      <c r="D350" s="1">
        <v>83500.0</v>
      </c>
      <c r="E350" s="1" t="s">
        <v>4077</v>
      </c>
    </row>
    <row r="351">
      <c r="A351" s="1" t="s">
        <v>2089</v>
      </c>
      <c r="B351" s="1" t="s">
        <v>267</v>
      </c>
      <c r="D351" s="1">
        <v>1155000.0</v>
      </c>
      <c r="E351" s="1" t="s">
        <v>4099</v>
      </c>
    </row>
    <row r="352">
      <c r="A352" s="1" t="s">
        <v>2089</v>
      </c>
      <c r="B352" s="1" t="s">
        <v>3908</v>
      </c>
      <c r="D352" s="1">
        <v>960280.0</v>
      </c>
      <c r="E352" s="1" t="s">
        <v>4062</v>
      </c>
    </row>
    <row r="353">
      <c r="A353" s="1" t="s">
        <v>2091</v>
      </c>
      <c r="B353" s="1" t="s">
        <v>4126</v>
      </c>
      <c r="D353" s="1">
        <v>589710.0</v>
      </c>
      <c r="E353" s="1" t="s">
        <v>4127</v>
      </c>
    </row>
    <row r="354">
      <c r="B354" s="1" t="s">
        <v>4128</v>
      </c>
      <c r="D354" s="1">
        <v>2352000.0</v>
      </c>
      <c r="E354" s="1" t="s">
        <v>4129</v>
      </c>
    </row>
    <row r="355">
      <c r="B355" s="1" t="s">
        <v>3988</v>
      </c>
      <c r="C355" s="1">
        <v>1904378.0</v>
      </c>
    </row>
    <row r="356">
      <c r="B356" s="1" t="s">
        <v>4075</v>
      </c>
      <c r="C356" s="1">
        <v>1348349.0</v>
      </c>
    </row>
    <row r="357">
      <c r="A357" s="1" t="s">
        <v>4130</v>
      </c>
      <c r="B357" s="1" t="s">
        <v>3965</v>
      </c>
      <c r="C357" s="1">
        <v>2116518.0</v>
      </c>
    </row>
    <row r="358">
      <c r="A358" s="1"/>
      <c r="B358" s="1" t="s">
        <v>3875</v>
      </c>
      <c r="C358" s="1">
        <v>1903000.0</v>
      </c>
    </row>
    <row r="359">
      <c r="A359" s="1"/>
      <c r="B359" s="1" t="s">
        <v>3918</v>
      </c>
      <c r="C359" s="1">
        <v>55050.0</v>
      </c>
    </row>
    <row r="360">
      <c r="A360" s="1" t="s">
        <v>2090</v>
      </c>
      <c r="B360" s="1" t="s">
        <v>3984</v>
      </c>
      <c r="C360" s="1">
        <v>3975568.0</v>
      </c>
    </row>
    <row r="361">
      <c r="B361" s="1" t="s">
        <v>3876</v>
      </c>
      <c r="C361" s="1">
        <v>2479000.0</v>
      </c>
    </row>
    <row r="362">
      <c r="B362" s="1" t="s">
        <v>3919</v>
      </c>
      <c r="C362" s="1">
        <v>111373.0</v>
      </c>
    </row>
    <row r="363">
      <c r="B363" s="1" t="s">
        <v>3994</v>
      </c>
      <c r="C363" s="1">
        <v>2664306.0</v>
      </c>
    </row>
    <row r="364">
      <c r="B364" s="1" t="s">
        <v>3990</v>
      </c>
      <c r="C364" s="1">
        <v>2052062.0</v>
      </c>
    </row>
    <row r="365">
      <c r="B365" s="1" t="s">
        <v>4037</v>
      </c>
      <c r="C365" s="1">
        <v>2815703.0</v>
      </c>
    </row>
    <row r="366">
      <c r="B366" s="1" t="s">
        <v>4107</v>
      </c>
      <c r="C366" s="1">
        <v>1993850.0</v>
      </c>
    </row>
    <row r="367">
      <c r="A367" s="1" t="s">
        <v>2111</v>
      </c>
      <c r="B367" s="1" t="s">
        <v>4035</v>
      </c>
      <c r="D367" s="1">
        <v>1698720.0</v>
      </c>
      <c r="E367" s="1" t="s">
        <v>4036</v>
      </c>
    </row>
    <row r="368">
      <c r="B368" s="1" t="s">
        <v>3985</v>
      </c>
      <c r="D368" s="1">
        <v>430000.0</v>
      </c>
      <c r="E368" s="1"/>
    </row>
    <row r="369">
      <c r="B369" s="1" t="s">
        <v>3947</v>
      </c>
      <c r="D369" s="1">
        <v>110000.0</v>
      </c>
      <c r="E369" s="1" t="s">
        <v>4010</v>
      </c>
    </row>
    <row r="370">
      <c r="B370" s="1" t="s">
        <v>3964</v>
      </c>
      <c r="D370" s="1">
        <v>90000.0</v>
      </c>
    </row>
    <row r="371">
      <c r="B371" s="1" t="s">
        <v>648</v>
      </c>
      <c r="D371" s="1">
        <v>110000.0</v>
      </c>
    </row>
    <row r="372">
      <c r="B372" s="3" t="s">
        <v>1137</v>
      </c>
      <c r="D372" s="75">
        <v>76440.0</v>
      </c>
      <c r="E372" s="1" t="s">
        <v>4077</v>
      </c>
    </row>
    <row r="373">
      <c r="A373" s="1" t="s">
        <v>2106</v>
      </c>
      <c r="B373" s="1" t="s">
        <v>4131</v>
      </c>
      <c r="D373" s="1">
        <v>24000.0</v>
      </c>
      <c r="E373" s="1" t="s">
        <v>4132</v>
      </c>
    </row>
    <row r="374">
      <c r="A374" s="1"/>
      <c r="B374" s="1" t="s">
        <v>2107</v>
      </c>
      <c r="C374" s="1"/>
      <c r="D374" s="1">
        <v>499180.0</v>
      </c>
      <c r="E374" s="1" t="s">
        <v>4109</v>
      </c>
    </row>
    <row r="375">
      <c r="A375" s="1" t="s">
        <v>2105</v>
      </c>
      <c r="B375" s="1" t="s">
        <v>267</v>
      </c>
      <c r="D375" s="1">
        <v>1155000.0</v>
      </c>
      <c r="E375" s="1" t="s">
        <v>4099</v>
      </c>
    </row>
    <row r="376">
      <c r="B376" s="1" t="s">
        <v>3908</v>
      </c>
      <c r="D376" s="1">
        <v>989820.0</v>
      </c>
      <c r="E376" s="1" t="s">
        <v>4062</v>
      </c>
    </row>
    <row r="377">
      <c r="B377" s="1" t="s">
        <v>4047</v>
      </c>
      <c r="D377" s="1">
        <v>339080.0</v>
      </c>
      <c r="E377" s="1" t="s">
        <v>4080</v>
      </c>
    </row>
    <row r="378">
      <c r="A378" s="1" t="s">
        <v>4133</v>
      </c>
      <c r="B378" s="1" t="s">
        <v>3875</v>
      </c>
      <c r="C378" s="1">
        <v>1903000.0</v>
      </c>
    </row>
    <row r="379">
      <c r="B379" s="1" t="s">
        <v>3918</v>
      </c>
      <c r="C379" s="1">
        <v>36340.0</v>
      </c>
    </row>
    <row r="380">
      <c r="B380" s="1" t="s">
        <v>3935</v>
      </c>
      <c r="C380" s="1">
        <v>14100.0</v>
      </c>
    </row>
    <row r="381">
      <c r="B381" s="1" t="s">
        <v>4048</v>
      </c>
      <c r="C381" s="1">
        <v>1942943.0</v>
      </c>
    </row>
    <row r="382">
      <c r="A382" s="1" t="s">
        <v>2111</v>
      </c>
      <c r="B382" s="1" t="s">
        <v>4055</v>
      </c>
      <c r="C382" s="1">
        <v>2684350.0</v>
      </c>
    </row>
    <row r="383">
      <c r="B383" s="1" t="s">
        <v>4016</v>
      </c>
      <c r="C383" s="1">
        <v>2174585.0</v>
      </c>
    </row>
    <row r="384">
      <c r="B384" s="1" t="s">
        <v>4017</v>
      </c>
      <c r="C384" s="1">
        <v>2078809.0</v>
      </c>
    </row>
    <row r="385">
      <c r="B385" s="1" t="s">
        <v>4051</v>
      </c>
      <c r="C385" s="1">
        <v>2825587.0</v>
      </c>
    </row>
    <row r="386">
      <c r="B386" s="1" t="s">
        <v>4054</v>
      </c>
      <c r="C386" s="1">
        <v>4064676.0</v>
      </c>
    </row>
    <row r="387">
      <c r="B387" s="1" t="s">
        <v>4124</v>
      </c>
      <c r="C387" s="1">
        <v>1366864.0</v>
      </c>
    </row>
    <row r="388">
      <c r="B388" s="1" t="s">
        <v>3876</v>
      </c>
      <c r="C388" s="1">
        <v>2497000.0</v>
      </c>
    </row>
    <row r="389">
      <c r="B389" s="1" t="s">
        <v>3919</v>
      </c>
      <c r="C389" s="1">
        <v>95184.0</v>
      </c>
    </row>
    <row r="390">
      <c r="B390" s="1" t="s">
        <v>3934</v>
      </c>
      <c r="C390" s="1">
        <v>30245.0</v>
      </c>
    </row>
    <row r="391">
      <c r="A391" s="1" t="s">
        <v>2104</v>
      </c>
      <c r="B391" s="1" t="s">
        <v>4098</v>
      </c>
      <c r="C391" s="1">
        <v>2013718.0</v>
      </c>
    </row>
    <row r="392">
      <c r="B392" s="1" t="s">
        <v>4134</v>
      </c>
      <c r="C392" s="1">
        <v>1760000.0</v>
      </c>
    </row>
    <row r="393">
      <c r="B393" s="1" t="s">
        <v>4135</v>
      </c>
      <c r="C393" s="1">
        <v>1760000.0</v>
      </c>
    </row>
    <row r="394">
      <c r="A394" s="1" t="s">
        <v>2116</v>
      </c>
      <c r="B394" s="1" t="s">
        <v>2118</v>
      </c>
      <c r="C394" s="1"/>
      <c r="D394" s="1">
        <v>498280.0</v>
      </c>
      <c r="E394" s="1" t="s">
        <v>4109</v>
      </c>
    </row>
    <row r="395">
      <c r="A395" s="1" t="s">
        <v>2120</v>
      </c>
      <c r="B395" s="1" t="s">
        <v>4035</v>
      </c>
      <c r="D395" s="1">
        <v>1698720.0</v>
      </c>
      <c r="E395" s="1" t="s">
        <v>4036</v>
      </c>
    </row>
    <row r="396">
      <c r="B396" s="1" t="s">
        <v>3985</v>
      </c>
      <c r="D396" s="1">
        <v>430000.0</v>
      </c>
      <c r="E396" s="1"/>
    </row>
    <row r="397">
      <c r="B397" s="1" t="s">
        <v>3947</v>
      </c>
      <c r="D397" s="1">
        <v>110000.0</v>
      </c>
      <c r="E397" s="1" t="s">
        <v>4010</v>
      </c>
    </row>
    <row r="398">
      <c r="B398" s="1" t="s">
        <v>3964</v>
      </c>
      <c r="D398" s="1">
        <v>90000.0</v>
      </c>
    </row>
    <row r="399">
      <c r="B399" s="1" t="s">
        <v>648</v>
      </c>
      <c r="D399" s="1">
        <v>110000.0</v>
      </c>
    </row>
    <row r="400">
      <c r="B400" s="3" t="s">
        <v>1137</v>
      </c>
      <c r="D400" s="75"/>
      <c r="E400" s="1" t="s">
        <v>4077</v>
      </c>
    </row>
    <row r="401">
      <c r="A401" s="1" t="s">
        <v>2121</v>
      </c>
      <c r="B401" s="1" t="s">
        <v>267</v>
      </c>
      <c r="D401" s="1">
        <v>990000.0</v>
      </c>
      <c r="E401" s="1" t="s">
        <v>4099</v>
      </c>
    </row>
    <row r="402">
      <c r="B402" s="1" t="s">
        <v>3908</v>
      </c>
      <c r="D402" s="1">
        <v>1902940.0</v>
      </c>
      <c r="E402" s="1" t="s">
        <v>4062</v>
      </c>
    </row>
    <row r="403">
      <c r="A403" s="1" t="s">
        <v>4136</v>
      </c>
      <c r="B403" s="1" t="s">
        <v>3965</v>
      </c>
      <c r="C403" s="1">
        <v>2341161.0</v>
      </c>
    </row>
    <row r="404">
      <c r="B404" s="1" t="s">
        <v>3875</v>
      </c>
      <c r="C404" s="1">
        <v>1903000.0</v>
      </c>
    </row>
    <row r="405">
      <c r="B405" s="1" t="s">
        <v>3918</v>
      </c>
      <c r="C405" s="1">
        <v>105590.0</v>
      </c>
    </row>
    <row r="406">
      <c r="A406" s="1" t="s">
        <v>4137</v>
      </c>
      <c r="B406" s="1" t="s">
        <v>3988</v>
      </c>
      <c r="C406" s="1">
        <v>1946388.0</v>
      </c>
    </row>
    <row r="407">
      <c r="A407" s="1" t="s">
        <v>2120</v>
      </c>
      <c r="B407" s="1" t="s">
        <v>3990</v>
      </c>
      <c r="C407" s="1">
        <v>2175906.0</v>
      </c>
    </row>
    <row r="408">
      <c r="B408" s="1" t="s">
        <v>3984</v>
      </c>
      <c r="C408" s="1">
        <v>4124178.0</v>
      </c>
    </row>
    <row r="409">
      <c r="B409" s="1" t="s">
        <v>3876</v>
      </c>
      <c r="C409" s="1">
        <v>2497000.0</v>
      </c>
    </row>
    <row r="410">
      <c r="B410" s="1" t="s">
        <v>3919</v>
      </c>
      <c r="C410" s="1">
        <v>160273.0</v>
      </c>
    </row>
    <row r="411">
      <c r="A411" s="1" t="s">
        <v>4138</v>
      </c>
      <c r="B411" s="1" t="s">
        <v>4075</v>
      </c>
      <c r="C411" s="1">
        <v>1376180.0</v>
      </c>
    </row>
    <row r="412">
      <c r="B412" s="1" t="s">
        <v>4037</v>
      </c>
      <c r="C412" s="1">
        <v>2952008.0</v>
      </c>
    </row>
    <row r="413">
      <c r="A413" s="1" t="s">
        <v>4139</v>
      </c>
      <c r="B413" s="1" t="s">
        <v>4107</v>
      </c>
      <c r="C413" s="1">
        <v>2060523.0</v>
      </c>
    </row>
    <row r="414">
      <c r="B414" s="1" t="s">
        <v>3994</v>
      </c>
      <c r="C414" s="1">
        <v>2756912.0</v>
      </c>
    </row>
    <row r="415">
      <c r="A415" s="1" t="s">
        <v>2142</v>
      </c>
      <c r="B415" s="1" t="s">
        <v>4035</v>
      </c>
      <c r="D415" s="1">
        <v>1697150.0</v>
      </c>
      <c r="E415" s="1" t="s">
        <v>4140</v>
      </c>
    </row>
    <row r="416">
      <c r="B416" s="1" t="s">
        <v>3985</v>
      </c>
      <c r="D416" s="1">
        <v>430000.0</v>
      </c>
      <c r="E416" s="1"/>
    </row>
    <row r="417">
      <c r="B417" s="1" t="s">
        <v>3947</v>
      </c>
      <c r="D417" s="1">
        <v>110000.0</v>
      </c>
      <c r="E417" s="1" t="s">
        <v>4141</v>
      </c>
    </row>
    <row r="418">
      <c r="B418" s="1" t="s">
        <v>3964</v>
      </c>
      <c r="D418" s="1">
        <v>90000.0</v>
      </c>
    </row>
    <row r="419">
      <c r="B419" s="1" t="s">
        <v>648</v>
      </c>
      <c r="D419" s="1">
        <v>110000.0</v>
      </c>
    </row>
    <row r="420">
      <c r="B420" s="3" t="s">
        <v>1137</v>
      </c>
      <c r="D420" s="75">
        <v>87940.0</v>
      </c>
      <c r="E420" s="1" t="s">
        <v>4077</v>
      </c>
    </row>
    <row r="421">
      <c r="A421" s="1" t="s">
        <v>2131</v>
      </c>
      <c r="B421" s="1" t="s">
        <v>2150</v>
      </c>
      <c r="C421" s="1"/>
      <c r="D421" s="1">
        <v>499000.0</v>
      </c>
      <c r="E421" s="1" t="s">
        <v>4109</v>
      </c>
    </row>
    <row r="422">
      <c r="A422" s="1" t="s">
        <v>2141</v>
      </c>
      <c r="B422" s="1" t="s">
        <v>267</v>
      </c>
      <c r="D422" s="1">
        <v>990000.0</v>
      </c>
      <c r="E422" s="1" t="s">
        <v>4099</v>
      </c>
    </row>
    <row r="423">
      <c r="A423" s="1" t="s">
        <v>2139</v>
      </c>
      <c r="B423" s="1" t="s">
        <v>3908</v>
      </c>
      <c r="D423" s="1">
        <v>2174980.0</v>
      </c>
      <c r="E423" s="1" t="s">
        <v>4062</v>
      </c>
    </row>
    <row r="424">
      <c r="B424" s="1" t="s">
        <v>4047</v>
      </c>
      <c r="D424" s="1">
        <v>298790.0</v>
      </c>
      <c r="E424" s="1" t="s">
        <v>4080</v>
      </c>
    </row>
    <row r="425">
      <c r="B425" s="1" t="s">
        <v>4128</v>
      </c>
      <c r="D425" s="1">
        <v>1.018913E7</v>
      </c>
      <c r="E425" s="1" t="s">
        <v>4142</v>
      </c>
    </row>
    <row r="426">
      <c r="A426" s="1" t="s">
        <v>4143</v>
      </c>
      <c r="B426" s="1" t="s">
        <v>3875</v>
      </c>
      <c r="C426" s="1">
        <v>1903000.0</v>
      </c>
    </row>
    <row r="427">
      <c r="B427" s="1" t="s">
        <v>3918</v>
      </c>
      <c r="C427" s="1">
        <v>114560.0</v>
      </c>
    </row>
    <row r="428">
      <c r="B428" s="1" t="s">
        <v>3935</v>
      </c>
      <c r="C428" s="1">
        <v>12420.0</v>
      </c>
    </row>
    <row r="429">
      <c r="A429" s="1" t="s">
        <v>4144</v>
      </c>
      <c r="B429" s="1" t="s">
        <v>4048</v>
      </c>
      <c r="C429" s="1">
        <v>1970436.0</v>
      </c>
    </row>
    <row r="430">
      <c r="A430" s="1" t="s">
        <v>2143</v>
      </c>
      <c r="B430" s="1" t="s">
        <v>4054</v>
      </c>
      <c r="C430" s="1">
        <v>4213018.0</v>
      </c>
    </row>
    <row r="431">
      <c r="B431" s="1" t="s">
        <v>4016</v>
      </c>
      <c r="C431" s="1">
        <v>2372174.0</v>
      </c>
    </row>
    <row r="432">
      <c r="B432" s="1" t="s">
        <v>4017</v>
      </c>
      <c r="C432" s="1">
        <v>2247625.0</v>
      </c>
    </row>
    <row r="433">
      <c r="A433" s="1" t="s">
        <v>2142</v>
      </c>
      <c r="B433" s="1" t="s">
        <v>4145</v>
      </c>
      <c r="D433" s="1">
        <v>1.11411E7</v>
      </c>
      <c r="E433" s="1" t="s">
        <v>4146</v>
      </c>
    </row>
    <row r="434">
      <c r="B434" s="1" t="s">
        <v>3876</v>
      </c>
      <c r="C434" s="1">
        <v>2497000.0</v>
      </c>
    </row>
    <row r="435">
      <c r="B435" s="1" t="s">
        <v>3919</v>
      </c>
      <c r="C435" s="1">
        <v>197016.0</v>
      </c>
    </row>
    <row r="436">
      <c r="B436" s="1" t="s">
        <v>3934</v>
      </c>
      <c r="C436" s="1">
        <v>26651.0</v>
      </c>
    </row>
    <row r="437">
      <c r="B437" s="1" t="s">
        <v>4098</v>
      </c>
      <c r="C437" s="1">
        <v>2161170.0</v>
      </c>
    </row>
    <row r="438">
      <c r="B438" s="1" t="s">
        <v>4147</v>
      </c>
      <c r="C438" s="1">
        <v>2792280.0</v>
      </c>
      <c r="E438" s="1" t="s">
        <v>4148</v>
      </c>
    </row>
    <row r="439">
      <c r="B439" s="1" t="s">
        <v>4051</v>
      </c>
      <c r="C439" s="1">
        <v>2991394.0</v>
      </c>
    </row>
    <row r="440">
      <c r="B440" s="1" t="s">
        <v>4149</v>
      </c>
      <c r="C440" s="1">
        <v>18185.0</v>
      </c>
    </row>
    <row r="441">
      <c r="B441" s="1" t="s">
        <v>4124</v>
      </c>
      <c r="C441" s="1">
        <v>1431042.0</v>
      </c>
    </row>
    <row r="442">
      <c r="A442" s="1" t="s">
        <v>2129</v>
      </c>
      <c r="B442" s="1" t="s">
        <v>4150</v>
      </c>
      <c r="C442" s="1">
        <v>94948.0</v>
      </c>
    </row>
    <row r="443">
      <c r="B443" s="1" t="s">
        <v>4151</v>
      </c>
      <c r="C443" s="1">
        <v>60461.0</v>
      </c>
    </row>
    <row r="444">
      <c r="B444" s="1" t="s">
        <v>4152</v>
      </c>
      <c r="C444" s="1">
        <v>114076.0</v>
      </c>
    </row>
    <row r="445">
      <c r="B445" s="1" t="s">
        <v>4153</v>
      </c>
      <c r="C445" s="1">
        <v>90081.0</v>
      </c>
    </row>
    <row r="446">
      <c r="B446" s="1" t="s">
        <v>4154</v>
      </c>
      <c r="C446" s="1">
        <v>57730.0</v>
      </c>
    </row>
    <row r="447">
      <c r="B447" s="1" t="s">
        <v>4155</v>
      </c>
      <c r="C447" s="1">
        <v>62116.0</v>
      </c>
    </row>
    <row r="448">
      <c r="B448" s="1" t="s">
        <v>4156</v>
      </c>
      <c r="C448" s="1">
        <v>86034.0</v>
      </c>
    </row>
    <row r="449">
      <c r="B449" s="1" t="s">
        <v>4157</v>
      </c>
      <c r="C449" s="1">
        <v>54456.0</v>
      </c>
    </row>
    <row r="450">
      <c r="B450" s="1" t="s">
        <v>4158</v>
      </c>
      <c r="C450" s="1">
        <v>108817.0</v>
      </c>
    </row>
    <row r="451">
      <c r="B451" s="1" t="s">
        <v>4159</v>
      </c>
      <c r="C451" s="1">
        <v>82806.0</v>
      </c>
    </row>
    <row r="452">
      <c r="B452" s="1" t="s">
        <v>4160</v>
      </c>
      <c r="C452" s="1">
        <v>47986.0</v>
      </c>
    </row>
    <row r="453">
      <c r="A453" s="1" t="s">
        <v>2148</v>
      </c>
      <c r="B453" s="1" t="s">
        <v>2150</v>
      </c>
      <c r="C453" s="1"/>
      <c r="D453" s="1">
        <v>505280.0</v>
      </c>
      <c r="E453" s="1" t="s">
        <v>4109</v>
      </c>
    </row>
    <row r="454">
      <c r="A454" s="1" t="s">
        <v>2154</v>
      </c>
      <c r="B454" s="1" t="s">
        <v>4035</v>
      </c>
      <c r="D454" s="1">
        <v>1697150.0</v>
      </c>
      <c r="E454" s="1" t="s">
        <v>4140</v>
      </c>
    </row>
    <row r="455">
      <c r="B455" s="1" t="s">
        <v>3985</v>
      </c>
      <c r="D455" s="1">
        <v>530000.0</v>
      </c>
      <c r="E455" s="1" t="s">
        <v>4161</v>
      </c>
    </row>
    <row r="456">
      <c r="B456" s="1" t="s">
        <v>3947</v>
      </c>
      <c r="D456" s="1">
        <v>110000.0</v>
      </c>
      <c r="E456" s="1" t="s">
        <v>4141</v>
      </c>
    </row>
    <row r="457">
      <c r="B457" s="1" t="s">
        <v>3964</v>
      </c>
      <c r="D457" s="1">
        <v>90000.0</v>
      </c>
    </row>
    <row r="458">
      <c r="B458" s="1" t="s">
        <v>648</v>
      </c>
      <c r="D458" s="1">
        <v>110000.0</v>
      </c>
    </row>
    <row r="459">
      <c r="B459" s="3" t="s">
        <v>1137</v>
      </c>
      <c r="D459" s="1">
        <v>78350.0</v>
      </c>
      <c r="E459" s="1" t="s">
        <v>4077</v>
      </c>
    </row>
    <row r="460">
      <c r="A460" s="1" t="s">
        <v>4162</v>
      </c>
      <c r="B460" s="1" t="s">
        <v>267</v>
      </c>
      <c r="D460" s="1">
        <v>990000.0</v>
      </c>
      <c r="E460" s="1" t="s">
        <v>4099</v>
      </c>
    </row>
    <row r="461">
      <c r="B461" s="1" t="s">
        <v>3908</v>
      </c>
      <c r="D461" s="1">
        <v>2426890.0</v>
      </c>
      <c r="E461" s="1" t="s">
        <v>4062</v>
      </c>
    </row>
    <row r="462">
      <c r="A462" s="1" t="s">
        <v>4163</v>
      </c>
      <c r="B462" s="1" t="s">
        <v>4075</v>
      </c>
      <c r="C462" s="1">
        <v>1407965.0</v>
      </c>
    </row>
    <row r="463">
      <c r="B463" s="1" t="s">
        <v>3988</v>
      </c>
      <c r="C463" s="1">
        <v>1948131.0</v>
      </c>
    </row>
    <row r="464">
      <c r="A464" s="1" t="s">
        <v>2156</v>
      </c>
      <c r="B464" s="1" t="s">
        <v>3875</v>
      </c>
      <c r="C464" s="1">
        <v>1903000.0</v>
      </c>
    </row>
    <row r="465">
      <c r="B465" s="1" t="s">
        <v>3918</v>
      </c>
      <c r="C465" s="1">
        <v>134340.0</v>
      </c>
    </row>
    <row r="466">
      <c r="A466" s="1" t="s">
        <v>4164</v>
      </c>
      <c r="B466" s="1" t="s">
        <v>3965</v>
      </c>
      <c r="C466" s="1">
        <v>2397823.0</v>
      </c>
    </row>
    <row r="467">
      <c r="B467" s="1" t="s">
        <v>3984</v>
      </c>
      <c r="C467" s="1">
        <v>4195761.0</v>
      </c>
    </row>
    <row r="468">
      <c r="B468" s="1" t="s">
        <v>3876</v>
      </c>
      <c r="C468" s="1">
        <v>2497000.0</v>
      </c>
    </row>
    <row r="469">
      <c r="B469" s="1" t="s">
        <v>3919</v>
      </c>
      <c r="C469" s="1">
        <v>273302.0</v>
      </c>
    </row>
    <row r="470">
      <c r="B470" s="1" t="s">
        <v>3994</v>
      </c>
      <c r="C470" s="1">
        <v>2821682.0</v>
      </c>
    </row>
    <row r="471">
      <c r="B471" s="1" t="s">
        <v>4107</v>
      </c>
      <c r="C471" s="1">
        <v>2142472.0</v>
      </c>
    </row>
    <row r="472">
      <c r="A472" s="1" t="s">
        <v>2154</v>
      </c>
      <c r="B472" s="1" t="s">
        <v>3990</v>
      </c>
      <c r="C472" s="1">
        <v>2262581.0</v>
      </c>
    </row>
    <row r="473">
      <c r="B473" s="1" t="s">
        <v>4037</v>
      </c>
      <c r="C473" s="1">
        <v>2962143.0</v>
      </c>
    </row>
    <row r="474">
      <c r="A474" s="1" t="s">
        <v>2159</v>
      </c>
      <c r="B474" s="1" t="s">
        <v>4165</v>
      </c>
      <c r="D474" s="1">
        <v>220000.0</v>
      </c>
      <c r="E474" s="1" t="s">
        <v>4166</v>
      </c>
    </row>
    <row r="475">
      <c r="A475" s="1" t="s">
        <v>4167</v>
      </c>
      <c r="B475" s="1" t="s">
        <v>4168</v>
      </c>
      <c r="D475" s="1">
        <v>5854683.0</v>
      </c>
      <c r="E475" s="1" t="s">
        <v>4169</v>
      </c>
    </row>
    <row r="476">
      <c r="A476" s="1" t="s">
        <v>2166</v>
      </c>
      <c r="B476" s="1" t="s">
        <v>2150</v>
      </c>
      <c r="C476" s="1"/>
      <c r="D476" s="1">
        <v>505280.0</v>
      </c>
      <c r="E476" s="1" t="s">
        <v>4109</v>
      </c>
    </row>
    <row r="477">
      <c r="A477" s="1" t="s">
        <v>2163</v>
      </c>
      <c r="B477" s="1" t="s">
        <v>4035</v>
      </c>
      <c r="D477" s="1">
        <v>1614110.0</v>
      </c>
      <c r="E477" s="1" t="s">
        <v>4140</v>
      </c>
    </row>
    <row r="478">
      <c r="B478" s="1" t="s">
        <v>3985</v>
      </c>
      <c r="D478" s="1">
        <v>430000.0</v>
      </c>
      <c r="E478" s="1"/>
    </row>
    <row r="479">
      <c r="B479" s="1" t="s">
        <v>3947</v>
      </c>
      <c r="D479" s="1">
        <v>110000.0</v>
      </c>
      <c r="E479" s="1" t="s">
        <v>4141</v>
      </c>
    </row>
    <row r="480">
      <c r="B480" s="1" t="s">
        <v>3964</v>
      </c>
      <c r="D480" s="1">
        <v>90000.0</v>
      </c>
    </row>
    <row r="481">
      <c r="B481" s="1" t="s">
        <v>648</v>
      </c>
      <c r="D481" s="1">
        <v>110000.0</v>
      </c>
    </row>
    <row r="482">
      <c r="B482" s="3" t="s">
        <v>1137</v>
      </c>
      <c r="D482" s="1">
        <v>75590.0</v>
      </c>
      <c r="E482" s="1" t="s">
        <v>4077</v>
      </c>
    </row>
    <row r="483">
      <c r="A483" s="1" t="s">
        <v>3747</v>
      </c>
      <c r="B483" s="1" t="s">
        <v>4170</v>
      </c>
      <c r="D483" s="1">
        <v>1056000.0</v>
      </c>
      <c r="E483" s="1" t="s">
        <v>4171</v>
      </c>
    </row>
    <row r="484">
      <c r="A484" s="1" t="s">
        <v>4172</v>
      </c>
      <c r="B484" s="1" t="s">
        <v>267</v>
      </c>
      <c r="D484" s="1">
        <v>990000.0</v>
      </c>
      <c r="E484" s="1" t="s">
        <v>4099</v>
      </c>
    </row>
    <row r="485">
      <c r="B485" s="1" t="s">
        <v>3908</v>
      </c>
      <c r="D485" s="1">
        <v>1535030.0</v>
      </c>
      <c r="E485" s="1" t="s">
        <v>4062</v>
      </c>
    </row>
    <row r="486">
      <c r="B486" s="1" t="s">
        <v>4047</v>
      </c>
      <c r="D486" s="1">
        <v>258000.0</v>
      </c>
      <c r="E486" s="1" t="s">
        <v>4080</v>
      </c>
    </row>
    <row r="487">
      <c r="A487" s="1" t="s">
        <v>4173</v>
      </c>
      <c r="B487" s="1" t="s">
        <v>4174</v>
      </c>
      <c r="D487" s="1">
        <v>2.0E7</v>
      </c>
      <c r="E487" s="1" t="s">
        <v>4175</v>
      </c>
    </row>
    <row r="488">
      <c r="A488" s="1" t="s">
        <v>4172</v>
      </c>
      <c r="B488" s="1" t="s">
        <v>4048</v>
      </c>
      <c r="C488" s="1">
        <v>1924020.0</v>
      </c>
    </row>
    <row r="489">
      <c r="A489" s="1" t="s">
        <v>4176</v>
      </c>
      <c r="B489" s="1" t="s">
        <v>4177</v>
      </c>
      <c r="D489" s="1">
        <v>30000.0</v>
      </c>
      <c r="E489" s="1" t="s">
        <v>4178</v>
      </c>
    </row>
    <row r="490">
      <c r="B490" s="1" t="s">
        <v>4179</v>
      </c>
      <c r="D490" s="1">
        <v>330000.0</v>
      </c>
      <c r="E490" s="1" t="s">
        <v>4180</v>
      </c>
    </row>
    <row r="491">
      <c r="B491" s="1" t="s">
        <v>4124</v>
      </c>
      <c r="C491" s="1">
        <v>1385012.0</v>
      </c>
    </row>
    <row r="492">
      <c r="A492" s="1" t="s">
        <v>2163</v>
      </c>
      <c r="B492" s="1" t="s">
        <v>4181</v>
      </c>
      <c r="D492" s="1">
        <v>80000.0</v>
      </c>
      <c r="E492" s="1" t="s">
        <v>4182</v>
      </c>
    </row>
    <row r="493">
      <c r="B493" s="1" t="s">
        <v>3876</v>
      </c>
      <c r="C493" s="1">
        <v>2497000.0</v>
      </c>
    </row>
    <row r="494">
      <c r="B494" s="1" t="s">
        <v>3919</v>
      </c>
      <c r="C494" s="1">
        <v>194099.0</v>
      </c>
    </row>
    <row r="495">
      <c r="B495" s="1" t="s">
        <v>3934</v>
      </c>
      <c r="C495" s="1">
        <v>21962.0</v>
      </c>
    </row>
    <row r="496">
      <c r="B496" s="1" t="s">
        <v>4183</v>
      </c>
      <c r="C496" s="1">
        <v>2.0E7</v>
      </c>
    </row>
    <row r="497">
      <c r="B497" s="1" t="s">
        <v>4016</v>
      </c>
      <c r="C497" s="1">
        <v>2292460.0</v>
      </c>
    </row>
    <row r="498">
      <c r="B498" s="1" t="s">
        <v>4098</v>
      </c>
      <c r="C498" s="1">
        <v>2069464.0</v>
      </c>
    </row>
    <row r="499">
      <c r="B499" s="1" t="s">
        <v>4051</v>
      </c>
      <c r="C499" s="1">
        <v>2886248.0</v>
      </c>
    </row>
    <row r="500">
      <c r="B500" s="1" t="s">
        <v>4054</v>
      </c>
      <c r="C500" s="1">
        <v>4106613.0</v>
      </c>
    </row>
    <row r="501">
      <c r="A501" s="1"/>
      <c r="B501" s="1" t="s">
        <v>4184</v>
      </c>
      <c r="C501" s="1">
        <v>1364128.0</v>
      </c>
    </row>
    <row r="502">
      <c r="A502" s="1" t="s">
        <v>2170</v>
      </c>
      <c r="B502" s="1" t="s">
        <v>4017</v>
      </c>
      <c r="C502" s="1">
        <v>2167712.0</v>
      </c>
    </row>
    <row r="503">
      <c r="B503" s="1" t="s">
        <v>4185</v>
      </c>
      <c r="D503" s="1">
        <v>2.0E7</v>
      </c>
      <c r="E503" s="1" t="s">
        <v>4186</v>
      </c>
    </row>
    <row r="504">
      <c r="B504" s="1" t="s">
        <v>4187</v>
      </c>
      <c r="D504" s="1">
        <v>3740000.0</v>
      </c>
      <c r="E504" s="1" t="s">
        <v>4171</v>
      </c>
    </row>
    <row r="505">
      <c r="A505" s="1" t="s">
        <v>2177</v>
      </c>
      <c r="B505" s="1" t="s">
        <v>2150</v>
      </c>
      <c r="C505" s="1"/>
      <c r="D505" s="1">
        <v>505280.0</v>
      </c>
      <c r="E505" s="1" t="s">
        <v>4109</v>
      </c>
    </row>
    <row r="506">
      <c r="A506" s="1" t="s">
        <v>2176</v>
      </c>
      <c r="B506" s="1" t="s">
        <v>4035</v>
      </c>
      <c r="D506" s="1">
        <v>1614110.0</v>
      </c>
      <c r="E506" s="1" t="s">
        <v>4140</v>
      </c>
    </row>
    <row r="507">
      <c r="B507" s="1" t="s">
        <v>3985</v>
      </c>
      <c r="D507" s="1">
        <v>430000.0</v>
      </c>
      <c r="E507" s="1"/>
    </row>
    <row r="508">
      <c r="B508" s="1" t="s">
        <v>3947</v>
      </c>
      <c r="D508" s="1">
        <v>110000.0</v>
      </c>
      <c r="E508" s="1" t="s">
        <v>4141</v>
      </c>
    </row>
    <row r="509">
      <c r="B509" s="1" t="s">
        <v>3964</v>
      </c>
      <c r="D509" s="1">
        <v>90000.0</v>
      </c>
    </row>
    <row r="510">
      <c r="B510" s="1" t="s">
        <v>648</v>
      </c>
      <c r="D510" s="1">
        <v>110000.0</v>
      </c>
    </row>
    <row r="511">
      <c r="B511" s="3" t="s">
        <v>1137</v>
      </c>
      <c r="D511" s="1">
        <v>75650.0</v>
      </c>
      <c r="E511" s="1" t="s">
        <v>4077</v>
      </c>
    </row>
    <row r="512">
      <c r="B512" s="1" t="s">
        <v>4188</v>
      </c>
      <c r="C512" s="1">
        <v>2735805.0</v>
      </c>
    </row>
    <row r="513">
      <c r="B513" s="1" t="s">
        <v>4189</v>
      </c>
      <c r="C513" s="1">
        <v>14986.0</v>
      </c>
    </row>
    <row r="514">
      <c r="A514" s="1" t="s">
        <v>4190</v>
      </c>
      <c r="B514" s="1" t="s">
        <v>4128</v>
      </c>
      <c r="D514" s="1">
        <v>6270000.0</v>
      </c>
      <c r="E514" s="1" t="s">
        <v>4191</v>
      </c>
    </row>
    <row r="515">
      <c r="A515" s="1" t="s">
        <v>2182</v>
      </c>
      <c r="B515" s="1" t="s">
        <v>4075</v>
      </c>
      <c r="C515" s="1">
        <v>1350735.0</v>
      </c>
    </row>
    <row r="516">
      <c r="B516" s="1" t="s">
        <v>4192</v>
      </c>
      <c r="C516" s="1">
        <v>2167511.0</v>
      </c>
    </row>
    <row r="517">
      <c r="A517" s="1" t="s">
        <v>4193</v>
      </c>
      <c r="B517" s="1" t="s">
        <v>3988</v>
      </c>
      <c r="C517" s="1">
        <v>1898034.0</v>
      </c>
    </row>
    <row r="518">
      <c r="B518" s="1" t="s">
        <v>3965</v>
      </c>
      <c r="C518" s="1">
        <v>2215761.0</v>
      </c>
    </row>
    <row r="519">
      <c r="A519" s="1" t="s">
        <v>4194</v>
      </c>
      <c r="B519" s="1" t="s">
        <v>4107</v>
      </c>
      <c r="C519" s="1">
        <v>2000544.0</v>
      </c>
    </row>
    <row r="520">
      <c r="A520" s="1" t="s">
        <v>2176</v>
      </c>
      <c r="B520" s="1" t="s">
        <v>3984</v>
      </c>
      <c r="C520" s="1">
        <v>3994774.0</v>
      </c>
    </row>
    <row r="521">
      <c r="B521" s="1" t="s">
        <v>4195</v>
      </c>
      <c r="C521" s="1">
        <v>2497000.0</v>
      </c>
    </row>
    <row r="522">
      <c r="B522" s="1" t="s">
        <v>4196</v>
      </c>
      <c r="C522" s="1">
        <v>1439181.0</v>
      </c>
    </row>
    <row r="523">
      <c r="B523" s="1" t="s">
        <v>3994</v>
      </c>
      <c r="C523" s="1">
        <v>2676522.0</v>
      </c>
    </row>
    <row r="524">
      <c r="B524" s="1" t="s">
        <v>4037</v>
      </c>
      <c r="C524" s="1">
        <v>2832499.0</v>
      </c>
    </row>
    <row r="525">
      <c r="A525" s="1" t="s">
        <v>2183</v>
      </c>
      <c r="B525" s="1" t="s">
        <v>4197</v>
      </c>
      <c r="D525" s="1">
        <v>250000.0</v>
      </c>
      <c r="E525" s="1" t="s">
        <v>4198</v>
      </c>
    </row>
    <row r="526">
      <c r="B526" s="1" t="s">
        <v>4199</v>
      </c>
      <c r="D526" s="1">
        <v>2640000.0</v>
      </c>
      <c r="E526" s="1" t="s">
        <v>4200</v>
      </c>
    </row>
    <row r="527">
      <c r="A527" s="1" t="s">
        <v>2187</v>
      </c>
      <c r="B527" s="1" t="s">
        <v>2150</v>
      </c>
      <c r="C527" s="1"/>
      <c r="D527" s="1">
        <v>452620.0</v>
      </c>
      <c r="E527" s="1" t="s">
        <v>4109</v>
      </c>
    </row>
    <row r="528">
      <c r="A528" s="1" t="s">
        <v>4201</v>
      </c>
      <c r="B528" s="1" t="s">
        <v>4202</v>
      </c>
      <c r="D528" s="1">
        <v>21700.0</v>
      </c>
      <c r="E528" s="1" t="s">
        <v>4203</v>
      </c>
    </row>
    <row r="529">
      <c r="A529" s="1" t="s">
        <v>2192</v>
      </c>
      <c r="B529" s="1" t="s">
        <v>4035</v>
      </c>
      <c r="D529" s="1">
        <v>1614110.0</v>
      </c>
      <c r="E529" s="1" t="s">
        <v>4140</v>
      </c>
    </row>
    <row r="530">
      <c r="B530" s="1" t="s">
        <v>3985</v>
      </c>
      <c r="D530" s="1">
        <v>430000.0</v>
      </c>
      <c r="E530" s="1"/>
    </row>
    <row r="531">
      <c r="B531" s="1" t="s">
        <v>3947</v>
      </c>
      <c r="D531" s="1">
        <v>110000.0</v>
      </c>
      <c r="E531" s="1" t="s">
        <v>4141</v>
      </c>
    </row>
    <row r="532">
      <c r="B532" s="1" t="s">
        <v>3964</v>
      </c>
      <c r="D532" s="1">
        <v>90000.0</v>
      </c>
    </row>
    <row r="533">
      <c r="B533" s="1" t="s">
        <v>648</v>
      </c>
      <c r="D533" s="1">
        <v>110000.0</v>
      </c>
    </row>
    <row r="534">
      <c r="B534" s="3" t="s">
        <v>1137</v>
      </c>
      <c r="D534" s="1">
        <v>75110.0</v>
      </c>
      <c r="E534" s="1" t="s">
        <v>4077</v>
      </c>
    </row>
    <row r="535">
      <c r="A535" s="1" t="s">
        <v>3749</v>
      </c>
      <c r="B535" s="1" t="s">
        <v>4204</v>
      </c>
      <c r="D535" s="1">
        <v>3960000.0</v>
      </c>
      <c r="E535" s="1" t="s">
        <v>4205</v>
      </c>
    </row>
    <row r="536">
      <c r="A536" s="1" t="s">
        <v>4206</v>
      </c>
      <c r="B536" s="1" t="s">
        <v>4207</v>
      </c>
      <c r="C536" s="1">
        <v>2157476.0</v>
      </c>
    </row>
    <row r="537">
      <c r="B537" s="28" t="s">
        <v>4208</v>
      </c>
      <c r="C537" s="1">
        <v>25606.0</v>
      </c>
    </row>
    <row r="538">
      <c r="A538" s="1" t="s">
        <v>4209</v>
      </c>
      <c r="B538" s="1" t="s">
        <v>4048</v>
      </c>
      <c r="C538" s="1">
        <v>1936165.0</v>
      </c>
    </row>
    <row r="539">
      <c r="A539" s="1" t="s">
        <v>4210</v>
      </c>
      <c r="B539" s="1" t="s">
        <v>267</v>
      </c>
      <c r="D539" s="1">
        <v>770000.0</v>
      </c>
      <c r="E539" s="1" t="s">
        <v>4099</v>
      </c>
    </row>
    <row r="540">
      <c r="B540" s="1" t="s">
        <v>4211</v>
      </c>
      <c r="D540" s="1">
        <v>1824470.0</v>
      </c>
      <c r="E540" s="1" t="s">
        <v>4062</v>
      </c>
    </row>
    <row r="541">
      <c r="B541" s="1" t="s">
        <v>4047</v>
      </c>
      <c r="D541" s="1">
        <v>288000.0</v>
      </c>
      <c r="E541" s="1" t="s">
        <v>4080</v>
      </c>
    </row>
    <row r="542">
      <c r="B542" s="1" t="s">
        <v>4098</v>
      </c>
      <c r="C542" s="1">
        <v>2012987.0</v>
      </c>
    </row>
    <row r="543">
      <c r="A543" s="1" t="s">
        <v>4212</v>
      </c>
      <c r="B543" s="1" t="s">
        <v>267</v>
      </c>
      <c r="D543" s="1">
        <v>880000.0</v>
      </c>
      <c r="E543" s="1" t="s">
        <v>4099</v>
      </c>
    </row>
    <row r="544">
      <c r="A544" s="1" t="s">
        <v>4213</v>
      </c>
      <c r="B544" s="1" t="s">
        <v>4124</v>
      </c>
      <c r="C544" s="1">
        <v>1362332.0</v>
      </c>
    </row>
    <row r="545">
      <c r="B545" s="1" t="s">
        <v>4051</v>
      </c>
      <c r="C545" s="1">
        <v>2895913.0</v>
      </c>
    </row>
    <row r="546">
      <c r="B546" s="1" t="s">
        <v>4054</v>
      </c>
      <c r="C546" s="1">
        <v>4040129.0</v>
      </c>
    </row>
    <row r="547">
      <c r="B547" s="1" t="s">
        <v>3876</v>
      </c>
      <c r="C547" s="1">
        <v>2497000.0</v>
      </c>
    </row>
    <row r="548">
      <c r="B548" s="1" t="s">
        <v>4016</v>
      </c>
      <c r="C548" s="1">
        <v>2224294.0</v>
      </c>
    </row>
    <row r="549">
      <c r="B549" s="1" t="s">
        <v>4184</v>
      </c>
      <c r="C549" s="1">
        <v>1435005.0</v>
      </c>
    </row>
    <row r="550">
      <c r="A550" s="1" t="s">
        <v>4214</v>
      </c>
      <c r="B550" s="1" t="s">
        <v>2150</v>
      </c>
      <c r="C550" s="1"/>
      <c r="D550" s="1">
        <v>493600.0</v>
      </c>
      <c r="E550" s="1" t="s">
        <v>4109</v>
      </c>
    </row>
    <row r="551">
      <c r="A551" s="1" t="s">
        <v>4214</v>
      </c>
      <c r="B551" s="1" t="s">
        <v>4215</v>
      </c>
      <c r="D551" s="1">
        <v>21700.0</v>
      </c>
      <c r="E551" s="1" t="s">
        <v>4203</v>
      </c>
    </row>
    <row r="552">
      <c r="A552" s="1" t="s">
        <v>2204</v>
      </c>
      <c r="B552" s="1" t="s">
        <v>4035</v>
      </c>
      <c r="D552" s="1">
        <v>1614110.0</v>
      </c>
      <c r="E552" s="1" t="s">
        <v>4140</v>
      </c>
    </row>
    <row r="553">
      <c r="B553" s="1" t="s">
        <v>3985</v>
      </c>
      <c r="D553" s="1">
        <v>430000.0</v>
      </c>
      <c r="E553" s="1"/>
    </row>
    <row r="554">
      <c r="B554" s="1" t="s">
        <v>3947</v>
      </c>
      <c r="D554" s="1">
        <v>110000.0</v>
      </c>
      <c r="E554" s="1" t="s">
        <v>4141</v>
      </c>
    </row>
    <row r="555">
      <c r="B555" s="1" t="s">
        <v>3964</v>
      </c>
      <c r="D555" s="1">
        <v>90000.0</v>
      </c>
    </row>
    <row r="556">
      <c r="B556" s="1" t="s">
        <v>648</v>
      </c>
      <c r="D556" s="1">
        <v>110000.0</v>
      </c>
    </row>
    <row r="557">
      <c r="B557" s="3" t="s">
        <v>1137</v>
      </c>
      <c r="D557" s="23">
        <v>76100.0</v>
      </c>
      <c r="E557" s="1" t="s">
        <v>4077</v>
      </c>
    </row>
    <row r="558">
      <c r="A558" s="1" t="s">
        <v>4216</v>
      </c>
      <c r="B558" s="1" t="s">
        <v>4217</v>
      </c>
      <c r="D558" s="1">
        <v>3476000.0</v>
      </c>
      <c r="E558" s="1" t="s">
        <v>4218</v>
      </c>
    </row>
    <row r="559">
      <c r="A559" s="1" t="s">
        <v>4219</v>
      </c>
      <c r="B559" s="1" t="s">
        <v>267</v>
      </c>
      <c r="D559" s="1">
        <v>770000.0</v>
      </c>
      <c r="E559" s="1" t="s">
        <v>4099</v>
      </c>
    </row>
    <row r="560">
      <c r="B560" s="1" t="s">
        <v>4220</v>
      </c>
      <c r="D560" s="1">
        <v>1117000.0</v>
      </c>
      <c r="E560" s="1" t="s">
        <v>4221</v>
      </c>
    </row>
    <row r="561">
      <c r="A561" s="1" t="s">
        <v>2213</v>
      </c>
      <c r="B561" s="40" t="s">
        <v>651</v>
      </c>
      <c r="C561" s="40"/>
      <c r="D561" s="41">
        <v>1007820.0</v>
      </c>
    </row>
    <row r="562">
      <c r="B562" s="40" t="s">
        <v>2218</v>
      </c>
      <c r="C562" s="40"/>
      <c r="D562" s="41">
        <v>625020.0</v>
      </c>
    </row>
    <row r="563">
      <c r="A563" s="1" t="s">
        <v>2206</v>
      </c>
      <c r="B563" s="1" t="s">
        <v>3908</v>
      </c>
      <c r="D563" s="1">
        <v>1001480.0</v>
      </c>
      <c r="E563" s="1" t="s">
        <v>4062</v>
      </c>
    </row>
    <row r="564">
      <c r="A564" s="1" t="s">
        <v>2213</v>
      </c>
      <c r="B564" s="1" t="s">
        <v>4192</v>
      </c>
      <c r="C564" s="1">
        <v>2171067.0</v>
      </c>
      <c r="D564" s="1"/>
      <c r="E564" s="1"/>
    </row>
    <row r="565">
      <c r="A565" s="1" t="s">
        <v>4222</v>
      </c>
      <c r="B565" s="1" t="s">
        <v>3965</v>
      </c>
      <c r="C565" s="1">
        <v>2182933.0</v>
      </c>
      <c r="D565" s="1"/>
      <c r="E565" s="1"/>
    </row>
    <row r="566">
      <c r="A566" s="1" t="s">
        <v>2204</v>
      </c>
      <c r="B566" s="1" t="s">
        <v>3984</v>
      </c>
      <c r="C566" s="1">
        <v>4016110.0</v>
      </c>
      <c r="D566" s="1"/>
      <c r="E566" s="1"/>
    </row>
    <row r="567">
      <c r="A567" s="1"/>
      <c r="B567" s="1" t="s">
        <v>4195</v>
      </c>
      <c r="C567" s="1">
        <v>2497000.0</v>
      </c>
      <c r="D567" s="1"/>
      <c r="E567" s="1"/>
    </row>
    <row r="568">
      <c r="A568" s="1"/>
      <c r="B568" s="1" t="s">
        <v>4196</v>
      </c>
      <c r="C568" s="1">
        <v>1434254.0</v>
      </c>
      <c r="D568" s="1"/>
      <c r="E568" s="1"/>
    </row>
    <row r="569">
      <c r="A569" s="1" t="s">
        <v>4223</v>
      </c>
      <c r="B569" s="1" t="s">
        <v>4107</v>
      </c>
      <c r="C569" s="1">
        <v>2008117.0</v>
      </c>
      <c r="D569" s="1"/>
      <c r="E569" s="1"/>
    </row>
    <row r="570">
      <c r="A570" s="1" t="s">
        <v>2211</v>
      </c>
      <c r="B570" s="1" t="s">
        <v>4075</v>
      </c>
      <c r="C570" s="1">
        <v>1414425.0</v>
      </c>
      <c r="D570" s="1"/>
      <c r="E570" s="1"/>
    </row>
    <row r="571">
      <c r="A571" s="1"/>
      <c r="B571" s="1" t="s">
        <v>4224</v>
      </c>
      <c r="C571" s="1">
        <v>2669214.0</v>
      </c>
      <c r="D571" s="1"/>
      <c r="E571" s="1"/>
    </row>
    <row r="572">
      <c r="A572" s="1"/>
      <c r="B572" s="1" t="s">
        <v>4225</v>
      </c>
      <c r="C572" s="1">
        <v>19114.0</v>
      </c>
      <c r="D572" s="1"/>
      <c r="E572" s="1"/>
    </row>
    <row r="573">
      <c r="A573" s="1"/>
      <c r="B573" s="1" t="s">
        <v>4037</v>
      </c>
      <c r="C573" s="1">
        <v>2912596.0</v>
      </c>
      <c r="D573" s="1"/>
      <c r="E573" s="1"/>
    </row>
    <row r="574">
      <c r="A574" s="1"/>
      <c r="B574" s="1" t="s">
        <v>3988</v>
      </c>
      <c r="C574" s="1">
        <v>1904507.0</v>
      </c>
      <c r="D574" s="1"/>
      <c r="E574" s="1"/>
    </row>
    <row r="575">
      <c r="A575" s="1" t="s">
        <v>2219</v>
      </c>
      <c r="B575" s="1" t="s">
        <v>4072</v>
      </c>
      <c r="D575" s="1">
        <v>561750.0</v>
      </c>
      <c r="E575" s="1" t="s">
        <v>4073</v>
      </c>
    </row>
    <row r="576">
      <c r="A576" s="1" t="s">
        <v>2232</v>
      </c>
      <c r="B576" s="1" t="s">
        <v>4035</v>
      </c>
      <c r="D576" s="1">
        <v>1614110.0</v>
      </c>
      <c r="E576" s="1" t="s">
        <v>4140</v>
      </c>
    </row>
    <row r="577">
      <c r="B577" s="1" t="s">
        <v>4226</v>
      </c>
      <c r="D577" s="1">
        <v>2351054.0</v>
      </c>
      <c r="E577" s="1" t="s">
        <v>4140</v>
      </c>
    </row>
    <row r="578">
      <c r="B578" s="1" t="s">
        <v>3985</v>
      </c>
      <c r="D578" s="1">
        <v>430000.0</v>
      </c>
      <c r="E578" s="1"/>
    </row>
    <row r="579">
      <c r="B579" s="1" t="s">
        <v>3947</v>
      </c>
      <c r="D579" s="1">
        <v>110000.0</v>
      </c>
      <c r="E579" s="1" t="s">
        <v>4141</v>
      </c>
    </row>
    <row r="580">
      <c r="B580" s="1" t="s">
        <v>3964</v>
      </c>
      <c r="D580" s="1">
        <v>90000.0</v>
      </c>
    </row>
    <row r="581">
      <c r="B581" s="1" t="s">
        <v>648</v>
      </c>
      <c r="D581" s="1">
        <v>110000.0</v>
      </c>
    </row>
    <row r="582">
      <c r="B582" s="3" t="s">
        <v>1137</v>
      </c>
      <c r="D582" s="1">
        <v>81810.0</v>
      </c>
      <c r="E582" s="1" t="s">
        <v>4077</v>
      </c>
    </row>
    <row r="583">
      <c r="A583" s="1" t="s">
        <v>2223</v>
      </c>
      <c r="B583" s="1" t="s">
        <v>2150</v>
      </c>
      <c r="C583" s="1"/>
      <c r="D583" s="1">
        <v>493600.0</v>
      </c>
      <c r="E583" s="1" t="s">
        <v>4109</v>
      </c>
    </row>
    <row r="584">
      <c r="A584" s="1" t="s">
        <v>4227</v>
      </c>
      <c r="B584" s="1" t="s">
        <v>3908</v>
      </c>
      <c r="D584" s="1">
        <v>1247330.0</v>
      </c>
      <c r="E584" s="1" t="s">
        <v>4062</v>
      </c>
    </row>
    <row r="585">
      <c r="B585" s="1" t="s">
        <v>4047</v>
      </c>
      <c r="D585" s="1">
        <v>288000.0</v>
      </c>
      <c r="E585" s="1" t="s">
        <v>4080</v>
      </c>
    </row>
    <row r="586">
      <c r="B586" s="1" t="s">
        <v>4228</v>
      </c>
      <c r="D586" s="1">
        <v>2381540.0</v>
      </c>
      <c r="E586" s="1" t="s">
        <v>4229</v>
      </c>
    </row>
    <row r="587">
      <c r="B587" s="30" t="s">
        <v>4230</v>
      </c>
      <c r="C587" s="31"/>
      <c r="D587" s="30">
        <v>2317760.0</v>
      </c>
      <c r="E587" s="30" t="s">
        <v>4231</v>
      </c>
    </row>
    <row r="588">
      <c r="B588" s="1" t="s">
        <v>267</v>
      </c>
      <c r="D588" s="1">
        <v>770000.0</v>
      </c>
      <c r="E588" s="1" t="s">
        <v>4099</v>
      </c>
    </row>
    <row r="589">
      <c r="B589" s="1" t="s">
        <v>4207</v>
      </c>
      <c r="C589" s="1">
        <v>2237870.0</v>
      </c>
    </row>
    <row r="590">
      <c r="B590" s="28" t="s">
        <v>4208</v>
      </c>
      <c r="C590" s="1">
        <v>25606.0</v>
      </c>
    </row>
    <row r="591">
      <c r="A591" s="1" t="s">
        <v>4232</v>
      </c>
      <c r="B591" s="1" t="s">
        <v>4233</v>
      </c>
      <c r="C591" s="1">
        <v>2679437.0</v>
      </c>
    </row>
    <row r="592">
      <c r="A592" s="1" t="s">
        <v>4234</v>
      </c>
      <c r="B592" s="1" t="s">
        <v>4235</v>
      </c>
      <c r="D592" s="1">
        <v>979000.0</v>
      </c>
      <c r="E592" s="1" t="s">
        <v>4236</v>
      </c>
    </row>
    <row r="593">
      <c r="B593" s="1" t="s">
        <v>4048</v>
      </c>
      <c r="C593" s="1">
        <v>1927577.0</v>
      </c>
    </row>
    <row r="594">
      <c r="A594" s="1" t="s">
        <v>4237</v>
      </c>
      <c r="B594" s="1" t="s">
        <v>4238</v>
      </c>
      <c r="C594" s="1">
        <v>1455711.0</v>
      </c>
    </row>
    <row r="595">
      <c r="A595" s="1" t="s">
        <v>4239</v>
      </c>
      <c r="B595" s="1" t="s">
        <v>4184</v>
      </c>
      <c r="C595" s="1">
        <v>1458404.0</v>
      </c>
    </row>
    <row r="596">
      <c r="A596" s="1" t="s">
        <v>2232</v>
      </c>
      <c r="B596" s="1" t="s">
        <v>4054</v>
      </c>
      <c r="C596" s="1">
        <v>4086816.0</v>
      </c>
    </row>
    <row r="597">
      <c r="B597" s="1" t="s">
        <v>4016</v>
      </c>
      <c r="C597" s="1">
        <v>2228047.0</v>
      </c>
      <c r="E597" s="1" t="s">
        <v>4240</v>
      </c>
    </row>
    <row r="598">
      <c r="B598" s="1" t="s">
        <v>3876</v>
      </c>
      <c r="C598" s="1">
        <v>2497000.0</v>
      </c>
    </row>
    <row r="599">
      <c r="B599" s="1" t="s">
        <v>4051</v>
      </c>
      <c r="C599" s="1">
        <v>3008442.0</v>
      </c>
    </row>
    <row r="600">
      <c r="A600" s="1" t="s">
        <v>2221</v>
      </c>
      <c r="B600" s="1" t="s">
        <v>4098</v>
      </c>
      <c r="C600" s="1">
        <v>2098766.0</v>
      </c>
    </row>
    <row r="601">
      <c r="A601" s="1" t="s">
        <v>2242</v>
      </c>
      <c r="B601" s="1" t="s">
        <v>2150</v>
      </c>
      <c r="C601" s="1"/>
      <c r="D601" s="1">
        <v>1209720.0</v>
      </c>
      <c r="E601" s="1" t="s">
        <v>4109</v>
      </c>
    </row>
    <row r="602">
      <c r="A602" s="1" t="s">
        <v>2238</v>
      </c>
      <c r="B602" s="1" t="s">
        <v>3985</v>
      </c>
      <c r="D602" s="1">
        <v>430000.0</v>
      </c>
      <c r="E602" s="1"/>
    </row>
    <row r="603">
      <c r="B603" s="1" t="s">
        <v>3947</v>
      </c>
      <c r="D603" s="1">
        <v>110000.0</v>
      </c>
      <c r="E603" s="1" t="s">
        <v>4141</v>
      </c>
    </row>
    <row r="604">
      <c r="B604" s="1" t="s">
        <v>3964</v>
      </c>
      <c r="D604" s="1">
        <v>90000.0</v>
      </c>
    </row>
    <row r="605">
      <c r="B605" s="1" t="s">
        <v>648</v>
      </c>
      <c r="D605" s="1">
        <v>110000.0</v>
      </c>
    </row>
    <row r="606">
      <c r="B606" s="3" t="s">
        <v>1137</v>
      </c>
      <c r="D606" s="1">
        <v>83160.0</v>
      </c>
      <c r="E606" s="1" t="s">
        <v>4077</v>
      </c>
    </row>
    <row r="607">
      <c r="A607" s="1" t="s">
        <v>2242</v>
      </c>
      <c r="B607" s="1" t="s">
        <v>4241</v>
      </c>
      <c r="D607" s="1">
        <v>2.0E7</v>
      </c>
      <c r="E607" s="1" t="s">
        <v>4242</v>
      </c>
    </row>
    <row r="608">
      <c r="A608" s="1" t="s">
        <v>4243</v>
      </c>
      <c r="B608" s="1" t="s">
        <v>3908</v>
      </c>
      <c r="D608" s="1">
        <v>1640680.0</v>
      </c>
      <c r="E608" s="1" t="s">
        <v>4062</v>
      </c>
    </row>
    <row r="609">
      <c r="A609" s="1" t="s">
        <v>4243</v>
      </c>
      <c r="B609" s="1" t="s">
        <v>267</v>
      </c>
      <c r="D609" s="1">
        <v>1045000.0</v>
      </c>
      <c r="E609" s="1" t="s">
        <v>4099</v>
      </c>
    </row>
    <row r="610">
      <c r="B610" s="1" t="s">
        <v>4244</v>
      </c>
      <c r="D610" s="1">
        <v>10000.0</v>
      </c>
      <c r="E610" s="1" t="s">
        <v>4245</v>
      </c>
    </row>
    <row r="611">
      <c r="B611" s="1" t="s">
        <v>4207</v>
      </c>
      <c r="C611" s="1">
        <v>2332781.0</v>
      </c>
    </row>
    <row r="612">
      <c r="A612" s="1" t="s">
        <v>2244</v>
      </c>
      <c r="B612" s="1" t="s">
        <v>69</v>
      </c>
      <c r="D612" s="1">
        <v>62500.0</v>
      </c>
      <c r="E612" s="1" t="s">
        <v>4246</v>
      </c>
    </row>
    <row r="613">
      <c r="B613" s="1" t="s">
        <v>3988</v>
      </c>
      <c r="C613" s="1">
        <v>1894838.0</v>
      </c>
    </row>
    <row r="614">
      <c r="B614" s="1" t="s">
        <v>4247</v>
      </c>
      <c r="C614" s="1">
        <v>1.5E7</v>
      </c>
    </row>
    <row r="615">
      <c r="B615" s="1" t="s">
        <v>4248</v>
      </c>
      <c r="C615" s="1">
        <v>2748519.0</v>
      </c>
    </row>
    <row r="616">
      <c r="A616" s="1" t="s">
        <v>4249</v>
      </c>
      <c r="B616" s="1" t="s">
        <v>4107</v>
      </c>
      <c r="C616" s="1">
        <v>2120445.0</v>
      </c>
    </row>
    <row r="617">
      <c r="A617" s="1" t="s">
        <v>4250</v>
      </c>
      <c r="B617" s="1" t="s">
        <v>4075</v>
      </c>
      <c r="C617" s="1">
        <v>1503146.0</v>
      </c>
    </row>
    <row r="618">
      <c r="B618" s="1" t="s">
        <v>4251</v>
      </c>
      <c r="D618" s="1">
        <v>634500.0</v>
      </c>
      <c r="E618" s="1" t="s">
        <v>4252</v>
      </c>
    </row>
    <row r="619">
      <c r="A619" s="1" t="s">
        <v>2238</v>
      </c>
      <c r="B619" s="1" t="s">
        <v>3984</v>
      </c>
      <c r="C619" s="1">
        <v>4065419.0</v>
      </c>
    </row>
    <row r="620">
      <c r="B620" s="1" t="s">
        <v>4037</v>
      </c>
      <c r="C620" s="1">
        <v>3009236.0</v>
      </c>
    </row>
    <row r="621">
      <c r="B621" s="1" t="s">
        <v>3965</v>
      </c>
      <c r="C621" s="1">
        <v>2271650.0</v>
      </c>
    </row>
    <row r="622">
      <c r="B622" s="1" t="s">
        <v>4196</v>
      </c>
      <c r="C622" s="1">
        <v>1433793.0</v>
      </c>
    </row>
    <row r="623">
      <c r="A623" s="1" t="s">
        <v>4253</v>
      </c>
      <c r="B623" s="1" t="s">
        <v>4254</v>
      </c>
      <c r="C623" s="1">
        <v>2000000.0</v>
      </c>
    </row>
    <row r="624">
      <c r="B624" s="69" t="s">
        <v>4255</v>
      </c>
      <c r="D624" s="1">
        <v>467500.0</v>
      </c>
      <c r="E624" s="1" t="s">
        <v>4256</v>
      </c>
    </row>
    <row r="625">
      <c r="A625" s="1" t="s">
        <v>2253</v>
      </c>
      <c r="B625" s="1" t="s">
        <v>2150</v>
      </c>
      <c r="C625" s="1"/>
      <c r="D625" s="1">
        <v>593440.0</v>
      </c>
      <c r="E625" s="1" t="s">
        <v>4109</v>
      </c>
    </row>
    <row r="626">
      <c r="A626" s="1" t="s">
        <v>2257</v>
      </c>
      <c r="B626" s="1" t="s">
        <v>3985</v>
      </c>
      <c r="D626" s="1">
        <v>530000.0</v>
      </c>
      <c r="E626" s="1" t="s">
        <v>4257</v>
      </c>
    </row>
    <row r="627">
      <c r="A627" s="1" t="s">
        <v>2257</v>
      </c>
      <c r="B627" s="1" t="s">
        <v>3947</v>
      </c>
      <c r="D627" s="1">
        <v>110000.0</v>
      </c>
      <c r="E627" s="1" t="s">
        <v>4141</v>
      </c>
    </row>
    <row r="628">
      <c r="B628" s="1" t="s">
        <v>3964</v>
      </c>
      <c r="D628" s="1">
        <v>90000.0</v>
      </c>
    </row>
    <row r="629">
      <c r="B629" s="1" t="s">
        <v>648</v>
      </c>
      <c r="D629" s="1">
        <v>110000.0</v>
      </c>
    </row>
    <row r="630">
      <c r="B630" s="3" t="s">
        <v>1137</v>
      </c>
      <c r="D630" s="1">
        <v>74640.0</v>
      </c>
      <c r="E630" s="1" t="s">
        <v>4077</v>
      </c>
    </row>
    <row r="631">
      <c r="A631" s="1" t="s">
        <v>4258</v>
      </c>
      <c r="B631" s="1" t="s">
        <v>4259</v>
      </c>
      <c r="D631" s="1">
        <v>65100.0</v>
      </c>
      <c r="E631" s="1" t="s">
        <v>4203</v>
      </c>
    </row>
    <row r="632">
      <c r="A632" s="1" t="s">
        <v>4260</v>
      </c>
      <c r="B632" s="1" t="s">
        <v>4261</v>
      </c>
      <c r="C632" s="1">
        <v>2800097.0</v>
      </c>
    </row>
    <row r="633">
      <c r="B633" s="1" t="s">
        <v>4262</v>
      </c>
      <c r="C633" s="1">
        <v>8000000.0</v>
      </c>
    </row>
    <row r="634">
      <c r="A634" s="1" t="s">
        <v>2249</v>
      </c>
      <c r="B634" s="1" t="s">
        <v>4263</v>
      </c>
      <c r="C634" s="1">
        <v>1.0E7</v>
      </c>
    </row>
    <row r="635">
      <c r="B635" s="69" t="s">
        <v>4264</v>
      </c>
      <c r="D635" s="1">
        <v>1155000.0</v>
      </c>
      <c r="E635" s="1" t="s">
        <v>4265</v>
      </c>
    </row>
    <row r="636">
      <c r="A636" s="1" t="s">
        <v>3752</v>
      </c>
      <c r="B636" s="1" t="s">
        <v>3908</v>
      </c>
      <c r="D636" s="1">
        <v>1255020.0</v>
      </c>
      <c r="E636" s="1" t="s">
        <v>4062</v>
      </c>
    </row>
    <row r="637">
      <c r="B637" s="1" t="s">
        <v>4047</v>
      </c>
      <c r="D637" s="1">
        <v>320500.0</v>
      </c>
      <c r="E637" s="1" t="s">
        <v>4080</v>
      </c>
    </row>
    <row r="638">
      <c r="B638" s="30" t="s">
        <v>4266</v>
      </c>
      <c r="C638" s="31"/>
      <c r="D638" s="30">
        <v>1.123285E7</v>
      </c>
      <c r="E638" s="30" t="s">
        <v>4267</v>
      </c>
    </row>
    <row r="639">
      <c r="A639" s="1" t="s">
        <v>4268</v>
      </c>
      <c r="B639" s="1" t="s">
        <v>4269</v>
      </c>
      <c r="D639" s="1">
        <v>289300.0</v>
      </c>
      <c r="E639" s="1" t="s">
        <v>4270</v>
      </c>
    </row>
    <row r="640">
      <c r="A640" s="1" t="s">
        <v>4271</v>
      </c>
      <c r="B640" s="1" t="s">
        <v>267</v>
      </c>
      <c r="D640" s="1">
        <v>990000.0</v>
      </c>
      <c r="E640" s="1" t="s">
        <v>4099</v>
      </c>
    </row>
    <row r="641">
      <c r="A641" s="1" t="s">
        <v>4272</v>
      </c>
      <c r="B641" s="1" t="s">
        <v>4207</v>
      </c>
      <c r="C641" s="1">
        <v>2256713.0</v>
      </c>
    </row>
    <row r="642">
      <c r="B642" s="1" t="s">
        <v>4208</v>
      </c>
      <c r="C642" s="1">
        <v>32240.0</v>
      </c>
    </row>
    <row r="643">
      <c r="A643" s="1" t="s">
        <v>4273</v>
      </c>
      <c r="B643" s="1" t="s">
        <v>3965</v>
      </c>
      <c r="C643" s="1">
        <v>2224428.0</v>
      </c>
    </row>
    <row r="644">
      <c r="B644" s="1" t="s">
        <v>3972</v>
      </c>
      <c r="C644" s="1">
        <v>34910.0</v>
      </c>
    </row>
    <row r="645">
      <c r="B645" s="1" t="s">
        <v>4274</v>
      </c>
      <c r="C645" s="1">
        <v>460750.0</v>
      </c>
    </row>
    <row r="646">
      <c r="A646" s="1" t="s">
        <v>2257</v>
      </c>
      <c r="B646" s="1" t="s">
        <v>4054</v>
      </c>
      <c r="C646" s="1">
        <v>4113166.0</v>
      </c>
    </row>
    <row r="647">
      <c r="B647" s="1" t="s">
        <v>4048</v>
      </c>
      <c r="C647" s="1">
        <v>1920617.0</v>
      </c>
    </row>
    <row r="648">
      <c r="B648" s="1" t="s">
        <v>4184</v>
      </c>
      <c r="C648" s="1">
        <v>1445774.0</v>
      </c>
    </row>
    <row r="649">
      <c r="B649" s="1" t="s">
        <v>4098</v>
      </c>
      <c r="C649" s="1">
        <v>2137580.0</v>
      </c>
    </row>
    <row r="650">
      <c r="B650" s="1" t="s">
        <v>4055</v>
      </c>
      <c r="C650" s="1">
        <v>2767297.0</v>
      </c>
    </row>
    <row r="651">
      <c r="A651" s="1" t="s">
        <v>4275</v>
      </c>
      <c r="B651" s="1" t="s">
        <v>4051</v>
      </c>
      <c r="C651" s="1">
        <v>3010404.0</v>
      </c>
    </row>
    <row r="652">
      <c r="A652" s="1" t="s">
        <v>2250</v>
      </c>
      <c r="B652" s="1" t="s">
        <v>4238</v>
      </c>
      <c r="C652" s="1">
        <v>1460000.0</v>
      </c>
      <c r="E652" s="1" t="s">
        <v>4276</v>
      </c>
    </row>
    <row r="653">
      <c r="A653" s="1" t="s">
        <v>4277</v>
      </c>
      <c r="B653" s="1" t="s">
        <v>4278</v>
      </c>
      <c r="D653" s="1">
        <v>4325000.0</v>
      </c>
      <c r="E653" s="1" t="s">
        <v>4279</v>
      </c>
    </row>
    <row r="654">
      <c r="A654" s="1" t="s">
        <v>2275</v>
      </c>
      <c r="B654" s="1" t="s">
        <v>4280</v>
      </c>
      <c r="D654" s="1">
        <v>4400000.0</v>
      </c>
      <c r="E654" s="1" t="s">
        <v>4281</v>
      </c>
    </row>
    <row r="655">
      <c r="B655" s="1" t="s">
        <v>4126</v>
      </c>
      <c r="D655" s="1">
        <v>589710.0</v>
      </c>
      <c r="E655" s="1" t="s">
        <v>4282</v>
      </c>
    </row>
    <row r="656">
      <c r="A656" s="1" t="s">
        <v>4283</v>
      </c>
      <c r="B656" s="1" t="s">
        <v>267</v>
      </c>
      <c r="D656" s="1">
        <v>1232000.0</v>
      </c>
      <c r="E656" s="1" t="s">
        <v>4099</v>
      </c>
    </row>
    <row r="657">
      <c r="B657" s="1" t="s">
        <v>3908</v>
      </c>
      <c r="D657" s="1">
        <v>800090.0</v>
      </c>
      <c r="E657" s="1" t="s">
        <v>4062</v>
      </c>
    </row>
    <row r="658">
      <c r="A658" s="1" t="s">
        <v>2276</v>
      </c>
      <c r="B658" s="1" t="s">
        <v>3985</v>
      </c>
      <c r="D658" s="1">
        <v>430000.0</v>
      </c>
    </row>
    <row r="659">
      <c r="B659" s="1" t="s">
        <v>3947</v>
      </c>
      <c r="D659" s="1">
        <v>110000.0</v>
      </c>
      <c r="E659" s="1" t="s">
        <v>4141</v>
      </c>
    </row>
    <row r="660">
      <c r="B660" s="1" t="s">
        <v>3964</v>
      </c>
      <c r="D660" s="1">
        <v>90000.0</v>
      </c>
    </row>
    <row r="661">
      <c r="B661" s="1" t="s">
        <v>648</v>
      </c>
      <c r="D661" s="1">
        <v>110000.0</v>
      </c>
    </row>
    <row r="662">
      <c r="B662" s="3" t="s">
        <v>1137</v>
      </c>
      <c r="D662" s="1">
        <v>81930.0</v>
      </c>
      <c r="E662" s="1" t="s">
        <v>4077</v>
      </c>
    </row>
    <row r="663">
      <c r="A663" s="1" t="s">
        <v>4284</v>
      </c>
      <c r="B663" s="1" t="s">
        <v>4285</v>
      </c>
      <c r="C663" s="1">
        <v>1735668.0</v>
      </c>
    </row>
    <row r="664">
      <c r="B664" s="1" t="s">
        <v>3988</v>
      </c>
      <c r="C664" s="1">
        <v>1878377.0</v>
      </c>
    </row>
    <row r="665">
      <c r="B665" s="1" t="s">
        <v>4207</v>
      </c>
      <c r="C665" s="1">
        <v>2151577.0</v>
      </c>
    </row>
    <row r="666">
      <c r="A666" s="1" t="s">
        <v>4286</v>
      </c>
      <c r="B666" s="1" t="s">
        <v>3965</v>
      </c>
      <c r="C666" s="1">
        <v>2182024.0</v>
      </c>
    </row>
    <row r="667">
      <c r="B667" s="1" t="s">
        <v>4287</v>
      </c>
      <c r="C667" s="1">
        <v>1024013.0</v>
      </c>
    </row>
    <row r="668">
      <c r="A668" s="1" t="s">
        <v>2276</v>
      </c>
      <c r="B668" s="1" t="s">
        <v>4037</v>
      </c>
      <c r="C668" s="1">
        <v>2825206.0</v>
      </c>
    </row>
    <row r="669">
      <c r="B669" s="1" t="s">
        <v>4107</v>
      </c>
      <c r="C669" s="1">
        <v>2082754.0</v>
      </c>
    </row>
    <row r="670">
      <c r="B670" s="1" t="s">
        <v>3984</v>
      </c>
      <c r="C670" s="1">
        <v>3982037.0</v>
      </c>
    </row>
    <row r="671">
      <c r="B671" s="1" t="s">
        <v>4196</v>
      </c>
      <c r="C671" s="1">
        <v>1419117.0</v>
      </c>
    </row>
    <row r="672">
      <c r="A672" s="1" t="s">
        <v>2274</v>
      </c>
      <c r="B672" s="1" t="s">
        <v>4288</v>
      </c>
      <c r="D672" s="1">
        <v>21700.0</v>
      </c>
      <c r="E672" s="1" t="s">
        <v>4203</v>
      </c>
    </row>
    <row r="673">
      <c r="B673" s="1" t="s">
        <v>4075</v>
      </c>
      <c r="C673" s="1">
        <v>1380503.0</v>
      </c>
      <c r="E673" s="1" t="s">
        <v>4289</v>
      </c>
    </row>
    <row r="674">
      <c r="A674" s="1" t="s">
        <v>4290</v>
      </c>
      <c r="B674" s="1" t="s">
        <v>3994</v>
      </c>
      <c r="C674" s="1">
        <v>2664662.0</v>
      </c>
    </row>
    <row r="675">
      <c r="A675" s="1" t="s">
        <v>2282</v>
      </c>
      <c r="B675" s="1" t="s">
        <v>4291</v>
      </c>
      <c r="D675" s="1">
        <v>2640000.0</v>
      </c>
      <c r="E675" s="1" t="s">
        <v>4281</v>
      </c>
    </row>
    <row r="676">
      <c r="B676" s="1" t="s">
        <v>4292</v>
      </c>
      <c r="D676" s="1">
        <v>3300.0</v>
      </c>
      <c r="E676" s="1" t="s">
        <v>4203</v>
      </c>
    </row>
    <row r="677">
      <c r="A677" s="1" t="s">
        <v>2290</v>
      </c>
      <c r="B677" s="1" t="s">
        <v>3908</v>
      </c>
      <c r="D677" s="1">
        <v>948140.0</v>
      </c>
      <c r="E677" s="1" t="s">
        <v>4062</v>
      </c>
    </row>
    <row r="678">
      <c r="B678" s="1" t="s">
        <v>4047</v>
      </c>
      <c r="D678" s="1">
        <v>255500.0</v>
      </c>
      <c r="E678" s="1" t="s">
        <v>4080</v>
      </c>
    </row>
    <row r="679">
      <c r="A679" s="1" t="s">
        <v>4293</v>
      </c>
      <c r="B679" s="1" t="s">
        <v>267</v>
      </c>
      <c r="D679" s="1">
        <v>1232000.0</v>
      </c>
      <c r="E679" s="1" t="s">
        <v>4099</v>
      </c>
    </row>
    <row r="680">
      <c r="A680" s="1" t="s">
        <v>2293</v>
      </c>
      <c r="B680" s="1" t="s">
        <v>3985</v>
      </c>
      <c r="D680" s="1">
        <v>430000.0</v>
      </c>
    </row>
    <row r="681">
      <c r="B681" s="1" t="s">
        <v>3947</v>
      </c>
      <c r="D681" s="1">
        <v>110000.0</v>
      </c>
      <c r="E681" s="1" t="s">
        <v>4141</v>
      </c>
    </row>
    <row r="682">
      <c r="B682" s="1" t="s">
        <v>3964</v>
      </c>
      <c r="D682" s="1">
        <v>90000.0</v>
      </c>
    </row>
    <row r="683">
      <c r="B683" s="1" t="s">
        <v>648</v>
      </c>
      <c r="D683" s="1">
        <v>110000.0</v>
      </c>
    </row>
    <row r="684">
      <c r="B684" s="3" t="s">
        <v>1137</v>
      </c>
      <c r="D684" s="1">
        <v>77000.0</v>
      </c>
      <c r="E684" s="1" t="s">
        <v>4077</v>
      </c>
    </row>
    <row r="685">
      <c r="A685" s="1" t="s">
        <v>4294</v>
      </c>
      <c r="B685" s="1" t="s">
        <v>4274</v>
      </c>
      <c r="C685" s="1">
        <v>1757682.0</v>
      </c>
    </row>
    <row r="686">
      <c r="B686" s="1" t="s">
        <v>4048</v>
      </c>
      <c r="C686" s="1">
        <v>1894931.0</v>
      </c>
    </row>
    <row r="687">
      <c r="B687" s="1" t="s">
        <v>4295</v>
      </c>
      <c r="C687" s="1">
        <v>2188748.0</v>
      </c>
    </row>
    <row r="688">
      <c r="A688" s="1" t="s">
        <v>2293</v>
      </c>
      <c r="B688" s="1" t="s">
        <v>4054</v>
      </c>
      <c r="C688" s="1">
        <v>4061322.0</v>
      </c>
    </row>
    <row r="689">
      <c r="B689" s="1" t="s">
        <v>4296</v>
      </c>
      <c r="C689" s="1">
        <v>2223918.0</v>
      </c>
    </row>
    <row r="690">
      <c r="B690" s="1" t="s">
        <v>4297</v>
      </c>
      <c r="C690" s="1">
        <v>2201342.0</v>
      </c>
    </row>
    <row r="691">
      <c r="B691" s="1" t="s">
        <v>4238</v>
      </c>
      <c r="C691" s="1">
        <v>1399302.0</v>
      </c>
    </row>
    <row r="692">
      <c r="B692" s="1" t="s">
        <v>4184</v>
      </c>
      <c r="C692" s="1">
        <v>1424018.0</v>
      </c>
    </row>
    <row r="693">
      <c r="B693" s="1" t="s">
        <v>4051</v>
      </c>
      <c r="C693" s="1">
        <v>2868453.0</v>
      </c>
    </row>
    <row r="694">
      <c r="A694" s="1" t="s">
        <v>4298</v>
      </c>
      <c r="B694" s="1" t="s">
        <v>4107</v>
      </c>
      <c r="C694" s="1">
        <v>2089114.0</v>
      </c>
      <c r="D694" s="1"/>
      <c r="E694" s="1"/>
    </row>
    <row r="695">
      <c r="A695" s="1" t="s">
        <v>4299</v>
      </c>
      <c r="B695" s="1" t="s">
        <v>4300</v>
      </c>
      <c r="C695" s="1">
        <v>19340.0</v>
      </c>
      <c r="D695" s="1"/>
      <c r="E695" s="1"/>
    </row>
    <row r="696">
      <c r="A696" s="1" t="s">
        <v>4301</v>
      </c>
      <c r="B696" s="1" t="s">
        <v>4302</v>
      </c>
      <c r="D696" s="1">
        <v>12500.0</v>
      </c>
      <c r="E696" s="1" t="s">
        <v>4203</v>
      </c>
    </row>
    <row r="697">
      <c r="A697" s="1" t="s">
        <v>2305</v>
      </c>
      <c r="B697" s="1" t="s">
        <v>3908</v>
      </c>
      <c r="D697" s="1">
        <v>1470810.0</v>
      </c>
      <c r="E697" s="1" t="s">
        <v>4062</v>
      </c>
    </row>
    <row r="698">
      <c r="A698" s="1" t="s">
        <v>2305</v>
      </c>
      <c r="B698" s="1" t="s">
        <v>267</v>
      </c>
      <c r="D698" s="1">
        <v>847000.0</v>
      </c>
      <c r="E698" s="1" t="s">
        <v>4099</v>
      </c>
    </row>
    <row r="699">
      <c r="A699" s="1" t="s">
        <v>2319</v>
      </c>
      <c r="B699" s="1" t="s">
        <v>3985</v>
      </c>
      <c r="D699" s="1">
        <v>430000.0</v>
      </c>
    </row>
    <row r="700">
      <c r="B700" s="1" t="s">
        <v>3947</v>
      </c>
      <c r="D700" s="1">
        <v>110000.0</v>
      </c>
      <c r="E700" s="1" t="s">
        <v>4141</v>
      </c>
    </row>
    <row r="701">
      <c r="B701" s="1" t="s">
        <v>3964</v>
      </c>
      <c r="D701" s="1">
        <v>90000.0</v>
      </c>
    </row>
    <row r="702">
      <c r="B702" s="1" t="s">
        <v>648</v>
      </c>
      <c r="D702" s="1">
        <v>110000.0</v>
      </c>
    </row>
    <row r="703">
      <c r="B703" s="3" t="s">
        <v>1137</v>
      </c>
      <c r="D703" s="1">
        <v>77990.0</v>
      </c>
      <c r="E703" s="1" t="s">
        <v>4077</v>
      </c>
    </row>
    <row r="704">
      <c r="A704" s="1" t="s">
        <v>4303</v>
      </c>
      <c r="B704" s="1" t="s">
        <v>4304</v>
      </c>
      <c r="D704" s="1">
        <v>165000.0</v>
      </c>
      <c r="E704" s="1" t="s">
        <v>4099</v>
      </c>
    </row>
    <row r="705">
      <c r="A705" s="1" t="s">
        <v>4305</v>
      </c>
      <c r="B705" s="1" t="s">
        <v>3965</v>
      </c>
      <c r="C705" s="1">
        <v>2278779.0</v>
      </c>
    </row>
    <row r="706">
      <c r="B706" s="1" t="s">
        <v>3988</v>
      </c>
      <c r="C706" s="1">
        <v>1860568.0</v>
      </c>
    </row>
    <row r="707">
      <c r="B707" s="1" t="s">
        <v>4207</v>
      </c>
      <c r="C707" s="1">
        <v>2193884.0</v>
      </c>
    </row>
    <row r="708">
      <c r="B708" s="1" t="s">
        <v>4285</v>
      </c>
      <c r="C708" s="1">
        <v>1768363.0</v>
      </c>
    </row>
    <row r="709">
      <c r="A709" s="1" t="s">
        <v>4306</v>
      </c>
      <c r="B709" s="1" t="s">
        <v>4107</v>
      </c>
      <c r="C709" s="1">
        <v>2155698.0</v>
      </c>
    </row>
    <row r="710">
      <c r="A710" s="1" t="s">
        <v>4307</v>
      </c>
      <c r="B710" s="1" t="s">
        <v>4037</v>
      </c>
      <c r="C710" s="1">
        <v>2874219.0</v>
      </c>
    </row>
    <row r="711">
      <c r="B711" s="1" t="s">
        <v>4075</v>
      </c>
      <c r="C711" s="1">
        <v>1404049.0</v>
      </c>
    </row>
    <row r="712">
      <c r="A712" s="1" t="s">
        <v>2319</v>
      </c>
      <c r="B712" s="1" t="s">
        <v>4287</v>
      </c>
      <c r="C712" s="1">
        <v>2367582.0</v>
      </c>
    </row>
    <row r="713">
      <c r="B713" s="1" t="s">
        <v>3984</v>
      </c>
      <c r="C713" s="1">
        <v>4070630.0</v>
      </c>
    </row>
    <row r="714">
      <c r="B714" s="1" t="s">
        <v>4196</v>
      </c>
      <c r="C714" s="1">
        <v>1417725.0</v>
      </c>
    </row>
    <row r="715">
      <c r="A715" s="1" t="s">
        <v>4308</v>
      </c>
      <c r="B715" s="1" t="s">
        <v>4309</v>
      </c>
      <c r="C715" s="1">
        <v>2696310.0</v>
      </c>
      <c r="D715" s="1"/>
      <c r="E715" s="1"/>
    </row>
    <row r="716">
      <c r="B716" s="1" t="s">
        <v>4310</v>
      </c>
      <c r="D716" s="1">
        <v>38500.0</v>
      </c>
      <c r="E716" s="1" t="s">
        <v>4311</v>
      </c>
    </row>
    <row r="717">
      <c r="A717" s="1" t="s">
        <v>4312</v>
      </c>
      <c r="B717" s="1" t="s">
        <v>4313</v>
      </c>
      <c r="C717" s="1">
        <v>2692410.0</v>
      </c>
    </row>
    <row r="718">
      <c r="A718" s="1" t="s">
        <v>4314</v>
      </c>
      <c r="B718" s="1" t="s">
        <v>4315</v>
      </c>
      <c r="D718" s="18"/>
      <c r="E718" s="1" t="s">
        <v>4203</v>
      </c>
    </row>
    <row r="719">
      <c r="A719" s="1" t="s">
        <v>2334</v>
      </c>
      <c r="B719" s="1" t="s">
        <v>3908</v>
      </c>
      <c r="D719" s="1">
        <v>1995810.0</v>
      </c>
      <c r="E719" s="1" t="s">
        <v>4062</v>
      </c>
    </row>
    <row r="720">
      <c r="B720" s="1" t="s">
        <v>1975</v>
      </c>
      <c r="D720" s="1">
        <v>230500.0</v>
      </c>
    </row>
    <row r="721">
      <c r="B721" s="1" t="s">
        <v>267</v>
      </c>
      <c r="D721" s="1">
        <v>990000.0</v>
      </c>
      <c r="E721" s="1" t="s">
        <v>4099</v>
      </c>
    </row>
    <row r="722">
      <c r="A722" s="1"/>
      <c r="B722" s="1" t="s">
        <v>4316</v>
      </c>
      <c r="D722" s="1">
        <v>6065200.0</v>
      </c>
      <c r="E722" s="1" t="s">
        <v>4317</v>
      </c>
    </row>
    <row r="723">
      <c r="A723" s="1" t="s">
        <v>2336</v>
      </c>
      <c r="B723" s="1" t="s">
        <v>4318</v>
      </c>
      <c r="D723" s="1">
        <v>530000.0</v>
      </c>
    </row>
    <row r="724">
      <c r="B724" s="1" t="s">
        <v>3947</v>
      </c>
      <c r="D724" s="1">
        <v>110000.0</v>
      </c>
      <c r="E724" s="1" t="s">
        <v>4141</v>
      </c>
    </row>
    <row r="725">
      <c r="B725" s="1" t="s">
        <v>3964</v>
      </c>
      <c r="D725" s="1">
        <v>90000.0</v>
      </c>
    </row>
    <row r="726">
      <c r="B726" s="1" t="s">
        <v>648</v>
      </c>
      <c r="D726" s="1">
        <v>110000.0</v>
      </c>
    </row>
    <row r="727">
      <c r="B727" s="3" t="s">
        <v>1137</v>
      </c>
      <c r="D727" s="1">
        <v>78430.0</v>
      </c>
      <c r="E727" s="1" t="s">
        <v>4077</v>
      </c>
    </row>
    <row r="728">
      <c r="A728" s="1" t="s">
        <v>4319</v>
      </c>
      <c r="B728" s="1" t="s">
        <v>4048</v>
      </c>
      <c r="C728" s="1">
        <v>1875452.0</v>
      </c>
    </row>
    <row r="729">
      <c r="B729" s="1" t="s">
        <v>4295</v>
      </c>
      <c r="C729" s="1">
        <v>2264634.0</v>
      </c>
    </row>
    <row r="730">
      <c r="A730" s="1" t="s">
        <v>2337</v>
      </c>
      <c r="B730" s="1" t="s">
        <v>4320</v>
      </c>
      <c r="C730" s="1">
        <v>2203109.0</v>
      </c>
    </row>
    <row r="731">
      <c r="A731" s="1" t="s">
        <v>4321</v>
      </c>
      <c r="B731" s="1" t="s">
        <v>4297</v>
      </c>
      <c r="C731" s="1">
        <v>2531738.0</v>
      </c>
    </row>
    <row r="732">
      <c r="B732" s="1" t="s">
        <v>4051</v>
      </c>
      <c r="C732" s="1">
        <v>2968693.0</v>
      </c>
    </row>
    <row r="733">
      <c r="B733" s="1" t="s">
        <v>4238</v>
      </c>
      <c r="C733" s="1">
        <v>1469902.0</v>
      </c>
    </row>
    <row r="734">
      <c r="A734" s="1" t="s">
        <v>2336</v>
      </c>
      <c r="B734" s="1" t="s">
        <v>4054</v>
      </c>
      <c r="C734" s="1">
        <v>4154323.0</v>
      </c>
    </row>
    <row r="735">
      <c r="B735" s="1" t="s">
        <v>4296</v>
      </c>
      <c r="C735" s="1">
        <v>2372002.0</v>
      </c>
    </row>
    <row r="736">
      <c r="B736" s="1" t="s">
        <v>4184</v>
      </c>
      <c r="C736" s="1">
        <v>1448172.0</v>
      </c>
    </row>
    <row r="737">
      <c r="B737" s="1" t="s">
        <v>4322</v>
      </c>
      <c r="C737" s="1">
        <v>2000000.0</v>
      </c>
      <c r="E737" s="1" t="s">
        <v>4323</v>
      </c>
    </row>
    <row r="738">
      <c r="A738" s="1" t="s">
        <v>2328</v>
      </c>
      <c r="B738" s="1" t="s">
        <v>4274</v>
      </c>
      <c r="C738" s="1">
        <v>1806111.0</v>
      </c>
    </row>
    <row r="739">
      <c r="A739" s="1" t="s">
        <v>4324</v>
      </c>
      <c r="B739" s="1" t="s">
        <v>4325</v>
      </c>
      <c r="D739" s="76"/>
      <c r="E739" s="1" t="s">
        <v>4203</v>
      </c>
    </row>
    <row r="740">
      <c r="A740" s="1" t="s">
        <v>4326</v>
      </c>
      <c r="B740" s="1" t="s">
        <v>3908</v>
      </c>
      <c r="D740" s="1">
        <v>1697610.0</v>
      </c>
      <c r="E740" s="1" t="s">
        <v>4062</v>
      </c>
    </row>
    <row r="741">
      <c r="B741" s="1" t="s">
        <v>267</v>
      </c>
      <c r="D741" s="1">
        <v>990000.0</v>
      </c>
      <c r="E741" s="1" t="s">
        <v>4099</v>
      </c>
    </row>
    <row r="742">
      <c r="A742" s="1" t="s">
        <v>2346</v>
      </c>
      <c r="B742" s="1" t="s">
        <v>4327</v>
      </c>
      <c r="D742" s="1">
        <v>450000.0</v>
      </c>
    </row>
    <row r="743">
      <c r="B743" s="1" t="s">
        <v>3947</v>
      </c>
      <c r="D743" s="1">
        <v>110000.0</v>
      </c>
      <c r="E743" s="1" t="s">
        <v>4141</v>
      </c>
    </row>
    <row r="744">
      <c r="B744" s="1" t="s">
        <v>3964</v>
      </c>
      <c r="D744" s="1">
        <v>90000.0</v>
      </c>
    </row>
    <row r="745">
      <c r="B745" s="1" t="s">
        <v>648</v>
      </c>
      <c r="D745" s="1">
        <v>110000.0</v>
      </c>
    </row>
    <row r="746">
      <c r="B746" s="3" t="s">
        <v>1137</v>
      </c>
      <c r="D746" s="1">
        <v>78630.0</v>
      </c>
      <c r="E746" s="1" t="s">
        <v>4077</v>
      </c>
    </row>
    <row r="747">
      <c r="A747" s="1" t="s">
        <v>2343</v>
      </c>
      <c r="B747" s="1" t="s">
        <v>4328</v>
      </c>
      <c r="D747" s="1">
        <v>116490.0</v>
      </c>
    </row>
    <row r="748">
      <c r="A748" s="1" t="s">
        <v>4329</v>
      </c>
      <c r="B748" s="1" t="s">
        <v>4075</v>
      </c>
      <c r="C748" s="1">
        <v>1445270.0</v>
      </c>
    </row>
    <row r="749">
      <c r="B749" s="1" t="s">
        <v>4207</v>
      </c>
      <c r="C749" s="1">
        <v>2188841.0</v>
      </c>
    </row>
    <row r="750">
      <c r="B750" s="1" t="s">
        <v>3988</v>
      </c>
      <c r="C750" s="1">
        <v>1844407.0</v>
      </c>
    </row>
    <row r="751">
      <c r="B751" s="1" t="s">
        <v>4330</v>
      </c>
      <c r="C751" s="1">
        <v>2661170.0</v>
      </c>
    </row>
    <row r="752">
      <c r="A752" s="1" t="s">
        <v>4331</v>
      </c>
      <c r="B752" s="1" t="s">
        <v>4075</v>
      </c>
      <c r="C752" s="1">
        <v>1775163.0</v>
      </c>
    </row>
    <row r="753">
      <c r="B753" s="1" t="s">
        <v>4037</v>
      </c>
      <c r="C753" s="1">
        <v>2911557.0</v>
      </c>
    </row>
    <row r="754">
      <c r="A754" s="1" t="s">
        <v>4332</v>
      </c>
      <c r="B754" s="1" t="s">
        <v>4287</v>
      </c>
      <c r="C754" s="1">
        <v>2484141.0</v>
      </c>
    </row>
    <row r="755">
      <c r="A755" s="1" t="s">
        <v>2346</v>
      </c>
      <c r="B755" s="1" t="s">
        <v>3984</v>
      </c>
      <c r="C755" s="1">
        <v>4086919.0</v>
      </c>
    </row>
    <row r="756">
      <c r="B756" s="1" t="s">
        <v>3965</v>
      </c>
      <c r="C756" s="1">
        <v>2332845.0</v>
      </c>
    </row>
    <row r="757">
      <c r="B757" s="1" t="s">
        <v>4196</v>
      </c>
      <c r="C757" s="1">
        <v>1426522.0</v>
      </c>
    </row>
    <row r="758">
      <c r="B758" s="1" t="s">
        <v>4333</v>
      </c>
      <c r="C758" s="1">
        <v>2389748.0</v>
      </c>
    </row>
    <row r="759">
      <c r="A759" s="1" t="s">
        <v>4334</v>
      </c>
      <c r="B759" s="1" t="s">
        <v>4335</v>
      </c>
      <c r="C759" s="1">
        <v>3000000.0</v>
      </c>
      <c r="D759" s="1"/>
    </row>
    <row r="760">
      <c r="A760" s="1" t="s">
        <v>4336</v>
      </c>
      <c r="B760" s="1" t="s">
        <v>1975</v>
      </c>
      <c r="D760" s="1">
        <v>193090.0</v>
      </c>
    </row>
    <row r="761">
      <c r="A761" s="1" t="s">
        <v>4336</v>
      </c>
      <c r="B761" s="1" t="s">
        <v>3908</v>
      </c>
      <c r="D761" s="1">
        <v>1317440.0</v>
      </c>
    </row>
    <row r="762">
      <c r="A762" s="1" t="s">
        <v>4337</v>
      </c>
      <c r="B762" s="1" t="s">
        <v>267</v>
      </c>
      <c r="D762" s="1">
        <v>825000.0</v>
      </c>
    </row>
    <row r="763">
      <c r="A763" s="1" t="s">
        <v>2360</v>
      </c>
      <c r="B763" s="1" t="s">
        <v>4327</v>
      </c>
      <c r="D763" s="1">
        <v>450000.0</v>
      </c>
    </row>
    <row r="764">
      <c r="B764" s="1" t="s">
        <v>3947</v>
      </c>
      <c r="D764" s="1">
        <v>110000.0</v>
      </c>
      <c r="E764" s="1" t="s">
        <v>3986</v>
      </c>
    </row>
    <row r="765">
      <c r="B765" s="1" t="s">
        <v>3964</v>
      </c>
      <c r="D765" s="1">
        <v>90000.0</v>
      </c>
    </row>
    <row r="766">
      <c r="B766" s="1" t="s">
        <v>648</v>
      </c>
      <c r="D766" s="1">
        <v>110000.0</v>
      </c>
    </row>
    <row r="767">
      <c r="B767" s="3" t="s">
        <v>1137</v>
      </c>
      <c r="D767" s="1">
        <v>77330.0</v>
      </c>
      <c r="E767" s="1" t="s">
        <v>4077</v>
      </c>
    </row>
    <row r="768">
      <c r="A768" s="1" t="s">
        <v>4338</v>
      </c>
      <c r="B768" s="1" t="s">
        <v>4339</v>
      </c>
      <c r="D768" s="1">
        <v>6864000.0</v>
      </c>
      <c r="E768" s="1" t="s">
        <v>4340</v>
      </c>
    </row>
    <row r="769">
      <c r="A769" s="1" t="s">
        <v>4336</v>
      </c>
      <c r="B769" s="1" t="s">
        <v>4207</v>
      </c>
      <c r="C769" s="1">
        <v>2166898.0</v>
      </c>
    </row>
    <row r="770">
      <c r="B770" s="1" t="s">
        <v>4208</v>
      </c>
      <c r="C770" s="1">
        <v>15959.0</v>
      </c>
    </row>
    <row r="771">
      <c r="B771" s="1" t="s">
        <v>4274</v>
      </c>
      <c r="C771" s="1">
        <v>1772385.0</v>
      </c>
    </row>
    <row r="772">
      <c r="A772" s="1" t="s">
        <v>4341</v>
      </c>
      <c r="B772" s="1" t="s">
        <v>4297</v>
      </c>
      <c r="C772" s="1">
        <v>2403564.0</v>
      </c>
    </row>
    <row r="773">
      <c r="A773" s="1" t="s">
        <v>2360</v>
      </c>
      <c r="B773" s="1" t="s">
        <v>4054</v>
      </c>
      <c r="C773" s="1">
        <v>4074958.0</v>
      </c>
    </row>
    <row r="774">
      <c r="B774" s="1" t="s">
        <v>3965</v>
      </c>
      <c r="C774" s="1">
        <v>2237396.0</v>
      </c>
    </row>
    <row r="775">
      <c r="B775" s="1" t="s">
        <v>3972</v>
      </c>
      <c r="C775" s="1">
        <v>17281.0</v>
      </c>
    </row>
    <row r="776">
      <c r="B776" s="1" t="s">
        <v>4184</v>
      </c>
      <c r="C776" s="1">
        <v>1414521.0</v>
      </c>
    </row>
    <row r="777">
      <c r="A777" s="1"/>
      <c r="B777" s="1" t="s">
        <v>4342</v>
      </c>
      <c r="C777" s="1">
        <v>2563021.0</v>
      </c>
    </row>
    <row r="778">
      <c r="A778" s="1" t="s">
        <v>4343</v>
      </c>
      <c r="B778" s="1" t="s">
        <v>4048</v>
      </c>
      <c r="C778" s="1">
        <v>1799664.0</v>
      </c>
    </row>
    <row r="779">
      <c r="B779" s="1" t="s">
        <v>4238</v>
      </c>
      <c r="C779" s="1">
        <v>1416247.0</v>
      </c>
    </row>
    <row r="780">
      <c r="A780" s="1" t="s">
        <v>4344</v>
      </c>
      <c r="B780" s="1" t="s">
        <v>4051</v>
      </c>
      <c r="C780" s="1">
        <v>2876644.0</v>
      </c>
    </row>
    <row r="781">
      <c r="A781" s="1" t="s">
        <v>4345</v>
      </c>
      <c r="B781" s="1" t="s">
        <v>4346</v>
      </c>
      <c r="D781" s="1">
        <v>1.8567569E7</v>
      </c>
      <c r="E781" s="1" t="s">
        <v>4347</v>
      </c>
    </row>
    <row r="782">
      <c r="B782" s="1" t="s">
        <v>4348</v>
      </c>
      <c r="C782" s="1">
        <v>2.7E7</v>
      </c>
    </row>
    <row r="783">
      <c r="A783" s="1" t="s">
        <v>4349</v>
      </c>
      <c r="B783" s="1" t="s">
        <v>3908</v>
      </c>
      <c r="D783" s="1">
        <v>1089800.0</v>
      </c>
    </row>
    <row r="784">
      <c r="A784" s="1" t="s">
        <v>4350</v>
      </c>
      <c r="B784" s="1" t="s">
        <v>267</v>
      </c>
      <c r="D784" s="1">
        <v>737000.0</v>
      </c>
    </row>
    <row r="785">
      <c r="A785" s="1" t="s">
        <v>2370</v>
      </c>
      <c r="B785" s="1" t="s">
        <v>4327</v>
      </c>
      <c r="D785" s="1">
        <v>450000.0</v>
      </c>
    </row>
    <row r="786">
      <c r="B786" s="1" t="s">
        <v>3947</v>
      </c>
      <c r="D786" s="1">
        <v>110000.0</v>
      </c>
      <c r="E786" s="1" t="s">
        <v>3986</v>
      </c>
    </row>
    <row r="787">
      <c r="B787" s="1" t="s">
        <v>3964</v>
      </c>
      <c r="D787" s="1">
        <v>90000.0</v>
      </c>
    </row>
    <row r="788">
      <c r="B788" s="1" t="s">
        <v>648</v>
      </c>
      <c r="D788" s="1">
        <v>110000.0</v>
      </c>
    </row>
    <row r="789">
      <c r="B789" s="3" t="s">
        <v>1137</v>
      </c>
      <c r="D789" s="1">
        <v>78100.0</v>
      </c>
      <c r="E789" s="1" t="s">
        <v>4077</v>
      </c>
    </row>
    <row r="790">
      <c r="A790" s="1" t="s">
        <v>4351</v>
      </c>
      <c r="B790" s="1" t="s">
        <v>4352</v>
      </c>
      <c r="D790" s="1">
        <v>5195000.0</v>
      </c>
      <c r="E790" s="1" t="s">
        <v>4353</v>
      </c>
    </row>
    <row r="791">
      <c r="A791" s="1" t="s">
        <v>4354</v>
      </c>
      <c r="B791" s="1" t="s">
        <v>4207</v>
      </c>
      <c r="C791" s="1">
        <v>2166995.0</v>
      </c>
    </row>
    <row r="792">
      <c r="A792" s="1" t="s">
        <v>4355</v>
      </c>
      <c r="B792" s="1" t="s">
        <v>4075</v>
      </c>
      <c r="C792" s="1">
        <v>1411077.0</v>
      </c>
    </row>
    <row r="793">
      <c r="B793" s="1" t="s">
        <v>3988</v>
      </c>
      <c r="C793" s="1">
        <v>1800985.0</v>
      </c>
    </row>
    <row r="794">
      <c r="A794" s="1" t="s">
        <v>4356</v>
      </c>
      <c r="B794" s="1" t="s">
        <v>4285</v>
      </c>
      <c r="C794" s="1">
        <v>1770495.0</v>
      </c>
    </row>
    <row r="795">
      <c r="A795" s="1" t="s">
        <v>2370</v>
      </c>
      <c r="B795" s="1" t="s">
        <v>4287</v>
      </c>
      <c r="C795" s="1">
        <v>2329743.0</v>
      </c>
    </row>
    <row r="796">
      <c r="B796" s="1" t="s">
        <v>4196</v>
      </c>
      <c r="C796" s="1">
        <v>1406406.0</v>
      </c>
    </row>
    <row r="797">
      <c r="B797" s="1" t="s">
        <v>3984</v>
      </c>
      <c r="C797" s="1">
        <v>4030724.0</v>
      </c>
    </row>
    <row r="798">
      <c r="B798" s="1" t="s">
        <v>4357</v>
      </c>
      <c r="C798" s="1">
        <v>233555.0</v>
      </c>
    </row>
    <row r="799">
      <c r="B799" s="1" t="s">
        <v>4358</v>
      </c>
      <c r="C799" s="1">
        <v>2557034.0</v>
      </c>
    </row>
    <row r="800">
      <c r="B800" s="1" t="s">
        <v>3965</v>
      </c>
      <c r="C800" s="1">
        <v>2211576.0</v>
      </c>
    </row>
    <row r="801">
      <c r="A801" s="1" t="s">
        <v>4359</v>
      </c>
      <c r="B801" s="1" t="s">
        <v>4360</v>
      </c>
      <c r="D801" s="1">
        <v>846000.0</v>
      </c>
      <c r="E801" s="1" t="s">
        <v>4361</v>
      </c>
    </row>
    <row r="802">
      <c r="A802" s="1"/>
      <c r="B802" s="1" t="s">
        <v>4362</v>
      </c>
      <c r="D802" s="1">
        <v>200000.0</v>
      </c>
      <c r="E802" s="1" t="s">
        <v>630</v>
      </c>
    </row>
    <row r="803">
      <c r="A803" s="1" t="s">
        <v>2385</v>
      </c>
      <c r="B803" s="1" t="s">
        <v>1975</v>
      </c>
      <c r="D803" s="1">
        <v>214840.0</v>
      </c>
    </row>
    <row r="804">
      <c r="A804" s="1" t="s">
        <v>2385</v>
      </c>
      <c r="B804" s="1" t="s">
        <v>3908</v>
      </c>
      <c r="D804" s="1">
        <v>811870.0</v>
      </c>
    </row>
    <row r="805">
      <c r="A805" s="1" t="s">
        <v>2385</v>
      </c>
      <c r="B805" s="1" t="s">
        <v>267</v>
      </c>
      <c r="D805" s="1">
        <v>748000.0</v>
      </c>
    </row>
    <row r="806">
      <c r="A806" s="1"/>
      <c r="B806" s="1" t="s">
        <v>4363</v>
      </c>
      <c r="D806" s="1">
        <v>165000.0</v>
      </c>
    </row>
    <row r="807">
      <c r="A807" s="1" t="s">
        <v>2382</v>
      </c>
      <c r="B807" s="1" t="s">
        <v>4327</v>
      </c>
      <c r="D807" s="1">
        <v>450000.0</v>
      </c>
    </row>
    <row r="808">
      <c r="B808" s="1" t="s">
        <v>3947</v>
      </c>
      <c r="D808" s="1">
        <v>110000.0</v>
      </c>
      <c r="E808" s="1" t="s">
        <v>3986</v>
      </c>
    </row>
    <row r="809">
      <c r="B809" s="1" t="s">
        <v>3964</v>
      </c>
      <c r="D809" s="1">
        <v>90000.0</v>
      </c>
    </row>
    <row r="810">
      <c r="B810" s="1" t="s">
        <v>648</v>
      </c>
      <c r="D810" s="1">
        <v>110000.0</v>
      </c>
    </row>
    <row r="811">
      <c r="B811" s="3" t="s">
        <v>1137</v>
      </c>
      <c r="D811" s="23">
        <v>77640.0</v>
      </c>
      <c r="E811" s="1" t="s">
        <v>4077</v>
      </c>
    </row>
    <row r="812">
      <c r="A812" s="1" t="s">
        <v>4359</v>
      </c>
      <c r="B812" s="1" t="s">
        <v>4364</v>
      </c>
      <c r="C812" s="1">
        <v>2604484.0</v>
      </c>
    </row>
    <row r="813">
      <c r="B813" s="1" t="s">
        <v>4365</v>
      </c>
      <c r="C813" s="1">
        <v>2599988.0</v>
      </c>
    </row>
    <row r="814">
      <c r="A814" s="1" t="s">
        <v>4366</v>
      </c>
      <c r="B814" s="1" t="s">
        <v>4367</v>
      </c>
      <c r="D814" s="1">
        <v>561750.0</v>
      </c>
      <c r="E814" s="1" t="s">
        <v>4368</v>
      </c>
    </row>
    <row r="815">
      <c r="B815" s="1" t="s">
        <v>4369</v>
      </c>
      <c r="D815" s="1">
        <v>24070.0</v>
      </c>
      <c r="E815" s="1" t="s">
        <v>4368</v>
      </c>
    </row>
    <row r="816">
      <c r="A816" s="1" t="s">
        <v>2385</v>
      </c>
      <c r="B816" s="1" t="s">
        <v>4370</v>
      </c>
      <c r="C816" s="1">
        <v>2181681.0</v>
      </c>
    </row>
    <row r="817">
      <c r="A817" s="1" t="s">
        <v>4371</v>
      </c>
      <c r="B817" s="1" t="s">
        <v>4048</v>
      </c>
      <c r="C817" s="1">
        <v>1747485.0</v>
      </c>
    </row>
    <row r="818">
      <c r="A818" s="1" t="s">
        <v>4366</v>
      </c>
      <c r="B818" s="1" t="s">
        <v>4238</v>
      </c>
      <c r="C818" s="1">
        <v>1421488.0</v>
      </c>
    </row>
    <row r="819">
      <c r="A819" s="1" t="s">
        <v>4372</v>
      </c>
      <c r="B819" s="1" t="s">
        <v>4373</v>
      </c>
      <c r="C819" s="1">
        <v>2339528.0</v>
      </c>
    </row>
    <row r="820">
      <c r="B820" s="1" t="s">
        <v>4296</v>
      </c>
      <c r="C820" s="1">
        <v>2226135.0</v>
      </c>
    </row>
    <row r="821">
      <c r="A821" s="1" t="s">
        <v>2382</v>
      </c>
      <c r="B821" s="1" t="s">
        <v>4297</v>
      </c>
      <c r="C821" s="1">
        <v>2361913.0</v>
      </c>
    </row>
    <row r="822">
      <c r="B822" s="1" t="s">
        <v>4054</v>
      </c>
      <c r="C822" s="1">
        <v>4004778.0</v>
      </c>
    </row>
    <row r="823">
      <c r="B823" s="1" t="s">
        <v>4342</v>
      </c>
      <c r="C823" s="1">
        <v>2504644.0</v>
      </c>
    </row>
    <row r="824">
      <c r="B824" s="1" t="s">
        <v>4184</v>
      </c>
      <c r="C824" s="1">
        <v>1466421.0</v>
      </c>
    </row>
    <row r="825">
      <c r="A825" s="1" t="s">
        <v>4374</v>
      </c>
      <c r="B825" s="1" t="s">
        <v>3908</v>
      </c>
      <c r="D825" s="1">
        <v>947250.0</v>
      </c>
    </row>
    <row r="826">
      <c r="A826" s="1" t="s">
        <v>4374</v>
      </c>
      <c r="B826" s="1" t="s">
        <v>267</v>
      </c>
      <c r="D826" s="1">
        <v>726000.0</v>
      </c>
    </row>
    <row r="827">
      <c r="A827" s="1" t="s">
        <v>2408</v>
      </c>
      <c r="B827" s="1" t="s">
        <v>4327</v>
      </c>
      <c r="D827" s="1">
        <v>450000.0</v>
      </c>
    </row>
    <row r="828">
      <c r="B828" s="1" t="s">
        <v>3947</v>
      </c>
      <c r="D828" s="1">
        <v>110000.0</v>
      </c>
    </row>
    <row r="829">
      <c r="B829" s="1" t="s">
        <v>3964</v>
      </c>
      <c r="D829" s="1">
        <v>90000.0</v>
      </c>
    </row>
    <row r="830">
      <c r="B830" s="1" t="s">
        <v>648</v>
      </c>
      <c r="D830" s="1">
        <v>110000.0</v>
      </c>
    </row>
    <row r="831">
      <c r="B831" s="3" t="s">
        <v>1137</v>
      </c>
      <c r="D831" s="23">
        <v>82860.0</v>
      </c>
      <c r="E831" s="1" t="s">
        <v>4077</v>
      </c>
    </row>
    <row r="832">
      <c r="A832" s="1" t="s">
        <v>4375</v>
      </c>
      <c r="B832" s="1" t="s">
        <v>4376</v>
      </c>
      <c r="C832" s="1">
        <v>2588190.0</v>
      </c>
    </row>
    <row r="833">
      <c r="A833" s="1" t="s">
        <v>2409</v>
      </c>
      <c r="B833" s="1" t="s">
        <v>651</v>
      </c>
      <c r="D833" s="1">
        <v>869000.0</v>
      </c>
      <c r="E833" s="1" t="s">
        <v>2413</v>
      </c>
    </row>
    <row r="834">
      <c r="B834" s="1" t="s">
        <v>2218</v>
      </c>
      <c r="D834" s="1">
        <v>525547.0</v>
      </c>
      <c r="E834" s="1" t="s">
        <v>2413</v>
      </c>
    </row>
    <row r="835">
      <c r="B835" s="1" t="s">
        <v>4207</v>
      </c>
      <c r="C835" s="1">
        <v>2170733.0</v>
      </c>
    </row>
    <row r="836">
      <c r="B836" s="1" t="s">
        <v>3965</v>
      </c>
      <c r="C836" s="1">
        <v>2188502.0</v>
      </c>
    </row>
    <row r="837">
      <c r="A837" s="1" t="s">
        <v>2408</v>
      </c>
      <c r="B837" s="1" t="s">
        <v>3984</v>
      </c>
      <c r="C837" s="1">
        <v>4039805.0</v>
      </c>
    </row>
    <row r="838">
      <c r="B838" s="1" t="s">
        <v>4285</v>
      </c>
      <c r="C838" s="1">
        <v>1757071.0</v>
      </c>
    </row>
    <row r="839">
      <c r="B839" s="1" t="s">
        <v>4287</v>
      </c>
      <c r="C839" s="1">
        <v>2284264.0</v>
      </c>
    </row>
    <row r="840">
      <c r="B840" s="1" t="s">
        <v>4196</v>
      </c>
      <c r="C840" s="1">
        <v>1417858.0</v>
      </c>
    </row>
    <row r="841">
      <c r="B841" s="1" t="s">
        <v>4377</v>
      </c>
      <c r="C841" s="1">
        <v>3050370.0</v>
      </c>
    </row>
    <row r="842">
      <c r="A842" s="1" t="s">
        <v>4378</v>
      </c>
      <c r="B842" s="1" t="s">
        <v>4358</v>
      </c>
      <c r="C842" s="1">
        <v>2471843.0</v>
      </c>
    </row>
    <row r="843">
      <c r="A843" s="1" t="s">
        <v>4379</v>
      </c>
      <c r="B843" s="1" t="s">
        <v>4075</v>
      </c>
      <c r="C843" s="1">
        <v>1443994.0</v>
      </c>
    </row>
    <row r="844">
      <c r="A844" s="1" t="s">
        <v>2395</v>
      </c>
      <c r="B844" s="1" t="s">
        <v>3988</v>
      </c>
      <c r="C844" s="1">
        <v>1742606.0</v>
      </c>
    </row>
    <row r="845">
      <c r="B845" s="1" t="s">
        <v>4380</v>
      </c>
      <c r="C845" s="1">
        <v>1746314.0</v>
      </c>
    </row>
    <row r="846">
      <c r="B846" s="1" t="s">
        <v>4381</v>
      </c>
      <c r="C846" s="1">
        <v>2599317.0</v>
      </c>
    </row>
    <row r="847">
      <c r="A847" s="1" t="s">
        <v>4382</v>
      </c>
      <c r="B847" s="1" t="s">
        <v>4383</v>
      </c>
      <c r="D847" s="1">
        <v>62500.0</v>
      </c>
      <c r="E847" s="1" t="s">
        <v>4203</v>
      </c>
    </row>
    <row r="848">
      <c r="A848" s="1" t="s">
        <v>4384</v>
      </c>
      <c r="B848" s="1" t="s">
        <v>1975</v>
      </c>
      <c r="D848" s="1">
        <v>225400.0</v>
      </c>
    </row>
    <row r="849">
      <c r="A849" s="1" t="s">
        <v>4384</v>
      </c>
      <c r="B849" s="1" t="s">
        <v>3908</v>
      </c>
      <c r="D849" s="1">
        <v>1233750.0</v>
      </c>
    </row>
    <row r="850">
      <c r="A850" s="1" t="s">
        <v>4385</v>
      </c>
      <c r="B850" s="1" t="s">
        <v>267</v>
      </c>
      <c r="D850" s="1">
        <v>825000.0</v>
      </c>
    </row>
    <row r="851">
      <c r="A851" s="1" t="s">
        <v>2426</v>
      </c>
      <c r="B851" s="1" t="s">
        <v>4327</v>
      </c>
      <c r="D851" s="1">
        <v>450000.0</v>
      </c>
    </row>
    <row r="852">
      <c r="B852" s="1" t="s">
        <v>3947</v>
      </c>
      <c r="D852" s="1">
        <v>110000.0</v>
      </c>
      <c r="E852" s="1" t="s">
        <v>3986</v>
      </c>
    </row>
    <row r="853">
      <c r="B853" s="1" t="s">
        <v>3964</v>
      </c>
      <c r="D853" s="1">
        <v>90000.0</v>
      </c>
    </row>
    <row r="854">
      <c r="B854" s="1" t="s">
        <v>648</v>
      </c>
      <c r="D854" s="1">
        <v>110000.0</v>
      </c>
    </row>
    <row r="855">
      <c r="B855" s="3" t="s">
        <v>1137</v>
      </c>
      <c r="D855" s="1">
        <v>78700.0</v>
      </c>
      <c r="E855" s="1" t="s">
        <v>4077</v>
      </c>
    </row>
    <row r="856">
      <c r="A856" s="1" t="s">
        <v>4384</v>
      </c>
      <c r="B856" s="1" t="s">
        <v>4386</v>
      </c>
      <c r="D856" s="1">
        <v>6231950.0</v>
      </c>
      <c r="E856" s="1" t="s">
        <v>4387</v>
      </c>
    </row>
    <row r="857">
      <c r="B857" s="30" t="s">
        <v>4388</v>
      </c>
      <c r="C857" s="31"/>
      <c r="D857" s="30">
        <v>2402970.0</v>
      </c>
      <c r="E857" s="30" t="s">
        <v>4389</v>
      </c>
    </row>
    <row r="858">
      <c r="A858" s="1" t="s">
        <v>4390</v>
      </c>
      <c r="B858" s="1" t="s">
        <v>4048</v>
      </c>
      <c r="C858" s="1">
        <v>1758179.0</v>
      </c>
    </row>
    <row r="859">
      <c r="B859" s="1" t="s">
        <v>4370</v>
      </c>
      <c r="C859" s="1">
        <v>2227837.0</v>
      </c>
    </row>
    <row r="860">
      <c r="B860" s="1" t="s">
        <v>4391</v>
      </c>
      <c r="C860" s="1">
        <v>1824959.0</v>
      </c>
    </row>
    <row r="861">
      <c r="B861" s="1" t="s">
        <v>4238</v>
      </c>
      <c r="C861" s="1">
        <v>1483942.0</v>
      </c>
    </row>
    <row r="862">
      <c r="A862" s="1" t="s">
        <v>4392</v>
      </c>
      <c r="B862" s="1" t="s">
        <v>4296</v>
      </c>
      <c r="C862" s="1">
        <v>2219307.0</v>
      </c>
    </row>
    <row r="863">
      <c r="A863" s="1" t="s">
        <v>4393</v>
      </c>
      <c r="B863" s="1" t="s">
        <v>4297</v>
      </c>
      <c r="C863" s="1">
        <v>2331282.0</v>
      </c>
    </row>
    <row r="864">
      <c r="B864" s="1" t="s">
        <v>4184</v>
      </c>
      <c r="C864" s="1">
        <v>1456134.0</v>
      </c>
    </row>
    <row r="865">
      <c r="A865" s="1" t="s">
        <v>4394</v>
      </c>
      <c r="B865" s="1" t="s">
        <v>4373</v>
      </c>
      <c r="C865" s="1">
        <v>3096189.0</v>
      </c>
    </row>
    <row r="866">
      <c r="A866" s="1" t="s">
        <v>2426</v>
      </c>
      <c r="B866" s="1" t="s">
        <v>4054</v>
      </c>
      <c r="C866" s="1">
        <v>4101788.0</v>
      </c>
    </row>
    <row r="867">
      <c r="B867" s="1" t="s">
        <v>4342</v>
      </c>
      <c r="C867" s="1">
        <v>2536563.0</v>
      </c>
    </row>
    <row r="868">
      <c r="A868" s="1" t="s">
        <v>2439</v>
      </c>
      <c r="B868" s="1" t="s">
        <v>3908</v>
      </c>
      <c r="D868" s="1">
        <v>1353100.0</v>
      </c>
    </row>
    <row r="869">
      <c r="A869" s="1" t="s">
        <v>2439</v>
      </c>
      <c r="B869" s="1" t="s">
        <v>4395</v>
      </c>
      <c r="D869" s="1">
        <v>12500.0</v>
      </c>
      <c r="E869" s="1" t="s">
        <v>4203</v>
      </c>
    </row>
    <row r="870">
      <c r="A870" s="1" t="s">
        <v>4396</v>
      </c>
      <c r="B870" s="1" t="s">
        <v>267</v>
      </c>
      <c r="D870" s="1">
        <v>946000.0</v>
      </c>
    </row>
    <row r="871">
      <c r="A871" s="1" t="s">
        <v>2438</v>
      </c>
      <c r="B871" s="1" t="s">
        <v>4327</v>
      </c>
      <c r="D871" s="1">
        <v>450000.0</v>
      </c>
    </row>
    <row r="872">
      <c r="B872" s="1" t="s">
        <v>3947</v>
      </c>
      <c r="D872" s="1">
        <v>110000.0</v>
      </c>
      <c r="E872" s="1" t="s">
        <v>3986</v>
      </c>
    </row>
    <row r="873">
      <c r="B873" s="1" t="s">
        <v>3964</v>
      </c>
      <c r="D873" s="1">
        <v>90000.0</v>
      </c>
    </row>
    <row r="874">
      <c r="B874" s="1" t="s">
        <v>648</v>
      </c>
      <c r="D874" s="1">
        <v>110000.0</v>
      </c>
    </row>
    <row r="875">
      <c r="B875" s="3" t="s">
        <v>1137</v>
      </c>
      <c r="D875" s="1">
        <v>82600.0</v>
      </c>
      <c r="E875" s="1" t="s">
        <v>4077</v>
      </c>
    </row>
    <row r="876">
      <c r="A876" s="1" t="s">
        <v>2439</v>
      </c>
      <c r="B876" s="1" t="s">
        <v>69</v>
      </c>
      <c r="D876" s="1">
        <v>62500.0</v>
      </c>
      <c r="E876" s="1" t="s">
        <v>4397</v>
      </c>
    </row>
    <row r="877">
      <c r="A877" s="1" t="s">
        <v>4398</v>
      </c>
      <c r="B877" s="1" t="s">
        <v>3988</v>
      </c>
      <c r="C877" s="1">
        <v>1736850.0</v>
      </c>
    </row>
    <row r="878">
      <c r="A878" s="1" t="s">
        <v>4399</v>
      </c>
      <c r="B878" s="1" t="s">
        <v>3965</v>
      </c>
      <c r="C878" s="1">
        <v>2213156.0</v>
      </c>
    </row>
    <row r="879">
      <c r="B879" s="1" t="s">
        <v>4285</v>
      </c>
      <c r="C879" s="1">
        <v>1800068.0</v>
      </c>
    </row>
    <row r="880">
      <c r="B880" s="1" t="s">
        <v>4075</v>
      </c>
      <c r="C880" s="1">
        <v>1468220.0</v>
      </c>
    </row>
    <row r="881">
      <c r="A881" s="1" t="s">
        <v>4400</v>
      </c>
      <c r="B881" s="1" t="s">
        <v>4207</v>
      </c>
      <c r="C881" s="1">
        <v>2250150.0</v>
      </c>
    </row>
    <row r="882">
      <c r="B882" s="1" t="s">
        <v>4287</v>
      </c>
      <c r="C882" s="1">
        <v>2309296.0</v>
      </c>
    </row>
    <row r="883">
      <c r="B883" s="1" t="s">
        <v>4377</v>
      </c>
      <c r="C883" s="1">
        <v>3085429.0</v>
      </c>
    </row>
    <row r="884">
      <c r="B884" s="1" t="s">
        <v>3984</v>
      </c>
      <c r="C884" s="1">
        <v>4053218.0</v>
      </c>
    </row>
    <row r="885">
      <c r="A885" s="1" t="s">
        <v>2438</v>
      </c>
      <c r="B885" s="1" t="s">
        <v>4401</v>
      </c>
      <c r="C885" s="1">
        <v>2591204.0</v>
      </c>
    </row>
    <row r="886">
      <c r="B886" s="1" t="s">
        <v>4402</v>
      </c>
      <c r="C886" s="1">
        <v>2633965.0</v>
      </c>
    </row>
    <row r="887">
      <c r="A887" s="1" t="s">
        <v>4403</v>
      </c>
      <c r="B887" s="1" t="s">
        <v>4358</v>
      </c>
      <c r="C887" s="1">
        <v>2558504.0</v>
      </c>
    </row>
    <row r="888">
      <c r="B888" s="1" t="s">
        <v>4196</v>
      </c>
      <c r="C888" s="1">
        <v>1438693.0</v>
      </c>
    </row>
    <row r="889">
      <c r="A889" s="1" t="s">
        <v>4404</v>
      </c>
      <c r="B889" s="23" t="s">
        <v>4405</v>
      </c>
      <c r="D889" s="1">
        <v>284600.0</v>
      </c>
      <c r="E889" s="1" t="s">
        <v>4406</v>
      </c>
    </row>
    <row r="890">
      <c r="B890" s="23" t="s">
        <v>4407</v>
      </c>
      <c r="D890" s="1">
        <v>25300.0</v>
      </c>
      <c r="E890" s="1" t="s">
        <v>4408</v>
      </c>
    </row>
    <row r="891">
      <c r="A891" s="1" t="s">
        <v>4409</v>
      </c>
      <c r="B891" s="1" t="s">
        <v>3908</v>
      </c>
      <c r="D891" s="1">
        <v>1185970.0</v>
      </c>
    </row>
    <row r="892">
      <c r="A892" s="1"/>
      <c r="B892" s="1" t="s">
        <v>1975</v>
      </c>
      <c r="D892" s="1">
        <v>235960.0</v>
      </c>
      <c r="E892" s="1"/>
    </row>
    <row r="893">
      <c r="A893" s="1" t="s">
        <v>4409</v>
      </c>
      <c r="B893" s="1" t="s">
        <v>4410</v>
      </c>
      <c r="D893" s="1">
        <v>12500.0</v>
      </c>
      <c r="E893" s="1" t="s">
        <v>4203</v>
      </c>
    </row>
    <row r="894">
      <c r="A894" s="1" t="s">
        <v>4409</v>
      </c>
      <c r="B894" s="1" t="s">
        <v>267</v>
      </c>
      <c r="D894" s="1">
        <v>968000.0</v>
      </c>
    </row>
    <row r="895">
      <c r="A895" s="1" t="s">
        <v>2459</v>
      </c>
      <c r="B895" s="1" t="s">
        <v>4327</v>
      </c>
      <c r="D895" s="1">
        <v>450000.0</v>
      </c>
    </row>
    <row r="896">
      <c r="B896" s="1" t="s">
        <v>4411</v>
      </c>
      <c r="D896" s="1">
        <v>100000.0</v>
      </c>
      <c r="E896" s="1"/>
    </row>
    <row r="897">
      <c r="B897" s="1" t="s">
        <v>3947</v>
      </c>
      <c r="D897" s="1">
        <v>110000.0</v>
      </c>
      <c r="E897" s="1" t="s">
        <v>3986</v>
      </c>
    </row>
    <row r="898">
      <c r="B898" s="1" t="s">
        <v>3964</v>
      </c>
      <c r="D898" s="1">
        <v>90000.0</v>
      </c>
    </row>
    <row r="899">
      <c r="B899" s="1" t="s">
        <v>648</v>
      </c>
      <c r="D899" s="1">
        <v>110000.0</v>
      </c>
    </row>
    <row r="900">
      <c r="B900" s="3" t="s">
        <v>1137</v>
      </c>
      <c r="D900" s="75"/>
      <c r="E900" s="1" t="s">
        <v>4077</v>
      </c>
    </row>
    <row r="901">
      <c r="A901" s="30" t="s">
        <v>2446</v>
      </c>
      <c r="B901" s="30" t="s">
        <v>4412</v>
      </c>
      <c r="C901" s="31"/>
      <c r="D901" s="30">
        <v>1.398819E7</v>
      </c>
      <c r="E901" s="30" t="s">
        <v>4413</v>
      </c>
    </row>
    <row r="902">
      <c r="A902" s="1" t="s">
        <v>4414</v>
      </c>
      <c r="B902" s="1" t="s">
        <v>4415</v>
      </c>
      <c r="D902" s="1">
        <v>539000.0</v>
      </c>
      <c r="E902" s="1" t="s">
        <v>4416</v>
      </c>
    </row>
    <row r="903">
      <c r="A903" s="1" t="s">
        <v>4417</v>
      </c>
      <c r="B903" s="1" t="s">
        <v>4048</v>
      </c>
      <c r="C903" s="1">
        <v>1757073.0</v>
      </c>
      <c r="D903" s="1"/>
      <c r="E903" s="1"/>
    </row>
    <row r="904">
      <c r="A904" s="1"/>
      <c r="B904" s="1" t="s">
        <v>4207</v>
      </c>
      <c r="C904" s="1">
        <v>2199799.0</v>
      </c>
      <c r="D904" s="1"/>
      <c r="E904" s="1"/>
    </row>
    <row r="905">
      <c r="B905" s="1" t="s">
        <v>4418</v>
      </c>
      <c r="C905" s="1">
        <v>22572.0</v>
      </c>
      <c r="D905" s="1"/>
      <c r="E905" s="1"/>
    </row>
    <row r="906">
      <c r="A906" s="1" t="s">
        <v>4419</v>
      </c>
      <c r="B906" s="1" t="s">
        <v>4296</v>
      </c>
      <c r="C906" s="1">
        <v>2236373.0</v>
      </c>
      <c r="D906" s="1"/>
      <c r="E906" s="1"/>
    </row>
    <row r="907">
      <c r="A907" s="1" t="s">
        <v>4420</v>
      </c>
      <c r="B907" s="1" t="s">
        <v>4297</v>
      </c>
      <c r="C907" s="1">
        <v>2322559.0</v>
      </c>
      <c r="D907" s="1"/>
      <c r="E907" s="1"/>
    </row>
    <row r="908">
      <c r="A908" s="1" t="s">
        <v>2459</v>
      </c>
      <c r="B908" s="1" t="s">
        <v>4373</v>
      </c>
      <c r="C908" s="1">
        <v>3095407.0</v>
      </c>
      <c r="D908" s="1"/>
      <c r="E908" s="1"/>
    </row>
    <row r="909">
      <c r="A909" s="1"/>
      <c r="B909" s="1" t="s">
        <v>4054</v>
      </c>
      <c r="C909" s="1">
        <v>4091294.0</v>
      </c>
      <c r="D909" s="1"/>
      <c r="E909" s="1"/>
    </row>
    <row r="910">
      <c r="A910" s="1"/>
      <c r="B910" s="1" t="s">
        <v>4196</v>
      </c>
      <c r="C910" s="1">
        <v>1433438.0</v>
      </c>
      <c r="D910" s="1"/>
      <c r="E910" s="1"/>
    </row>
    <row r="911">
      <c r="A911" s="1"/>
      <c r="B911" s="1" t="s">
        <v>4421</v>
      </c>
      <c r="C911" s="1">
        <v>13247.0</v>
      </c>
      <c r="D911" s="1"/>
      <c r="E911" s="1"/>
    </row>
    <row r="912">
      <c r="A912" s="1"/>
      <c r="B912" s="1" t="s">
        <v>4422</v>
      </c>
      <c r="C912" s="1">
        <v>2650510.0</v>
      </c>
      <c r="D912" s="1"/>
      <c r="E912" s="1"/>
    </row>
    <row r="913">
      <c r="A913" s="1"/>
      <c r="B913" s="1" t="s">
        <v>4391</v>
      </c>
      <c r="C913" s="1">
        <v>1808592.0</v>
      </c>
      <c r="D913" s="1"/>
      <c r="E913" s="1"/>
    </row>
    <row r="914">
      <c r="A914" s="1" t="s">
        <v>2447</v>
      </c>
      <c r="B914" s="1" t="s">
        <v>4342</v>
      </c>
      <c r="C914" s="1">
        <v>2569364.0</v>
      </c>
      <c r="D914" s="1"/>
      <c r="E914" s="1"/>
    </row>
    <row r="915">
      <c r="A915" s="1" t="s">
        <v>2465</v>
      </c>
      <c r="B915" s="1" t="s">
        <v>4423</v>
      </c>
      <c r="D915" s="1">
        <v>250470.0</v>
      </c>
      <c r="E915" s="1" t="s">
        <v>4424</v>
      </c>
    </row>
    <row r="916">
      <c r="A916" s="1"/>
      <c r="B916" s="1" t="s">
        <v>4238</v>
      </c>
      <c r="C916" s="1">
        <v>1454499.0</v>
      </c>
      <c r="D916" s="1"/>
      <c r="E916" s="1"/>
    </row>
    <row r="917">
      <c r="A917" s="1" t="s">
        <v>2471</v>
      </c>
      <c r="B917" s="1" t="s">
        <v>3908</v>
      </c>
      <c r="D917" s="1">
        <v>791780.0</v>
      </c>
    </row>
    <row r="918">
      <c r="A918" s="1" t="s">
        <v>2471</v>
      </c>
      <c r="B918" s="1" t="s">
        <v>4288</v>
      </c>
      <c r="D918" s="1">
        <v>12500.0</v>
      </c>
      <c r="E918" s="1" t="s">
        <v>4203</v>
      </c>
    </row>
    <row r="919">
      <c r="A919" s="1" t="s">
        <v>2471</v>
      </c>
      <c r="B919" s="1" t="s">
        <v>267</v>
      </c>
      <c r="D919" s="1">
        <v>891000.0</v>
      </c>
    </row>
    <row r="920">
      <c r="A920" s="1" t="s">
        <v>2477</v>
      </c>
      <c r="B920" s="1" t="s">
        <v>4327</v>
      </c>
      <c r="D920" s="1">
        <v>450000.0</v>
      </c>
    </row>
    <row r="921">
      <c r="B921" s="1" t="s">
        <v>3947</v>
      </c>
      <c r="D921" s="1">
        <v>110000.0</v>
      </c>
      <c r="E921" s="1" t="s">
        <v>3986</v>
      </c>
    </row>
    <row r="922">
      <c r="B922" s="1" t="s">
        <v>3964</v>
      </c>
      <c r="D922" s="1">
        <v>90000.0</v>
      </c>
    </row>
    <row r="923">
      <c r="B923" s="1" t="s">
        <v>648</v>
      </c>
      <c r="D923" s="1">
        <v>110000.0</v>
      </c>
    </row>
    <row r="924">
      <c r="B924" s="3" t="s">
        <v>1137</v>
      </c>
      <c r="D924" s="1"/>
      <c r="E924" s="1" t="s">
        <v>4077</v>
      </c>
    </row>
    <row r="925">
      <c r="A925" s="1" t="s">
        <v>2471</v>
      </c>
      <c r="B925" s="1" t="s">
        <v>4425</v>
      </c>
      <c r="D925" s="1">
        <v>5713000.0</v>
      </c>
    </row>
    <row r="926">
      <c r="B926" s="1" t="s">
        <v>4126</v>
      </c>
      <c r="D926" s="1">
        <v>589710.0</v>
      </c>
    </row>
    <row r="927">
      <c r="A927" s="1" t="s">
        <v>4426</v>
      </c>
      <c r="B927" s="1" t="s">
        <v>4207</v>
      </c>
      <c r="C927" s="1">
        <v>2160506.0</v>
      </c>
    </row>
    <row r="928">
      <c r="B928" s="1" t="s">
        <v>3988</v>
      </c>
      <c r="C928" s="1">
        <v>1734233.0</v>
      </c>
    </row>
    <row r="929">
      <c r="B929" s="1" t="s">
        <v>3965</v>
      </c>
      <c r="C929" s="1">
        <v>2185399.0</v>
      </c>
    </row>
    <row r="930">
      <c r="A930" s="1" t="s">
        <v>4427</v>
      </c>
      <c r="B930" s="1" t="s">
        <v>4358</v>
      </c>
      <c r="C930" s="1">
        <v>2495638.0</v>
      </c>
    </row>
    <row r="931">
      <c r="B931" s="1" t="s">
        <v>4285</v>
      </c>
      <c r="C931" s="1">
        <v>1729460.0</v>
      </c>
    </row>
    <row r="932">
      <c r="A932" s="1" t="s">
        <v>4428</v>
      </c>
      <c r="B932" s="1" t="s">
        <v>4377</v>
      </c>
      <c r="C932" s="1">
        <v>3048528.0</v>
      </c>
    </row>
    <row r="933">
      <c r="B933" s="1" t="s">
        <v>4287</v>
      </c>
      <c r="C933" s="1">
        <v>2233109.0</v>
      </c>
    </row>
    <row r="934">
      <c r="A934" s="1" t="s">
        <v>2477</v>
      </c>
      <c r="B934" s="1" t="s">
        <v>3984</v>
      </c>
      <c r="C934" s="1">
        <v>4009897.0</v>
      </c>
    </row>
    <row r="935">
      <c r="A935" s="1" t="s">
        <v>2477</v>
      </c>
      <c r="B935" s="1" t="s">
        <v>4429</v>
      </c>
      <c r="D935" s="1">
        <v>1622500.0</v>
      </c>
      <c r="E935" s="1" t="s">
        <v>4430</v>
      </c>
    </row>
    <row r="936">
      <c r="B936" s="1" t="s">
        <v>4196</v>
      </c>
      <c r="C936" s="1">
        <v>1432596.0</v>
      </c>
    </row>
    <row r="937">
      <c r="A937" s="1" t="s">
        <v>2470</v>
      </c>
      <c r="B937" s="1" t="s">
        <v>4075</v>
      </c>
      <c r="C937" s="1">
        <v>1389961.0</v>
      </c>
    </row>
    <row r="938">
      <c r="A938" s="1" t="s">
        <v>4431</v>
      </c>
      <c r="B938" s="1" t="s">
        <v>4432</v>
      </c>
      <c r="C938" s="1">
        <v>2629704.0</v>
      </c>
    </row>
    <row r="939">
      <c r="A939" s="1" t="s">
        <v>2496</v>
      </c>
      <c r="B939" s="1" t="s">
        <v>3908</v>
      </c>
      <c r="D939" s="1">
        <v>870070.0</v>
      </c>
    </row>
    <row r="940">
      <c r="B940" s="1" t="s">
        <v>1975</v>
      </c>
      <c r="D940" s="1">
        <v>217480.0</v>
      </c>
    </row>
    <row r="941">
      <c r="B941" s="1" t="s">
        <v>4292</v>
      </c>
      <c r="D941" s="1">
        <v>12500.0</v>
      </c>
      <c r="E941" s="1" t="s">
        <v>4203</v>
      </c>
    </row>
    <row r="942">
      <c r="B942" s="1" t="s">
        <v>267</v>
      </c>
      <c r="D942" s="1">
        <v>858000.0</v>
      </c>
    </row>
    <row r="943">
      <c r="A943" s="1" t="s">
        <v>2487</v>
      </c>
      <c r="B943" s="1" t="s">
        <v>4327</v>
      </c>
      <c r="D943" s="1">
        <v>450000.0</v>
      </c>
    </row>
    <row r="944">
      <c r="B944" s="1" t="s">
        <v>3947</v>
      </c>
      <c r="D944" s="1">
        <v>110000.0</v>
      </c>
      <c r="E944" s="1" t="s">
        <v>3986</v>
      </c>
    </row>
    <row r="945">
      <c r="B945" s="1" t="s">
        <v>3964</v>
      </c>
      <c r="D945" s="1">
        <v>90000.0</v>
      </c>
    </row>
    <row r="946">
      <c r="B946" s="1" t="s">
        <v>648</v>
      </c>
      <c r="D946" s="1">
        <v>110000.0</v>
      </c>
    </row>
    <row r="947">
      <c r="B947" s="3" t="s">
        <v>1137</v>
      </c>
      <c r="D947" s="1"/>
      <c r="E947" s="1" t="s">
        <v>4077</v>
      </c>
    </row>
    <row r="948">
      <c r="A948" s="1" t="s">
        <v>2496</v>
      </c>
      <c r="B948" s="1" t="s">
        <v>4048</v>
      </c>
      <c r="C948" s="1">
        <v>1776431.0</v>
      </c>
    </row>
    <row r="949">
      <c r="A949" s="1" t="s">
        <v>4433</v>
      </c>
      <c r="B949" s="1" t="s">
        <v>4207</v>
      </c>
      <c r="C949" s="1">
        <v>2167458.0</v>
      </c>
    </row>
    <row r="950">
      <c r="B950" s="1" t="s">
        <v>4418</v>
      </c>
      <c r="C950" s="1">
        <v>20805.0</v>
      </c>
    </row>
    <row r="951">
      <c r="A951" s="1" t="s">
        <v>4434</v>
      </c>
      <c r="B951" s="1" t="s">
        <v>4296</v>
      </c>
      <c r="C951" s="1">
        <v>2216397.0</v>
      </c>
    </row>
    <row r="952">
      <c r="A952" s="1" t="s">
        <v>2500</v>
      </c>
      <c r="B952" s="1" t="s">
        <v>4391</v>
      </c>
      <c r="C952" s="1">
        <v>1757697.0</v>
      </c>
    </row>
    <row r="953">
      <c r="A953" s="1" t="s">
        <v>2487</v>
      </c>
      <c r="B953" s="1" t="s">
        <v>4054</v>
      </c>
      <c r="C953" s="1">
        <v>4041372.0</v>
      </c>
    </row>
    <row r="954">
      <c r="B954" s="1" t="s">
        <v>4297</v>
      </c>
      <c r="C954" s="1">
        <v>2292260.0</v>
      </c>
    </row>
    <row r="955">
      <c r="B955" s="1" t="s">
        <v>4184</v>
      </c>
      <c r="C955" s="1">
        <v>1442344.0</v>
      </c>
    </row>
    <row r="956">
      <c r="A956" s="1" t="s">
        <v>4435</v>
      </c>
      <c r="B956" s="1" t="s">
        <v>4373</v>
      </c>
      <c r="C956" s="1">
        <v>3088117.0</v>
      </c>
    </row>
    <row r="957">
      <c r="B957" s="1" t="s">
        <v>4342</v>
      </c>
      <c r="C957" s="1">
        <v>2486489.0</v>
      </c>
    </row>
    <row r="958">
      <c r="B958" s="1" t="s">
        <v>4238</v>
      </c>
      <c r="C958" s="1">
        <v>1404934.0</v>
      </c>
    </row>
    <row r="959">
      <c r="A959" s="1" t="s">
        <v>2521</v>
      </c>
      <c r="B959" s="1" t="s">
        <v>3908</v>
      </c>
      <c r="D959" s="1">
        <v>1399140.0</v>
      </c>
    </row>
    <row r="960">
      <c r="B960" s="1" t="s">
        <v>4302</v>
      </c>
      <c r="D960" s="1">
        <v>12500.0</v>
      </c>
      <c r="E960" s="1" t="s">
        <v>4203</v>
      </c>
    </row>
    <row r="961">
      <c r="B961" s="1" t="s">
        <v>267</v>
      </c>
      <c r="D961" s="1">
        <v>825000.0</v>
      </c>
    </row>
    <row r="962">
      <c r="A962" s="1" t="s">
        <v>2513</v>
      </c>
      <c r="B962" s="1" t="s">
        <v>4327</v>
      </c>
      <c r="D962" s="1">
        <v>450000.0</v>
      </c>
    </row>
    <row r="963">
      <c r="B963" s="1" t="s">
        <v>3947</v>
      </c>
      <c r="D963" s="1">
        <v>110000.0</v>
      </c>
      <c r="E963" s="1" t="s">
        <v>3986</v>
      </c>
    </row>
    <row r="964">
      <c r="B964" s="1" t="s">
        <v>3964</v>
      </c>
      <c r="D964" s="1">
        <v>90000.0</v>
      </c>
    </row>
    <row r="965">
      <c r="B965" s="1" t="s">
        <v>648</v>
      </c>
      <c r="D965" s="1">
        <v>110000.0</v>
      </c>
    </row>
    <row r="966">
      <c r="B966" s="3" t="s">
        <v>1137</v>
      </c>
      <c r="D966" s="75"/>
      <c r="E966" s="1" t="s">
        <v>4077</v>
      </c>
    </row>
    <row r="967">
      <c r="A967" s="1" t="s">
        <v>2521</v>
      </c>
      <c r="B967" s="1" t="s">
        <v>4207</v>
      </c>
      <c r="C967" s="1">
        <v>2189128.0</v>
      </c>
    </row>
    <row r="968">
      <c r="A968" s="1" t="s">
        <v>4436</v>
      </c>
      <c r="B968" s="1" t="s">
        <v>4285</v>
      </c>
      <c r="C968" s="1">
        <v>1807352.0</v>
      </c>
    </row>
    <row r="969">
      <c r="B969" s="1" t="s">
        <v>3988</v>
      </c>
      <c r="C969" s="1">
        <v>1786067.0</v>
      </c>
    </row>
    <row r="970">
      <c r="A970" s="1" t="s">
        <v>4437</v>
      </c>
      <c r="B970" s="1" t="s">
        <v>4075</v>
      </c>
      <c r="C970" s="1">
        <v>1427099.0</v>
      </c>
    </row>
    <row r="971">
      <c r="A971" s="1" t="s">
        <v>4438</v>
      </c>
      <c r="B971" s="1" t="s">
        <v>4358</v>
      </c>
      <c r="C971" s="1">
        <v>2464053.0</v>
      </c>
    </row>
    <row r="972">
      <c r="A972" s="1" t="s">
        <v>2525</v>
      </c>
      <c r="B972" s="1" t="s">
        <v>4439</v>
      </c>
      <c r="C972" s="1">
        <v>2000000.0</v>
      </c>
    </row>
    <row r="973">
      <c r="A973" s="1" t="s">
        <v>4440</v>
      </c>
      <c r="B973" s="1" t="s">
        <v>3984</v>
      </c>
      <c r="C973" s="1">
        <v>4092325.0</v>
      </c>
    </row>
    <row r="974">
      <c r="A974" s="1" t="s">
        <v>4441</v>
      </c>
      <c r="B974" s="1" t="s">
        <v>4377</v>
      </c>
      <c r="C974" s="1">
        <v>3127251.0</v>
      </c>
    </row>
    <row r="975">
      <c r="A975" s="1" t="s">
        <v>2513</v>
      </c>
      <c r="B975" s="1" t="s">
        <v>4442</v>
      </c>
      <c r="D975">
        <f>30000000-2238470</f>
        <v>27761530</v>
      </c>
      <c r="E975" s="1" t="s">
        <v>4443</v>
      </c>
    </row>
    <row r="976">
      <c r="A976" s="1" t="s">
        <v>4441</v>
      </c>
      <c r="B976" s="1" t="s">
        <v>4287</v>
      </c>
      <c r="C976" s="1">
        <v>2444546.0</v>
      </c>
    </row>
    <row r="977">
      <c r="B977" s="1" t="s">
        <v>4196</v>
      </c>
      <c r="C977" s="1">
        <v>1429076.0</v>
      </c>
    </row>
    <row r="978">
      <c r="A978" s="1" t="s">
        <v>2532</v>
      </c>
      <c r="B978" s="1" t="s">
        <v>3908</v>
      </c>
      <c r="D978" s="1">
        <v>1520990.0</v>
      </c>
      <c r="E978" s="1" t="s">
        <v>4444</v>
      </c>
    </row>
    <row r="979">
      <c r="B979" s="1" t="s">
        <v>1975</v>
      </c>
      <c r="D979" s="1">
        <v>165510.0</v>
      </c>
    </row>
    <row r="980">
      <c r="B980" s="1" t="s">
        <v>4315</v>
      </c>
      <c r="D980" s="1">
        <v>12500.0</v>
      </c>
      <c r="E980" s="1" t="s">
        <v>4203</v>
      </c>
    </row>
    <row r="981">
      <c r="B981" s="1" t="s">
        <v>267</v>
      </c>
      <c r="D981" s="1">
        <v>715000.0</v>
      </c>
    </row>
    <row r="982">
      <c r="A982" s="1" t="s">
        <v>2531</v>
      </c>
      <c r="B982" s="1" t="s">
        <v>4445</v>
      </c>
      <c r="D982" s="1">
        <v>450000.0</v>
      </c>
    </row>
    <row r="983">
      <c r="B983" s="1" t="s">
        <v>3947</v>
      </c>
      <c r="D983" s="1">
        <v>110000.0</v>
      </c>
      <c r="E983" s="1" t="s">
        <v>3986</v>
      </c>
    </row>
    <row r="984">
      <c r="B984" s="1" t="s">
        <v>3964</v>
      </c>
      <c r="D984" s="1">
        <v>90000.0</v>
      </c>
    </row>
    <row r="985">
      <c r="B985" s="1" t="s">
        <v>648</v>
      </c>
      <c r="D985" s="1">
        <v>110000.0</v>
      </c>
    </row>
    <row r="986">
      <c r="B986" s="3" t="s">
        <v>1137</v>
      </c>
      <c r="D986" s="23"/>
      <c r="E986" s="1" t="s">
        <v>4077</v>
      </c>
    </row>
    <row r="987">
      <c r="B987" s="1" t="s">
        <v>4446</v>
      </c>
      <c r="D987" s="1">
        <v>100000.0</v>
      </c>
    </row>
    <row r="988">
      <c r="A988" s="1" t="s">
        <v>2532</v>
      </c>
      <c r="B988" s="1" t="s">
        <v>4228</v>
      </c>
      <c r="D988" s="1">
        <v>6611380.0</v>
      </c>
      <c r="E988" s="1" t="s">
        <v>4447</v>
      </c>
    </row>
    <row r="989">
      <c r="A989" s="1" t="s">
        <v>4448</v>
      </c>
      <c r="B989" s="1" t="s">
        <v>4207</v>
      </c>
      <c r="C989" s="1">
        <v>2216100.0</v>
      </c>
    </row>
    <row r="990">
      <c r="B990" s="1" t="s">
        <v>4449</v>
      </c>
      <c r="C990" s="1">
        <v>17662.0</v>
      </c>
    </row>
    <row r="991">
      <c r="A991" s="1" t="s">
        <v>4450</v>
      </c>
      <c r="B991" s="1" t="s">
        <v>4048</v>
      </c>
      <c r="C991" s="1">
        <v>1806170.0</v>
      </c>
    </row>
    <row r="992">
      <c r="A992" s="1" t="s">
        <v>2541</v>
      </c>
      <c r="B992" s="1" t="s">
        <v>4054</v>
      </c>
      <c r="C992" s="1">
        <v>4144851.0</v>
      </c>
    </row>
    <row r="993">
      <c r="B993" s="1" t="s">
        <v>4373</v>
      </c>
      <c r="C993" s="1">
        <v>3159689.0</v>
      </c>
    </row>
    <row r="994">
      <c r="B994" s="1" t="s">
        <v>4196</v>
      </c>
      <c r="C994" s="1">
        <v>1447207.0</v>
      </c>
    </row>
    <row r="995">
      <c r="B995" s="1" t="s">
        <v>4421</v>
      </c>
      <c r="C995" s="1">
        <v>10365.0</v>
      </c>
    </row>
    <row r="996">
      <c r="B996" s="1" t="s">
        <v>4297</v>
      </c>
      <c r="C996" s="1">
        <v>2513761.0</v>
      </c>
    </row>
    <row r="997">
      <c r="A997" s="1" t="s">
        <v>2531</v>
      </c>
      <c r="B997" s="1" t="s">
        <v>4342</v>
      </c>
      <c r="C997" s="1">
        <v>2512100.0</v>
      </c>
    </row>
    <row r="998">
      <c r="B998" s="1" t="s">
        <v>4238</v>
      </c>
      <c r="C998" s="1">
        <v>1478858.0</v>
      </c>
    </row>
    <row r="999">
      <c r="A999" s="1" t="s">
        <v>2543</v>
      </c>
      <c r="B999" s="1" t="s">
        <v>4391</v>
      </c>
      <c r="C999" s="1">
        <v>1796000.0</v>
      </c>
    </row>
    <row r="1000">
      <c r="A1000" s="1" t="s">
        <v>4451</v>
      </c>
      <c r="B1000" s="1" t="s">
        <v>4452</v>
      </c>
      <c r="C1000" s="1">
        <v>2583448.0</v>
      </c>
    </row>
    <row r="1001">
      <c r="A1001" s="1" t="s">
        <v>2531</v>
      </c>
      <c r="B1001" s="1" t="s">
        <v>4453</v>
      </c>
      <c r="C1001" s="1">
        <v>2000000.0</v>
      </c>
    </row>
    <row r="1002">
      <c r="A1002" s="1" t="s">
        <v>2551</v>
      </c>
      <c r="B1002" s="1" t="s">
        <v>4454</v>
      </c>
      <c r="C1002" s="1">
        <v>1.8E7</v>
      </c>
    </row>
    <row r="1003">
      <c r="B1003" s="69" t="s">
        <v>4455</v>
      </c>
      <c r="D1003" s="1">
        <v>1100000.0</v>
      </c>
      <c r="E1003" s="1" t="s">
        <v>4456</v>
      </c>
    </row>
    <row r="1004">
      <c r="A1004" s="1" t="s">
        <v>4457</v>
      </c>
      <c r="B1004" s="1" t="s">
        <v>4458</v>
      </c>
      <c r="C1004" s="1">
        <v>1031494.0</v>
      </c>
    </row>
    <row r="1005">
      <c r="A1005" s="1" t="s">
        <v>4459</v>
      </c>
      <c r="B1005" s="1" t="s">
        <v>4460</v>
      </c>
      <c r="D1005" s="1">
        <v>2.0E7</v>
      </c>
    </row>
    <row r="1006">
      <c r="A1006" s="1" t="s">
        <v>2547</v>
      </c>
      <c r="B1006" s="1" t="s">
        <v>4461</v>
      </c>
      <c r="C1006" s="1">
        <v>2604240.0</v>
      </c>
    </row>
    <row r="1007">
      <c r="A1007" s="1" t="s">
        <v>4462</v>
      </c>
      <c r="B1007" s="1" t="s">
        <v>3908</v>
      </c>
      <c r="D1007" s="1">
        <v>1513640.0</v>
      </c>
      <c r="E1007" s="1" t="s">
        <v>4463</v>
      </c>
    </row>
    <row r="1008">
      <c r="B1008" s="30" t="s">
        <v>4464</v>
      </c>
      <c r="C1008" s="31"/>
      <c r="D1008" s="77">
        <v>0.0</v>
      </c>
      <c r="E1008" s="30" t="s">
        <v>4465</v>
      </c>
    </row>
    <row r="1009">
      <c r="B1009" s="1" t="s">
        <v>267</v>
      </c>
      <c r="D1009" s="1">
        <v>693000.0</v>
      </c>
    </row>
    <row r="1010">
      <c r="A1010" s="1" t="s">
        <v>4466</v>
      </c>
      <c r="B1010" s="1" t="s">
        <v>4445</v>
      </c>
      <c r="D1010" s="1">
        <v>450000.0</v>
      </c>
    </row>
    <row r="1011">
      <c r="B1011" s="1" t="s">
        <v>3947</v>
      </c>
      <c r="D1011" s="1">
        <v>110000.0</v>
      </c>
      <c r="E1011" s="1" t="s">
        <v>3986</v>
      </c>
    </row>
    <row r="1012">
      <c r="B1012" s="1" t="s">
        <v>3964</v>
      </c>
      <c r="D1012" s="1">
        <v>90000.0</v>
      </c>
    </row>
    <row r="1013">
      <c r="B1013" s="1" t="s">
        <v>648</v>
      </c>
      <c r="D1013" s="1">
        <v>110000.0</v>
      </c>
    </row>
    <row r="1014">
      <c r="B1014" s="3" t="s">
        <v>1137</v>
      </c>
      <c r="D1014" s="75"/>
      <c r="E1014" s="1" t="s">
        <v>4077</v>
      </c>
    </row>
    <row r="1015">
      <c r="A1015" s="1" t="s">
        <v>4467</v>
      </c>
      <c r="B1015" s="1" t="s">
        <v>3988</v>
      </c>
      <c r="C1015" s="1">
        <v>1790781.0</v>
      </c>
    </row>
    <row r="1016">
      <c r="B1016" s="1" t="s">
        <v>4207</v>
      </c>
      <c r="C1016" s="1">
        <v>2212068.0</v>
      </c>
    </row>
    <row r="1017">
      <c r="A1017" s="1" t="s">
        <v>4466</v>
      </c>
      <c r="B1017" s="1" t="s">
        <v>4468</v>
      </c>
      <c r="C1017" s="1">
        <v>401095.0</v>
      </c>
    </row>
    <row r="1018">
      <c r="A1018" s="1" t="s">
        <v>4469</v>
      </c>
      <c r="B1018" s="1" t="s">
        <v>4285</v>
      </c>
      <c r="C1018" s="1">
        <v>1812000.0</v>
      </c>
    </row>
    <row r="1019">
      <c r="A1019" s="1" t="s">
        <v>4470</v>
      </c>
      <c r="B1019" s="1" t="s">
        <v>3984</v>
      </c>
      <c r="C1019" s="1">
        <v>4118904.0</v>
      </c>
    </row>
    <row r="1020">
      <c r="B1020" s="1" t="s">
        <v>4196</v>
      </c>
      <c r="C1020" s="1">
        <v>1440629.0</v>
      </c>
    </row>
    <row r="1021">
      <c r="B1021" s="1" t="s">
        <v>4471</v>
      </c>
      <c r="C1021" s="1">
        <v>2604765.0</v>
      </c>
    </row>
    <row r="1022">
      <c r="B1022" s="1" t="s">
        <v>4377</v>
      </c>
      <c r="C1022" s="1">
        <v>3138397.0</v>
      </c>
    </row>
    <row r="1023">
      <c r="B1023" s="1" t="s">
        <v>4472</v>
      </c>
      <c r="C1023" s="1">
        <v>1.8E7</v>
      </c>
    </row>
    <row r="1024">
      <c r="A1024" s="1" t="s">
        <v>4473</v>
      </c>
      <c r="B1024" s="1" t="s">
        <v>4075</v>
      </c>
      <c r="C1024" s="1">
        <v>1445347.0</v>
      </c>
    </row>
    <row r="1025">
      <c r="A1025" s="1" t="s">
        <v>2566</v>
      </c>
      <c r="B1025" s="1" t="s">
        <v>2567</v>
      </c>
      <c r="D1025" s="1">
        <v>33000.0</v>
      </c>
    </row>
    <row r="1026">
      <c r="A1026" s="1" t="s">
        <v>4474</v>
      </c>
      <c r="B1026" s="1" t="s">
        <v>4475</v>
      </c>
      <c r="D1026" s="1">
        <v>1100000.0</v>
      </c>
      <c r="E1026" s="1" t="s">
        <v>4476</v>
      </c>
    </row>
    <row r="1027">
      <c r="A1027" s="1" t="s">
        <v>4477</v>
      </c>
      <c r="B1027" s="1" t="s">
        <v>3908</v>
      </c>
      <c r="D1027" s="1">
        <v>1245520.0</v>
      </c>
      <c r="E1027" s="1" t="s">
        <v>4478</v>
      </c>
    </row>
    <row r="1028">
      <c r="B1028" s="1" t="s">
        <v>1975</v>
      </c>
      <c r="D1028" s="1">
        <v>118730.0</v>
      </c>
      <c r="E1028" s="1"/>
    </row>
    <row r="1029">
      <c r="A1029" s="1" t="s">
        <v>4479</v>
      </c>
      <c r="B1029" s="1" t="s">
        <v>267</v>
      </c>
      <c r="D1029" s="1">
        <v>924000.0</v>
      </c>
    </row>
    <row r="1030">
      <c r="A1030" s="1" t="s">
        <v>2576</v>
      </c>
      <c r="B1030" s="1" t="s">
        <v>4445</v>
      </c>
      <c r="D1030" s="1">
        <v>450000.0</v>
      </c>
    </row>
    <row r="1031">
      <c r="B1031" s="1" t="s">
        <v>3947</v>
      </c>
      <c r="D1031" s="1">
        <v>110000.0</v>
      </c>
      <c r="E1031" s="1" t="s">
        <v>3986</v>
      </c>
    </row>
    <row r="1032">
      <c r="B1032" s="1" t="s">
        <v>3964</v>
      </c>
      <c r="D1032" s="1">
        <v>90000.0</v>
      </c>
    </row>
    <row r="1033">
      <c r="B1033" s="1" t="s">
        <v>648</v>
      </c>
      <c r="D1033" s="1">
        <v>143000.0</v>
      </c>
    </row>
    <row r="1034">
      <c r="B1034" s="3" t="s">
        <v>1137</v>
      </c>
      <c r="D1034" s="75"/>
      <c r="E1034" s="1" t="s">
        <v>4077</v>
      </c>
    </row>
    <row r="1035">
      <c r="A1035" s="1" t="s">
        <v>2563</v>
      </c>
      <c r="B1035" s="1" t="s">
        <v>4480</v>
      </c>
      <c r="C1035" s="1">
        <v>2638304.0</v>
      </c>
    </row>
    <row r="1036">
      <c r="A1036" s="1" t="s">
        <v>4481</v>
      </c>
      <c r="B1036" s="1" t="s">
        <v>4048</v>
      </c>
      <c r="C1036" s="1">
        <v>1802980.0</v>
      </c>
    </row>
    <row r="1037">
      <c r="B1037" s="1" t="s">
        <v>4482</v>
      </c>
      <c r="C1037" s="1">
        <v>12714.0</v>
      </c>
    </row>
    <row r="1038">
      <c r="B1038" s="1" t="s">
        <v>4483</v>
      </c>
      <c r="C1038" s="1">
        <v>1250557.0</v>
      </c>
    </row>
    <row r="1039">
      <c r="A1039" s="1" t="s">
        <v>4477</v>
      </c>
      <c r="B1039" s="1" t="s">
        <v>4391</v>
      </c>
      <c r="C1039" s="1">
        <v>1794630.0</v>
      </c>
    </row>
    <row r="1040">
      <c r="B1040" s="1" t="s">
        <v>4370</v>
      </c>
      <c r="C1040" s="1">
        <v>2189980.0</v>
      </c>
    </row>
    <row r="1041">
      <c r="B1041" s="1" t="s">
        <v>4238</v>
      </c>
      <c r="C1041" s="1">
        <v>1421809.0</v>
      </c>
    </row>
    <row r="1042">
      <c r="A1042" s="1" t="s">
        <v>4484</v>
      </c>
      <c r="B1042" s="1" t="s">
        <v>4373</v>
      </c>
      <c r="C1042" s="1">
        <v>3140971.0</v>
      </c>
    </row>
    <row r="1043">
      <c r="B1043" s="2" t="s">
        <v>4485</v>
      </c>
      <c r="C1043" s="1">
        <v>1953791.0</v>
      </c>
      <c r="E1043" s="1" t="s">
        <v>4486</v>
      </c>
    </row>
    <row r="1044">
      <c r="A1044" s="1" t="s">
        <v>2576</v>
      </c>
      <c r="B1044" s="1" t="s">
        <v>4054</v>
      </c>
      <c r="C1044" s="1">
        <v>4087618.0</v>
      </c>
    </row>
    <row r="1045">
      <c r="B1045" s="1" t="s">
        <v>4487</v>
      </c>
      <c r="C1045" s="1">
        <v>2004106.0</v>
      </c>
    </row>
    <row r="1046">
      <c r="B1046" s="1" t="s">
        <v>4488</v>
      </c>
      <c r="C1046" s="1">
        <v>2621778.0</v>
      </c>
    </row>
    <row r="1047">
      <c r="B1047" s="1" t="s">
        <v>4489</v>
      </c>
      <c r="C1047" s="1">
        <v>1445951.0</v>
      </c>
    </row>
    <row r="1048">
      <c r="A1048" s="1" t="s">
        <v>3761</v>
      </c>
      <c r="B1048" s="1" t="s">
        <v>4490</v>
      </c>
      <c r="D1048" s="1">
        <v>30000.0</v>
      </c>
      <c r="E1048" s="1" t="s">
        <v>4491</v>
      </c>
    </row>
    <row r="1049">
      <c r="B1049" s="1" t="s">
        <v>4492</v>
      </c>
      <c r="D1049" s="1">
        <v>6162000.0</v>
      </c>
      <c r="E1049" s="1" t="s">
        <v>4493</v>
      </c>
    </row>
    <row r="1050">
      <c r="A1050" s="1" t="s">
        <v>4494</v>
      </c>
      <c r="B1050" s="1" t="s">
        <v>267</v>
      </c>
      <c r="D1050" s="1">
        <v>715000.0</v>
      </c>
    </row>
    <row r="1051">
      <c r="B1051" s="1" t="s">
        <v>3908</v>
      </c>
      <c r="D1051" s="1">
        <v>967990.0</v>
      </c>
      <c r="E1051" s="1" t="s">
        <v>4495</v>
      </c>
    </row>
    <row r="1052">
      <c r="A1052" s="1" t="s">
        <v>2583</v>
      </c>
      <c r="B1052" s="1" t="s">
        <v>4445</v>
      </c>
      <c r="D1052" s="1">
        <v>420000.0</v>
      </c>
      <c r="E1052" s="1" t="s">
        <v>4496</v>
      </c>
    </row>
    <row r="1053">
      <c r="B1053" s="1" t="s">
        <v>3947</v>
      </c>
      <c r="D1053" s="1">
        <v>110000.0</v>
      </c>
      <c r="E1053" s="1" t="s">
        <v>3986</v>
      </c>
    </row>
    <row r="1054">
      <c r="B1054" s="1" t="s">
        <v>3964</v>
      </c>
      <c r="D1054" s="1">
        <v>90000.0</v>
      </c>
    </row>
    <row r="1055">
      <c r="B1055" s="1" t="s">
        <v>648</v>
      </c>
      <c r="D1055" s="1">
        <v>143000.0</v>
      </c>
    </row>
    <row r="1056">
      <c r="B1056" s="3" t="s">
        <v>1137</v>
      </c>
      <c r="D1056" s="75"/>
      <c r="E1056" s="1" t="s">
        <v>4077</v>
      </c>
    </row>
    <row r="1057">
      <c r="A1057" s="1" t="s">
        <v>4497</v>
      </c>
      <c r="B1057" s="1" t="s">
        <v>4498</v>
      </c>
      <c r="C1057" s="1">
        <v>2149375.0</v>
      </c>
    </row>
    <row r="1058">
      <c r="A1058" s="1" t="s">
        <v>4499</v>
      </c>
      <c r="B1058" s="1" t="s">
        <v>3988</v>
      </c>
      <c r="C1058" s="1">
        <v>1773542.0</v>
      </c>
    </row>
    <row r="1059">
      <c r="B1059" s="1" t="s">
        <v>4483</v>
      </c>
      <c r="C1059" s="1">
        <v>2105558.0</v>
      </c>
    </row>
    <row r="1060">
      <c r="B1060" s="1" t="s">
        <v>4228</v>
      </c>
      <c r="C1060" s="1">
        <v>210555.0</v>
      </c>
    </row>
    <row r="1061">
      <c r="A1061" s="1" t="s">
        <v>2583</v>
      </c>
      <c r="B1061" s="1" t="s">
        <v>4377</v>
      </c>
      <c r="C1061" s="1">
        <v>3081897.0</v>
      </c>
    </row>
    <row r="1062">
      <c r="B1062" s="1" t="s">
        <v>3984</v>
      </c>
      <c r="C1062" s="1">
        <v>4059997.0</v>
      </c>
    </row>
    <row r="1063">
      <c r="B1063" s="2" t="s">
        <v>4500</v>
      </c>
      <c r="C1063" s="1">
        <v>1835952.0</v>
      </c>
      <c r="E1063" s="1" t="s">
        <v>4486</v>
      </c>
    </row>
    <row r="1064">
      <c r="B1064" s="2" t="s">
        <v>4285</v>
      </c>
      <c r="C1064" s="1">
        <v>1404510.0</v>
      </c>
      <c r="E1064" s="1" t="s">
        <v>4486</v>
      </c>
    </row>
    <row r="1065">
      <c r="A1065" s="1" t="s">
        <v>4501</v>
      </c>
      <c r="B1065" s="1" t="s">
        <v>4075</v>
      </c>
      <c r="C1065" s="1">
        <v>1409129.0</v>
      </c>
    </row>
    <row r="1066">
      <c r="B1066" s="1" t="s">
        <v>4468</v>
      </c>
      <c r="C1066" s="1">
        <v>2014290.0</v>
      </c>
    </row>
    <row r="1067">
      <c r="B1067" s="1" t="s">
        <v>4196</v>
      </c>
      <c r="C1067" s="1">
        <v>1415252.0</v>
      </c>
    </row>
    <row r="1068">
      <c r="A1068" s="1" t="s">
        <v>4502</v>
      </c>
      <c r="B1068" s="1" t="s">
        <v>4503</v>
      </c>
      <c r="C1068" s="1">
        <v>2605309.0</v>
      </c>
    </row>
    <row r="1069">
      <c r="A1069" s="1" t="s">
        <v>2601</v>
      </c>
      <c r="B1069" s="1" t="s">
        <v>4490</v>
      </c>
      <c r="D1069" s="1">
        <v>30000.0</v>
      </c>
      <c r="E1069" s="1" t="s">
        <v>4491</v>
      </c>
    </row>
    <row r="1070">
      <c r="B1070" s="1" t="s">
        <v>267</v>
      </c>
      <c r="D1070" s="1">
        <v>330000.0</v>
      </c>
    </row>
    <row r="1071">
      <c r="A1071" s="1" t="s">
        <v>4504</v>
      </c>
      <c r="B1071" s="23" t="s">
        <v>3908</v>
      </c>
      <c r="D1071" s="1">
        <v>865700.0</v>
      </c>
      <c r="E1071" s="1" t="s">
        <v>4505</v>
      </c>
    </row>
    <row r="1072">
      <c r="B1072" s="23" t="s">
        <v>1975</v>
      </c>
      <c r="D1072" s="1">
        <v>212200.0</v>
      </c>
      <c r="E1072" s="1"/>
    </row>
    <row r="1073">
      <c r="A1073" s="1" t="s">
        <v>2606</v>
      </c>
      <c r="B1073" s="1" t="s">
        <v>3947</v>
      </c>
      <c r="D1073" s="1">
        <v>110000.0</v>
      </c>
      <c r="E1073" s="1" t="s">
        <v>3986</v>
      </c>
    </row>
    <row r="1074">
      <c r="B1074" s="1" t="s">
        <v>3964</v>
      </c>
      <c r="D1074" s="1">
        <v>90000.0</v>
      </c>
    </row>
    <row r="1075">
      <c r="B1075" s="1" t="s">
        <v>648</v>
      </c>
      <c r="D1075" s="1">
        <v>143000.0</v>
      </c>
    </row>
    <row r="1076">
      <c r="B1076" s="3" t="s">
        <v>1137</v>
      </c>
      <c r="D1076" s="75"/>
      <c r="E1076" s="1" t="s">
        <v>4077</v>
      </c>
    </row>
    <row r="1077">
      <c r="A1077" s="1" t="s">
        <v>4506</v>
      </c>
      <c r="B1077" s="1" t="s">
        <v>4367</v>
      </c>
      <c r="D1077" s="1">
        <v>561750.0</v>
      </c>
      <c r="E1077" s="1" t="s">
        <v>4368</v>
      </c>
    </row>
    <row r="1078">
      <c r="B1078" s="1" t="s">
        <v>4369</v>
      </c>
      <c r="D1078" s="1">
        <v>24070.0</v>
      </c>
      <c r="E1078" s="1" t="s">
        <v>4368</v>
      </c>
    </row>
    <row r="1079">
      <c r="A1079" s="1" t="s">
        <v>4504</v>
      </c>
      <c r="B1079" s="1" t="s">
        <v>4507</v>
      </c>
      <c r="C1079" s="1">
        <v>2158539.0</v>
      </c>
    </row>
    <row r="1080">
      <c r="A1080" s="1"/>
      <c r="B1080" s="1"/>
      <c r="C1080" s="1">
        <v>20985.0</v>
      </c>
    </row>
    <row r="1081">
      <c r="A1081" s="1" t="s">
        <v>4508</v>
      </c>
      <c r="B1081" s="1" t="s">
        <v>4048</v>
      </c>
      <c r="C1081" s="1">
        <v>1771293.0</v>
      </c>
    </row>
    <row r="1082">
      <c r="B1082" s="1" t="s">
        <v>4509</v>
      </c>
      <c r="C1082" s="1">
        <v>2332833.0</v>
      </c>
    </row>
    <row r="1083">
      <c r="A1083" s="1" t="s">
        <v>4510</v>
      </c>
      <c r="B1083" s="1" t="s">
        <v>4511</v>
      </c>
      <c r="C1083" s="1">
        <v>1949493.0</v>
      </c>
    </row>
    <row r="1084">
      <c r="A1084" s="1" t="s">
        <v>2606</v>
      </c>
      <c r="B1084" s="1" t="s">
        <v>4054</v>
      </c>
      <c r="C1084" s="1">
        <v>4016593.0</v>
      </c>
    </row>
    <row r="1085">
      <c r="B1085" s="1" t="s">
        <v>4489</v>
      </c>
      <c r="C1085" s="1">
        <v>1449331.0</v>
      </c>
    </row>
    <row r="1086">
      <c r="B1086" s="2" t="s">
        <v>4391</v>
      </c>
      <c r="C1086" s="1">
        <v>1398430.0</v>
      </c>
    </row>
    <row r="1087">
      <c r="A1087" s="1" t="s">
        <v>4512</v>
      </c>
      <c r="B1087" s="1" t="s">
        <v>4487</v>
      </c>
      <c r="C1087" s="1">
        <v>2039771.0</v>
      </c>
    </row>
    <row r="1088">
      <c r="B1088" s="2" t="s">
        <v>4513</v>
      </c>
      <c r="C1088" s="1">
        <v>1817541.0</v>
      </c>
    </row>
    <row r="1089">
      <c r="A1089" s="1" t="s">
        <v>4514</v>
      </c>
      <c r="B1089" s="1" t="s">
        <v>4373</v>
      </c>
      <c r="C1089" s="1">
        <v>3074644.0</v>
      </c>
    </row>
    <row r="1090">
      <c r="A1090" s="1" t="s">
        <v>2613</v>
      </c>
      <c r="B1090" s="1" t="s">
        <v>4515</v>
      </c>
      <c r="C1090" s="1">
        <v>1.0E7</v>
      </c>
    </row>
    <row r="1091">
      <c r="A1091" s="1" t="s">
        <v>4516</v>
      </c>
      <c r="B1091" s="1" t="s">
        <v>4490</v>
      </c>
      <c r="D1091" s="1">
        <v>30000.0</v>
      </c>
      <c r="E1091" s="1" t="s">
        <v>4491</v>
      </c>
    </row>
    <row r="1092">
      <c r="B1092" s="1" t="s">
        <v>267</v>
      </c>
      <c r="D1092" s="1">
        <v>770000.0</v>
      </c>
    </row>
    <row r="1093">
      <c r="B1093" s="23" t="s">
        <v>3908</v>
      </c>
      <c r="D1093" s="1">
        <v>1003920.0</v>
      </c>
      <c r="E1093" s="1" t="s">
        <v>4517</v>
      </c>
    </row>
    <row r="1094">
      <c r="A1094" s="1" t="s">
        <v>2621</v>
      </c>
      <c r="B1094" s="1" t="s">
        <v>3947</v>
      </c>
      <c r="D1094" s="1">
        <v>110000.0</v>
      </c>
      <c r="E1094" s="1" t="s">
        <v>3986</v>
      </c>
    </row>
    <row r="1095">
      <c r="B1095" s="1" t="s">
        <v>3964</v>
      </c>
      <c r="D1095" s="1">
        <v>90000.0</v>
      </c>
    </row>
    <row r="1096">
      <c r="B1096" s="1" t="s">
        <v>648</v>
      </c>
      <c r="D1096" s="1">
        <v>143000.0</v>
      </c>
    </row>
    <row r="1097">
      <c r="B1097" s="3" t="s">
        <v>1137</v>
      </c>
      <c r="D1097" s="75"/>
      <c r="E1097" s="1" t="s">
        <v>4077</v>
      </c>
    </row>
    <row r="1098">
      <c r="A1098" s="1" t="s">
        <v>4518</v>
      </c>
      <c r="B1098" s="1" t="s">
        <v>4498</v>
      </c>
      <c r="C1098" s="1">
        <v>2186842.0</v>
      </c>
    </row>
    <row r="1099">
      <c r="B1099" s="1" t="s">
        <v>3988</v>
      </c>
      <c r="C1099" s="1">
        <v>1741830.0</v>
      </c>
    </row>
    <row r="1100">
      <c r="B1100" s="1" t="s">
        <v>4483</v>
      </c>
      <c r="C1100" s="1">
        <v>2324142.0</v>
      </c>
    </row>
    <row r="1101">
      <c r="A1101" s="1" t="s">
        <v>4519</v>
      </c>
      <c r="B1101" s="1" t="s">
        <v>4520</v>
      </c>
      <c r="C1101" s="1">
        <v>2365154.0</v>
      </c>
    </row>
    <row r="1102">
      <c r="B1102" s="1" t="s">
        <v>4468</v>
      </c>
      <c r="C1102" s="1">
        <v>2036411.0</v>
      </c>
    </row>
    <row r="1103">
      <c r="B1103" s="33" t="s">
        <v>4521</v>
      </c>
      <c r="C1103" s="1">
        <v>2249175.0</v>
      </c>
    </row>
    <row r="1104">
      <c r="A1104" s="1" t="s">
        <v>2621</v>
      </c>
      <c r="B1104" s="1" t="s">
        <v>4377</v>
      </c>
      <c r="C1104" s="1">
        <v>3055516.0</v>
      </c>
    </row>
    <row r="1105">
      <c r="B1105" s="1" t="s">
        <v>3984</v>
      </c>
      <c r="C1105" s="1">
        <v>4015463.0</v>
      </c>
    </row>
    <row r="1106">
      <c r="A1106" s="1" t="s">
        <v>2614</v>
      </c>
      <c r="B1106" s="33" t="s">
        <v>4285</v>
      </c>
      <c r="C1106" s="1">
        <v>1742700.0</v>
      </c>
      <c r="D1106" s="1"/>
      <c r="E1106" s="1"/>
    </row>
    <row r="1107">
      <c r="A1107" s="1"/>
      <c r="B1107" s="1" t="s">
        <v>4196</v>
      </c>
      <c r="C1107" s="1">
        <v>1444567.0</v>
      </c>
      <c r="D1107" s="1"/>
      <c r="E1107" s="1"/>
    </row>
    <row r="1108">
      <c r="A1108" s="1" t="s">
        <v>2623</v>
      </c>
      <c r="B1108" s="1" t="s">
        <v>4522</v>
      </c>
      <c r="D1108" s="1">
        <v>990000.0</v>
      </c>
      <c r="E1108" s="1" t="s">
        <v>4430</v>
      </c>
    </row>
    <row r="1109">
      <c r="A1109" s="1" t="s">
        <v>4523</v>
      </c>
      <c r="B1109" s="1" t="s">
        <v>4524</v>
      </c>
      <c r="C1109" s="40"/>
      <c r="D1109" s="41">
        <v>990000.0</v>
      </c>
      <c r="E1109" s="40" t="s">
        <v>4430</v>
      </c>
    </row>
    <row r="1110">
      <c r="A1110" s="1" t="s">
        <v>4525</v>
      </c>
      <c r="B1110" s="1" t="s">
        <v>4526</v>
      </c>
      <c r="C1110" s="23">
        <v>1.3E7</v>
      </c>
    </row>
    <row r="1111">
      <c r="A1111" s="1" t="s">
        <v>2627</v>
      </c>
      <c r="B1111" s="22" t="s">
        <v>651</v>
      </c>
      <c r="D1111" s="1">
        <v>975480.0</v>
      </c>
      <c r="E1111" s="1" t="s">
        <v>2413</v>
      </c>
    </row>
    <row r="1112">
      <c r="B1112" s="22" t="s">
        <v>2218</v>
      </c>
      <c r="D1112" s="1">
        <v>539000.0</v>
      </c>
      <c r="E1112" s="1" t="s">
        <v>2413</v>
      </c>
    </row>
    <row r="1113">
      <c r="B1113" s="38" t="s">
        <v>648</v>
      </c>
      <c r="D1113" s="1">
        <v>143000.0</v>
      </c>
      <c r="E1113" s="1"/>
    </row>
    <row r="1114">
      <c r="A1114" s="1" t="s">
        <v>3764</v>
      </c>
      <c r="B1114" s="1" t="s">
        <v>4527</v>
      </c>
      <c r="C1114" s="23">
        <v>2000000.0</v>
      </c>
    </row>
    <row r="1115">
      <c r="A1115" s="1" t="s">
        <v>4528</v>
      </c>
      <c r="B1115" s="69" t="s">
        <v>4529</v>
      </c>
      <c r="D1115" s="1">
        <v>715000.0</v>
      </c>
      <c r="E1115" s="1" t="s">
        <v>4530</v>
      </c>
    </row>
    <row r="1116">
      <c r="A1116" s="1" t="s">
        <v>2628</v>
      </c>
      <c r="B1116" s="1" t="s">
        <v>4490</v>
      </c>
      <c r="D1116" s="1">
        <v>30000.0</v>
      </c>
      <c r="E1116" s="1" t="s">
        <v>4491</v>
      </c>
    </row>
    <row r="1117">
      <c r="B1117" s="1" t="s">
        <v>267</v>
      </c>
      <c r="D1117" s="1">
        <v>880000.0</v>
      </c>
    </row>
    <row r="1118">
      <c r="B1118" s="23" t="s">
        <v>3908</v>
      </c>
      <c r="D1118" s="1">
        <v>1349250.0</v>
      </c>
    </row>
    <row r="1119">
      <c r="A1119" s="1"/>
      <c r="B1119" s="1" t="s">
        <v>1975</v>
      </c>
      <c r="D1119" s="1">
        <v>267640.0</v>
      </c>
      <c r="E1119" s="1"/>
    </row>
    <row r="1120">
      <c r="A1120" s="1" t="s">
        <v>2627</v>
      </c>
      <c r="B1120" s="1" t="s">
        <v>3947</v>
      </c>
      <c r="D1120" s="1">
        <v>110000.0</v>
      </c>
      <c r="E1120" s="1" t="s">
        <v>3986</v>
      </c>
    </row>
    <row r="1121">
      <c r="B1121" s="1" t="s">
        <v>3964</v>
      </c>
      <c r="D1121" s="1">
        <v>90000.0</v>
      </c>
    </row>
    <row r="1122">
      <c r="B1122" s="1" t="s">
        <v>648</v>
      </c>
      <c r="E1122" s="1" t="s">
        <v>4531</v>
      </c>
    </row>
    <row r="1123">
      <c r="B1123" s="3" t="s">
        <v>1137</v>
      </c>
      <c r="D1123" s="75"/>
      <c r="E1123" s="1" t="s">
        <v>4077</v>
      </c>
    </row>
    <row r="1124">
      <c r="A1124" s="54" t="s">
        <v>4532</v>
      </c>
      <c r="B1124" s="54" t="s">
        <v>4533</v>
      </c>
      <c r="C1124" s="55"/>
      <c r="D1124" s="54">
        <v>1.287E7</v>
      </c>
      <c r="E1124" s="54" t="s">
        <v>4534</v>
      </c>
    </row>
    <row r="1125">
      <c r="A1125" s="1" t="s">
        <v>2628</v>
      </c>
      <c r="B1125" s="30" t="s">
        <v>4388</v>
      </c>
      <c r="C1125" s="31"/>
      <c r="D1125" s="30">
        <v>2423080.0</v>
      </c>
      <c r="E1125" s="30" t="s">
        <v>4535</v>
      </c>
    </row>
    <row r="1126">
      <c r="A1126" s="1" t="s">
        <v>2641</v>
      </c>
      <c r="B1126" s="1" t="s">
        <v>4228</v>
      </c>
      <c r="D1126" s="1">
        <v>5348280.0</v>
      </c>
      <c r="E1126" s="1" t="s">
        <v>4536</v>
      </c>
    </row>
    <row r="1127">
      <c r="A1127" s="1" t="s">
        <v>4537</v>
      </c>
      <c r="B1127" s="1" t="s">
        <v>4498</v>
      </c>
      <c r="C1127" s="1">
        <v>2230208.0</v>
      </c>
    </row>
    <row r="1128">
      <c r="B1128" s="1" t="s">
        <v>4538</v>
      </c>
      <c r="C1128" s="1">
        <v>24371.0</v>
      </c>
    </row>
    <row r="1129">
      <c r="A1129" s="1" t="s">
        <v>2641</v>
      </c>
      <c r="B1129" s="1" t="s">
        <v>4539</v>
      </c>
      <c r="C1129" s="1">
        <v>1762976.0</v>
      </c>
    </row>
    <row r="1130">
      <c r="B1130" s="1" t="s">
        <v>4540</v>
      </c>
      <c r="C1130" s="1">
        <v>2464744.0</v>
      </c>
    </row>
    <row r="1131">
      <c r="A1131" s="1" t="s">
        <v>4541</v>
      </c>
      <c r="B1131" s="1" t="s">
        <v>4542</v>
      </c>
      <c r="C1131" s="1">
        <v>2385102.0</v>
      </c>
    </row>
    <row r="1132">
      <c r="A1132" s="1" t="s">
        <v>4543</v>
      </c>
      <c r="B1132" s="33" t="s">
        <v>4544</v>
      </c>
      <c r="C1132" s="1">
        <v>2298903.0</v>
      </c>
    </row>
    <row r="1133">
      <c r="B1133" s="1" t="s">
        <v>4545</v>
      </c>
      <c r="C1133" s="1">
        <v>2086447.0</v>
      </c>
    </row>
    <row r="1134">
      <c r="B1134" s="1" t="s">
        <v>4546</v>
      </c>
      <c r="C1134" s="1">
        <v>3102957.0</v>
      </c>
    </row>
    <row r="1135">
      <c r="A1135" s="1" t="s">
        <v>2627</v>
      </c>
      <c r="B1135" s="1" t="s">
        <v>4547</v>
      </c>
      <c r="C1135" s="1">
        <v>4093927.0</v>
      </c>
    </row>
    <row r="1136">
      <c r="B1136" s="1" t="s">
        <v>4548</v>
      </c>
      <c r="C1136" s="1">
        <v>1468521.0</v>
      </c>
    </row>
    <row r="1137">
      <c r="B1137" s="1" t="s">
        <v>4549</v>
      </c>
      <c r="C1137" s="1">
        <v>159492.0</v>
      </c>
    </row>
    <row r="1138">
      <c r="A1138" s="1" t="s">
        <v>2637</v>
      </c>
      <c r="B1138" s="1" t="s">
        <v>4550</v>
      </c>
      <c r="C1138" s="1">
        <v>2574926.0</v>
      </c>
    </row>
    <row r="1139">
      <c r="B1139" s="1" t="s">
        <v>4381</v>
      </c>
      <c r="C1139" s="1">
        <v>2597452.0</v>
      </c>
    </row>
    <row r="1140">
      <c r="A1140" s="1" t="s">
        <v>2644</v>
      </c>
      <c r="B1140" s="33" t="s">
        <v>4391</v>
      </c>
      <c r="C1140" s="1">
        <v>1769800.0</v>
      </c>
    </row>
    <row r="1141">
      <c r="A1141" s="1" t="s">
        <v>4551</v>
      </c>
      <c r="B1141" s="1" t="s">
        <v>4552</v>
      </c>
      <c r="D1141" s="1">
        <v>3080000.0</v>
      </c>
      <c r="E1141" s="1" t="s">
        <v>4553</v>
      </c>
    </row>
    <row r="1142">
      <c r="A1142" s="1" t="s">
        <v>2655</v>
      </c>
      <c r="B1142" s="1" t="s">
        <v>4490</v>
      </c>
      <c r="D1142" s="1">
        <v>30000.0</v>
      </c>
    </row>
    <row r="1143">
      <c r="A1143" s="1" t="s">
        <v>2647</v>
      </c>
      <c r="B1143" s="1" t="s">
        <v>267</v>
      </c>
      <c r="D1143" s="1">
        <v>770000.0</v>
      </c>
    </row>
    <row r="1144">
      <c r="A1144" s="1" t="s">
        <v>4554</v>
      </c>
      <c r="B1144" s="1" t="s">
        <v>3908</v>
      </c>
      <c r="D1144" s="1">
        <v>1329180.0</v>
      </c>
    </row>
    <row r="1145">
      <c r="A1145" s="1" t="s">
        <v>2655</v>
      </c>
      <c r="B1145" s="1" t="s">
        <v>3947</v>
      </c>
      <c r="D1145" s="1">
        <v>110000.0</v>
      </c>
      <c r="E1145" s="1" t="s">
        <v>3986</v>
      </c>
    </row>
    <row r="1146">
      <c r="B1146" s="1" t="s">
        <v>3964</v>
      </c>
      <c r="D1146" s="1">
        <v>90000.0</v>
      </c>
    </row>
    <row r="1147">
      <c r="B1147" s="1" t="s">
        <v>648</v>
      </c>
      <c r="D1147" s="1">
        <v>143000.0</v>
      </c>
    </row>
    <row r="1148">
      <c r="B1148" s="3" t="s">
        <v>1137</v>
      </c>
      <c r="D1148" s="75"/>
      <c r="E1148" s="1" t="s">
        <v>4077</v>
      </c>
    </row>
    <row r="1149">
      <c r="A1149" s="1" t="s">
        <v>2647</v>
      </c>
      <c r="B1149" s="1" t="s">
        <v>69</v>
      </c>
      <c r="D1149" s="1">
        <v>62500.0</v>
      </c>
      <c r="E1149" s="1" t="s">
        <v>4555</v>
      </c>
    </row>
    <row r="1150">
      <c r="A1150" s="1" t="s">
        <v>4554</v>
      </c>
      <c r="B1150" s="1" t="s">
        <v>4498</v>
      </c>
      <c r="C1150" s="1">
        <v>2225107.0</v>
      </c>
    </row>
    <row r="1151">
      <c r="A1151" s="1" t="s">
        <v>2636</v>
      </c>
      <c r="B1151" s="1" t="s">
        <v>4520</v>
      </c>
      <c r="C1151" s="1">
        <v>2420892.0</v>
      </c>
    </row>
    <row r="1152">
      <c r="A1152" s="1" t="s">
        <v>4556</v>
      </c>
      <c r="B1152" s="1" t="s">
        <v>3988</v>
      </c>
      <c r="C1152" s="1">
        <v>1740535.0</v>
      </c>
    </row>
    <row r="1153">
      <c r="B1153" s="33" t="s">
        <v>4285</v>
      </c>
      <c r="C1153" s="1">
        <v>1743450.0</v>
      </c>
    </row>
    <row r="1154">
      <c r="A1154" s="1" t="s">
        <v>4557</v>
      </c>
      <c r="B1154" s="1" t="s">
        <v>4483</v>
      </c>
      <c r="C1154" s="1">
        <v>2352749.0</v>
      </c>
    </row>
    <row r="1155">
      <c r="A1155" s="1" t="s">
        <v>4558</v>
      </c>
      <c r="B1155" s="1" t="s">
        <v>4559</v>
      </c>
      <c r="C1155" s="1">
        <v>2073451.0</v>
      </c>
    </row>
    <row r="1156">
      <c r="B1156" s="33" t="s">
        <v>4560</v>
      </c>
      <c r="C1156" s="1">
        <v>2251323.0</v>
      </c>
    </row>
    <row r="1157">
      <c r="A1157" s="1" t="s">
        <v>2655</v>
      </c>
      <c r="B1157" s="1" t="s">
        <v>4377</v>
      </c>
      <c r="C1157" s="1">
        <v>3065704.0</v>
      </c>
    </row>
    <row r="1158">
      <c r="B1158" s="1" t="s">
        <v>3984</v>
      </c>
      <c r="C1158" s="1">
        <v>4056378.0</v>
      </c>
    </row>
    <row r="1159">
      <c r="B1159" s="1" t="s">
        <v>4561</v>
      </c>
      <c r="C1159" s="1">
        <v>1498418.0</v>
      </c>
    </row>
    <row r="1160">
      <c r="B1160" s="1" t="s">
        <v>4562</v>
      </c>
      <c r="C1160" s="1">
        <v>1295000.0</v>
      </c>
    </row>
    <row r="1161">
      <c r="A1161" s="1" t="s">
        <v>2658</v>
      </c>
      <c r="B1161" s="1" t="s">
        <v>4563</v>
      </c>
      <c r="D1161" s="1">
        <v>116490.0</v>
      </c>
      <c r="E1161" s="1" t="s">
        <v>4564</v>
      </c>
    </row>
    <row r="1162">
      <c r="A1162" s="1" t="s">
        <v>3767</v>
      </c>
      <c r="B1162" s="1" t="s">
        <v>4401</v>
      </c>
      <c r="C1162" s="1">
        <v>2603110.0</v>
      </c>
    </row>
    <row r="1163">
      <c r="A1163" s="1" t="s">
        <v>4565</v>
      </c>
      <c r="B1163" s="1" t="s">
        <v>4566</v>
      </c>
      <c r="D1163" s="1">
        <v>172300.0</v>
      </c>
      <c r="E1163" s="1" t="s">
        <v>4567</v>
      </c>
    </row>
    <row r="1164">
      <c r="B1164" s="1" t="s">
        <v>4568</v>
      </c>
      <c r="D1164" s="1">
        <v>26000.0</v>
      </c>
      <c r="E1164" s="1" t="s">
        <v>4569</v>
      </c>
    </row>
    <row r="1165">
      <c r="A1165" s="1" t="s">
        <v>2671</v>
      </c>
      <c r="B1165" s="22" t="s">
        <v>4570</v>
      </c>
      <c r="C1165" s="78"/>
      <c r="D1165" s="22">
        <v>40000.0</v>
      </c>
      <c r="E1165" s="22" t="s">
        <v>4491</v>
      </c>
    </row>
    <row r="1166">
      <c r="B1166" s="1" t="s">
        <v>267</v>
      </c>
      <c r="D1166" s="1">
        <v>770000.0</v>
      </c>
    </row>
    <row r="1167">
      <c r="B1167" s="23" t="s">
        <v>3908</v>
      </c>
      <c r="D1167" s="1">
        <v>1237780.0</v>
      </c>
      <c r="E1167" s="1" t="s">
        <v>4571</v>
      </c>
    </row>
    <row r="1168">
      <c r="A1168" s="1"/>
      <c r="B1168" s="1" t="s">
        <v>1975</v>
      </c>
      <c r="D1168" s="1">
        <v>270280.0</v>
      </c>
      <c r="E1168" s="1"/>
    </row>
    <row r="1169">
      <c r="A1169" s="1"/>
      <c r="B1169" s="1" t="s">
        <v>4412</v>
      </c>
      <c r="D1169" s="1">
        <v>1.558073E7</v>
      </c>
      <c r="E1169" s="1" t="s">
        <v>4572</v>
      </c>
    </row>
    <row r="1170">
      <c r="A1170" s="1" t="s">
        <v>2670</v>
      </c>
      <c r="B1170" s="1" t="s">
        <v>3947</v>
      </c>
      <c r="D1170" s="1">
        <v>110000.0</v>
      </c>
      <c r="E1170" s="1" t="s">
        <v>3986</v>
      </c>
    </row>
    <row r="1171">
      <c r="B1171" s="1" t="s">
        <v>3964</v>
      </c>
      <c r="D1171" s="1">
        <v>90000.0</v>
      </c>
    </row>
    <row r="1172">
      <c r="B1172" s="1" t="s">
        <v>648</v>
      </c>
      <c r="D1172" s="1">
        <v>143000.0</v>
      </c>
    </row>
    <row r="1173">
      <c r="B1173" s="3" t="s">
        <v>1137</v>
      </c>
      <c r="D1173" s="75"/>
      <c r="E1173" s="1" t="s">
        <v>4077</v>
      </c>
    </row>
    <row r="1174">
      <c r="A1174" s="1" t="s">
        <v>4573</v>
      </c>
      <c r="B1174" s="1" t="s">
        <v>4498</v>
      </c>
      <c r="C1174" s="1">
        <v>2183935.0</v>
      </c>
      <c r="D1174" s="1"/>
      <c r="E1174" s="1"/>
    </row>
    <row r="1175">
      <c r="B1175" s="1" t="s">
        <v>4538</v>
      </c>
      <c r="C1175" s="1">
        <v>24119.0</v>
      </c>
      <c r="D1175" s="1"/>
      <c r="E1175" s="1"/>
    </row>
    <row r="1176">
      <c r="A1176" s="1" t="s">
        <v>4574</v>
      </c>
      <c r="B1176" s="1" t="s">
        <v>4048</v>
      </c>
      <c r="C1176" s="1">
        <v>1760126.0</v>
      </c>
      <c r="D1176" s="1"/>
      <c r="E1176" s="1"/>
    </row>
    <row r="1177">
      <c r="B1177" s="33" t="s">
        <v>4391</v>
      </c>
      <c r="C1177" s="1">
        <v>1786730.0</v>
      </c>
      <c r="D1177" s="1"/>
      <c r="E1177" s="1"/>
    </row>
    <row r="1178">
      <c r="A1178" s="1" t="s">
        <v>4575</v>
      </c>
      <c r="B1178" s="1" t="s">
        <v>4509</v>
      </c>
      <c r="C1178" s="1">
        <v>2394244.0</v>
      </c>
      <c r="D1178" s="1"/>
      <c r="E1178" s="1"/>
    </row>
    <row r="1179">
      <c r="B1179" s="1" t="s">
        <v>4576</v>
      </c>
      <c r="C1179" s="1">
        <v>1308204.0</v>
      </c>
      <c r="D1179" s="1"/>
      <c r="E1179" s="1"/>
    </row>
    <row r="1180">
      <c r="B1180" s="1" t="s">
        <v>4577</v>
      </c>
      <c r="C1180" s="1">
        <v>2423146.0</v>
      </c>
      <c r="D1180" s="1"/>
      <c r="E1180" s="1"/>
    </row>
    <row r="1181">
      <c r="A1181" s="1" t="s">
        <v>2670</v>
      </c>
      <c r="B1181" s="1" t="s">
        <v>4054</v>
      </c>
      <c r="C1181" s="1">
        <v>4101775.0</v>
      </c>
      <c r="D1181" s="1"/>
      <c r="E1181" s="1"/>
    </row>
    <row r="1182">
      <c r="B1182" s="33" t="s">
        <v>4578</v>
      </c>
      <c r="C1182" s="1">
        <v>2231885.0</v>
      </c>
      <c r="D1182" s="1"/>
      <c r="E1182" s="1"/>
    </row>
    <row r="1183">
      <c r="B1183" s="1" t="s">
        <v>4373</v>
      </c>
      <c r="C1183" s="1">
        <v>3101249.0</v>
      </c>
      <c r="D1183" s="1"/>
      <c r="E1183" s="1"/>
    </row>
    <row r="1184">
      <c r="B1184" s="1" t="s">
        <v>4579</v>
      </c>
      <c r="C1184" s="1">
        <v>1506141.0</v>
      </c>
      <c r="D1184" s="1"/>
      <c r="E1184" s="1"/>
    </row>
    <row r="1185">
      <c r="A1185" s="1" t="s">
        <v>4580</v>
      </c>
      <c r="B1185" s="1" t="s">
        <v>4487</v>
      </c>
      <c r="C1185" s="1">
        <v>2093650.0</v>
      </c>
      <c r="D1185" s="1"/>
      <c r="E1185" s="1"/>
    </row>
    <row r="1186">
      <c r="A1186" s="1" t="s">
        <v>2676</v>
      </c>
      <c r="B1186" s="1" t="s">
        <v>4402</v>
      </c>
      <c r="C1186" s="1">
        <v>2653609.0</v>
      </c>
      <c r="D1186" s="1"/>
      <c r="E1186" s="1"/>
    </row>
    <row r="1187">
      <c r="A1187" s="1" t="s">
        <v>4581</v>
      </c>
      <c r="B1187" s="1" t="s">
        <v>4582</v>
      </c>
      <c r="D1187" s="1">
        <v>5755000.0</v>
      </c>
      <c r="E1187" s="1" t="s">
        <v>4583</v>
      </c>
    </row>
    <row r="1188">
      <c r="A1188" s="1" t="s">
        <v>4584</v>
      </c>
      <c r="B1188" s="22" t="s">
        <v>4570</v>
      </c>
      <c r="C1188" s="78"/>
      <c r="D1188" s="22">
        <v>40000.0</v>
      </c>
      <c r="E1188" s="22" t="s">
        <v>4491</v>
      </c>
    </row>
    <row r="1189">
      <c r="B1189" s="1" t="s">
        <v>267</v>
      </c>
      <c r="D1189" s="1">
        <v>770000.0</v>
      </c>
    </row>
    <row r="1190">
      <c r="B1190" s="23" t="s">
        <v>3908</v>
      </c>
      <c r="D1190" s="1">
        <v>819810.0</v>
      </c>
      <c r="E1190" s="1" t="s">
        <v>4585</v>
      </c>
    </row>
    <row r="1191">
      <c r="A1191" s="1" t="s">
        <v>2684</v>
      </c>
      <c r="B1191" s="1" t="s">
        <v>3947</v>
      </c>
      <c r="D1191" s="1">
        <v>110000.0</v>
      </c>
      <c r="E1191" s="1" t="s">
        <v>3986</v>
      </c>
    </row>
    <row r="1192">
      <c r="B1192" s="1" t="s">
        <v>3964</v>
      </c>
      <c r="D1192" s="1">
        <v>90000.0</v>
      </c>
    </row>
    <row r="1193">
      <c r="B1193" s="1" t="s">
        <v>648</v>
      </c>
      <c r="D1193" s="1">
        <v>143000.0</v>
      </c>
    </row>
    <row r="1194">
      <c r="B1194" s="3" t="s">
        <v>1137</v>
      </c>
      <c r="D1194" s="1"/>
      <c r="E1194" s="1" t="s">
        <v>4077</v>
      </c>
    </row>
    <row r="1195">
      <c r="A1195" s="1" t="s">
        <v>4581</v>
      </c>
      <c r="B1195" s="1" t="s">
        <v>4586</v>
      </c>
      <c r="D1195" s="1">
        <v>439180.0</v>
      </c>
      <c r="E1195" s="1" t="s">
        <v>4587</v>
      </c>
    </row>
    <row r="1196">
      <c r="A1196" s="1" t="s">
        <v>4588</v>
      </c>
      <c r="B1196" s="1" t="s">
        <v>4589</v>
      </c>
      <c r="D1196" s="1">
        <v>264000.0</v>
      </c>
      <c r="E1196" s="1" t="s">
        <v>4590</v>
      </c>
    </row>
    <row r="1197">
      <c r="A1197" s="1" t="s">
        <v>4588</v>
      </c>
      <c r="B1197" s="1" t="s">
        <v>3988</v>
      </c>
      <c r="C1197" s="1">
        <v>1735424.0</v>
      </c>
      <c r="D1197" s="1"/>
      <c r="E1197" s="1"/>
    </row>
    <row r="1198">
      <c r="B1198" s="1" t="s">
        <v>4498</v>
      </c>
      <c r="C1198" s="1">
        <v>2143375.0</v>
      </c>
      <c r="D1198" s="1"/>
      <c r="E1198" s="1"/>
    </row>
    <row r="1199">
      <c r="A1199" s="1" t="s">
        <v>4591</v>
      </c>
      <c r="B1199" s="1" t="s">
        <v>4483</v>
      </c>
      <c r="C1199" s="1">
        <v>2318887.0</v>
      </c>
      <c r="D1199" s="1"/>
      <c r="E1199" s="1"/>
    </row>
    <row r="1200">
      <c r="A1200" s="1" t="s">
        <v>4592</v>
      </c>
      <c r="B1200" s="33" t="s">
        <v>4285</v>
      </c>
      <c r="C1200" s="1">
        <v>1727830.0</v>
      </c>
      <c r="D1200" s="1"/>
      <c r="E1200" s="1"/>
    </row>
    <row r="1201">
      <c r="A1201" s="1" t="s">
        <v>2684</v>
      </c>
      <c r="B1201" s="1" t="s">
        <v>3984</v>
      </c>
      <c r="C1201" s="1">
        <v>4004993.0</v>
      </c>
      <c r="D1201" s="1"/>
      <c r="E1201" s="1"/>
    </row>
    <row r="1202">
      <c r="B1202" s="33" t="s">
        <v>4593</v>
      </c>
      <c r="C1202" s="1">
        <v>2182556.0</v>
      </c>
      <c r="D1202" s="1"/>
      <c r="E1202" s="1"/>
    </row>
    <row r="1203">
      <c r="A1203" s="1" t="s">
        <v>4594</v>
      </c>
      <c r="B1203" s="1" t="s">
        <v>4377</v>
      </c>
      <c r="C1203" s="1">
        <v>3046977.0</v>
      </c>
      <c r="D1203" s="1"/>
      <c r="E1203" s="1"/>
    </row>
    <row r="1204">
      <c r="B1204" s="1" t="s">
        <v>4468</v>
      </c>
      <c r="C1204" s="1">
        <v>2035106.0</v>
      </c>
      <c r="D1204" s="1"/>
      <c r="E1204" s="1"/>
    </row>
    <row r="1205">
      <c r="B1205" s="1" t="s">
        <v>4422</v>
      </c>
      <c r="C1205" s="1">
        <v>2631719.0</v>
      </c>
      <c r="D1205" s="1"/>
      <c r="E1205" s="1"/>
    </row>
    <row r="1206">
      <c r="B1206" s="1" t="s">
        <v>4595</v>
      </c>
      <c r="C1206" s="1">
        <v>1299579.0</v>
      </c>
      <c r="D1206" s="1"/>
      <c r="E1206" s="1"/>
    </row>
    <row r="1207">
      <c r="A1207" s="1" t="s">
        <v>4596</v>
      </c>
      <c r="B1207" s="1" t="s">
        <v>4561</v>
      </c>
      <c r="C1207" s="1">
        <v>1473807.0</v>
      </c>
      <c r="D1207" s="1"/>
      <c r="E1207" s="58" t="s">
        <v>4597</v>
      </c>
    </row>
    <row r="1208">
      <c r="A1208" s="1" t="s">
        <v>2695</v>
      </c>
      <c r="B1208" s="1" t="s">
        <v>4520</v>
      </c>
      <c r="C1208" s="1">
        <v>2342746.0</v>
      </c>
      <c r="D1208" s="1"/>
      <c r="E1208" s="1"/>
    </row>
    <row r="1209">
      <c r="A1209" s="1" t="s">
        <v>4598</v>
      </c>
      <c r="B1209" s="1" t="s">
        <v>4599</v>
      </c>
      <c r="D1209" s="1">
        <v>165000.0</v>
      </c>
      <c r="E1209" s="1" t="s">
        <v>4600</v>
      </c>
    </row>
    <row r="1210">
      <c r="A1210" s="1" t="s">
        <v>4601</v>
      </c>
      <c r="B1210" s="22" t="s">
        <v>4570</v>
      </c>
      <c r="C1210" s="78"/>
      <c r="D1210" s="22">
        <v>40000.0</v>
      </c>
      <c r="E1210" s="22" t="s">
        <v>4491</v>
      </c>
    </row>
    <row r="1211">
      <c r="B1211" s="1" t="s">
        <v>267</v>
      </c>
      <c r="D1211" s="1">
        <v>770000.0</v>
      </c>
    </row>
    <row r="1212">
      <c r="B1212" s="23" t="s">
        <v>3908</v>
      </c>
      <c r="D1212" s="1">
        <v>1037720.0</v>
      </c>
      <c r="E1212" s="1" t="s">
        <v>4602</v>
      </c>
    </row>
    <row r="1213">
      <c r="A1213" s="1"/>
      <c r="B1213" s="1" t="s">
        <v>1975</v>
      </c>
      <c r="D1213" s="1">
        <v>214840.0</v>
      </c>
      <c r="E1213" s="1"/>
    </row>
    <row r="1214">
      <c r="A1214" s="1" t="s">
        <v>2705</v>
      </c>
      <c r="B1214" s="1" t="s">
        <v>3947</v>
      </c>
      <c r="D1214" s="1">
        <v>110000.0</v>
      </c>
      <c r="E1214" s="1" t="s">
        <v>3986</v>
      </c>
    </row>
    <row r="1215">
      <c r="B1215" s="1" t="s">
        <v>3964</v>
      </c>
      <c r="D1215" s="1">
        <v>90000.0</v>
      </c>
    </row>
    <row r="1216">
      <c r="B1216" s="1" t="s">
        <v>648</v>
      </c>
      <c r="D1216" s="1">
        <v>143000.0</v>
      </c>
    </row>
    <row r="1217">
      <c r="B1217" s="3" t="s">
        <v>1137</v>
      </c>
      <c r="D1217" s="75"/>
      <c r="E1217" s="1" t="s">
        <v>4077</v>
      </c>
    </row>
    <row r="1218">
      <c r="A1218" s="1" t="s">
        <v>2709</v>
      </c>
      <c r="B1218" s="1" t="s">
        <v>4048</v>
      </c>
      <c r="C1218" s="1">
        <v>1781793.0</v>
      </c>
      <c r="D1218" s="1"/>
      <c r="E1218" s="1"/>
    </row>
    <row r="1219">
      <c r="A1219" s="1" t="s">
        <v>4603</v>
      </c>
      <c r="B1219" s="1" t="s">
        <v>4509</v>
      </c>
      <c r="C1219" s="1">
        <v>2318761.0</v>
      </c>
      <c r="D1219" s="1"/>
      <c r="E1219" s="1"/>
    </row>
    <row r="1220">
      <c r="B1220" s="1" t="s">
        <v>4498</v>
      </c>
      <c r="C1220" s="1">
        <v>2189731.0</v>
      </c>
      <c r="D1220" s="1"/>
      <c r="E1220" s="1"/>
    </row>
    <row r="1221">
      <c r="B1221" s="1" t="s">
        <v>4449</v>
      </c>
      <c r="C1221" s="1">
        <v>19172.0</v>
      </c>
      <c r="D1221" s="1"/>
      <c r="E1221" s="1"/>
    </row>
    <row r="1222">
      <c r="A1222" s="1" t="s">
        <v>4604</v>
      </c>
      <c r="B1222" s="33" t="s">
        <v>4605</v>
      </c>
      <c r="C1222" s="1">
        <v>2227988.0</v>
      </c>
      <c r="D1222" s="1"/>
      <c r="E1222" s="1"/>
    </row>
    <row r="1223">
      <c r="A1223" s="1" t="s">
        <v>4606</v>
      </c>
      <c r="B1223" s="1" t="s">
        <v>4577</v>
      </c>
      <c r="C1223" s="1">
        <v>2369587.0</v>
      </c>
      <c r="D1223" s="1"/>
      <c r="E1223" s="1"/>
    </row>
    <row r="1224">
      <c r="A1224" s="1" t="s">
        <v>2705</v>
      </c>
      <c r="B1224" s="1" t="s">
        <v>4373</v>
      </c>
      <c r="C1224" s="1">
        <v>3085136.0</v>
      </c>
      <c r="D1224" s="1"/>
      <c r="E1224" s="1"/>
    </row>
    <row r="1225">
      <c r="B1225" s="1" t="s">
        <v>4054</v>
      </c>
      <c r="C1225" s="1">
        <v>4114770.0</v>
      </c>
      <c r="D1225" s="1"/>
      <c r="E1225" s="1"/>
    </row>
    <row r="1226">
      <c r="B1226" s="1" t="s">
        <v>4487</v>
      </c>
      <c r="C1226" s="1">
        <v>2049475.0</v>
      </c>
      <c r="D1226" s="1"/>
      <c r="E1226" s="1"/>
    </row>
    <row r="1227">
      <c r="B1227" s="1" t="s">
        <v>4579</v>
      </c>
      <c r="C1227" s="1">
        <v>1449858.0</v>
      </c>
      <c r="D1227" s="1"/>
      <c r="E1227" s="1"/>
    </row>
    <row r="1228">
      <c r="B1228" s="33" t="s">
        <v>4391</v>
      </c>
      <c r="C1228" s="1">
        <v>1747670.0</v>
      </c>
      <c r="D1228" s="1"/>
      <c r="E1228" s="1"/>
    </row>
    <row r="1229">
      <c r="B1229" s="1" t="s">
        <v>4607</v>
      </c>
      <c r="C1229" s="1">
        <v>1305216.0</v>
      </c>
      <c r="D1229" s="1"/>
      <c r="E1229" s="1"/>
    </row>
    <row r="1230">
      <c r="A1230" s="1" t="s">
        <v>2721</v>
      </c>
      <c r="B1230" s="1" t="s">
        <v>4432</v>
      </c>
      <c r="C1230" s="1">
        <v>2618852.0</v>
      </c>
      <c r="D1230" s="1"/>
      <c r="E1230" s="1"/>
    </row>
    <row r="1231">
      <c r="A1231" s="39" t="s">
        <v>4608</v>
      </c>
      <c r="B1231" s="79" t="s">
        <v>4570</v>
      </c>
      <c r="C1231" s="80"/>
      <c r="D1231" s="81">
        <v>40000.0</v>
      </c>
      <c r="E1231" s="79" t="s">
        <v>4491</v>
      </c>
    </row>
    <row r="1232">
      <c r="A1232" s="40"/>
      <c r="B1232" s="82" t="s">
        <v>267</v>
      </c>
      <c r="C1232" s="40"/>
      <c r="D1232" s="41">
        <v>990000.0</v>
      </c>
      <c r="E1232" s="42"/>
    </row>
    <row r="1233">
      <c r="A1233" s="83"/>
      <c r="B1233" s="84" t="s">
        <v>3908</v>
      </c>
      <c r="C1233" s="40"/>
      <c r="D1233" s="41">
        <v>1418880.0</v>
      </c>
      <c r="E1233" s="39" t="s">
        <v>4609</v>
      </c>
    </row>
    <row r="1234">
      <c r="A1234" s="39" t="s">
        <v>2726</v>
      </c>
      <c r="B1234" s="42" t="s">
        <v>3947</v>
      </c>
      <c r="C1234" s="40"/>
      <c r="D1234" s="85">
        <v>110000.0</v>
      </c>
      <c r="E1234" s="42" t="s">
        <v>3986</v>
      </c>
    </row>
    <row r="1235">
      <c r="A1235" s="40"/>
      <c r="B1235" s="42" t="s">
        <v>3964</v>
      </c>
      <c r="C1235" s="40"/>
      <c r="D1235" s="85">
        <v>90000.0</v>
      </c>
      <c r="E1235" s="42"/>
    </row>
    <row r="1236">
      <c r="A1236" s="40"/>
      <c r="B1236" s="42" t="s">
        <v>648</v>
      </c>
      <c r="C1236" s="40"/>
      <c r="D1236" s="85">
        <v>143000.0</v>
      </c>
      <c r="E1236" s="42"/>
    </row>
    <row r="1237">
      <c r="A1237" s="40"/>
      <c r="B1237" s="42" t="s">
        <v>1137</v>
      </c>
      <c r="C1237" s="83"/>
      <c r="D1237" s="86"/>
      <c r="E1237" s="42" t="s">
        <v>4077</v>
      </c>
    </row>
    <row r="1238">
      <c r="A1238" s="1" t="s">
        <v>4608</v>
      </c>
      <c r="B1238" s="1" t="s">
        <v>4498</v>
      </c>
      <c r="C1238" s="1">
        <v>2221083.0</v>
      </c>
      <c r="D1238" s="1"/>
      <c r="E1238" s="1"/>
    </row>
    <row r="1239">
      <c r="A1239" s="1" t="s">
        <v>4610</v>
      </c>
      <c r="B1239" s="1" t="s">
        <v>4483</v>
      </c>
      <c r="C1239" s="1">
        <v>2357224.0</v>
      </c>
      <c r="D1239" s="1"/>
      <c r="E1239" s="1"/>
    </row>
    <row r="1240">
      <c r="B1240" s="1" t="s">
        <v>3988</v>
      </c>
      <c r="C1240" s="1">
        <v>1791894.0</v>
      </c>
      <c r="D1240" s="1"/>
      <c r="E1240" s="1"/>
    </row>
    <row r="1241">
      <c r="A1241" s="1" t="s">
        <v>2726</v>
      </c>
      <c r="B1241" s="1" t="s">
        <v>4377</v>
      </c>
      <c r="C1241" s="1">
        <v>3123512.0</v>
      </c>
      <c r="D1241" s="1"/>
      <c r="E1241" s="1"/>
    </row>
    <row r="1242">
      <c r="B1242" s="1" t="s">
        <v>3984</v>
      </c>
      <c r="C1242" s="1">
        <v>4056271.0</v>
      </c>
      <c r="D1242" s="1"/>
      <c r="E1242" s="1"/>
    </row>
    <row r="1243">
      <c r="B1243" s="1" t="s">
        <v>4561</v>
      </c>
      <c r="C1243" s="1">
        <v>1442427.0</v>
      </c>
      <c r="D1243" s="1"/>
      <c r="E1243" s="1"/>
    </row>
    <row r="1244">
      <c r="B1244" s="1" t="s">
        <v>4468</v>
      </c>
      <c r="C1244" s="1">
        <v>2083735.0</v>
      </c>
      <c r="D1244" s="1"/>
      <c r="E1244" s="1"/>
    </row>
    <row r="1245">
      <c r="A1245" s="1" t="s">
        <v>4611</v>
      </c>
      <c r="B1245" s="1" t="s">
        <v>4520</v>
      </c>
      <c r="C1245" s="1">
        <v>2361600.0</v>
      </c>
      <c r="D1245" s="1"/>
      <c r="E1245" s="1"/>
    </row>
    <row r="1246">
      <c r="A1246" s="1" t="s">
        <v>2736</v>
      </c>
      <c r="B1246" s="33" t="s">
        <v>4285</v>
      </c>
      <c r="C1246" s="1">
        <v>1798920.0</v>
      </c>
      <c r="D1246" s="1"/>
      <c r="E1246" s="1"/>
    </row>
    <row r="1247">
      <c r="B1247" s="1" t="s">
        <v>4595</v>
      </c>
      <c r="C1247" s="1">
        <v>1328765.0</v>
      </c>
      <c r="D1247" s="1"/>
      <c r="E1247" s="1"/>
    </row>
    <row r="1248">
      <c r="A1248" s="1" t="s">
        <v>2752</v>
      </c>
      <c r="B1248" s="22" t="s">
        <v>4570</v>
      </c>
      <c r="C1248" s="78"/>
      <c r="D1248" s="22">
        <v>40000.0</v>
      </c>
      <c r="E1248" s="22" t="s">
        <v>4491</v>
      </c>
    </row>
    <row r="1249">
      <c r="A1249" s="1" t="s">
        <v>2747</v>
      </c>
      <c r="B1249" s="1" t="s">
        <v>267</v>
      </c>
      <c r="D1249" s="1">
        <v>880000.0</v>
      </c>
    </row>
    <row r="1250">
      <c r="A1250" s="1" t="s">
        <v>2752</v>
      </c>
      <c r="B1250" s="23" t="s">
        <v>3908</v>
      </c>
      <c r="D1250" s="1">
        <v>1835740.0</v>
      </c>
      <c r="E1250" s="1" t="s">
        <v>4602</v>
      </c>
    </row>
    <row r="1251">
      <c r="A1251" s="1"/>
      <c r="B1251" s="1" t="s">
        <v>1975</v>
      </c>
      <c r="D1251" s="1">
        <v>259720.0</v>
      </c>
      <c r="E1251" s="1"/>
    </row>
    <row r="1252">
      <c r="A1252" s="1" t="s">
        <v>3769</v>
      </c>
      <c r="B1252" s="33" t="s">
        <v>4612</v>
      </c>
      <c r="C1252" s="1">
        <v>2486558.0</v>
      </c>
      <c r="D1252" s="1"/>
      <c r="E1252" s="1"/>
    </row>
    <row r="1253">
      <c r="B1253" s="33" t="s">
        <v>4613</v>
      </c>
      <c r="C1253" s="1">
        <v>2250849.0</v>
      </c>
      <c r="D1253" s="1"/>
      <c r="E1253" s="1"/>
    </row>
    <row r="1254">
      <c r="B1254" s="1" t="s">
        <v>4452</v>
      </c>
      <c r="C1254" s="1">
        <v>2570524.0</v>
      </c>
      <c r="D1254" s="1"/>
      <c r="E1254" s="1"/>
    </row>
    <row r="1255">
      <c r="A1255" s="39" t="s">
        <v>2751</v>
      </c>
      <c r="B1255" s="42" t="s">
        <v>3947</v>
      </c>
      <c r="C1255" s="40"/>
      <c r="D1255" s="85">
        <v>110000.0</v>
      </c>
      <c r="E1255" s="42" t="s">
        <v>3986</v>
      </c>
    </row>
    <row r="1256">
      <c r="A1256" s="40"/>
      <c r="B1256" s="42" t="s">
        <v>3964</v>
      </c>
      <c r="C1256" s="40"/>
      <c r="D1256" s="85">
        <v>90000.0</v>
      </c>
      <c r="E1256" s="42"/>
    </row>
    <row r="1257">
      <c r="A1257" s="40"/>
      <c r="B1257" s="42" t="s">
        <v>648</v>
      </c>
      <c r="C1257" s="40"/>
      <c r="D1257" s="85">
        <v>143000.0</v>
      </c>
      <c r="E1257" s="42"/>
    </row>
    <row r="1258">
      <c r="A1258" s="40"/>
      <c r="B1258" s="42" t="s">
        <v>1137</v>
      </c>
      <c r="C1258" s="83"/>
      <c r="D1258" s="86"/>
      <c r="E1258" s="42" t="s">
        <v>4077</v>
      </c>
    </row>
    <row r="1259">
      <c r="A1259" s="1" t="s">
        <v>2752</v>
      </c>
      <c r="B1259" s="1" t="s">
        <v>4498</v>
      </c>
      <c r="C1259" s="1">
        <v>2274257.0</v>
      </c>
    </row>
    <row r="1260">
      <c r="B1260" s="1" t="s">
        <v>4538</v>
      </c>
      <c r="C1260" s="1">
        <v>23177.0</v>
      </c>
    </row>
    <row r="1261">
      <c r="A1261" s="1" t="s">
        <v>4614</v>
      </c>
      <c r="B1261" s="1" t="s">
        <v>4509</v>
      </c>
      <c r="C1261" s="1">
        <v>2449723.0</v>
      </c>
    </row>
    <row r="1262">
      <c r="A1262" s="1" t="s">
        <v>4615</v>
      </c>
      <c r="B1262" s="1" t="s">
        <v>4616</v>
      </c>
      <c r="C1262" s="1">
        <v>2685565.0</v>
      </c>
    </row>
    <row r="1263">
      <c r="B1263" s="33" t="s">
        <v>4391</v>
      </c>
      <c r="C1263" s="1">
        <v>1851580.0</v>
      </c>
    </row>
    <row r="1264">
      <c r="A1264" s="1" t="s">
        <v>4617</v>
      </c>
      <c r="B1264" s="1" t="s">
        <v>4577</v>
      </c>
      <c r="C1264" s="1">
        <v>2431574.0</v>
      </c>
    </row>
    <row r="1265">
      <c r="A1265" s="1" t="s">
        <v>4618</v>
      </c>
      <c r="B1265" s="1" t="s">
        <v>4054</v>
      </c>
      <c r="C1265" s="1">
        <v>4222993.0</v>
      </c>
    </row>
    <row r="1266">
      <c r="B1266" s="1" t="s">
        <v>4048</v>
      </c>
      <c r="C1266" s="1">
        <v>1804976.0</v>
      </c>
    </row>
    <row r="1267">
      <c r="A1267" s="1" t="s">
        <v>4619</v>
      </c>
      <c r="B1267" s="1" t="s">
        <v>4373</v>
      </c>
      <c r="C1267" s="1">
        <v>3178769.0</v>
      </c>
    </row>
    <row r="1268">
      <c r="A1268" s="1" t="s">
        <v>2751</v>
      </c>
      <c r="B1268" s="33" t="s">
        <v>4297</v>
      </c>
      <c r="C1268" s="1">
        <v>2197173.0</v>
      </c>
    </row>
    <row r="1269">
      <c r="A1269" s="1" t="s">
        <v>2746</v>
      </c>
      <c r="B1269" s="1" t="s">
        <v>4487</v>
      </c>
      <c r="C1269" s="1">
        <v>2138419.0</v>
      </c>
    </row>
    <row r="1270">
      <c r="B1270" s="1" t="s">
        <v>4579</v>
      </c>
      <c r="C1270" s="1">
        <v>1509568.0</v>
      </c>
    </row>
    <row r="1271">
      <c r="A1271" s="1" t="s">
        <v>2755</v>
      </c>
      <c r="B1271" s="1" t="s">
        <v>4607</v>
      </c>
      <c r="C1271" s="1">
        <v>1353678.0</v>
      </c>
    </row>
    <row r="1272">
      <c r="A1272" s="1" t="s">
        <v>2761</v>
      </c>
      <c r="B1272" s="1" t="s">
        <v>4620</v>
      </c>
      <c r="D1272" s="1">
        <v>22000.0</v>
      </c>
      <c r="E1272" s="1" t="s">
        <v>4621</v>
      </c>
    </row>
    <row r="1273">
      <c r="A1273" s="54" t="s">
        <v>2771</v>
      </c>
      <c r="B1273" s="54" t="s">
        <v>4622</v>
      </c>
      <c r="C1273" s="55"/>
      <c r="D1273" s="54">
        <v>2.7E7</v>
      </c>
      <c r="E1273" s="54" t="s">
        <v>4534</v>
      </c>
    </row>
    <row r="1274">
      <c r="A1274" s="1" t="s">
        <v>2771</v>
      </c>
      <c r="B1274" s="1" t="s">
        <v>4623</v>
      </c>
      <c r="D1274" s="1">
        <v>5714830.0</v>
      </c>
      <c r="E1274" s="1" t="s">
        <v>4624</v>
      </c>
    </row>
    <row r="1275">
      <c r="A1275" s="1" t="s">
        <v>4625</v>
      </c>
      <c r="B1275" s="22" t="s">
        <v>4570</v>
      </c>
      <c r="C1275" s="78"/>
      <c r="D1275" s="22">
        <v>40000.0</v>
      </c>
      <c r="E1275" s="22" t="s">
        <v>4491</v>
      </c>
    </row>
    <row r="1276">
      <c r="A1276" s="1" t="s">
        <v>4626</v>
      </c>
      <c r="B1276" s="1" t="s">
        <v>267</v>
      </c>
      <c r="D1276" s="1">
        <v>770000.0</v>
      </c>
    </row>
    <row r="1277">
      <c r="A1277" s="1" t="s">
        <v>4626</v>
      </c>
      <c r="B1277" s="23" t="s">
        <v>3908</v>
      </c>
      <c r="D1277" s="1">
        <v>1852430.0</v>
      </c>
      <c r="E1277" s="1" t="s">
        <v>4602</v>
      </c>
    </row>
    <row r="1278">
      <c r="A1278" s="39" t="s">
        <v>2770</v>
      </c>
      <c r="B1278" s="42" t="s">
        <v>3947</v>
      </c>
      <c r="C1278" s="40"/>
      <c r="D1278" s="85">
        <v>110000.0</v>
      </c>
      <c r="E1278" s="42" t="s">
        <v>3986</v>
      </c>
    </row>
    <row r="1279">
      <c r="A1279" s="40"/>
      <c r="B1279" s="42" t="s">
        <v>3964</v>
      </c>
      <c r="C1279" s="40"/>
      <c r="D1279" s="85"/>
      <c r="E1279" s="39" t="s">
        <v>4627</v>
      </c>
    </row>
    <row r="1280">
      <c r="A1280" s="40"/>
      <c r="B1280" s="42" t="s">
        <v>648</v>
      </c>
      <c r="C1280" s="40"/>
      <c r="D1280" s="85">
        <v>143000.0</v>
      </c>
      <c r="E1280" s="42"/>
    </row>
    <row r="1281">
      <c r="A1281" s="1" t="s">
        <v>2772</v>
      </c>
      <c r="B1281" s="1" t="s">
        <v>4498</v>
      </c>
      <c r="C1281" s="1">
        <v>2269470.0</v>
      </c>
    </row>
    <row r="1282">
      <c r="A1282" s="1" t="s">
        <v>2770</v>
      </c>
      <c r="B1282" s="1" t="s">
        <v>3984</v>
      </c>
      <c r="C1282" s="1">
        <v>4166564.0</v>
      </c>
    </row>
    <row r="1283">
      <c r="B1283" s="1" t="s">
        <v>4483</v>
      </c>
      <c r="C1283" s="1">
        <v>2406631.0</v>
      </c>
    </row>
    <row r="1284">
      <c r="B1284" s="1" t="s">
        <v>4628</v>
      </c>
      <c r="C1284" s="1">
        <v>2664658.0</v>
      </c>
    </row>
    <row r="1285">
      <c r="B1285" s="1" t="s">
        <v>3988</v>
      </c>
      <c r="C1285" s="1">
        <v>1795752.0</v>
      </c>
      <c r="D1285" s="1"/>
      <c r="E1285" s="1"/>
    </row>
    <row r="1286">
      <c r="A1286" s="1" t="s">
        <v>4629</v>
      </c>
      <c r="B1286" s="1" t="s">
        <v>4377</v>
      </c>
      <c r="C1286" s="1">
        <v>3151987.0</v>
      </c>
      <c r="D1286" s="1"/>
      <c r="E1286" s="1"/>
    </row>
    <row r="1287">
      <c r="B1287" s="33" t="s">
        <v>4287</v>
      </c>
      <c r="C1287" s="1">
        <v>2309706.0</v>
      </c>
      <c r="D1287" s="1"/>
      <c r="E1287" s="1"/>
    </row>
    <row r="1288">
      <c r="B1288" s="1" t="s">
        <v>4468</v>
      </c>
      <c r="C1288" s="1">
        <v>2099265.0</v>
      </c>
      <c r="D1288" s="1"/>
      <c r="E1288" s="1"/>
    </row>
    <row r="1289">
      <c r="A1289" s="1" t="s">
        <v>4625</v>
      </c>
      <c r="B1289" s="1" t="s">
        <v>4561</v>
      </c>
      <c r="C1289" s="1">
        <v>1480118.0</v>
      </c>
      <c r="D1289" s="1"/>
      <c r="E1289" s="1"/>
    </row>
    <row r="1290">
      <c r="B1290" s="1" t="s">
        <v>4520</v>
      </c>
      <c r="C1290" s="1">
        <v>2367689.0</v>
      </c>
      <c r="D1290" s="1"/>
      <c r="E1290" s="1"/>
    </row>
    <row r="1291">
      <c r="B1291" s="33" t="s">
        <v>4285</v>
      </c>
      <c r="C1291" s="1">
        <v>1818270.0</v>
      </c>
      <c r="D1291" s="1"/>
      <c r="E1291" s="1"/>
    </row>
    <row r="1292">
      <c r="A1292" s="1" t="s">
        <v>4630</v>
      </c>
      <c r="B1292" s="56" t="s">
        <v>4595</v>
      </c>
      <c r="C1292" s="56">
        <v>1300000.0</v>
      </c>
      <c r="D1292" s="56"/>
      <c r="E1292" s="56" t="s">
        <v>4631</v>
      </c>
    </row>
    <row r="1293">
      <c r="A1293" s="1" t="s">
        <v>4632</v>
      </c>
      <c r="B1293" s="22" t="s">
        <v>4570</v>
      </c>
      <c r="C1293" s="78"/>
      <c r="D1293" s="22">
        <v>40000.0</v>
      </c>
      <c r="E1293" s="22" t="s">
        <v>4491</v>
      </c>
    </row>
    <row r="1294">
      <c r="A1294" s="1" t="s">
        <v>4632</v>
      </c>
      <c r="B1294" s="1" t="s">
        <v>267</v>
      </c>
      <c r="D1294" s="1">
        <v>770000.0</v>
      </c>
    </row>
    <row r="1295">
      <c r="A1295" s="1" t="s">
        <v>4632</v>
      </c>
      <c r="B1295" s="23" t="s">
        <v>3908</v>
      </c>
      <c r="D1295" s="1">
        <v>1315200.0</v>
      </c>
      <c r="E1295" s="1" t="s">
        <v>4633</v>
      </c>
    </row>
    <row r="1296">
      <c r="A1296" s="1" t="s">
        <v>4632</v>
      </c>
      <c r="B1296" s="1" t="s">
        <v>1975</v>
      </c>
      <c r="D1296" s="1">
        <v>222760.0</v>
      </c>
      <c r="E1296" s="1"/>
    </row>
    <row r="1297">
      <c r="A1297" s="1" t="s">
        <v>4632</v>
      </c>
      <c r="B1297" s="1" t="s">
        <v>4634</v>
      </c>
      <c r="D1297" s="1">
        <v>36001.0</v>
      </c>
      <c r="E1297" s="1"/>
    </row>
    <row r="1298">
      <c r="A1298" s="39" t="s">
        <v>2784</v>
      </c>
      <c r="B1298" s="42" t="s">
        <v>3947</v>
      </c>
      <c r="C1298" s="40"/>
      <c r="D1298" s="85">
        <v>110000.0</v>
      </c>
      <c r="E1298" s="42" t="s">
        <v>3986</v>
      </c>
    </row>
    <row r="1299">
      <c r="A1299" s="40"/>
      <c r="B1299" s="42" t="s">
        <v>3964</v>
      </c>
      <c r="C1299" s="40"/>
      <c r="D1299" s="85"/>
      <c r="E1299" s="39" t="s">
        <v>4627</v>
      </c>
    </row>
    <row r="1300">
      <c r="A1300" s="40"/>
      <c r="B1300" s="42" t="s">
        <v>648</v>
      </c>
      <c r="C1300" s="40"/>
      <c r="D1300" s="85">
        <v>143000.0</v>
      </c>
      <c r="E1300" s="42"/>
    </row>
    <row r="1301">
      <c r="A1301" s="1" t="s">
        <v>4635</v>
      </c>
      <c r="B1301" s="1" t="s">
        <v>4498</v>
      </c>
      <c r="C1301" s="1">
        <v>2231581.0</v>
      </c>
      <c r="D1301" s="1"/>
    </row>
    <row r="1302">
      <c r="B1302" s="1" t="s">
        <v>4538</v>
      </c>
      <c r="C1302" s="1">
        <v>19879.0</v>
      </c>
      <c r="D1302" s="1"/>
    </row>
    <row r="1303">
      <c r="A1303" s="1" t="s">
        <v>4636</v>
      </c>
      <c r="B1303" s="1" t="s">
        <v>4509</v>
      </c>
      <c r="C1303" s="1">
        <v>2366119.0</v>
      </c>
      <c r="D1303" s="1"/>
    </row>
    <row r="1304">
      <c r="B1304" s="33" t="s">
        <v>4391</v>
      </c>
      <c r="C1304" s="1">
        <v>1787412.0</v>
      </c>
      <c r="D1304" s="1"/>
    </row>
    <row r="1305">
      <c r="B1305" s="1" t="s">
        <v>4048</v>
      </c>
      <c r="C1305" s="1">
        <v>1791274.0</v>
      </c>
      <c r="D1305" s="1"/>
    </row>
    <row r="1306">
      <c r="A1306" s="1" t="s">
        <v>4637</v>
      </c>
      <c r="B1306" s="1" t="s">
        <v>4616</v>
      </c>
      <c r="C1306" s="1">
        <v>2651573.0</v>
      </c>
      <c r="D1306" s="1"/>
    </row>
    <row r="1307">
      <c r="A1307" s="1" t="s">
        <v>4638</v>
      </c>
      <c r="B1307" s="1" t="s">
        <v>4577</v>
      </c>
      <c r="C1307" s="1">
        <v>2368616.0</v>
      </c>
      <c r="D1307" s="1"/>
    </row>
    <row r="1308">
      <c r="A1308" s="1" t="s">
        <v>4639</v>
      </c>
      <c r="B1308" s="1" t="s">
        <v>4487</v>
      </c>
      <c r="C1308" s="1">
        <v>2073741.0</v>
      </c>
      <c r="D1308" s="1"/>
    </row>
    <row r="1309">
      <c r="B1309" s="33" t="s">
        <v>4297</v>
      </c>
      <c r="C1309" s="1">
        <v>2294897.0</v>
      </c>
      <c r="D1309" s="1"/>
    </row>
    <row r="1310">
      <c r="A1310" s="1" t="s">
        <v>2784</v>
      </c>
      <c r="B1310" s="1" t="s">
        <v>4373</v>
      </c>
      <c r="C1310" s="1">
        <v>3115158.0</v>
      </c>
      <c r="D1310" s="1"/>
    </row>
    <row r="1311">
      <c r="B1311" s="1" t="s">
        <v>4054</v>
      </c>
      <c r="C1311" s="1">
        <v>4096047.0</v>
      </c>
      <c r="D1311" s="1"/>
    </row>
    <row r="1312">
      <c r="B1312" s="1" t="s">
        <v>4579</v>
      </c>
      <c r="C1312" s="1">
        <v>1446313.0</v>
      </c>
      <c r="D1312" s="1"/>
    </row>
    <row r="1313">
      <c r="A1313" s="1" t="s">
        <v>4640</v>
      </c>
      <c r="B1313" s="1" t="s">
        <v>4607</v>
      </c>
      <c r="C1313" s="1">
        <v>1369668.0</v>
      </c>
      <c r="D1313" s="1"/>
      <c r="E1313" s="1" t="s">
        <v>4641</v>
      </c>
    </row>
    <row r="1314">
      <c r="A1314" s="1" t="s">
        <v>2791</v>
      </c>
      <c r="B1314" s="1" t="s">
        <v>4352</v>
      </c>
      <c r="D1314" s="1">
        <v>5734000.0</v>
      </c>
      <c r="E1314" s="1" t="s">
        <v>4642</v>
      </c>
    </row>
    <row r="1315">
      <c r="A1315" s="1" t="s">
        <v>4643</v>
      </c>
      <c r="B1315" s="22" t="s">
        <v>4570</v>
      </c>
      <c r="C1315" s="78"/>
      <c r="D1315" s="22">
        <v>40000.0</v>
      </c>
      <c r="E1315" s="22" t="s">
        <v>4491</v>
      </c>
    </row>
    <row r="1316">
      <c r="A1316" s="1" t="s">
        <v>4643</v>
      </c>
      <c r="B1316" s="1" t="s">
        <v>267</v>
      </c>
      <c r="D1316" s="1">
        <v>935000.0</v>
      </c>
    </row>
    <row r="1317">
      <c r="A1317" s="1" t="s">
        <v>4643</v>
      </c>
      <c r="B1317" s="1" t="s">
        <v>3908</v>
      </c>
      <c r="D1317" s="1">
        <v>923430.0</v>
      </c>
      <c r="E1317" s="1" t="s">
        <v>4644</v>
      </c>
    </row>
    <row r="1318">
      <c r="A1318" s="39" t="s">
        <v>2784</v>
      </c>
      <c r="B1318" s="42" t="s">
        <v>3947</v>
      </c>
      <c r="C1318" s="40"/>
      <c r="D1318" s="85">
        <v>110000.0</v>
      </c>
      <c r="E1318" s="42" t="s">
        <v>3986</v>
      </c>
    </row>
    <row r="1319">
      <c r="A1319" s="40"/>
      <c r="B1319" s="42" t="s">
        <v>3964</v>
      </c>
      <c r="C1319" s="40"/>
      <c r="D1319" s="87"/>
      <c r="E1319" s="39" t="s">
        <v>4645</v>
      </c>
    </row>
    <row r="1320">
      <c r="A1320" s="40"/>
      <c r="B1320" s="42" t="s">
        <v>648</v>
      </c>
      <c r="C1320" s="40"/>
      <c r="D1320" s="85">
        <v>143000.0</v>
      </c>
      <c r="E1320" s="42"/>
    </row>
    <row r="1321">
      <c r="A1321" s="1" t="s">
        <v>4646</v>
      </c>
      <c r="B1321" s="1" t="s">
        <v>4498</v>
      </c>
      <c r="C1321" s="1">
        <v>2182013.0</v>
      </c>
      <c r="D1321" s="1"/>
    </row>
    <row r="1322">
      <c r="B1322" s="1" t="s">
        <v>3988</v>
      </c>
      <c r="C1322" s="1">
        <v>1761971.0</v>
      </c>
      <c r="D1322" s="1"/>
    </row>
    <row r="1323">
      <c r="A1323" s="1" t="s">
        <v>4647</v>
      </c>
      <c r="B1323" s="1" t="s">
        <v>4628</v>
      </c>
      <c r="C1323" s="1">
        <v>2599323.0</v>
      </c>
      <c r="D1323" s="1"/>
    </row>
    <row r="1324">
      <c r="A1324" s="1" t="s">
        <v>4648</v>
      </c>
      <c r="B1324" s="1" t="s">
        <v>4483</v>
      </c>
      <c r="C1324" s="1">
        <v>1193353.0</v>
      </c>
      <c r="D1324" s="1"/>
    </row>
    <row r="1325">
      <c r="B1325" s="33" t="s">
        <v>4287</v>
      </c>
      <c r="C1325" s="1">
        <v>2185593.0</v>
      </c>
      <c r="D1325" s="1"/>
    </row>
    <row r="1326">
      <c r="A1326" s="1" t="s">
        <v>2790</v>
      </c>
      <c r="B1326" s="1" t="s">
        <v>3984</v>
      </c>
      <c r="C1326" s="1">
        <v>4005422.0</v>
      </c>
      <c r="D1326" s="1"/>
    </row>
    <row r="1327">
      <c r="B1327" s="1" t="s">
        <v>4377</v>
      </c>
      <c r="C1327" s="1">
        <v>3059931.0</v>
      </c>
      <c r="D1327" s="1"/>
    </row>
    <row r="1328">
      <c r="B1328" s="1" t="s">
        <v>4561</v>
      </c>
      <c r="C1328" s="1">
        <v>1442430.0</v>
      </c>
      <c r="D1328" s="1"/>
    </row>
    <row r="1329">
      <c r="A1329" s="1" t="s">
        <v>4649</v>
      </c>
      <c r="B1329" s="1" t="s">
        <v>4468</v>
      </c>
      <c r="C1329" s="1">
        <v>2035183.0</v>
      </c>
      <c r="D1329" s="1"/>
    </row>
    <row r="1330">
      <c r="B1330" s="1" t="s">
        <v>4595</v>
      </c>
      <c r="C1330" s="1">
        <v>1307159.0</v>
      </c>
      <c r="D1330" s="1"/>
      <c r="E1330" s="1" t="s">
        <v>4650</v>
      </c>
    </row>
    <row r="1331">
      <c r="A1331" s="1" t="s">
        <v>4651</v>
      </c>
      <c r="B1331" s="33" t="s">
        <v>4285</v>
      </c>
      <c r="C1331" s="1">
        <v>1731000.0</v>
      </c>
      <c r="D1331" s="1"/>
    </row>
    <row r="1332">
      <c r="A1332" s="2" t="s">
        <v>2794</v>
      </c>
      <c r="B1332" s="2" t="s">
        <v>4652</v>
      </c>
      <c r="C1332" s="2">
        <v>2619431.0</v>
      </c>
      <c r="D1332" s="2"/>
      <c r="E1332" s="2" t="s">
        <v>4653</v>
      </c>
    </row>
    <row r="1333">
      <c r="A1333" s="1" t="s">
        <v>4654</v>
      </c>
      <c r="B1333" s="1" t="s">
        <v>4655</v>
      </c>
      <c r="D1333" s="1">
        <v>525000.0</v>
      </c>
      <c r="E1333" s="1" t="s">
        <v>4368</v>
      </c>
    </row>
    <row r="1334">
      <c r="B1334" s="1" t="s">
        <v>4656</v>
      </c>
      <c r="D1334" s="1">
        <v>22500.0</v>
      </c>
      <c r="E1334" s="1" t="s">
        <v>4368</v>
      </c>
    </row>
    <row r="1335">
      <c r="A1335" s="54" t="s">
        <v>4657</v>
      </c>
      <c r="B1335" s="54" t="s">
        <v>4658</v>
      </c>
      <c r="C1335" s="55"/>
      <c r="D1335" s="54">
        <v>3030000.0</v>
      </c>
      <c r="E1335" s="54" t="s">
        <v>4534</v>
      </c>
    </row>
    <row r="1336">
      <c r="A1336" s="1" t="s">
        <v>4659</v>
      </c>
      <c r="B1336" s="22" t="s">
        <v>4570</v>
      </c>
      <c r="C1336" s="78"/>
      <c r="D1336" s="22">
        <v>40000.0</v>
      </c>
      <c r="E1336" s="22" t="s">
        <v>4491</v>
      </c>
    </row>
    <row r="1337">
      <c r="B1337" s="1" t="s">
        <v>267</v>
      </c>
      <c r="D1337" s="1">
        <v>935000.0</v>
      </c>
    </row>
    <row r="1338">
      <c r="B1338" s="1" t="s">
        <v>3908</v>
      </c>
      <c r="D1338" s="1">
        <v>864810.0</v>
      </c>
    </row>
    <row r="1339">
      <c r="A1339" s="39"/>
      <c r="B1339" s="39" t="s">
        <v>1975</v>
      </c>
      <c r="C1339" s="40"/>
      <c r="D1339" s="41">
        <v>251800.0</v>
      </c>
      <c r="E1339" s="42"/>
    </row>
    <row r="1340">
      <c r="A1340" s="39" t="s">
        <v>4660</v>
      </c>
      <c r="B1340" s="39" t="s">
        <v>4661</v>
      </c>
      <c r="C1340" s="40"/>
      <c r="D1340" s="41">
        <v>121000.0</v>
      </c>
      <c r="E1340" s="42" t="s">
        <v>3986</v>
      </c>
    </row>
    <row r="1341">
      <c r="A1341" s="40"/>
      <c r="B1341" s="42" t="s">
        <v>3964</v>
      </c>
      <c r="C1341" s="40"/>
      <c r="D1341" s="85"/>
      <c r="E1341" s="39" t="s">
        <v>4645</v>
      </c>
    </row>
    <row r="1342">
      <c r="A1342" s="40"/>
      <c r="B1342" s="42" t="s">
        <v>648</v>
      </c>
      <c r="C1342" s="40"/>
      <c r="D1342" s="85">
        <v>143000.0</v>
      </c>
      <c r="E1342" s="42"/>
    </row>
    <row r="1343">
      <c r="A1343" s="2" t="s">
        <v>2797</v>
      </c>
      <c r="B1343" s="2" t="s">
        <v>4662</v>
      </c>
      <c r="C1343" s="2">
        <v>2628594.0</v>
      </c>
      <c r="D1343" s="2"/>
      <c r="E1343" s="2" t="s">
        <v>4653</v>
      </c>
    </row>
    <row r="1344">
      <c r="A1344" s="30" t="s">
        <v>4663</v>
      </c>
      <c r="B1344" s="30" t="s">
        <v>4664</v>
      </c>
      <c r="C1344" s="31"/>
      <c r="D1344" s="30">
        <v>1830000.0</v>
      </c>
      <c r="E1344" s="30" t="s">
        <v>4665</v>
      </c>
    </row>
    <row r="1345">
      <c r="A1345" s="1" t="s">
        <v>2770</v>
      </c>
      <c r="B1345" s="1" t="s">
        <v>4498</v>
      </c>
      <c r="C1345" s="1">
        <v>2163801.0</v>
      </c>
    </row>
    <row r="1346">
      <c r="B1346" s="1" t="s">
        <v>4538</v>
      </c>
      <c r="C1346" s="1">
        <v>22470.0</v>
      </c>
    </row>
    <row r="1347">
      <c r="B1347" s="1" t="s">
        <v>4048</v>
      </c>
      <c r="C1347" s="1">
        <v>1755597.0</v>
      </c>
    </row>
    <row r="1348">
      <c r="A1348" s="1" t="s">
        <v>4666</v>
      </c>
      <c r="B1348" s="1" t="s">
        <v>4509</v>
      </c>
      <c r="C1348" s="1">
        <v>1233809.0</v>
      </c>
    </row>
    <row r="1349">
      <c r="B1349" s="1" t="s">
        <v>4577</v>
      </c>
      <c r="C1349" s="1">
        <v>2370234.0</v>
      </c>
    </row>
    <row r="1350">
      <c r="B1350" s="1" t="s">
        <v>4667</v>
      </c>
      <c r="C1350" s="1">
        <v>2346043.0</v>
      </c>
    </row>
    <row r="1351">
      <c r="A1351" s="1" t="s">
        <v>2801</v>
      </c>
      <c r="B1351" s="1" t="s">
        <v>4054</v>
      </c>
      <c r="C1351" s="1">
        <v>4022008.0</v>
      </c>
    </row>
    <row r="1352">
      <c r="A1352" s="1" t="s">
        <v>4668</v>
      </c>
      <c r="B1352" s="1" t="s">
        <v>4373</v>
      </c>
      <c r="C1352" s="1">
        <v>3061464.0</v>
      </c>
    </row>
    <row r="1353">
      <c r="B1353" s="33" t="s">
        <v>4297</v>
      </c>
      <c r="C1353" s="1">
        <v>2247107.0</v>
      </c>
    </row>
    <row r="1354">
      <c r="B1354" s="1" t="s">
        <v>4579</v>
      </c>
      <c r="C1354" s="1">
        <v>1451978.0</v>
      </c>
    </row>
    <row r="1355">
      <c r="A1355" s="1" t="s">
        <v>4660</v>
      </c>
      <c r="B1355" s="1" t="s">
        <v>4616</v>
      </c>
      <c r="C1355" s="1">
        <v>2602546.0</v>
      </c>
    </row>
    <row r="1356">
      <c r="A1356" s="1" t="s">
        <v>2796</v>
      </c>
      <c r="B1356" s="1" t="s">
        <v>4468</v>
      </c>
      <c r="C1356" s="1">
        <v>2044391.0</v>
      </c>
    </row>
    <row r="1357">
      <c r="B1357" s="1" t="s">
        <v>4669</v>
      </c>
      <c r="C1357" s="1">
        <v>16909.0</v>
      </c>
    </row>
    <row r="1358">
      <c r="A1358" s="1" t="s">
        <v>4670</v>
      </c>
      <c r="B1358" s="1" t="s">
        <v>4607</v>
      </c>
      <c r="C1358" s="1">
        <v>1304402.0</v>
      </c>
    </row>
    <row r="1359">
      <c r="B1359" s="33" t="s">
        <v>4391</v>
      </c>
      <c r="C1359" s="1">
        <v>1745890.0</v>
      </c>
    </row>
    <row r="1360">
      <c r="A1360" s="1" t="s">
        <v>4671</v>
      </c>
      <c r="B1360" s="22" t="s">
        <v>4570</v>
      </c>
      <c r="C1360" s="78"/>
      <c r="D1360" s="22">
        <v>40000.0</v>
      </c>
      <c r="E1360" s="22" t="s">
        <v>4491</v>
      </c>
    </row>
    <row r="1361">
      <c r="B1361" s="1" t="s">
        <v>267</v>
      </c>
      <c r="D1361" s="1">
        <v>880000.0</v>
      </c>
    </row>
    <row r="1362">
      <c r="B1362" s="1" t="s">
        <v>3908</v>
      </c>
      <c r="D1362" s="1">
        <v>1009430.0</v>
      </c>
    </row>
    <row r="1363">
      <c r="A1363" s="39" t="s">
        <v>4672</v>
      </c>
      <c r="B1363" s="39" t="s">
        <v>4661</v>
      </c>
      <c r="C1363" s="40"/>
      <c r="D1363" s="41">
        <v>121000.0</v>
      </c>
      <c r="E1363" s="42" t="s">
        <v>3986</v>
      </c>
    </row>
    <row r="1364">
      <c r="A1364" s="40"/>
      <c r="B1364" s="42" t="s">
        <v>3964</v>
      </c>
      <c r="C1364" s="40"/>
      <c r="D1364" s="85"/>
      <c r="E1364" s="39" t="s">
        <v>4645</v>
      </c>
    </row>
    <row r="1365">
      <c r="A1365" s="40"/>
      <c r="B1365" s="42" t="s">
        <v>648</v>
      </c>
      <c r="C1365" s="40"/>
      <c r="D1365" s="85">
        <v>143000.0</v>
      </c>
      <c r="E1365" s="42"/>
    </row>
    <row r="1366">
      <c r="A1366" s="31"/>
      <c r="B1366" s="30" t="s">
        <v>4673</v>
      </c>
      <c r="C1366" s="31"/>
      <c r="D1366" s="30">
        <v>3050000.0</v>
      </c>
      <c r="E1366" s="30" t="s">
        <v>4665</v>
      </c>
    </row>
    <row r="1367">
      <c r="A1367" s="31"/>
      <c r="B1367" s="30" t="s">
        <v>4674</v>
      </c>
      <c r="C1367" s="31"/>
      <c r="D1367" s="30">
        <v>1220000.0</v>
      </c>
      <c r="E1367" s="30" t="s">
        <v>4665</v>
      </c>
    </row>
    <row r="1368">
      <c r="A1368" s="31"/>
      <c r="B1368" s="30" t="s">
        <v>4228</v>
      </c>
      <c r="C1368" s="31"/>
      <c r="D1368" s="30">
        <v>610000.0</v>
      </c>
      <c r="E1368" s="30" t="s">
        <v>4675</v>
      </c>
    </row>
    <row r="1369">
      <c r="A1369" s="1" t="s">
        <v>4676</v>
      </c>
      <c r="B1369" s="1" t="s">
        <v>2825</v>
      </c>
      <c r="D1369" s="1">
        <v>986590.0</v>
      </c>
    </row>
    <row r="1370">
      <c r="B1370" s="1" t="s">
        <v>2826</v>
      </c>
      <c r="D1370" s="1">
        <v>1023990.0</v>
      </c>
    </row>
    <row r="1371">
      <c r="A1371" s="1" t="s">
        <v>4677</v>
      </c>
      <c r="B1371" s="1" t="s">
        <v>4498</v>
      </c>
      <c r="C1371" s="1">
        <v>2172679.0</v>
      </c>
    </row>
    <row r="1372">
      <c r="A1372" s="1" t="s">
        <v>4678</v>
      </c>
      <c r="B1372" s="1" t="s">
        <v>4628</v>
      </c>
      <c r="C1372" s="1">
        <v>2592447.0</v>
      </c>
    </row>
    <row r="1373">
      <c r="B1373" s="1" t="s">
        <v>3988</v>
      </c>
      <c r="C1373" s="1">
        <v>1736243.0</v>
      </c>
    </row>
    <row r="1374">
      <c r="B1374" s="1" t="s">
        <v>4483</v>
      </c>
      <c r="C1374" s="1">
        <v>1221794.0</v>
      </c>
    </row>
    <row r="1375">
      <c r="B1375" s="33" t="s">
        <v>4285</v>
      </c>
      <c r="C1375" s="1">
        <v>1736390.0</v>
      </c>
    </row>
    <row r="1376">
      <c r="A1376" s="1" t="s">
        <v>2817</v>
      </c>
      <c r="B1376" s="33" t="s">
        <v>4287</v>
      </c>
      <c r="C1376" s="1">
        <v>2198498.0</v>
      </c>
    </row>
    <row r="1377">
      <c r="A1377" s="1" t="s">
        <v>4672</v>
      </c>
      <c r="B1377" s="1" t="s">
        <v>4377</v>
      </c>
      <c r="C1377" s="1">
        <v>3047255.0</v>
      </c>
    </row>
    <row r="1378">
      <c r="B1378" s="1" t="s">
        <v>3984</v>
      </c>
      <c r="C1378" s="1">
        <v>4013642.0</v>
      </c>
    </row>
    <row r="1379">
      <c r="B1379" s="1" t="s">
        <v>4561</v>
      </c>
      <c r="C1379" s="1">
        <v>1478255.0</v>
      </c>
    </row>
    <row r="1380">
      <c r="B1380" s="1" t="s">
        <v>4520</v>
      </c>
      <c r="C1380" s="1">
        <v>2382563.0</v>
      </c>
    </row>
    <row r="1381">
      <c r="A1381" s="1" t="s">
        <v>2805</v>
      </c>
      <c r="B1381" s="1" t="s">
        <v>4468</v>
      </c>
      <c r="C1381" s="1">
        <v>2051427.0</v>
      </c>
    </row>
    <row r="1382">
      <c r="A1382" s="1" t="s">
        <v>4679</v>
      </c>
      <c r="B1382" s="1" t="s">
        <v>4595</v>
      </c>
      <c r="C1382" s="1">
        <v>1304237.0</v>
      </c>
    </row>
    <row r="1383">
      <c r="A1383" s="1" t="s">
        <v>2819</v>
      </c>
      <c r="B1383" s="22" t="s">
        <v>4570</v>
      </c>
      <c r="C1383" s="78"/>
      <c r="D1383" s="22">
        <v>40000.0</v>
      </c>
      <c r="E1383" s="22" t="s">
        <v>4491</v>
      </c>
    </row>
    <row r="1384">
      <c r="A1384" s="1" t="s">
        <v>4680</v>
      </c>
      <c r="B1384" s="1" t="s">
        <v>267</v>
      </c>
      <c r="D1384" s="1">
        <v>880000.0</v>
      </c>
    </row>
    <row r="1385">
      <c r="B1385" s="1" t="s">
        <v>3908</v>
      </c>
      <c r="D1385" s="1">
        <v>1274300.0</v>
      </c>
    </row>
    <row r="1386">
      <c r="A1386" s="39"/>
      <c r="B1386" s="39" t="s">
        <v>1975</v>
      </c>
      <c r="C1386" s="40"/>
      <c r="D1386" s="41">
        <v>206640.0</v>
      </c>
      <c r="E1386" s="42"/>
    </row>
    <row r="1387">
      <c r="A1387" s="39"/>
      <c r="B1387" s="48" t="s">
        <v>4681</v>
      </c>
      <c r="C1387" s="40"/>
      <c r="D1387" s="41">
        <v>2329170.0</v>
      </c>
      <c r="E1387" s="39" t="s">
        <v>4682</v>
      </c>
    </row>
    <row r="1388">
      <c r="A1388" s="39" t="s">
        <v>2819</v>
      </c>
      <c r="B1388" s="39" t="s">
        <v>4661</v>
      </c>
      <c r="C1388" s="40"/>
      <c r="D1388" s="41">
        <v>121000.0</v>
      </c>
      <c r="E1388" s="42" t="s">
        <v>3986</v>
      </c>
    </row>
    <row r="1389">
      <c r="A1389" s="40"/>
      <c r="B1389" s="42" t="s">
        <v>3964</v>
      </c>
      <c r="C1389" s="40"/>
      <c r="D1389" s="41">
        <v>220000.0</v>
      </c>
      <c r="E1389" s="39" t="s">
        <v>4683</v>
      </c>
    </row>
    <row r="1390">
      <c r="A1390" s="40"/>
      <c r="B1390" s="42" t="s">
        <v>648</v>
      </c>
      <c r="C1390" s="40"/>
      <c r="D1390" s="85">
        <v>143000.0</v>
      </c>
      <c r="E1390" s="42"/>
    </row>
    <row r="1391">
      <c r="A1391" s="1" t="s">
        <v>4684</v>
      </c>
      <c r="B1391" s="1" t="s">
        <v>4228</v>
      </c>
      <c r="D1391" s="1">
        <v>4022190.0</v>
      </c>
      <c r="E1391" s="1" t="s">
        <v>4685</v>
      </c>
    </row>
    <row r="1392">
      <c r="A1392" s="1" t="s">
        <v>4686</v>
      </c>
      <c r="B1392" s="1" t="s">
        <v>4628</v>
      </c>
      <c r="C1392" s="1">
        <v>2629838.0</v>
      </c>
    </row>
    <row r="1393">
      <c r="B1393" s="1" t="s">
        <v>4687</v>
      </c>
      <c r="C1393" s="1">
        <v>13765.0</v>
      </c>
    </row>
    <row r="1394">
      <c r="B1394" s="1" t="s">
        <v>4498</v>
      </c>
      <c r="C1394" s="1">
        <v>2222599.0</v>
      </c>
    </row>
    <row r="1395">
      <c r="B1395" s="1" t="s">
        <v>4449</v>
      </c>
      <c r="C1395" s="1">
        <v>18440.0</v>
      </c>
    </row>
    <row r="1396">
      <c r="A1396" s="1" t="s">
        <v>2828</v>
      </c>
      <c r="B1396" s="1" t="s">
        <v>4509</v>
      </c>
      <c r="C1396" s="1">
        <v>1270656.0</v>
      </c>
    </row>
    <row r="1397">
      <c r="B1397" s="1" t="s">
        <v>4048</v>
      </c>
      <c r="C1397" s="1">
        <v>1752336.0</v>
      </c>
    </row>
    <row r="1398">
      <c r="A1398" s="1" t="s">
        <v>4688</v>
      </c>
      <c r="B1398" s="33" t="s">
        <v>4391</v>
      </c>
      <c r="C1398" s="1">
        <v>1786920.0</v>
      </c>
    </row>
    <row r="1399">
      <c r="A1399" s="1" t="s">
        <v>2822</v>
      </c>
      <c r="B1399" s="1" t="s">
        <v>4054</v>
      </c>
      <c r="C1399" s="1">
        <v>4088693.0</v>
      </c>
    </row>
    <row r="1400">
      <c r="B1400" s="33" t="s">
        <v>4297</v>
      </c>
      <c r="C1400" s="1">
        <v>2247899.0</v>
      </c>
    </row>
    <row r="1401">
      <c r="A1401" s="1" t="s">
        <v>4689</v>
      </c>
      <c r="B1401" s="1" t="s">
        <v>4373</v>
      </c>
      <c r="C1401" s="1">
        <v>3086668.0</v>
      </c>
    </row>
    <row r="1402">
      <c r="B1402" s="1" t="s">
        <v>4487</v>
      </c>
      <c r="C1402" s="1">
        <v>2091339.0</v>
      </c>
    </row>
    <row r="1403">
      <c r="A1403" s="1" t="s">
        <v>4690</v>
      </c>
      <c r="B1403" s="1" t="s">
        <v>4561</v>
      </c>
      <c r="C1403" s="1">
        <v>867663.0</v>
      </c>
    </row>
    <row r="1404">
      <c r="B1404" s="1" t="s">
        <v>4691</v>
      </c>
      <c r="C1404" s="1">
        <v>10822.0</v>
      </c>
    </row>
    <row r="1405">
      <c r="A1405" s="1" t="s">
        <v>4692</v>
      </c>
      <c r="B1405" s="1" t="s">
        <v>4577</v>
      </c>
      <c r="C1405" s="1">
        <v>2432544.0</v>
      </c>
    </row>
    <row r="1406">
      <c r="A1406" s="1" t="s">
        <v>2831</v>
      </c>
      <c r="B1406" s="1" t="s">
        <v>4607</v>
      </c>
      <c r="C1406" s="1">
        <v>1325754.0</v>
      </c>
    </row>
    <row r="1407">
      <c r="A1407" s="1" t="s">
        <v>4693</v>
      </c>
      <c r="B1407" s="22" t="s">
        <v>4570</v>
      </c>
      <c r="C1407" s="78"/>
      <c r="D1407" s="22">
        <v>40000.0</v>
      </c>
      <c r="E1407" s="22" t="s">
        <v>4491</v>
      </c>
    </row>
    <row r="1408">
      <c r="A1408" s="30" t="s">
        <v>4693</v>
      </c>
      <c r="B1408" s="30" t="s">
        <v>4694</v>
      </c>
      <c r="C1408" s="31"/>
      <c r="D1408" s="30">
        <v>935000.0</v>
      </c>
      <c r="E1408" s="30" t="s">
        <v>4695</v>
      </c>
    </row>
    <row r="1409">
      <c r="B1409" s="1" t="s">
        <v>3908</v>
      </c>
      <c r="D1409" s="1">
        <v>1461680.0</v>
      </c>
    </row>
    <row r="1410">
      <c r="A1410" s="39" t="s">
        <v>2839</v>
      </c>
      <c r="B1410" s="39" t="s">
        <v>4661</v>
      </c>
      <c r="C1410" s="40"/>
      <c r="D1410" s="41">
        <v>121000.0</v>
      </c>
      <c r="E1410" s="42" t="s">
        <v>3986</v>
      </c>
    </row>
    <row r="1411">
      <c r="A1411" s="40"/>
      <c r="B1411" s="42" t="s">
        <v>3964</v>
      </c>
      <c r="C1411" s="40"/>
      <c r="D1411" s="41">
        <v>220000.0</v>
      </c>
      <c r="E1411" s="39" t="s">
        <v>4683</v>
      </c>
    </row>
    <row r="1412">
      <c r="A1412" s="40"/>
      <c r="B1412" s="42" t="s">
        <v>648</v>
      </c>
      <c r="C1412" s="40"/>
      <c r="D1412" s="85">
        <v>143000.0</v>
      </c>
      <c r="E1412" s="42"/>
    </row>
    <row r="1413">
      <c r="A1413" s="1" t="s">
        <v>4693</v>
      </c>
      <c r="B1413" s="1" t="s">
        <v>4696</v>
      </c>
      <c r="D1413" s="1">
        <v>4400.0</v>
      </c>
    </row>
    <row r="1414">
      <c r="A1414" s="1" t="s">
        <v>4697</v>
      </c>
      <c r="B1414" s="1" t="s">
        <v>4698</v>
      </c>
      <c r="C1414" s="1">
        <v>1.35E7</v>
      </c>
    </row>
    <row r="1415">
      <c r="A1415" s="1" t="s">
        <v>2831</v>
      </c>
      <c r="B1415" s="1" t="s">
        <v>4699</v>
      </c>
      <c r="C1415" s="1">
        <v>1500000.0</v>
      </c>
    </row>
    <row r="1416">
      <c r="A1416" s="1" t="s">
        <v>2839</v>
      </c>
      <c r="B1416" s="1" t="s">
        <v>4700</v>
      </c>
      <c r="D1416" s="1">
        <v>1.5E7</v>
      </c>
      <c r="E1416" s="1" t="s">
        <v>4701</v>
      </c>
    </row>
    <row r="1417">
      <c r="A1417" s="1" t="s">
        <v>4702</v>
      </c>
      <c r="B1417" s="1" t="s">
        <v>4498</v>
      </c>
      <c r="C1417" s="1">
        <v>2286240.0</v>
      </c>
    </row>
    <row r="1418">
      <c r="A1418" s="1" t="s">
        <v>4703</v>
      </c>
      <c r="B1418" s="1" t="s">
        <v>4483</v>
      </c>
      <c r="C1418" s="1">
        <v>1273311.0</v>
      </c>
    </row>
    <row r="1419">
      <c r="B1419" s="1" t="s">
        <v>4628</v>
      </c>
      <c r="C1419" s="1">
        <v>2677329.0</v>
      </c>
    </row>
    <row r="1420">
      <c r="A1420" s="1" t="s">
        <v>4704</v>
      </c>
      <c r="B1420" s="33" t="s">
        <v>4287</v>
      </c>
      <c r="C1420" s="1">
        <v>2221510.0</v>
      </c>
    </row>
    <row r="1421">
      <c r="B1421" s="1" t="s">
        <v>3988</v>
      </c>
      <c r="C1421" s="1">
        <v>1732076.0</v>
      </c>
    </row>
    <row r="1422">
      <c r="A1422" s="1" t="s">
        <v>4705</v>
      </c>
      <c r="B1422" s="33" t="s">
        <v>4285</v>
      </c>
      <c r="C1422" s="1">
        <v>1815983.0</v>
      </c>
    </row>
    <row r="1423">
      <c r="B1423" s="1" t="s">
        <v>4561</v>
      </c>
      <c r="C1423" s="1">
        <v>1356325.0</v>
      </c>
    </row>
    <row r="1424">
      <c r="A1424" s="1" t="s">
        <v>2839</v>
      </c>
      <c r="B1424" s="1" t="s">
        <v>4377</v>
      </c>
      <c r="C1424" s="1">
        <v>3088685.0</v>
      </c>
    </row>
    <row r="1425">
      <c r="B1425" s="1" t="s">
        <v>3984</v>
      </c>
      <c r="C1425" s="1">
        <v>4085199.0</v>
      </c>
    </row>
    <row r="1426">
      <c r="B1426" s="1" t="s">
        <v>4520</v>
      </c>
      <c r="C1426" s="1">
        <v>2428142.0</v>
      </c>
    </row>
    <row r="1427">
      <c r="B1427" s="1" t="s">
        <v>4468</v>
      </c>
      <c r="C1427" s="1">
        <v>2068623.0</v>
      </c>
    </row>
    <row r="1428">
      <c r="A1428" s="1" t="s">
        <v>3779</v>
      </c>
      <c r="B1428" s="1" t="s">
        <v>4595</v>
      </c>
      <c r="C1428" s="1">
        <v>1321255.0</v>
      </c>
    </row>
    <row r="1429">
      <c r="A1429" s="1" t="s">
        <v>2845</v>
      </c>
      <c r="B1429" s="1" t="s">
        <v>4566</v>
      </c>
      <c r="D1429" s="1">
        <v>152800.0</v>
      </c>
      <c r="E1429" s="1" t="s">
        <v>4706</v>
      </c>
    </row>
    <row r="1430">
      <c r="B1430" s="1" t="s">
        <v>4568</v>
      </c>
      <c r="D1430" s="1">
        <v>26000.0</v>
      </c>
      <c r="E1430" s="1" t="s">
        <v>4706</v>
      </c>
    </row>
    <row r="1431">
      <c r="A1431" s="1" t="s">
        <v>4707</v>
      </c>
      <c r="B1431" s="22" t="s">
        <v>4570</v>
      </c>
      <c r="C1431" s="78"/>
      <c r="D1431" s="22">
        <v>40000.0</v>
      </c>
      <c r="E1431" s="22" t="s">
        <v>4491</v>
      </c>
    </row>
    <row r="1432">
      <c r="B1432" s="1" t="s">
        <v>267</v>
      </c>
      <c r="D1432" s="1">
        <v>935000.0</v>
      </c>
    </row>
    <row r="1433">
      <c r="B1433" s="1" t="s">
        <v>3908</v>
      </c>
      <c r="D1433" s="1">
        <v>1121790.0</v>
      </c>
    </row>
    <row r="1434">
      <c r="A1434" s="39"/>
      <c r="B1434" s="39" t="s">
        <v>1975</v>
      </c>
      <c r="C1434" s="40"/>
      <c r="D1434" s="41">
        <v>222350.0</v>
      </c>
      <c r="E1434" s="42"/>
    </row>
    <row r="1435">
      <c r="A1435" s="39" t="s">
        <v>2851</v>
      </c>
      <c r="B1435" s="39" t="s">
        <v>4661</v>
      </c>
      <c r="C1435" s="40"/>
      <c r="D1435" s="41">
        <v>121000.0</v>
      </c>
      <c r="E1435" s="42" t="s">
        <v>3986</v>
      </c>
    </row>
    <row r="1436">
      <c r="A1436" s="40"/>
      <c r="B1436" s="42" t="s">
        <v>3964</v>
      </c>
      <c r="C1436" s="40"/>
      <c r="D1436" s="41">
        <v>220000.0</v>
      </c>
      <c r="E1436" s="39" t="s">
        <v>4683</v>
      </c>
    </row>
    <row r="1437">
      <c r="A1437" s="40"/>
      <c r="B1437" s="42" t="s">
        <v>648</v>
      </c>
      <c r="C1437" s="40"/>
      <c r="D1437" s="85">
        <v>143000.0</v>
      </c>
      <c r="E1437" s="42"/>
    </row>
    <row r="1438">
      <c r="A1438" s="1" t="s">
        <v>4708</v>
      </c>
      <c r="B1438" s="48" t="s">
        <v>4709</v>
      </c>
      <c r="C1438" s="40"/>
      <c r="D1438" s="41">
        <v>1.836134E7</v>
      </c>
      <c r="E1438" s="39" t="s">
        <v>4710</v>
      </c>
    </row>
    <row r="1439">
      <c r="A1439" s="1" t="s">
        <v>2852</v>
      </c>
      <c r="B1439" s="1" t="s">
        <v>4507</v>
      </c>
      <c r="C1439" s="1">
        <v>2125462.0</v>
      </c>
    </row>
    <row r="1440">
      <c r="B1440" s="1" t="s">
        <v>4509</v>
      </c>
      <c r="C1440" s="1">
        <v>1278228.0</v>
      </c>
    </row>
    <row r="1441">
      <c r="B1441" s="1" t="s">
        <v>4048</v>
      </c>
      <c r="C1441" s="1">
        <v>1751066.0</v>
      </c>
    </row>
    <row r="1442">
      <c r="A1442" s="1" t="s">
        <v>4708</v>
      </c>
      <c r="B1442" s="1" t="s">
        <v>4711</v>
      </c>
      <c r="C1442" s="1">
        <v>1420234.0</v>
      </c>
    </row>
    <row r="1443">
      <c r="A1443" s="1"/>
      <c r="B1443" s="33" t="s">
        <v>4391</v>
      </c>
      <c r="C1443" s="33">
        <v>1764870.0</v>
      </c>
      <c r="D1443" s="33"/>
      <c r="E1443" s="33"/>
    </row>
    <row r="1444">
      <c r="A1444" s="1"/>
      <c r="B1444" s="33" t="s">
        <v>4297</v>
      </c>
      <c r="C1444" s="33">
        <v>2263776.0</v>
      </c>
      <c r="D1444" s="33"/>
      <c r="E1444" s="33"/>
    </row>
    <row r="1445">
      <c r="A1445" s="1"/>
      <c r="B1445" s="1" t="s">
        <v>4577</v>
      </c>
      <c r="C1445" s="33">
        <v>2412434.0</v>
      </c>
      <c r="D1445" s="33"/>
      <c r="E1445" s="33"/>
    </row>
    <row r="1446">
      <c r="A1446" s="1" t="s">
        <v>2851</v>
      </c>
      <c r="B1446" s="1" t="s">
        <v>4373</v>
      </c>
      <c r="C1446" s="33">
        <v>3072399.0</v>
      </c>
      <c r="D1446" s="33"/>
      <c r="E1446" s="33"/>
    </row>
    <row r="1447">
      <c r="A1447" s="1"/>
      <c r="B1447" s="1" t="s">
        <v>4054</v>
      </c>
      <c r="C1447" s="33">
        <v>4080603.0</v>
      </c>
      <c r="D1447" s="33"/>
      <c r="E1447" s="33"/>
    </row>
    <row r="1448">
      <c r="A1448" s="1"/>
      <c r="B1448" s="1" t="s">
        <v>4712</v>
      </c>
      <c r="C1448" s="33">
        <v>2071507.0</v>
      </c>
      <c r="D1448" s="33"/>
      <c r="E1448" s="33"/>
    </row>
    <row r="1449">
      <c r="A1449" s="1"/>
      <c r="B1449" s="1" t="s">
        <v>4628</v>
      </c>
      <c r="C1449" s="33">
        <v>2609670.0</v>
      </c>
      <c r="D1449" s="33"/>
      <c r="E1449" s="33"/>
    </row>
    <row r="1450">
      <c r="A1450" s="1"/>
      <c r="B1450" s="1" t="s">
        <v>4687</v>
      </c>
      <c r="C1450" s="33">
        <v>14811.0</v>
      </c>
      <c r="D1450" s="33"/>
      <c r="E1450" s="33"/>
    </row>
    <row r="1451">
      <c r="A1451" s="1" t="s">
        <v>4713</v>
      </c>
      <c r="B1451" s="1" t="s">
        <v>4607</v>
      </c>
      <c r="C1451" s="33">
        <v>1315086.0</v>
      </c>
      <c r="D1451" s="33"/>
      <c r="E1451" s="33"/>
    </row>
    <row r="1452">
      <c r="A1452" s="1" t="s">
        <v>4714</v>
      </c>
      <c r="B1452" s="22" t="s">
        <v>4570</v>
      </c>
      <c r="C1452" s="78"/>
      <c r="D1452" s="22">
        <v>40000.0</v>
      </c>
      <c r="E1452" s="22" t="s">
        <v>4491</v>
      </c>
    </row>
    <row r="1453">
      <c r="A1453" s="30" t="s">
        <v>4714</v>
      </c>
      <c r="B1453" s="30" t="s">
        <v>4694</v>
      </c>
      <c r="C1453" s="31"/>
      <c r="D1453" s="30">
        <v>935000.0</v>
      </c>
      <c r="E1453" s="30" t="s">
        <v>4695</v>
      </c>
    </row>
    <row r="1454">
      <c r="B1454" s="1" t="s">
        <v>3908</v>
      </c>
      <c r="D1454" s="1">
        <v>860980.0</v>
      </c>
    </row>
    <row r="1455">
      <c r="A1455" s="39" t="s">
        <v>2863</v>
      </c>
      <c r="B1455" s="39" t="s">
        <v>4661</v>
      </c>
      <c r="C1455" s="40"/>
      <c r="D1455" s="41">
        <v>121000.0</v>
      </c>
      <c r="E1455" s="42" t="s">
        <v>3986</v>
      </c>
    </row>
    <row r="1456">
      <c r="A1456" s="40"/>
      <c r="B1456" s="42" t="s">
        <v>3964</v>
      </c>
      <c r="C1456" s="40"/>
      <c r="D1456" s="41">
        <v>220000.0</v>
      </c>
      <c r="E1456" s="39" t="s">
        <v>4683</v>
      </c>
    </row>
    <row r="1457">
      <c r="A1457" s="40"/>
      <c r="B1457" s="42" t="s">
        <v>648</v>
      </c>
      <c r="C1457" s="40"/>
      <c r="D1457" s="85">
        <v>143000.0</v>
      </c>
      <c r="E1457" s="42"/>
    </row>
    <row r="1458">
      <c r="A1458" s="1" t="s">
        <v>4715</v>
      </c>
      <c r="B1458" s="1" t="s">
        <v>4128</v>
      </c>
      <c r="D1458" s="1">
        <v>4878000.0</v>
      </c>
    </row>
    <row r="1459">
      <c r="B1459" s="1" t="s">
        <v>4126</v>
      </c>
      <c r="D1459" s="1">
        <v>574050.0</v>
      </c>
    </row>
    <row r="1460">
      <c r="B1460" s="1" t="s">
        <v>4498</v>
      </c>
      <c r="C1460" s="1">
        <v>2141328.0</v>
      </c>
    </row>
    <row r="1461">
      <c r="A1461" s="1" t="s">
        <v>4716</v>
      </c>
      <c r="B1461" s="1" t="s">
        <v>3988</v>
      </c>
      <c r="C1461" s="1">
        <v>1730260.0</v>
      </c>
    </row>
    <row r="1462">
      <c r="B1462" s="1" t="s">
        <v>4483</v>
      </c>
      <c r="C1462" s="1">
        <v>1235849.0</v>
      </c>
    </row>
    <row r="1463">
      <c r="A1463" s="1"/>
      <c r="B1463" s="33" t="s">
        <v>4285</v>
      </c>
      <c r="C1463" s="33">
        <v>1752700.0</v>
      </c>
      <c r="D1463" s="33"/>
      <c r="E1463" s="33"/>
    </row>
    <row r="1464">
      <c r="A1464" s="1" t="s">
        <v>4717</v>
      </c>
      <c r="B1464" s="1" t="s">
        <v>4718</v>
      </c>
      <c r="C1464" s="33">
        <v>1389676.0</v>
      </c>
      <c r="D1464" s="33"/>
      <c r="E1464" s="33"/>
    </row>
    <row r="1465">
      <c r="A1465" s="1" t="s">
        <v>2863</v>
      </c>
      <c r="B1465" s="1" t="s">
        <v>4628</v>
      </c>
      <c r="C1465" s="33">
        <v>2569048.0</v>
      </c>
      <c r="D1465" s="33"/>
      <c r="E1465" s="33"/>
    </row>
    <row r="1466">
      <c r="A1466" s="1"/>
      <c r="B1466" s="1" t="s">
        <v>3984</v>
      </c>
      <c r="C1466" s="33">
        <v>4013066.0</v>
      </c>
      <c r="D1466" s="33"/>
      <c r="E1466" s="33"/>
    </row>
    <row r="1467">
      <c r="A1467" s="1" t="s">
        <v>4719</v>
      </c>
      <c r="B1467" s="1" t="s">
        <v>4377</v>
      </c>
      <c r="C1467" s="33">
        <v>3042842.0</v>
      </c>
      <c r="D1467" s="33"/>
      <c r="E1467" s="33"/>
    </row>
    <row r="1468">
      <c r="A1468" s="1"/>
      <c r="B1468" s="33" t="s">
        <v>4287</v>
      </c>
      <c r="C1468" s="33">
        <v>2188297.0</v>
      </c>
      <c r="D1468" s="33"/>
      <c r="E1468" s="33"/>
    </row>
    <row r="1469">
      <c r="A1469" s="1" t="s">
        <v>4720</v>
      </c>
      <c r="B1469" s="1" t="s">
        <v>4721</v>
      </c>
      <c r="C1469" s="33">
        <v>2045161.0</v>
      </c>
      <c r="D1469" s="33"/>
      <c r="E1469" s="33"/>
    </row>
    <row r="1470">
      <c r="A1470" s="1" t="s">
        <v>4722</v>
      </c>
      <c r="B1470" s="1" t="s">
        <v>4520</v>
      </c>
      <c r="C1470" s="33">
        <v>2356167.0</v>
      </c>
      <c r="D1470" s="33"/>
      <c r="E1470" s="33"/>
    </row>
    <row r="1471">
      <c r="A1471" s="35" t="s">
        <v>2870</v>
      </c>
      <c r="B1471" s="35" t="s">
        <v>4595</v>
      </c>
      <c r="C1471" s="35">
        <v>1299579.0</v>
      </c>
      <c r="D1471" s="35"/>
      <c r="E1471" s="35" t="s">
        <v>4723</v>
      </c>
    </row>
    <row r="1472">
      <c r="A1472" s="1" t="s">
        <v>2877</v>
      </c>
      <c r="B1472" s="22" t="s">
        <v>4570</v>
      </c>
      <c r="C1472" s="78"/>
      <c r="D1472" s="22">
        <v>40000.0</v>
      </c>
      <c r="E1472" s="22" t="s">
        <v>4491</v>
      </c>
    </row>
    <row r="1473">
      <c r="B1473" s="30" t="s">
        <v>4694</v>
      </c>
      <c r="C1473" s="31"/>
      <c r="D1473" s="30">
        <v>1100000.0</v>
      </c>
      <c r="E1473" s="30" t="s">
        <v>4695</v>
      </c>
    </row>
    <row r="1474">
      <c r="B1474" s="1" t="s">
        <v>3908</v>
      </c>
      <c r="D1474" s="1">
        <v>953290.0</v>
      </c>
      <c r="E1474" s="1" t="s">
        <v>4724</v>
      </c>
    </row>
    <row r="1475">
      <c r="A1475" s="39"/>
      <c r="B1475" s="39" t="s">
        <v>1975</v>
      </c>
      <c r="C1475" s="40"/>
      <c r="D1475" s="41">
        <v>174040.0</v>
      </c>
      <c r="E1475" s="42"/>
    </row>
    <row r="1476">
      <c r="A1476" s="39" t="s">
        <v>2877</v>
      </c>
      <c r="B1476" s="39" t="s">
        <v>4661</v>
      </c>
      <c r="C1476" s="40"/>
      <c r="D1476" s="41">
        <v>121000.0</v>
      </c>
      <c r="E1476" s="42" t="s">
        <v>3986</v>
      </c>
    </row>
    <row r="1477">
      <c r="A1477" s="40"/>
      <c r="B1477" s="42" t="s">
        <v>3964</v>
      </c>
      <c r="C1477" s="40"/>
      <c r="D1477" s="41">
        <v>220000.0</v>
      </c>
      <c r="E1477" s="39" t="s">
        <v>4683</v>
      </c>
    </row>
    <row r="1478">
      <c r="A1478" s="40"/>
      <c r="B1478" s="42" t="s">
        <v>648</v>
      </c>
      <c r="C1478" s="40"/>
      <c r="D1478" s="85">
        <v>143000.0</v>
      </c>
      <c r="E1478" s="42"/>
    </row>
    <row r="1479">
      <c r="A1479" s="33" t="s">
        <v>4725</v>
      </c>
      <c r="B1479" s="1" t="s">
        <v>4509</v>
      </c>
      <c r="C1479" s="33">
        <v>1258821.0</v>
      </c>
      <c r="D1479" s="33"/>
      <c r="E1479" s="33"/>
      <c r="F1479" s="34"/>
      <c r="G1479" s="34"/>
      <c r="H1479" s="34"/>
      <c r="I1479" s="34"/>
      <c r="J1479" s="34"/>
      <c r="K1479" s="34"/>
      <c r="L1479" s="34"/>
      <c r="M1479" s="34"/>
      <c r="N1479" s="34"/>
      <c r="O1479" s="34"/>
      <c r="P1479" s="34"/>
      <c r="Q1479" s="34"/>
      <c r="R1479" s="34"/>
      <c r="S1479" s="34"/>
      <c r="T1479" s="34"/>
      <c r="U1479" s="34"/>
      <c r="V1479" s="34"/>
      <c r="W1479" s="34"/>
      <c r="X1479" s="34"/>
      <c r="Y1479" s="34"/>
      <c r="Z1479" s="34"/>
    </row>
    <row r="1480">
      <c r="B1480" s="1" t="s">
        <v>4048</v>
      </c>
      <c r="C1480" s="1">
        <v>1760249.0</v>
      </c>
    </row>
    <row r="1481">
      <c r="A1481" s="1" t="s">
        <v>4726</v>
      </c>
      <c r="B1481" s="1" t="s">
        <v>4498</v>
      </c>
      <c r="C1481" s="1">
        <v>2163041.0</v>
      </c>
    </row>
    <row r="1482">
      <c r="B1482" s="1" t="s">
        <v>4449</v>
      </c>
      <c r="C1482" s="1">
        <v>15531.0</v>
      </c>
    </row>
    <row r="1483">
      <c r="A1483" s="1" t="s">
        <v>4727</v>
      </c>
      <c r="B1483" s="33" t="s">
        <v>4297</v>
      </c>
      <c r="C1483" s="1">
        <v>2217842.0</v>
      </c>
    </row>
    <row r="1484">
      <c r="A1484" s="1" t="s">
        <v>4728</v>
      </c>
      <c r="B1484" s="1" t="s">
        <v>4711</v>
      </c>
      <c r="C1484" s="1">
        <v>1423757.0</v>
      </c>
    </row>
    <row r="1485">
      <c r="A1485" s="1" t="s">
        <v>2877</v>
      </c>
      <c r="B1485" s="1" t="s">
        <v>4054</v>
      </c>
      <c r="C1485" s="1">
        <v>4058195.0</v>
      </c>
    </row>
    <row r="1486">
      <c r="B1486" s="1" t="s">
        <v>4373</v>
      </c>
      <c r="C1486" s="1">
        <v>3070284.0</v>
      </c>
    </row>
    <row r="1487">
      <c r="A1487" s="1" t="s">
        <v>2868</v>
      </c>
      <c r="B1487" s="1" t="s">
        <v>4577</v>
      </c>
      <c r="C1487" s="1">
        <v>2360290.0</v>
      </c>
    </row>
    <row r="1488">
      <c r="B1488" s="1" t="s">
        <v>4721</v>
      </c>
      <c r="C1488" s="1">
        <v>2034847.0</v>
      </c>
    </row>
    <row r="1489">
      <c r="B1489" s="1" t="s">
        <v>4729</v>
      </c>
      <c r="C1489" s="1">
        <v>11687.0</v>
      </c>
    </row>
    <row r="1490">
      <c r="A1490" s="1" t="s">
        <v>4730</v>
      </c>
      <c r="B1490" s="33" t="s">
        <v>4391</v>
      </c>
      <c r="C1490" s="1">
        <v>1776630.0</v>
      </c>
    </row>
    <row r="1491">
      <c r="A1491" s="1" t="s">
        <v>2880</v>
      </c>
      <c r="B1491" s="1" t="s">
        <v>4607</v>
      </c>
      <c r="C1491" s="1">
        <v>1328211.0</v>
      </c>
    </row>
    <row r="1492">
      <c r="A1492" s="1" t="s">
        <v>2891</v>
      </c>
      <c r="B1492" s="22" t="s">
        <v>4570</v>
      </c>
      <c r="C1492" s="78"/>
      <c r="D1492" s="22">
        <v>40000.0</v>
      </c>
      <c r="E1492" s="22" t="s">
        <v>4491</v>
      </c>
    </row>
    <row r="1493">
      <c r="B1493" s="30" t="s">
        <v>4694</v>
      </c>
      <c r="C1493" s="31"/>
      <c r="D1493" s="30">
        <v>1100000.0</v>
      </c>
      <c r="E1493" s="30" t="s">
        <v>4695</v>
      </c>
    </row>
    <row r="1494">
      <c r="B1494" s="1" t="s">
        <v>3908</v>
      </c>
      <c r="D1494" s="1">
        <v>1351960.0</v>
      </c>
      <c r="E1494" s="1" t="s">
        <v>4731</v>
      </c>
    </row>
    <row r="1495">
      <c r="A1495" s="39" t="s">
        <v>2883</v>
      </c>
      <c r="B1495" s="39" t="s">
        <v>4661</v>
      </c>
      <c r="C1495" s="40"/>
      <c r="D1495" s="41">
        <v>121000.0</v>
      </c>
      <c r="E1495" s="42" t="s">
        <v>3986</v>
      </c>
    </row>
    <row r="1496">
      <c r="A1496" s="40"/>
      <c r="B1496" s="42" t="s">
        <v>3964</v>
      </c>
      <c r="C1496" s="40"/>
      <c r="D1496" s="41">
        <v>220000.0</v>
      </c>
      <c r="E1496" s="39" t="s">
        <v>4683</v>
      </c>
    </row>
    <row r="1497">
      <c r="A1497" s="40"/>
      <c r="B1497" s="42" t="s">
        <v>648</v>
      </c>
      <c r="C1497" s="40"/>
      <c r="D1497" s="85">
        <v>143000.0</v>
      </c>
      <c r="E1497" s="42"/>
    </row>
    <row r="1498">
      <c r="A1498" s="1" t="s">
        <v>4732</v>
      </c>
      <c r="B1498" s="1" t="s">
        <v>4616</v>
      </c>
      <c r="C1498" s="1">
        <v>2585288.0</v>
      </c>
    </row>
    <row r="1499">
      <c r="A1499" s="1" t="s">
        <v>2910</v>
      </c>
      <c r="B1499" s="30" t="s">
        <v>4694</v>
      </c>
      <c r="C1499" s="31"/>
      <c r="D1499" s="30">
        <v>1100000.0</v>
      </c>
      <c r="E1499" s="30" t="s">
        <v>4695</v>
      </c>
    </row>
    <row r="1500">
      <c r="B1500" s="1" t="s">
        <v>3908</v>
      </c>
      <c r="D1500" s="1">
        <v>1863120.0</v>
      </c>
      <c r="E1500" s="1" t="s">
        <v>4733</v>
      </c>
    </row>
    <row r="1501">
      <c r="A1501" s="39"/>
      <c r="B1501" s="39" t="s">
        <v>1975</v>
      </c>
      <c r="C1501" s="40"/>
      <c r="D1501" s="41">
        <v>254380.0</v>
      </c>
      <c r="E1501" s="42"/>
    </row>
    <row r="1502">
      <c r="B1502" s="1" t="s">
        <v>4128</v>
      </c>
      <c r="D1502" s="1">
        <v>7902150.0</v>
      </c>
      <c r="E1502" s="1" t="s">
        <v>4734</v>
      </c>
    </row>
    <row r="1503">
      <c r="A1503" s="39" t="s">
        <v>2902</v>
      </c>
      <c r="B1503" s="39" t="s">
        <v>4661</v>
      </c>
      <c r="C1503" s="40"/>
      <c r="D1503" s="41">
        <v>121000.0</v>
      </c>
      <c r="E1503" s="42" t="s">
        <v>3986</v>
      </c>
    </row>
    <row r="1504">
      <c r="A1504" s="40"/>
      <c r="B1504" s="42" t="s">
        <v>3964</v>
      </c>
      <c r="C1504" s="40"/>
      <c r="D1504" s="41">
        <v>220000.0</v>
      </c>
      <c r="E1504" s="39" t="s">
        <v>4683</v>
      </c>
    </row>
    <row r="1505">
      <c r="A1505" s="40"/>
      <c r="B1505" s="42" t="s">
        <v>648</v>
      </c>
      <c r="C1505" s="40"/>
      <c r="D1505" s="85">
        <v>143000.0</v>
      </c>
      <c r="E1505" s="42"/>
    </row>
    <row r="1506">
      <c r="A1506" s="1" t="s">
        <v>4735</v>
      </c>
      <c r="B1506" s="1" t="s">
        <v>4498</v>
      </c>
      <c r="C1506" s="1">
        <v>2206366.0</v>
      </c>
    </row>
    <row r="1507">
      <c r="A1507" s="1" t="s">
        <v>4736</v>
      </c>
      <c r="B1507" s="1" t="s">
        <v>4718</v>
      </c>
      <c r="C1507" s="1">
        <v>1427401.0</v>
      </c>
    </row>
    <row r="1508">
      <c r="B1508" s="1" t="s">
        <v>4483</v>
      </c>
      <c r="C1508" s="1">
        <v>1275886.0</v>
      </c>
    </row>
    <row r="1509">
      <c r="B1509" s="1" t="s">
        <v>3988</v>
      </c>
      <c r="C1509" s="1">
        <v>1777260.0</v>
      </c>
    </row>
    <row r="1510">
      <c r="A1510" s="1" t="s">
        <v>2897</v>
      </c>
      <c r="B1510" s="1" t="s">
        <v>4520</v>
      </c>
      <c r="C1510" s="1">
        <v>2365087.0</v>
      </c>
    </row>
    <row r="1511">
      <c r="B1511" s="33" t="s">
        <v>4285</v>
      </c>
      <c r="C1511" s="1">
        <v>1810550.0</v>
      </c>
    </row>
    <row r="1512">
      <c r="A1512" s="1" t="s">
        <v>2890</v>
      </c>
      <c r="B1512" s="1" t="s">
        <v>3984</v>
      </c>
      <c r="C1512" s="1">
        <v>4083000.0</v>
      </c>
    </row>
    <row r="1513">
      <c r="B1513" s="33" t="s">
        <v>4287</v>
      </c>
      <c r="C1513" s="1">
        <v>2251125.0</v>
      </c>
    </row>
    <row r="1514">
      <c r="A1514" s="1" t="s">
        <v>2883</v>
      </c>
      <c r="B1514" s="1" t="s">
        <v>4377</v>
      </c>
      <c r="C1514" s="1">
        <v>3088426.0</v>
      </c>
    </row>
    <row r="1515">
      <c r="B1515" s="1" t="s">
        <v>4628</v>
      </c>
      <c r="C1515" s="1">
        <v>2617599.0</v>
      </c>
    </row>
    <row r="1516">
      <c r="B1516" s="1" t="s">
        <v>4737</v>
      </c>
      <c r="C1516" s="1">
        <v>11593.0</v>
      </c>
    </row>
    <row r="1517">
      <c r="B1517" s="1" t="s">
        <v>4721</v>
      </c>
      <c r="C1517" s="1">
        <v>2072494.0</v>
      </c>
    </row>
    <row r="1518">
      <c r="A1518" s="1" t="s">
        <v>4738</v>
      </c>
      <c r="B1518" s="33" t="s">
        <v>4595</v>
      </c>
      <c r="C1518" s="1">
        <v>1302752.0</v>
      </c>
    </row>
    <row r="1519">
      <c r="A1519" s="1" t="s">
        <v>4739</v>
      </c>
      <c r="B1519" s="22" t="s">
        <v>4740</v>
      </c>
      <c r="C1519" s="78"/>
      <c r="D1519" s="22">
        <v>40000.0</v>
      </c>
      <c r="E1519" s="22" t="s">
        <v>4491</v>
      </c>
    </row>
    <row r="1520">
      <c r="A1520" s="30" t="s">
        <v>4741</v>
      </c>
      <c r="B1520" s="30" t="s">
        <v>4742</v>
      </c>
      <c r="C1520" s="31"/>
      <c r="D1520" s="30">
        <v>1000000.0</v>
      </c>
      <c r="E1520" s="30" t="s">
        <v>4743</v>
      </c>
    </row>
    <row r="1521">
      <c r="A1521" s="1" t="s">
        <v>2926</v>
      </c>
      <c r="B1521" s="30" t="s">
        <v>4742</v>
      </c>
      <c r="D1521" s="30">
        <v>100000.0</v>
      </c>
      <c r="E1521" s="30" t="s">
        <v>4743</v>
      </c>
    </row>
    <row r="1522">
      <c r="A1522" s="1" t="s">
        <v>2919</v>
      </c>
      <c r="B1522" s="30" t="s">
        <v>4694</v>
      </c>
      <c r="C1522" s="31"/>
      <c r="D1522" s="30">
        <v>1100000.0</v>
      </c>
      <c r="E1522" s="30" t="s">
        <v>4695</v>
      </c>
    </row>
    <row r="1523">
      <c r="B1523" s="1" t="s">
        <v>3908</v>
      </c>
      <c r="D1523" s="1">
        <v>1946400.0</v>
      </c>
      <c r="E1523" s="1" t="s">
        <v>4744</v>
      </c>
    </row>
    <row r="1524">
      <c r="A1524" s="39" t="s">
        <v>4745</v>
      </c>
      <c r="B1524" s="1" t="s">
        <v>4498</v>
      </c>
      <c r="C1524" s="39">
        <v>2285339.0</v>
      </c>
      <c r="D1524" s="41"/>
      <c r="E1524" s="42"/>
    </row>
    <row r="1525">
      <c r="B1525" s="1" t="s">
        <v>4746</v>
      </c>
      <c r="C1525" s="1">
        <v>22700.0</v>
      </c>
    </row>
    <row r="1526">
      <c r="A1526" s="1" t="s">
        <v>4747</v>
      </c>
      <c r="B1526" s="1" t="s">
        <v>4711</v>
      </c>
      <c r="C1526" s="1">
        <v>1473953.0</v>
      </c>
    </row>
    <row r="1527">
      <c r="B1527" s="1" t="s">
        <v>4509</v>
      </c>
      <c r="C1527" s="1">
        <v>1363555.0</v>
      </c>
    </row>
    <row r="1528">
      <c r="B1528" s="33" t="s">
        <v>4391</v>
      </c>
      <c r="C1528" s="1">
        <v>1851000.0</v>
      </c>
    </row>
    <row r="1529">
      <c r="A1529" s="1" t="s">
        <v>2902</v>
      </c>
      <c r="B1529" s="1" t="s">
        <v>4054</v>
      </c>
      <c r="C1529" s="1">
        <v>4150113.0</v>
      </c>
    </row>
    <row r="1530">
      <c r="B1530" s="33" t="s">
        <v>4297</v>
      </c>
      <c r="C1530" s="1">
        <v>2360802.0</v>
      </c>
    </row>
    <row r="1531">
      <c r="B1531" s="1" t="s">
        <v>4048</v>
      </c>
      <c r="C1531" s="1">
        <v>1799672.0</v>
      </c>
    </row>
    <row r="1532">
      <c r="B1532" s="1" t="s">
        <v>4628</v>
      </c>
      <c r="C1532" s="1">
        <v>2676503.0</v>
      </c>
    </row>
    <row r="1533">
      <c r="B1533" s="1" t="s">
        <v>4748</v>
      </c>
      <c r="C1533" s="1">
        <v>16945.0</v>
      </c>
    </row>
    <row r="1534">
      <c r="A1534" s="1" t="s">
        <v>4749</v>
      </c>
      <c r="B1534" s="1" t="s">
        <v>4373</v>
      </c>
      <c r="C1534" s="1">
        <v>3147503.0</v>
      </c>
    </row>
    <row r="1535">
      <c r="A1535" s="1" t="s">
        <v>4750</v>
      </c>
      <c r="B1535" s="1" t="s">
        <v>4721</v>
      </c>
      <c r="C1535" s="1">
        <v>2153274.0</v>
      </c>
    </row>
    <row r="1536">
      <c r="B1536" s="1" t="s">
        <v>4729</v>
      </c>
      <c r="C1536" s="1">
        <v>17083.0</v>
      </c>
    </row>
    <row r="1537">
      <c r="A1537" s="1" t="s">
        <v>4751</v>
      </c>
      <c r="B1537" s="1" t="s">
        <v>4577</v>
      </c>
      <c r="C1537" s="1">
        <v>2397227.0</v>
      </c>
    </row>
    <row r="1538">
      <c r="A1538" s="1" t="s">
        <v>3783</v>
      </c>
      <c r="B1538" s="33" t="s">
        <v>4607</v>
      </c>
      <c r="C1538" s="1">
        <v>1327786.0</v>
      </c>
    </row>
    <row r="1539">
      <c r="A1539" s="39" t="s">
        <v>2924</v>
      </c>
      <c r="B1539" s="39" t="s">
        <v>4661</v>
      </c>
      <c r="C1539" s="40"/>
      <c r="D1539" s="41">
        <v>121000.0</v>
      </c>
      <c r="E1539" s="42" t="s">
        <v>3986</v>
      </c>
    </row>
    <row r="1540">
      <c r="A1540" s="40"/>
      <c r="B1540" s="42" t="s">
        <v>3964</v>
      </c>
      <c r="C1540" s="40"/>
      <c r="D1540" s="41">
        <v>220000.0</v>
      </c>
      <c r="E1540" s="39" t="s">
        <v>4683</v>
      </c>
    </row>
    <row r="1541">
      <c r="A1541" s="40"/>
      <c r="B1541" s="42" t="s">
        <v>648</v>
      </c>
      <c r="C1541" s="40"/>
      <c r="D1541" s="85">
        <v>143000.0</v>
      </c>
      <c r="E1541" s="42"/>
    </row>
    <row r="1542">
      <c r="A1542" s="1" t="s">
        <v>4752</v>
      </c>
      <c r="B1542" s="22" t="s">
        <v>4753</v>
      </c>
      <c r="C1542" s="78"/>
      <c r="D1542" s="22">
        <v>40000.0</v>
      </c>
      <c r="E1542" s="22" t="s">
        <v>4491</v>
      </c>
    </row>
    <row r="1543">
      <c r="A1543" s="1" t="s">
        <v>4754</v>
      </c>
      <c r="B1543" s="1" t="s">
        <v>3988</v>
      </c>
      <c r="C1543" s="1">
        <v>1785627.0</v>
      </c>
    </row>
    <row r="1544">
      <c r="B1544" s="1" t="s">
        <v>4498</v>
      </c>
      <c r="C1544" s="1">
        <v>2250343.0</v>
      </c>
    </row>
    <row r="1545">
      <c r="A1545" s="1" t="s">
        <v>4755</v>
      </c>
      <c r="B1545" s="1" t="s">
        <v>4718</v>
      </c>
      <c r="C1545" s="1">
        <v>1474997.0</v>
      </c>
    </row>
    <row r="1546">
      <c r="B1546" s="33" t="s">
        <v>4285</v>
      </c>
      <c r="C1546" s="1">
        <v>1841000.0</v>
      </c>
    </row>
    <row r="1547">
      <c r="A1547" s="1" t="s">
        <v>4756</v>
      </c>
      <c r="B1547" s="33" t="s">
        <v>4287</v>
      </c>
      <c r="C1547" s="1">
        <v>2354213.0</v>
      </c>
    </row>
    <row r="1548">
      <c r="A1548" s="1" t="s">
        <v>2924</v>
      </c>
      <c r="B1548" s="1" t="s">
        <v>3984</v>
      </c>
      <c r="C1548" s="1">
        <v>4173685.0</v>
      </c>
    </row>
    <row r="1549">
      <c r="B1549" s="1" t="s">
        <v>4377</v>
      </c>
      <c r="C1549" s="1">
        <v>3135985.0</v>
      </c>
    </row>
    <row r="1550">
      <c r="B1550" s="1" t="s">
        <v>4483</v>
      </c>
      <c r="C1550" s="1">
        <v>1354793.0</v>
      </c>
    </row>
    <row r="1551">
      <c r="B1551" s="1" t="s">
        <v>4628</v>
      </c>
      <c r="C1551" s="1">
        <v>2650420.0</v>
      </c>
    </row>
    <row r="1552">
      <c r="B1552" s="1" t="s">
        <v>4520</v>
      </c>
      <c r="C1552" s="1">
        <v>2350166.0</v>
      </c>
    </row>
    <row r="1553">
      <c r="A1553" s="1" t="s">
        <v>4757</v>
      </c>
      <c r="B1553" s="1" t="s">
        <v>4721</v>
      </c>
      <c r="C1553" s="1">
        <v>2158330.0</v>
      </c>
    </row>
    <row r="1554">
      <c r="A1554" s="1" t="s">
        <v>4758</v>
      </c>
      <c r="B1554" s="33" t="s">
        <v>4595</v>
      </c>
      <c r="C1554" s="1">
        <v>1342830.0</v>
      </c>
    </row>
    <row r="1555">
      <c r="A1555" s="1" t="s">
        <v>2942</v>
      </c>
      <c r="B1555" s="22" t="s">
        <v>4759</v>
      </c>
      <c r="C1555" s="78"/>
      <c r="D1555" s="22">
        <v>40000.0</v>
      </c>
      <c r="E1555" s="22" t="s">
        <v>4491</v>
      </c>
    </row>
    <row r="1556">
      <c r="B1556" s="30" t="s">
        <v>4694</v>
      </c>
      <c r="C1556" s="31"/>
      <c r="D1556" s="30">
        <v>1100000.0</v>
      </c>
      <c r="E1556" s="30" t="s">
        <v>4695</v>
      </c>
    </row>
    <row r="1557">
      <c r="B1557" s="1" t="s">
        <v>3908</v>
      </c>
      <c r="D1557" s="1">
        <v>1410790.0</v>
      </c>
      <c r="E1557" s="1" t="s">
        <v>4760</v>
      </c>
    </row>
    <row r="1558">
      <c r="B1558" s="39" t="s">
        <v>1975</v>
      </c>
      <c r="C1558" s="40"/>
      <c r="D1558" s="41">
        <v>92500.0</v>
      </c>
    </row>
    <row r="1559">
      <c r="A1559" s="39" t="s">
        <v>2951</v>
      </c>
      <c r="B1559" s="39" t="s">
        <v>4661</v>
      </c>
      <c r="C1559" s="40"/>
      <c r="D1559" s="41">
        <v>121000.0</v>
      </c>
      <c r="E1559" s="42" t="s">
        <v>3986</v>
      </c>
    </row>
    <row r="1560">
      <c r="A1560" s="40"/>
      <c r="B1560" s="42" t="s">
        <v>3964</v>
      </c>
      <c r="C1560" s="40"/>
      <c r="D1560" s="41">
        <v>220000.0</v>
      </c>
      <c r="E1560" s="39" t="s">
        <v>4683</v>
      </c>
    </row>
    <row r="1561">
      <c r="A1561" s="40"/>
      <c r="B1561" s="42" t="s">
        <v>648</v>
      </c>
      <c r="C1561" s="40"/>
      <c r="D1561" s="85">
        <v>143000.0</v>
      </c>
      <c r="E1561" s="42"/>
    </row>
    <row r="1562">
      <c r="A1562" s="30" t="s">
        <v>4761</v>
      </c>
      <c r="B1562" s="30" t="s">
        <v>4762</v>
      </c>
      <c r="C1562" s="31"/>
      <c r="D1562" s="30">
        <v>1100000.0</v>
      </c>
      <c r="E1562" s="30" t="s">
        <v>4743</v>
      </c>
    </row>
    <row r="1563">
      <c r="A1563" s="1" t="s">
        <v>2966</v>
      </c>
      <c r="B1563" s="1" t="s">
        <v>4763</v>
      </c>
      <c r="D1563" s="1">
        <v>6390000.0</v>
      </c>
      <c r="E1563" s="1" t="s">
        <v>4764</v>
      </c>
    </row>
    <row r="1564">
      <c r="A1564" s="1" t="s">
        <v>4765</v>
      </c>
      <c r="B1564" s="1" t="s">
        <v>4507</v>
      </c>
      <c r="C1564" s="1">
        <v>2230869.0</v>
      </c>
    </row>
    <row r="1565">
      <c r="A1565" s="1" t="s">
        <v>4766</v>
      </c>
      <c r="B1565" s="33" t="s">
        <v>4391</v>
      </c>
      <c r="C1565" s="1">
        <v>1801250.0</v>
      </c>
    </row>
    <row r="1566">
      <c r="A1566" s="1" t="s">
        <v>4767</v>
      </c>
      <c r="B1566" s="1" t="s">
        <v>4509</v>
      </c>
      <c r="C1566" s="1">
        <v>1290280.0</v>
      </c>
    </row>
    <row r="1567">
      <c r="A1567" s="1" t="s">
        <v>4768</v>
      </c>
      <c r="B1567" s="1" t="s">
        <v>4048</v>
      </c>
      <c r="C1567" s="1">
        <v>1773330.0</v>
      </c>
    </row>
    <row r="1568">
      <c r="A1568" s="1" t="s">
        <v>4769</v>
      </c>
      <c r="B1568" s="1" t="s">
        <v>4711</v>
      </c>
      <c r="C1568" s="1">
        <v>1433963.0</v>
      </c>
    </row>
    <row r="1569">
      <c r="A1569" s="1" t="s">
        <v>4770</v>
      </c>
      <c r="B1569" s="33" t="s">
        <v>4297</v>
      </c>
      <c r="C1569" s="1">
        <v>2298982.0</v>
      </c>
    </row>
    <row r="1570">
      <c r="A1570" s="1" t="s">
        <v>2951</v>
      </c>
      <c r="B1570" s="1" t="s">
        <v>4054</v>
      </c>
      <c r="C1570" s="1">
        <v>4087505.0</v>
      </c>
    </row>
    <row r="1571">
      <c r="B1571" s="1" t="s">
        <v>4373</v>
      </c>
      <c r="C1571" s="1">
        <v>3094473.0</v>
      </c>
    </row>
    <row r="1572">
      <c r="B1572" s="1" t="s">
        <v>4577</v>
      </c>
      <c r="C1572" s="1">
        <v>2347867.0</v>
      </c>
    </row>
    <row r="1573">
      <c r="A1573" s="1" t="s">
        <v>2952</v>
      </c>
      <c r="B1573" s="1" t="s">
        <v>4721</v>
      </c>
      <c r="C1573" s="2">
        <v>1916951.0</v>
      </c>
      <c r="E1573" s="1" t="s">
        <v>4771</v>
      </c>
    </row>
    <row r="1574">
      <c r="B1574" s="1" t="s">
        <v>4729</v>
      </c>
      <c r="C1574" s="1">
        <v>6212.0</v>
      </c>
    </row>
    <row r="1575">
      <c r="A1575" s="1" t="s">
        <v>4772</v>
      </c>
      <c r="B1575" s="1" t="s">
        <v>4628</v>
      </c>
      <c r="C1575" s="1">
        <v>2629561.0</v>
      </c>
    </row>
    <row r="1576">
      <c r="B1576" s="1" t="s">
        <v>4748</v>
      </c>
      <c r="C1576" s="1">
        <v>6162.0</v>
      </c>
    </row>
    <row r="1577">
      <c r="B1577" s="33" t="s">
        <v>4607</v>
      </c>
      <c r="C1577" s="1">
        <v>1320193.0</v>
      </c>
    </row>
    <row r="1578">
      <c r="A1578" s="1" t="s">
        <v>2962</v>
      </c>
      <c r="B1578" s="22" t="s">
        <v>4773</v>
      </c>
      <c r="C1578" s="78"/>
      <c r="D1578" s="22">
        <v>40000.0</v>
      </c>
      <c r="E1578" s="22" t="s">
        <v>4491</v>
      </c>
    </row>
    <row r="1579">
      <c r="B1579" s="30" t="s">
        <v>4694</v>
      </c>
      <c r="C1579" s="31"/>
      <c r="D1579" s="30">
        <v>1100000.0</v>
      </c>
      <c r="E1579" s="30" t="s">
        <v>4695</v>
      </c>
    </row>
    <row r="1580">
      <c r="B1580" s="1" t="s">
        <v>3908</v>
      </c>
      <c r="D1580" s="1">
        <v>969260.0</v>
      </c>
      <c r="E1580" s="1" t="s">
        <v>4774</v>
      </c>
    </row>
    <row r="1581">
      <c r="A1581" s="39" t="s">
        <v>2961</v>
      </c>
      <c r="B1581" s="39" t="s">
        <v>4661</v>
      </c>
      <c r="C1581" s="40"/>
      <c r="D1581" s="41">
        <v>121000.0</v>
      </c>
      <c r="E1581" s="42" t="s">
        <v>3986</v>
      </c>
    </row>
    <row r="1582">
      <c r="A1582" s="40"/>
      <c r="B1582" s="42" t="s">
        <v>3964</v>
      </c>
      <c r="C1582" s="40"/>
      <c r="D1582" s="41">
        <v>220000.0</v>
      </c>
      <c r="E1582" s="39" t="s">
        <v>4683</v>
      </c>
    </row>
    <row r="1583">
      <c r="A1583" s="40"/>
      <c r="B1583" s="42" t="s">
        <v>648</v>
      </c>
      <c r="C1583" s="40"/>
      <c r="D1583" s="85">
        <v>143000.0</v>
      </c>
      <c r="E1583" s="42"/>
    </row>
    <row r="1584">
      <c r="A1584" s="1" t="s">
        <v>4775</v>
      </c>
      <c r="B1584" s="1" t="s">
        <v>4776</v>
      </c>
      <c r="D1584" s="1">
        <v>42530.0</v>
      </c>
      <c r="E1584" s="1" t="s">
        <v>4777</v>
      </c>
    </row>
    <row r="1585">
      <c r="A1585" s="1" t="s">
        <v>4778</v>
      </c>
      <c r="B1585" s="1" t="s">
        <v>4655</v>
      </c>
      <c r="D1585" s="1">
        <v>525000.0</v>
      </c>
      <c r="E1585" s="1" t="s">
        <v>4368</v>
      </c>
    </row>
    <row r="1586">
      <c r="B1586" s="1" t="s">
        <v>4656</v>
      </c>
      <c r="D1586" s="1">
        <v>22500.0</v>
      </c>
      <c r="E1586" s="1" t="s">
        <v>4368</v>
      </c>
    </row>
    <row r="1587">
      <c r="A1587" s="1" t="s">
        <v>4779</v>
      </c>
      <c r="B1587" s="1" t="s">
        <v>4780</v>
      </c>
      <c r="C1587" s="2">
        <v>191695.0</v>
      </c>
    </row>
    <row r="1588">
      <c r="A1588" s="1" t="s">
        <v>4781</v>
      </c>
      <c r="B1588" s="1" t="s">
        <v>3988</v>
      </c>
      <c r="C1588" s="1">
        <v>1747914.0</v>
      </c>
    </row>
    <row r="1589">
      <c r="B1589" s="1" t="s">
        <v>4498</v>
      </c>
      <c r="C1589" s="1">
        <v>2269013.0</v>
      </c>
    </row>
    <row r="1590">
      <c r="A1590" s="1" t="s">
        <v>4782</v>
      </c>
      <c r="B1590" s="1" t="s">
        <v>4483</v>
      </c>
      <c r="C1590" s="1">
        <v>2333999.0</v>
      </c>
    </row>
    <row r="1591">
      <c r="B1591" s="1" t="s">
        <v>4520</v>
      </c>
      <c r="C1591" s="1">
        <v>2343551.0</v>
      </c>
    </row>
    <row r="1592">
      <c r="B1592" s="33" t="s">
        <v>4285</v>
      </c>
      <c r="C1592" s="1">
        <v>1744860.0</v>
      </c>
    </row>
    <row r="1593">
      <c r="A1593" s="1" t="s">
        <v>4783</v>
      </c>
      <c r="B1593" s="1" t="s">
        <v>4718</v>
      </c>
      <c r="C1593" s="1">
        <v>1436371.0</v>
      </c>
    </row>
    <row r="1594">
      <c r="A1594" s="1" t="s">
        <v>2969</v>
      </c>
      <c r="B1594" s="1" t="s">
        <v>3984</v>
      </c>
      <c r="C1594" s="1">
        <v>4024240.0</v>
      </c>
    </row>
    <row r="1595">
      <c r="B1595" s="33" t="s">
        <v>4287</v>
      </c>
      <c r="C1595" s="1">
        <v>2191547.0</v>
      </c>
    </row>
    <row r="1596">
      <c r="B1596" s="1" t="s">
        <v>4628</v>
      </c>
      <c r="C1596" s="1">
        <v>2590342.0</v>
      </c>
    </row>
    <row r="1597">
      <c r="A1597" s="1" t="s">
        <v>2961</v>
      </c>
      <c r="B1597" s="1" t="s">
        <v>4377</v>
      </c>
      <c r="C1597" s="1">
        <v>3046239.0</v>
      </c>
    </row>
    <row r="1598">
      <c r="A1598" s="1" t="s">
        <v>2970</v>
      </c>
      <c r="B1598" s="1" t="s">
        <v>4721</v>
      </c>
      <c r="C1598" s="1">
        <v>2067312.0</v>
      </c>
    </row>
    <row r="1599">
      <c r="A1599" s="1" t="s">
        <v>4784</v>
      </c>
      <c r="B1599" s="22" t="s">
        <v>4785</v>
      </c>
      <c r="C1599" s="78"/>
      <c r="D1599" s="22">
        <v>40000.0</v>
      </c>
      <c r="E1599" s="22" t="s">
        <v>4491</v>
      </c>
    </row>
    <row r="1600">
      <c r="B1600" s="30" t="s">
        <v>4694</v>
      </c>
      <c r="C1600" s="31"/>
      <c r="D1600" s="30">
        <v>1100000.0</v>
      </c>
      <c r="E1600" s="30" t="s">
        <v>4695</v>
      </c>
    </row>
    <row r="1601">
      <c r="B1601" s="1" t="s">
        <v>3908</v>
      </c>
      <c r="D1601" s="1">
        <v>901520.0</v>
      </c>
      <c r="E1601" s="1" t="s">
        <v>4786</v>
      </c>
    </row>
    <row r="1602">
      <c r="B1602" s="39" t="s">
        <v>1975</v>
      </c>
      <c r="C1602" s="40"/>
      <c r="D1602" s="41">
        <v>211830.0</v>
      </c>
    </row>
    <row r="1603">
      <c r="A1603" s="1" t="s">
        <v>4787</v>
      </c>
      <c r="B1603" s="33" t="s">
        <v>4595</v>
      </c>
      <c r="C1603" s="1">
        <v>1298866.0</v>
      </c>
    </row>
    <row r="1604">
      <c r="A1604" s="39" t="s">
        <v>2980</v>
      </c>
      <c r="B1604" s="39" t="s">
        <v>4661</v>
      </c>
      <c r="C1604" s="40"/>
      <c r="D1604" s="41">
        <v>121000.0</v>
      </c>
      <c r="E1604" s="42" t="s">
        <v>3986</v>
      </c>
    </row>
    <row r="1605">
      <c r="A1605" s="40"/>
      <c r="B1605" s="42" t="s">
        <v>3964</v>
      </c>
      <c r="C1605" s="40"/>
      <c r="D1605" s="41">
        <v>220000.0</v>
      </c>
      <c r="E1605" s="39" t="s">
        <v>4683</v>
      </c>
    </row>
    <row r="1606">
      <c r="A1606" s="40"/>
      <c r="B1606" s="42" t="s">
        <v>648</v>
      </c>
      <c r="C1606" s="40"/>
      <c r="D1606" s="85">
        <v>143000.0</v>
      </c>
      <c r="E1606" s="42"/>
    </row>
    <row r="1607">
      <c r="A1607" s="1" t="s">
        <v>4788</v>
      </c>
      <c r="B1607" s="1" t="s">
        <v>4507</v>
      </c>
      <c r="C1607" s="1">
        <v>2286135.0</v>
      </c>
    </row>
    <row r="1608">
      <c r="A1608" s="1" t="s">
        <v>4789</v>
      </c>
      <c r="B1608" s="1" t="s">
        <v>4711</v>
      </c>
      <c r="C1608" s="1">
        <v>1435930.0</v>
      </c>
      <c r="D1608" s="1"/>
      <c r="E1608" s="1"/>
    </row>
    <row r="1609">
      <c r="A1609" s="1"/>
      <c r="B1609" s="1" t="s">
        <v>4509</v>
      </c>
      <c r="C1609" s="1">
        <v>2403400.0</v>
      </c>
      <c r="D1609" s="1"/>
      <c r="E1609" s="1"/>
    </row>
    <row r="1610">
      <c r="A1610" s="1"/>
      <c r="B1610" s="1" t="s">
        <v>4048</v>
      </c>
      <c r="C1610" s="1">
        <v>1747846.0</v>
      </c>
      <c r="D1610" s="1"/>
      <c r="E1610" s="1"/>
    </row>
    <row r="1611">
      <c r="A1611" s="1"/>
      <c r="B1611" s="33" t="s">
        <v>4391</v>
      </c>
      <c r="C1611" s="1">
        <v>1752050.0</v>
      </c>
      <c r="D1611" s="1"/>
      <c r="E1611" s="1"/>
    </row>
    <row r="1612">
      <c r="A1612" s="1" t="s">
        <v>4790</v>
      </c>
      <c r="B1612" s="33" t="s">
        <v>4297</v>
      </c>
      <c r="C1612" s="1">
        <v>2223297.0</v>
      </c>
      <c r="D1612" s="1"/>
      <c r="E1612" s="1"/>
    </row>
    <row r="1613">
      <c r="A1613" s="1" t="s">
        <v>2980</v>
      </c>
      <c r="B1613" s="1" t="s">
        <v>4054</v>
      </c>
      <c r="C1613" s="1">
        <v>4009963.0</v>
      </c>
      <c r="D1613" s="1"/>
      <c r="E1613" s="1"/>
    </row>
    <row r="1614">
      <c r="A1614" s="1"/>
      <c r="B1614" s="1" t="s">
        <v>4373</v>
      </c>
      <c r="C1614" s="1">
        <v>3051086.0</v>
      </c>
      <c r="D1614" s="1"/>
      <c r="E1614" s="1"/>
    </row>
    <row r="1615">
      <c r="A1615" s="1"/>
      <c r="B1615" s="1" t="s">
        <v>4628</v>
      </c>
      <c r="C1615" s="1">
        <v>2589110.0</v>
      </c>
      <c r="D1615" s="1"/>
      <c r="E1615" s="1"/>
    </row>
    <row r="1616">
      <c r="A1616" s="1"/>
      <c r="B1616" s="1" t="s">
        <v>4748</v>
      </c>
      <c r="C1616" s="1">
        <v>14111.0</v>
      </c>
      <c r="D1616" s="1"/>
      <c r="E1616" s="1"/>
    </row>
    <row r="1617">
      <c r="A1617" s="1"/>
      <c r="B1617" s="1" t="s">
        <v>4721</v>
      </c>
      <c r="C1617" s="1">
        <v>2036570.0</v>
      </c>
      <c r="D1617" s="1"/>
      <c r="E1617" s="1"/>
    </row>
    <row r="1618">
      <c r="A1618" s="1"/>
      <c r="B1618" s="1" t="s">
        <v>4729</v>
      </c>
      <c r="C1618" s="1">
        <v>14225.0</v>
      </c>
      <c r="D1618" s="1"/>
      <c r="E1618" s="1"/>
    </row>
    <row r="1619">
      <c r="A1619" s="1"/>
      <c r="B1619" s="1" t="s">
        <v>4577</v>
      </c>
      <c r="C1619" s="1">
        <v>2364147.0</v>
      </c>
      <c r="D1619" s="1"/>
      <c r="E1619" s="1"/>
    </row>
    <row r="1620">
      <c r="A1620" s="1" t="s">
        <v>4791</v>
      </c>
      <c r="B1620" s="33" t="s">
        <v>4607</v>
      </c>
      <c r="C1620" s="1">
        <v>1310466.0</v>
      </c>
      <c r="D1620" s="1"/>
      <c r="E1620" s="1"/>
    </row>
    <row r="1621">
      <c r="A1621" s="1" t="s">
        <v>2992</v>
      </c>
      <c r="B1621" s="1" t="s">
        <v>3908</v>
      </c>
      <c r="D1621" s="1">
        <v>1069630.0</v>
      </c>
      <c r="E1621" s="1" t="s">
        <v>4792</v>
      </c>
    </row>
    <row r="1622">
      <c r="B1622" s="22" t="s">
        <v>4793</v>
      </c>
      <c r="C1622" s="78"/>
      <c r="D1622" s="22">
        <v>40000.0</v>
      </c>
      <c r="E1622" s="22" t="s">
        <v>4491</v>
      </c>
    </row>
    <row r="1623">
      <c r="B1623" s="30" t="s">
        <v>4694</v>
      </c>
      <c r="C1623" s="31"/>
      <c r="D1623" s="30">
        <v>990000.0</v>
      </c>
      <c r="E1623" s="30" t="s">
        <v>4695</v>
      </c>
    </row>
    <row r="1624">
      <c r="A1624" s="39" t="s">
        <v>2994</v>
      </c>
      <c r="B1624" s="39" t="s">
        <v>4661</v>
      </c>
      <c r="C1624" s="40"/>
      <c r="D1624" s="41">
        <v>121000.0</v>
      </c>
      <c r="E1624" s="42" t="s">
        <v>3986</v>
      </c>
    </row>
    <row r="1625">
      <c r="A1625" s="40"/>
      <c r="B1625" s="42" t="s">
        <v>3964</v>
      </c>
      <c r="C1625" s="40"/>
      <c r="D1625" s="41">
        <v>220000.0</v>
      </c>
      <c r="E1625" s="39" t="s">
        <v>4683</v>
      </c>
    </row>
    <row r="1626">
      <c r="A1626" s="40"/>
      <c r="B1626" s="42" t="s">
        <v>648</v>
      </c>
      <c r="C1626" s="40"/>
      <c r="D1626" s="85">
        <v>143000.0</v>
      </c>
      <c r="E1626" s="42"/>
    </row>
    <row r="1627">
      <c r="A1627" s="1" t="s">
        <v>4794</v>
      </c>
      <c r="B1627" s="1" t="s">
        <v>4498</v>
      </c>
      <c r="C1627" s="1">
        <v>2276545.0</v>
      </c>
    </row>
    <row r="1628">
      <c r="A1628" s="1" t="s">
        <v>4795</v>
      </c>
      <c r="B1628" s="1" t="s">
        <v>4483</v>
      </c>
      <c r="C1628" s="1">
        <v>2392757.0</v>
      </c>
    </row>
    <row r="1629">
      <c r="B1629" s="1" t="s">
        <v>3988</v>
      </c>
      <c r="C1629" s="1">
        <v>1732567.0</v>
      </c>
    </row>
    <row r="1630">
      <c r="B1630" s="1" t="s">
        <v>4718</v>
      </c>
      <c r="C1630" s="1">
        <v>1447138.0</v>
      </c>
    </row>
    <row r="1631">
      <c r="B1631" s="33" t="s">
        <v>4285</v>
      </c>
      <c r="C1631" s="1">
        <v>1772660.0</v>
      </c>
    </row>
    <row r="1632">
      <c r="A1632" s="1" t="s">
        <v>4796</v>
      </c>
      <c r="B1632" s="1" t="s">
        <v>4520</v>
      </c>
      <c r="C1632" s="1">
        <v>2375154.0</v>
      </c>
    </row>
    <row r="1633">
      <c r="A1633" s="1" t="s">
        <v>3197</v>
      </c>
      <c r="B1633" s="33" t="s">
        <v>4287</v>
      </c>
      <c r="C1633" s="1">
        <v>2188035.0</v>
      </c>
    </row>
    <row r="1634">
      <c r="A1634" s="1" t="s">
        <v>2994</v>
      </c>
      <c r="B1634" s="1" t="s">
        <v>3984</v>
      </c>
      <c r="C1634" s="1">
        <v>4010269.0</v>
      </c>
    </row>
    <row r="1635">
      <c r="B1635" s="1" t="s">
        <v>4377</v>
      </c>
      <c r="C1635" s="1">
        <v>3045398.0</v>
      </c>
    </row>
    <row r="1636">
      <c r="A1636" s="1" t="s">
        <v>2995</v>
      </c>
      <c r="B1636" s="1" t="s">
        <v>4721</v>
      </c>
      <c r="C1636" s="1">
        <v>2055377.0</v>
      </c>
    </row>
    <row r="1637">
      <c r="A1637" s="1" t="s">
        <v>4797</v>
      </c>
      <c r="B1637" s="1" t="s">
        <v>3009</v>
      </c>
      <c r="D1637" s="1">
        <v>1009030.0</v>
      </c>
    </row>
    <row r="1638">
      <c r="B1638" s="1" t="s">
        <v>2826</v>
      </c>
      <c r="D1638" s="1">
        <v>742830.0</v>
      </c>
    </row>
    <row r="1639">
      <c r="A1639" s="1" t="s">
        <v>4798</v>
      </c>
      <c r="B1639" s="1" t="s">
        <v>3908</v>
      </c>
      <c r="D1639" s="1">
        <v>1545560.0</v>
      </c>
      <c r="E1639" s="1" t="s">
        <v>4799</v>
      </c>
    </row>
    <row r="1640">
      <c r="B1640" s="39" t="s">
        <v>1975</v>
      </c>
      <c r="C1640" s="78"/>
      <c r="D1640" s="22">
        <v>444160.0</v>
      </c>
      <c r="E1640" s="1" t="s">
        <v>4800</v>
      </c>
    </row>
    <row r="1641">
      <c r="B1641" s="22" t="s">
        <v>4801</v>
      </c>
      <c r="C1641" s="78"/>
      <c r="D1641" s="22">
        <v>40000.0</v>
      </c>
      <c r="E1641" s="22" t="s">
        <v>4491</v>
      </c>
    </row>
    <row r="1642">
      <c r="B1642" s="30" t="s">
        <v>4694</v>
      </c>
      <c r="C1642" s="31"/>
      <c r="D1642" s="30">
        <v>990000.0</v>
      </c>
      <c r="E1642" s="30" t="s">
        <v>4695</v>
      </c>
    </row>
    <row r="1643">
      <c r="A1643" s="39" t="s">
        <v>3007</v>
      </c>
      <c r="B1643" s="39" t="s">
        <v>4661</v>
      </c>
      <c r="C1643" s="40"/>
      <c r="D1643" s="41">
        <v>121000.0</v>
      </c>
      <c r="E1643" s="42" t="s">
        <v>3986</v>
      </c>
    </row>
    <row r="1644">
      <c r="A1644" s="40"/>
      <c r="B1644" s="42" t="s">
        <v>3964</v>
      </c>
      <c r="C1644" s="40"/>
      <c r="D1644" s="41">
        <v>220000.0</v>
      </c>
      <c r="E1644" s="39" t="s">
        <v>4683</v>
      </c>
    </row>
    <row r="1645">
      <c r="A1645" s="40"/>
      <c r="B1645" s="42" t="s">
        <v>648</v>
      </c>
      <c r="C1645" s="40"/>
      <c r="D1645" s="85">
        <v>143000.0</v>
      </c>
      <c r="E1645" s="42"/>
    </row>
    <row r="1646">
      <c r="A1646" s="1" t="s">
        <v>3004</v>
      </c>
      <c r="B1646" s="33" t="s">
        <v>4595</v>
      </c>
      <c r="C1646" s="1">
        <v>1304595.0</v>
      </c>
    </row>
    <row r="1647">
      <c r="A1647" s="1" t="s">
        <v>4802</v>
      </c>
      <c r="B1647" s="1" t="s">
        <v>4803</v>
      </c>
      <c r="D1647" s="1">
        <v>385000.0</v>
      </c>
      <c r="E1647" s="1" t="s">
        <v>4804</v>
      </c>
    </row>
    <row r="1648">
      <c r="A1648" s="1" t="s">
        <v>4798</v>
      </c>
      <c r="B1648" s="1" t="s">
        <v>4805</v>
      </c>
      <c r="D1648" s="1">
        <v>2324070.0</v>
      </c>
      <c r="E1648" s="1" t="s">
        <v>4806</v>
      </c>
    </row>
    <row r="1649">
      <c r="A1649" s="1" t="s">
        <v>4807</v>
      </c>
      <c r="B1649" s="1" t="s">
        <v>4128</v>
      </c>
      <c r="D1649" s="1">
        <v>6358160.0</v>
      </c>
      <c r="E1649" s="1" t="s">
        <v>4808</v>
      </c>
    </row>
    <row r="1650">
      <c r="A1650" s="1" t="s">
        <v>4809</v>
      </c>
      <c r="B1650" s="1" t="s">
        <v>4810</v>
      </c>
      <c r="D1650" s="1">
        <v>660000.0</v>
      </c>
      <c r="E1650" s="1" t="s">
        <v>4811</v>
      </c>
    </row>
    <row r="1651">
      <c r="A1651" s="1" t="s">
        <v>4812</v>
      </c>
      <c r="B1651" s="1" t="s">
        <v>4370</v>
      </c>
      <c r="C1651" s="1">
        <v>2404520.0</v>
      </c>
    </row>
    <row r="1652">
      <c r="A1652" s="1" t="s">
        <v>4813</v>
      </c>
      <c r="B1652" s="1" t="s">
        <v>4048</v>
      </c>
      <c r="C1652" s="1">
        <v>1769373.0</v>
      </c>
    </row>
    <row r="1653">
      <c r="B1653" s="1" t="s">
        <v>4711</v>
      </c>
      <c r="C1653" s="1">
        <v>1518234.0</v>
      </c>
    </row>
    <row r="1654">
      <c r="B1654" s="1" t="s">
        <v>4509</v>
      </c>
      <c r="C1654" s="1">
        <v>2463630.0</v>
      </c>
    </row>
    <row r="1655">
      <c r="A1655" s="1" t="s">
        <v>4814</v>
      </c>
      <c r="B1655" s="33" t="s">
        <v>4391</v>
      </c>
      <c r="C1655" s="1">
        <v>1820440.0</v>
      </c>
    </row>
    <row r="1656">
      <c r="A1656" s="1" t="s">
        <v>3007</v>
      </c>
      <c r="B1656" s="1" t="s">
        <v>4054</v>
      </c>
      <c r="C1656" s="1">
        <v>4111669.0</v>
      </c>
    </row>
    <row r="1657">
      <c r="B1657" s="1" t="s">
        <v>4373</v>
      </c>
      <c r="C1657" s="1">
        <v>3101590.0</v>
      </c>
    </row>
    <row r="1658">
      <c r="B1658" s="1" t="s">
        <v>4577</v>
      </c>
      <c r="C1658" s="1">
        <v>2563817.0</v>
      </c>
    </row>
    <row r="1659">
      <c r="B1659" s="33" t="s">
        <v>4297</v>
      </c>
      <c r="C1659" s="1">
        <v>2283683.0</v>
      </c>
    </row>
    <row r="1660">
      <c r="A1660" s="1" t="s">
        <v>4815</v>
      </c>
      <c r="B1660" s="1" t="s">
        <v>4712</v>
      </c>
      <c r="C1660" s="1">
        <v>2149353.0</v>
      </c>
    </row>
    <row r="1661">
      <c r="A1661" s="23" t="s">
        <v>4802</v>
      </c>
      <c r="B1661" s="23" t="s">
        <v>4816</v>
      </c>
      <c r="C1661" s="1">
        <v>1.5E7</v>
      </c>
    </row>
    <row r="1662">
      <c r="A1662" s="23" t="s">
        <v>4817</v>
      </c>
      <c r="B1662" s="23" t="s">
        <v>4818</v>
      </c>
      <c r="D1662" s="1">
        <v>1.5E7</v>
      </c>
    </row>
    <row r="1663">
      <c r="A1663" s="1" t="s">
        <v>4819</v>
      </c>
      <c r="B1663" s="1" t="s">
        <v>4820</v>
      </c>
      <c r="C1663" s="1">
        <v>729189.0</v>
      </c>
    </row>
    <row r="1664">
      <c r="A1664" s="1" t="s">
        <v>3020</v>
      </c>
      <c r="B1664" s="33" t="s">
        <v>4821</v>
      </c>
      <c r="C1664" s="1">
        <v>1291578.0</v>
      </c>
    </row>
    <row r="1665">
      <c r="A1665" s="1" t="s">
        <v>4822</v>
      </c>
      <c r="B1665" s="1" t="s">
        <v>3908</v>
      </c>
      <c r="D1665" s="1">
        <v>1605340.0</v>
      </c>
      <c r="E1665" s="1" t="s">
        <v>4823</v>
      </c>
    </row>
    <row r="1666">
      <c r="B1666" s="22" t="s">
        <v>4824</v>
      </c>
      <c r="C1666" s="78"/>
      <c r="D1666" s="22">
        <v>40000.0</v>
      </c>
      <c r="E1666" s="22" t="s">
        <v>4491</v>
      </c>
    </row>
    <row r="1667">
      <c r="B1667" s="30" t="s">
        <v>4694</v>
      </c>
      <c r="C1667" s="31"/>
      <c r="D1667" s="30">
        <v>1100000.0</v>
      </c>
      <c r="E1667" s="30" t="s">
        <v>4695</v>
      </c>
    </row>
    <row r="1668">
      <c r="A1668" s="39" t="s">
        <v>3027</v>
      </c>
      <c r="B1668" s="39" t="s">
        <v>4661</v>
      </c>
      <c r="C1668" s="40"/>
      <c r="D1668" s="41">
        <v>121000.0</v>
      </c>
      <c r="E1668" s="39" t="s">
        <v>4825</v>
      </c>
    </row>
    <row r="1669">
      <c r="A1669" s="40"/>
      <c r="B1669" s="42" t="s">
        <v>3964</v>
      </c>
      <c r="C1669" s="40"/>
      <c r="D1669" s="41">
        <v>220000.0</v>
      </c>
      <c r="E1669" s="39" t="s">
        <v>4683</v>
      </c>
    </row>
    <row r="1670">
      <c r="A1670" s="40"/>
      <c r="B1670" s="42" t="s">
        <v>648</v>
      </c>
      <c r="C1670" s="40"/>
      <c r="D1670" s="1">
        <v>143000.0</v>
      </c>
      <c r="E1670" s="42"/>
    </row>
    <row r="1671">
      <c r="A1671" s="1" t="s">
        <v>4826</v>
      </c>
      <c r="B1671" s="1" t="s">
        <v>4827</v>
      </c>
      <c r="D1671" s="1">
        <v>147800.0</v>
      </c>
      <c r="E1671" s="1" t="s">
        <v>4828</v>
      </c>
    </row>
    <row r="1672">
      <c r="B1672" s="1" t="s">
        <v>4829</v>
      </c>
      <c r="D1672" s="1">
        <v>21300.0</v>
      </c>
      <c r="E1672" s="1" t="s">
        <v>4828</v>
      </c>
    </row>
    <row r="1673">
      <c r="A1673" s="1" t="s">
        <v>4830</v>
      </c>
      <c r="B1673" s="1" t="s">
        <v>4498</v>
      </c>
      <c r="C1673" s="1">
        <v>2390618.0</v>
      </c>
    </row>
    <row r="1674">
      <c r="B1674" s="1" t="s">
        <v>4831</v>
      </c>
      <c r="C1674" s="1">
        <v>181650.0</v>
      </c>
    </row>
    <row r="1675">
      <c r="A1675" s="1" t="s">
        <v>3028</v>
      </c>
      <c r="B1675" s="1" t="s">
        <v>4483</v>
      </c>
      <c r="C1675" s="1">
        <v>2428457.0</v>
      </c>
    </row>
    <row r="1676">
      <c r="B1676" s="1" t="s">
        <v>3988</v>
      </c>
      <c r="C1676" s="1">
        <v>1733160.0</v>
      </c>
    </row>
    <row r="1677">
      <c r="B1677" s="33" t="s">
        <v>4285</v>
      </c>
      <c r="C1677" s="1">
        <v>1818050.0</v>
      </c>
    </row>
    <row r="1678">
      <c r="A1678" s="1" t="s">
        <v>3788</v>
      </c>
      <c r="B1678" s="33" t="s">
        <v>4287</v>
      </c>
      <c r="C1678" s="1">
        <v>2202425.0</v>
      </c>
    </row>
    <row r="1679">
      <c r="A1679" s="1" t="s">
        <v>3027</v>
      </c>
      <c r="B1679" s="1" t="s">
        <v>4377</v>
      </c>
      <c r="C1679" s="1">
        <v>3062219.0</v>
      </c>
    </row>
    <row r="1680">
      <c r="B1680" s="1" t="s">
        <v>3984</v>
      </c>
      <c r="C1680" s="1">
        <v>4026436.0</v>
      </c>
    </row>
    <row r="1681">
      <c r="B1681" s="1" t="s">
        <v>4832</v>
      </c>
      <c r="C1681" s="1">
        <v>2596131.0</v>
      </c>
    </row>
    <row r="1682">
      <c r="B1682" s="1" t="s">
        <v>4721</v>
      </c>
      <c r="C1682" s="1">
        <v>2139883.0</v>
      </c>
    </row>
    <row r="1683">
      <c r="A1683" s="1" t="s">
        <v>4833</v>
      </c>
      <c r="B1683" s="1" t="s">
        <v>4834</v>
      </c>
      <c r="C1683" s="1">
        <v>2662194.0</v>
      </c>
    </row>
    <row r="1684">
      <c r="B1684" s="1" t="s">
        <v>4835</v>
      </c>
      <c r="C1684" s="1">
        <v>29587.0</v>
      </c>
    </row>
    <row r="1685">
      <c r="A1685" s="1" t="s">
        <v>4826</v>
      </c>
      <c r="B1685" s="33" t="s">
        <v>4836</v>
      </c>
      <c r="C1685" s="1">
        <v>1364879.0</v>
      </c>
    </row>
    <row r="1686">
      <c r="A1686" s="1" t="s">
        <v>3048</v>
      </c>
      <c r="B1686" s="1" t="s">
        <v>4118</v>
      </c>
      <c r="D1686" s="1">
        <v>2.033304E7</v>
      </c>
      <c r="E1686" s="1"/>
    </row>
    <row r="1687">
      <c r="A1687" s="1" t="s">
        <v>4837</v>
      </c>
      <c r="B1687" s="1" t="s">
        <v>3908</v>
      </c>
      <c r="D1687" s="1">
        <v>1247210.0</v>
      </c>
      <c r="E1687" s="1" t="s">
        <v>4838</v>
      </c>
    </row>
    <row r="1688">
      <c r="B1688" s="39" t="s">
        <v>1975</v>
      </c>
      <c r="C1688" s="78"/>
      <c r="D1688" s="22">
        <v>384520.0</v>
      </c>
      <c r="E1688" s="1" t="s">
        <v>4800</v>
      </c>
    </row>
    <row r="1689">
      <c r="B1689" s="22" t="s">
        <v>4839</v>
      </c>
      <c r="C1689" s="78"/>
      <c r="D1689" s="22">
        <v>40000.0</v>
      </c>
      <c r="E1689" s="22" t="s">
        <v>4491</v>
      </c>
    </row>
    <row r="1690">
      <c r="B1690" s="30" t="s">
        <v>4694</v>
      </c>
      <c r="C1690" s="31"/>
      <c r="D1690" s="30">
        <v>1100000.0</v>
      </c>
      <c r="E1690" s="30" t="s">
        <v>4695</v>
      </c>
    </row>
    <row r="1691">
      <c r="A1691" s="39" t="s">
        <v>4840</v>
      </c>
      <c r="B1691" s="1" t="s">
        <v>4507</v>
      </c>
      <c r="C1691" s="39">
        <v>2338482.0</v>
      </c>
      <c r="D1691" s="41"/>
      <c r="E1691" s="39"/>
    </row>
    <row r="1692">
      <c r="A1692" s="39"/>
      <c r="B1692" s="1" t="s">
        <v>4841</v>
      </c>
      <c r="C1692" s="39">
        <v>1508761.0</v>
      </c>
      <c r="D1692" s="41"/>
      <c r="E1692" s="39"/>
    </row>
    <row r="1693">
      <c r="A1693" s="39"/>
      <c r="B1693" s="1" t="s">
        <v>4509</v>
      </c>
      <c r="C1693" s="39">
        <v>2488739.0</v>
      </c>
      <c r="D1693" s="41"/>
      <c r="E1693" s="39"/>
    </row>
    <row r="1694">
      <c r="A1694" s="39" t="s">
        <v>4842</v>
      </c>
      <c r="B1694" s="1" t="s">
        <v>4048</v>
      </c>
      <c r="C1694" s="39">
        <v>1762789.0</v>
      </c>
      <c r="D1694" s="41"/>
      <c r="E1694" s="39"/>
    </row>
    <row r="1695">
      <c r="A1695" s="39"/>
      <c r="B1695" s="33" t="s">
        <v>4391</v>
      </c>
      <c r="C1695" s="39">
        <v>1872000.0</v>
      </c>
      <c r="D1695" s="41"/>
      <c r="E1695" s="39"/>
    </row>
    <row r="1696">
      <c r="A1696" s="39" t="s">
        <v>3054</v>
      </c>
      <c r="B1696" s="1" t="s">
        <v>4843</v>
      </c>
      <c r="C1696" s="39">
        <v>2462062.0</v>
      </c>
      <c r="D1696" s="41"/>
      <c r="E1696" s="39"/>
    </row>
    <row r="1697">
      <c r="A1697" s="39" t="s">
        <v>4844</v>
      </c>
      <c r="B1697" s="33" t="s">
        <v>4297</v>
      </c>
      <c r="C1697" s="39">
        <v>2259016.0</v>
      </c>
      <c r="D1697" s="41"/>
      <c r="E1697" s="39"/>
    </row>
    <row r="1698">
      <c r="A1698" s="39"/>
      <c r="B1698" s="1" t="s">
        <v>4845</v>
      </c>
      <c r="C1698" s="39">
        <v>2681468.0</v>
      </c>
      <c r="D1698" s="41"/>
      <c r="E1698" s="39"/>
    </row>
    <row r="1699">
      <c r="A1699" s="39" t="s">
        <v>3053</v>
      </c>
      <c r="B1699" s="1" t="s">
        <v>4054</v>
      </c>
      <c r="C1699" s="39">
        <v>4083960.0</v>
      </c>
      <c r="D1699" s="41"/>
      <c r="E1699" s="39"/>
    </row>
    <row r="1700">
      <c r="A1700" s="39"/>
      <c r="B1700" s="1" t="s">
        <v>4373</v>
      </c>
      <c r="C1700" s="39">
        <v>3084962.0</v>
      </c>
      <c r="D1700" s="41"/>
      <c r="E1700" s="39"/>
    </row>
    <row r="1701">
      <c r="A1701" s="39" t="s">
        <v>4846</v>
      </c>
      <c r="B1701" s="1" t="s">
        <v>4721</v>
      </c>
      <c r="C1701" s="39">
        <v>2095638.0</v>
      </c>
      <c r="D1701" s="41"/>
      <c r="E1701" s="39"/>
    </row>
    <row r="1702">
      <c r="A1702" s="39"/>
      <c r="B1702" s="1" t="s">
        <v>4729</v>
      </c>
      <c r="C1702" s="39">
        <v>25822.0</v>
      </c>
      <c r="D1702" s="41"/>
      <c r="E1702" s="39"/>
    </row>
    <row r="1703">
      <c r="A1703" s="1" t="s">
        <v>3062</v>
      </c>
      <c r="B1703" s="1" t="s">
        <v>4847</v>
      </c>
      <c r="C1703" s="1">
        <v>2471357.0</v>
      </c>
      <c r="D1703" s="41"/>
      <c r="E1703" s="39"/>
    </row>
    <row r="1704">
      <c r="A1704" s="1" t="s">
        <v>4848</v>
      </c>
      <c r="B1704" s="33" t="s">
        <v>4849</v>
      </c>
      <c r="C1704" s="1">
        <v>1402537.0</v>
      </c>
      <c r="D1704" s="41"/>
      <c r="E1704" s="39"/>
    </row>
    <row r="1705">
      <c r="A1705" s="39" t="s">
        <v>3053</v>
      </c>
      <c r="B1705" s="39" t="s">
        <v>4661</v>
      </c>
      <c r="C1705" s="40"/>
      <c r="D1705" s="41">
        <v>121000.0</v>
      </c>
      <c r="E1705" s="39" t="s">
        <v>4825</v>
      </c>
    </row>
    <row r="1706">
      <c r="A1706" s="40"/>
      <c r="B1706" s="42" t="s">
        <v>3964</v>
      </c>
      <c r="C1706" s="40"/>
      <c r="D1706" s="41">
        <v>220000.0</v>
      </c>
      <c r="E1706" s="39" t="s">
        <v>4683</v>
      </c>
    </row>
    <row r="1707">
      <c r="A1707" s="40"/>
      <c r="B1707" s="42" t="s">
        <v>648</v>
      </c>
      <c r="C1707" s="40"/>
      <c r="D1707" s="1">
        <v>143000.0</v>
      </c>
      <c r="E1707" s="42"/>
    </row>
    <row r="1708">
      <c r="A1708" s="1" t="s">
        <v>3059</v>
      </c>
      <c r="B1708" s="1" t="s">
        <v>4763</v>
      </c>
      <c r="D1708" s="1">
        <v>6374000.0</v>
      </c>
      <c r="E1708" s="1" t="s">
        <v>4850</v>
      </c>
    </row>
    <row r="1709">
      <c r="A1709" s="1" t="s">
        <v>3059</v>
      </c>
      <c r="B1709" s="1" t="s">
        <v>4126</v>
      </c>
      <c r="D1709" s="1">
        <v>552100.0</v>
      </c>
      <c r="E1709" s="1" t="s">
        <v>4851</v>
      </c>
    </row>
    <row r="1710">
      <c r="A1710" s="1" t="s">
        <v>4852</v>
      </c>
      <c r="B1710" s="1" t="s">
        <v>3908</v>
      </c>
      <c r="D1710" s="1">
        <v>952240.0</v>
      </c>
      <c r="E1710" s="1" t="s">
        <v>4853</v>
      </c>
    </row>
    <row r="1711">
      <c r="B1711" s="22" t="s">
        <v>4854</v>
      </c>
      <c r="C1711" s="78"/>
      <c r="D1711" s="22">
        <v>40000.0</v>
      </c>
      <c r="E1711" s="22" t="s">
        <v>4491</v>
      </c>
    </row>
    <row r="1712">
      <c r="B1712" s="30" t="s">
        <v>4694</v>
      </c>
      <c r="C1712" s="31"/>
      <c r="D1712" s="30">
        <v>1100000.0</v>
      </c>
      <c r="E1712" s="30" t="s">
        <v>4695</v>
      </c>
    </row>
    <row r="1713">
      <c r="A1713" s="39" t="s">
        <v>3068</v>
      </c>
      <c r="B1713" s="39" t="s">
        <v>4661</v>
      </c>
      <c r="C1713" s="40"/>
      <c r="D1713" s="41">
        <v>121000.0</v>
      </c>
      <c r="E1713" s="39" t="s">
        <v>4825</v>
      </c>
    </row>
    <row r="1714">
      <c r="A1714" s="40"/>
      <c r="B1714" s="42" t="s">
        <v>3964</v>
      </c>
      <c r="C1714" s="40"/>
      <c r="D1714" s="41">
        <v>220000.0</v>
      </c>
      <c r="E1714" s="39" t="s">
        <v>4683</v>
      </c>
    </row>
    <row r="1715">
      <c r="A1715" s="40"/>
      <c r="B1715" s="42" t="s">
        <v>648</v>
      </c>
      <c r="C1715" s="40"/>
      <c r="D1715" s="1">
        <v>143000.0</v>
      </c>
      <c r="E1715" s="42"/>
    </row>
    <row r="1716">
      <c r="A1716" s="1" t="s">
        <v>4855</v>
      </c>
      <c r="B1716" s="1" t="s">
        <v>4856</v>
      </c>
      <c r="D1716" s="1">
        <v>2090000.0</v>
      </c>
      <c r="E1716" s="1" t="s">
        <v>4857</v>
      </c>
    </row>
    <row r="1717">
      <c r="A1717" s="1" t="s">
        <v>4858</v>
      </c>
      <c r="B1717" s="1" t="s">
        <v>4498</v>
      </c>
      <c r="C1717" s="1">
        <v>2270485.0</v>
      </c>
    </row>
    <row r="1718">
      <c r="B1718" s="1" t="s">
        <v>4831</v>
      </c>
      <c r="C1718" s="1">
        <v>1488161.0</v>
      </c>
    </row>
    <row r="1719">
      <c r="B1719" s="1" t="s">
        <v>3988</v>
      </c>
      <c r="C1719" s="1">
        <v>1713130.0</v>
      </c>
    </row>
    <row r="1720">
      <c r="A1720" s="1" t="s">
        <v>4859</v>
      </c>
      <c r="B1720" s="1" t="s">
        <v>4483</v>
      </c>
      <c r="C1720" s="1">
        <v>2395235.0</v>
      </c>
    </row>
    <row r="1721">
      <c r="A1721" s="1" t="s">
        <v>4860</v>
      </c>
      <c r="B1721" s="33" t="s">
        <v>4287</v>
      </c>
      <c r="C1721" s="1">
        <v>2188781.0</v>
      </c>
    </row>
    <row r="1722">
      <c r="A1722" s="1" t="s">
        <v>3068</v>
      </c>
      <c r="B1722" s="1" t="s">
        <v>3984</v>
      </c>
      <c r="C1722" s="1">
        <v>4004788.0</v>
      </c>
    </row>
    <row r="1723">
      <c r="B1723" s="1" t="s">
        <v>4377</v>
      </c>
      <c r="C1723" s="1">
        <v>3054147.0</v>
      </c>
    </row>
    <row r="1724">
      <c r="B1724" s="1" t="s">
        <v>4721</v>
      </c>
      <c r="C1724" s="1">
        <v>2061209.0</v>
      </c>
    </row>
    <row r="1725">
      <c r="A1725" s="1" t="s">
        <v>4861</v>
      </c>
      <c r="B1725" s="1" t="s">
        <v>4520</v>
      </c>
      <c r="C1725" s="1">
        <v>2392754.0</v>
      </c>
    </row>
    <row r="1726">
      <c r="A1726" s="1" t="s">
        <v>4862</v>
      </c>
      <c r="B1726" s="33" t="s">
        <v>4285</v>
      </c>
      <c r="C1726" s="1">
        <v>1839100.0</v>
      </c>
    </row>
    <row r="1727">
      <c r="A1727" s="1" t="s">
        <v>4863</v>
      </c>
      <c r="B1727" s="33" t="s">
        <v>4864</v>
      </c>
      <c r="C1727" s="1">
        <v>1363812.0</v>
      </c>
    </row>
    <row r="1728">
      <c r="A1728" s="1" t="s">
        <v>4865</v>
      </c>
      <c r="B1728" s="1" t="s">
        <v>3908</v>
      </c>
      <c r="D1728" s="1">
        <v>1035920.0</v>
      </c>
      <c r="E1728" s="1" t="s">
        <v>4866</v>
      </c>
    </row>
    <row r="1729">
      <c r="B1729" s="39" t="s">
        <v>1975</v>
      </c>
      <c r="C1729" s="78"/>
      <c r="D1729" s="22">
        <v>293640.0</v>
      </c>
      <c r="E1729" s="1" t="s">
        <v>4867</v>
      </c>
    </row>
    <row r="1730">
      <c r="B1730" s="22" t="s">
        <v>4868</v>
      </c>
      <c r="C1730" s="78"/>
      <c r="D1730" s="22">
        <v>40000.0</v>
      </c>
      <c r="E1730" s="22" t="s">
        <v>4491</v>
      </c>
    </row>
    <row r="1731">
      <c r="B1731" s="30" t="s">
        <v>4694</v>
      </c>
      <c r="C1731" s="31"/>
      <c r="D1731" s="30">
        <v>1100000.0</v>
      </c>
      <c r="E1731" s="30" t="s">
        <v>4695</v>
      </c>
    </row>
    <row r="1732">
      <c r="A1732" s="39" t="s">
        <v>3081</v>
      </c>
      <c r="B1732" s="39" t="s">
        <v>4661</v>
      </c>
      <c r="C1732" s="40"/>
      <c r="D1732" s="41">
        <v>121000.0</v>
      </c>
      <c r="E1732" s="39" t="s">
        <v>4825</v>
      </c>
    </row>
    <row r="1733">
      <c r="A1733" s="40"/>
      <c r="B1733" s="42" t="s">
        <v>3964</v>
      </c>
      <c r="C1733" s="40"/>
      <c r="D1733" s="41">
        <v>220000.0</v>
      </c>
      <c r="E1733" s="39" t="s">
        <v>4683</v>
      </c>
    </row>
    <row r="1734">
      <c r="A1734" s="40"/>
      <c r="B1734" s="42" t="s">
        <v>648</v>
      </c>
      <c r="C1734" s="40"/>
      <c r="D1734" s="1">
        <v>143000.0</v>
      </c>
      <c r="E1734" s="42"/>
    </row>
    <row r="1735">
      <c r="A1735" s="1" t="s">
        <v>4869</v>
      </c>
      <c r="B1735" s="1" t="s">
        <v>4507</v>
      </c>
      <c r="C1735" s="1">
        <v>2285652.0</v>
      </c>
    </row>
    <row r="1736">
      <c r="B1736" s="1" t="s">
        <v>4841</v>
      </c>
      <c r="C1736" s="1">
        <v>1539555.0</v>
      </c>
    </row>
    <row r="1737">
      <c r="B1737" s="1" t="s">
        <v>4509</v>
      </c>
      <c r="C1737" s="1">
        <v>2404032.0</v>
      </c>
    </row>
    <row r="1738">
      <c r="B1738" s="1" t="s">
        <v>4048</v>
      </c>
      <c r="C1738" s="1">
        <v>1780348.0</v>
      </c>
    </row>
    <row r="1739">
      <c r="A1739" s="1" t="s">
        <v>3084</v>
      </c>
      <c r="B1739" s="33" t="s">
        <v>4297</v>
      </c>
      <c r="C1739" s="1">
        <v>2240120.0</v>
      </c>
    </row>
    <row r="1740">
      <c r="A1740" s="1" t="s">
        <v>3081</v>
      </c>
      <c r="B1740" s="1" t="s">
        <v>4054</v>
      </c>
      <c r="C1740" s="1">
        <v>4039126.0</v>
      </c>
    </row>
    <row r="1741">
      <c r="B1741" s="1" t="s">
        <v>4373</v>
      </c>
      <c r="C1741" s="1">
        <v>3069054.0</v>
      </c>
    </row>
    <row r="1742">
      <c r="B1742" s="1" t="s">
        <v>4712</v>
      </c>
      <c r="C1742" s="1">
        <v>2095514.0</v>
      </c>
    </row>
    <row r="1743">
      <c r="A1743" s="1" t="s">
        <v>4870</v>
      </c>
      <c r="B1743" s="33" t="s">
        <v>4391</v>
      </c>
      <c r="C1743" s="1">
        <v>1891400.0</v>
      </c>
    </row>
    <row r="1744">
      <c r="A1744" s="1" t="s">
        <v>4871</v>
      </c>
      <c r="B1744" s="1" t="s">
        <v>4577</v>
      </c>
      <c r="C1744" s="1">
        <v>2423405.0</v>
      </c>
    </row>
    <row r="1745">
      <c r="A1745" s="1" t="s">
        <v>4872</v>
      </c>
      <c r="B1745" s="33" t="s">
        <v>4873</v>
      </c>
      <c r="C1745" s="1">
        <v>1369318.0</v>
      </c>
    </row>
    <row r="1746">
      <c r="A1746" s="1" t="s">
        <v>4874</v>
      </c>
      <c r="B1746" s="1" t="s">
        <v>3908</v>
      </c>
      <c r="D1746" s="1">
        <v>1438400.0</v>
      </c>
      <c r="E1746" s="1" t="s">
        <v>4875</v>
      </c>
    </row>
    <row r="1747">
      <c r="B1747" s="22" t="s">
        <v>4876</v>
      </c>
      <c r="C1747" s="78"/>
      <c r="D1747" s="22">
        <v>40000.0</v>
      </c>
      <c r="E1747" s="22" t="s">
        <v>4491</v>
      </c>
    </row>
    <row r="1748">
      <c r="B1748" s="30" t="s">
        <v>4694</v>
      </c>
      <c r="C1748" s="31"/>
      <c r="D1748" s="30">
        <v>1100000.0</v>
      </c>
      <c r="E1748" s="30" t="s">
        <v>4695</v>
      </c>
    </row>
    <row r="1749">
      <c r="A1749" s="39" t="s">
        <v>3098</v>
      </c>
      <c r="B1749" s="39" t="s">
        <v>4661</v>
      </c>
      <c r="C1749" s="40"/>
      <c r="D1749" s="41">
        <v>121000.0</v>
      </c>
      <c r="E1749" s="39" t="s">
        <v>4825</v>
      </c>
    </row>
    <row r="1750">
      <c r="A1750" s="40"/>
      <c r="B1750" s="42" t="s">
        <v>3964</v>
      </c>
      <c r="C1750" s="40"/>
      <c r="D1750" s="41">
        <v>220000.0</v>
      </c>
      <c r="E1750" s="39" t="s">
        <v>4683</v>
      </c>
      <c r="F1750" s="34"/>
    </row>
    <row r="1751">
      <c r="A1751" s="40"/>
      <c r="B1751" s="42" t="s">
        <v>648</v>
      </c>
      <c r="C1751" s="40"/>
      <c r="D1751" s="1">
        <v>143000.0</v>
      </c>
      <c r="E1751" s="42"/>
    </row>
    <row r="1752">
      <c r="A1752" s="88" t="s">
        <v>3793</v>
      </c>
      <c r="B1752" s="88" t="s">
        <v>4877</v>
      </c>
      <c r="C1752" s="88">
        <v>3.0E7</v>
      </c>
      <c r="D1752" s="89"/>
      <c r="E1752" s="88" t="s">
        <v>4878</v>
      </c>
    </row>
    <row r="1753">
      <c r="A1753" s="89"/>
      <c r="B1753" s="88" t="s">
        <v>4879</v>
      </c>
      <c r="C1753" s="89"/>
      <c r="D1753" s="88">
        <v>3.0E7</v>
      </c>
      <c r="E1753" s="88" t="s">
        <v>4878</v>
      </c>
    </row>
    <row r="1754">
      <c r="A1754" s="1" t="s">
        <v>4880</v>
      </c>
      <c r="B1754" s="1" t="s">
        <v>4498</v>
      </c>
      <c r="C1754" s="1">
        <v>2311192.0</v>
      </c>
    </row>
    <row r="1755">
      <c r="B1755" s="1" t="s">
        <v>4831</v>
      </c>
      <c r="C1755" s="1">
        <v>1560592.0</v>
      </c>
    </row>
    <row r="1756">
      <c r="B1756" s="1" t="s">
        <v>3988</v>
      </c>
      <c r="C1756" s="1">
        <v>1765023.0</v>
      </c>
    </row>
    <row r="1757">
      <c r="A1757" s="1" t="s">
        <v>4881</v>
      </c>
      <c r="B1757" s="1" t="s">
        <v>4483</v>
      </c>
      <c r="C1757" s="1">
        <v>2434071.0</v>
      </c>
    </row>
    <row r="1758">
      <c r="A1758" s="1" t="s">
        <v>3098</v>
      </c>
      <c r="B1758" s="1" t="s">
        <v>3984</v>
      </c>
      <c r="C1758" s="1">
        <v>4050398.0</v>
      </c>
    </row>
    <row r="1759">
      <c r="B1759" s="33" t="s">
        <v>4287</v>
      </c>
      <c r="C1759" s="1">
        <v>2240489.0</v>
      </c>
    </row>
    <row r="1760">
      <c r="B1760" s="1" t="s">
        <v>4520</v>
      </c>
      <c r="C1760" s="1">
        <v>2391149.0</v>
      </c>
    </row>
    <row r="1761">
      <c r="B1761" s="1" t="s">
        <v>4377</v>
      </c>
      <c r="C1761" s="1">
        <v>3086160.0</v>
      </c>
    </row>
    <row r="1762">
      <c r="A1762" s="1" t="s">
        <v>4882</v>
      </c>
      <c r="B1762" s="1" t="s">
        <v>4721</v>
      </c>
      <c r="C1762" s="1">
        <v>2134400.0</v>
      </c>
    </row>
    <row r="1763">
      <c r="A1763" s="1" t="s">
        <v>3099</v>
      </c>
      <c r="B1763" s="33" t="s">
        <v>4285</v>
      </c>
      <c r="C1763" s="1">
        <v>1899750.0</v>
      </c>
    </row>
    <row r="1764">
      <c r="A1764" s="90" t="s">
        <v>4883</v>
      </c>
      <c r="B1764" s="90" t="s">
        <v>4884</v>
      </c>
      <c r="C1764" s="90">
        <v>820973.0</v>
      </c>
    </row>
    <row r="1765">
      <c r="A1765" s="1" t="s">
        <v>4885</v>
      </c>
      <c r="B1765" s="1" t="s">
        <v>3908</v>
      </c>
      <c r="D1765" s="1">
        <v>2372820.0</v>
      </c>
      <c r="E1765" s="1" t="s">
        <v>4886</v>
      </c>
    </row>
    <row r="1766">
      <c r="B1766" s="42" t="s">
        <v>1975</v>
      </c>
      <c r="C1766" s="46"/>
      <c r="D1766" s="47">
        <v>316360.0</v>
      </c>
      <c r="E1766" s="39" t="s">
        <v>4867</v>
      </c>
    </row>
    <row r="1767">
      <c r="B1767" s="22" t="s">
        <v>4887</v>
      </c>
      <c r="C1767" s="78"/>
      <c r="D1767" s="22">
        <v>40000.0</v>
      </c>
      <c r="E1767" s="22" t="s">
        <v>4491</v>
      </c>
    </row>
    <row r="1768">
      <c r="A1768" s="39"/>
      <c r="B1768" s="1" t="s">
        <v>4128</v>
      </c>
      <c r="D1768" s="1">
        <v>6780700.0</v>
      </c>
      <c r="E1768" s="1" t="s">
        <v>4888</v>
      </c>
    </row>
    <row r="1769">
      <c r="A1769" s="39" t="s">
        <v>4889</v>
      </c>
      <c r="B1769" s="39" t="s">
        <v>4661</v>
      </c>
      <c r="C1769" s="40"/>
      <c r="D1769" s="41">
        <v>121000.0</v>
      </c>
      <c r="E1769" s="39" t="s">
        <v>4825</v>
      </c>
    </row>
    <row r="1770">
      <c r="A1770" s="40"/>
      <c r="B1770" s="42" t="s">
        <v>3964</v>
      </c>
      <c r="C1770" s="40"/>
      <c r="D1770" s="41">
        <v>220000.0</v>
      </c>
      <c r="E1770" s="39" t="s">
        <v>4683</v>
      </c>
    </row>
    <row r="1771">
      <c r="A1771" s="40"/>
      <c r="B1771" s="42" t="s">
        <v>648</v>
      </c>
      <c r="C1771" s="40"/>
      <c r="D1771" s="1">
        <v>143000.0</v>
      </c>
      <c r="E1771" s="42"/>
    </row>
    <row r="1772">
      <c r="B1772" s="30" t="s">
        <v>4694</v>
      </c>
      <c r="C1772" s="31"/>
      <c r="D1772" s="30">
        <v>1100000.0</v>
      </c>
      <c r="E1772" s="30" t="s">
        <v>4695</v>
      </c>
    </row>
    <row r="1773">
      <c r="A1773" s="1" t="s">
        <v>3110</v>
      </c>
      <c r="B1773" s="33" t="s">
        <v>4890</v>
      </c>
      <c r="C1773" s="1">
        <v>1300000.0</v>
      </c>
    </row>
    <row r="1774">
      <c r="A1774" s="1" t="s">
        <v>3794</v>
      </c>
      <c r="B1774" s="33" t="s">
        <v>4890</v>
      </c>
      <c r="C1774" s="1">
        <v>54137.0</v>
      </c>
    </row>
    <row r="1775">
      <c r="A1775" s="1" t="s">
        <v>3794</v>
      </c>
      <c r="B1775" s="1" t="s">
        <v>4370</v>
      </c>
      <c r="C1775" s="1">
        <v>2464519.0</v>
      </c>
    </row>
    <row r="1776">
      <c r="B1776" s="1" t="s">
        <v>4891</v>
      </c>
      <c r="C1776" s="1">
        <v>1585755.0</v>
      </c>
    </row>
    <row r="1777">
      <c r="A1777" s="1" t="s">
        <v>3111</v>
      </c>
      <c r="B1777" s="1" t="s">
        <v>4048</v>
      </c>
      <c r="C1777" s="1">
        <v>1831126.0</v>
      </c>
    </row>
    <row r="1778">
      <c r="A1778" s="1" t="s">
        <v>4892</v>
      </c>
      <c r="B1778" s="1" t="s">
        <v>4509</v>
      </c>
      <c r="C1778" s="1">
        <v>2610367.0</v>
      </c>
    </row>
    <row r="1779">
      <c r="A1779" s="1" t="s">
        <v>4889</v>
      </c>
      <c r="B1779" s="33" t="s">
        <v>4297</v>
      </c>
      <c r="C1779" s="1">
        <v>2375145.0</v>
      </c>
    </row>
    <row r="1780">
      <c r="A1780" s="1" t="s">
        <v>3117</v>
      </c>
      <c r="B1780" s="1" t="s">
        <v>4054</v>
      </c>
      <c r="C1780" s="1">
        <v>4229995.0</v>
      </c>
    </row>
    <row r="1781">
      <c r="B1781" s="1" t="s">
        <v>4373</v>
      </c>
      <c r="C1781" s="1">
        <v>2401311.0</v>
      </c>
    </row>
    <row r="1782">
      <c r="B1782" s="1" t="s">
        <v>4721</v>
      </c>
      <c r="C1782" s="1">
        <v>2199121.0</v>
      </c>
    </row>
    <row r="1783">
      <c r="B1783" s="1" t="s">
        <v>4729</v>
      </c>
      <c r="C1783" s="1">
        <v>21245.0</v>
      </c>
    </row>
    <row r="1784">
      <c r="A1784" s="1" t="s">
        <v>4893</v>
      </c>
      <c r="B1784" s="1" t="s">
        <v>4577</v>
      </c>
      <c r="C1784" s="1">
        <v>2467842.0</v>
      </c>
    </row>
    <row r="1785">
      <c r="A1785" s="1" t="s">
        <v>3795</v>
      </c>
      <c r="B1785" s="33" t="s">
        <v>4391</v>
      </c>
      <c r="C1785" s="1">
        <v>1986480.0</v>
      </c>
    </row>
    <row r="1786">
      <c r="A1786" s="1" t="s">
        <v>3129</v>
      </c>
      <c r="B1786" s="33" t="s">
        <v>4894</v>
      </c>
      <c r="C1786" s="1">
        <v>1380594.0</v>
      </c>
    </row>
    <row r="1787">
      <c r="A1787" s="1" t="s">
        <v>4754</v>
      </c>
      <c r="B1787" s="1" t="s">
        <v>3908</v>
      </c>
      <c r="D1787" s="1">
        <v>2161630.0</v>
      </c>
      <c r="E1787" s="1" t="s">
        <v>4895</v>
      </c>
    </row>
    <row r="1788">
      <c r="B1788" s="22" t="s">
        <v>4896</v>
      </c>
      <c r="C1788" s="78"/>
      <c r="D1788" s="22">
        <v>40000.0</v>
      </c>
      <c r="E1788" s="22" t="s">
        <v>4491</v>
      </c>
    </row>
    <row r="1789">
      <c r="B1789" s="30" t="s">
        <v>4694</v>
      </c>
      <c r="C1789" s="31"/>
      <c r="D1789" s="30">
        <v>1100000.0</v>
      </c>
      <c r="E1789" s="30" t="s">
        <v>4695</v>
      </c>
    </row>
    <row r="1790">
      <c r="A1790" s="39" t="s">
        <v>3131</v>
      </c>
      <c r="B1790" s="39" t="s">
        <v>4661</v>
      </c>
      <c r="C1790" s="40"/>
      <c r="D1790" s="41">
        <v>121000.0</v>
      </c>
      <c r="E1790" s="39" t="s">
        <v>4825</v>
      </c>
    </row>
    <row r="1791">
      <c r="A1791" s="40"/>
      <c r="B1791" s="42" t="s">
        <v>3964</v>
      </c>
      <c r="C1791" s="40"/>
      <c r="D1791" s="41">
        <v>220000.0</v>
      </c>
      <c r="E1791" s="39" t="s">
        <v>4683</v>
      </c>
    </row>
    <row r="1792">
      <c r="A1792" s="40"/>
      <c r="B1792" s="42" t="s">
        <v>648</v>
      </c>
      <c r="C1792" s="40"/>
      <c r="D1792" s="1">
        <v>143000.0</v>
      </c>
      <c r="E1792" s="42"/>
    </row>
    <row r="1793">
      <c r="A1793" s="1" t="s">
        <v>4897</v>
      </c>
      <c r="B1793" s="1" t="s">
        <v>3988</v>
      </c>
      <c r="C1793" s="1">
        <v>1800042.0</v>
      </c>
    </row>
    <row r="1794">
      <c r="B1794" s="1" t="s">
        <v>4498</v>
      </c>
      <c r="C1794" s="1">
        <v>2418513.0</v>
      </c>
    </row>
    <row r="1795">
      <c r="B1795" s="1" t="s">
        <v>4831</v>
      </c>
      <c r="C1795" s="1">
        <v>1491963.0</v>
      </c>
    </row>
    <row r="1796">
      <c r="A1796" s="1" t="s">
        <v>4898</v>
      </c>
      <c r="B1796" s="1" t="s">
        <v>4483</v>
      </c>
      <c r="C1796" s="1">
        <v>2566929.0</v>
      </c>
    </row>
    <row r="1797">
      <c r="B1797" s="33" t="s">
        <v>4287</v>
      </c>
      <c r="C1797" s="1">
        <v>2357908.0</v>
      </c>
    </row>
    <row r="1798">
      <c r="A1798" s="1" t="s">
        <v>3131</v>
      </c>
      <c r="B1798" s="1" t="s">
        <v>3984</v>
      </c>
      <c r="C1798" s="1">
        <v>4142778.0</v>
      </c>
    </row>
    <row r="1799">
      <c r="B1799" s="33" t="s">
        <v>4285</v>
      </c>
      <c r="C1799" s="1">
        <v>1953661.0</v>
      </c>
    </row>
    <row r="1800">
      <c r="B1800" s="1" t="s">
        <v>4899</v>
      </c>
      <c r="C1800" s="1">
        <v>2616888.0</v>
      </c>
    </row>
    <row r="1801">
      <c r="B1801" s="1" t="s">
        <v>4900</v>
      </c>
      <c r="C1801" s="1">
        <v>25164.0</v>
      </c>
    </row>
    <row r="1802">
      <c r="B1802" s="1" t="s">
        <v>4377</v>
      </c>
      <c r="C1802" s="1">
        <v>3152278.0</v>
      </c>
    </row>
    <row r="1803">
      <c r="A1803" s="1" t="s">
        <v>4901</v>
      </c>
      <c r="B1803" s="1" t="s">
        <v>4721</v>
      </c>
      <c r="C1803" s="1">
        <v>2202300.0</v>
      </c>
    </row>
    <row r="1804">
      <c r="A1804" s="1" t="s">
        <v>4902</v>
      </c>
      <c r="B1804" s="1" t="s">
        <v>4520</v>
      </c>
      <c r="C1804" s="1">
        <v>2408006.0</v>
      </c>
    </row>
    <row r="1805">
      <c r="A1805" s="1" t="s">
        <v>3141</v>
      </c>
      <c r="B1805" s="1" t="s">
        <v>4903</v>
      </c>
      <c r="D1805" s="1">
        <v>88000.0</v>
      </c>
    </row>
    <row r="1806">
      <c r="A1806" s="1" t="s">
        <v>3143</v>
      </c>
      <c r="B1806" s="33" t="s">
        <v>4904</v>
      </c>
      <c r="C1806" s="1">
        <v>1376091.0</v>
      </c>
    </row>
    <row r="1807">
      <c r="A1807" s="1" t="s">
        <v>4905</v>
      </c>
      <c r="B1807" s="1" t="s">
        <v>3908</v>
      </c>
      <c r="D1807" s="1">
        <v>1502320.0</v>
      </c>
      <c r="E1807" s="1" t="s">
        <v>4906</v>
      </c>
    </row>
    <row r="1808">
      <c r="B1808" s="42" t="s">
        <v>1975</v>
      </c>
      <c r="C1808" s="46"/>
      <c r="D1808" s="47">
        <v>260800.0</v>
      </c>
      <c r="E1808" s="39" t="s">
        <v>4867</v>
      </c>
    </row>
    <row r="1809">
      <c r="B1809" s="22" t="s">
        <v>4759</v>
      </c>
      <c r="C1809" s="78"/>
      <c r="D1809" s="22">
        <v>40000.0</v>
      </c>
      <c r="E1809" s="22" t="s">
        <v>4491</v>
      </c>
    </row>
    <row r="1810">
      <c r="B1810" s="30" t="s">
        <v>4694</v>
      </c>
      <c r="C1810" s="31"/>
      <c r="D1810" s="30">
        <v>990000.0</v>
      </c>
      <c r="E1810" s="30" t="s">
        <v>4695</v>
      </c>
    </row>
    <row r="1811">
      <c r="A1811" s="1" t="s">
        <v>3144</v>
      </c>
      <c r="B1811" s="1" t="s">
        <v>4370</v>
      </c>
      <c r="C1811" s="1">
        <v>2331284.0</v>
      </c>
    </row>
    <row r="1812">
      <c r="B1812" s="1" t="s">
        <v>4891</v>
      </c>
      <c r="C1812" s="1">
        <v>1538147.0</v>
      </c>
    </row>
    <row r="1813">
      <c r="A1813" s="1" t="s">
        <v>4907</v>
      </c>
      <c r="B1813" s="1" t="s">
        <v>4908</v>
      </c>
      <c r="D1813" s="1">
        <v>660000.0</v>
      </c>
      <c r="E1813" s="1" t="s">
        <v>4909</v>
      </c>
    </row>
    <row r="1814">
      <c r="A1814" s="39" t="s">
        <v>3146</v>
      </c>
      <c r="B1814" s="39" t="s">
        <v>4661</v>
      </c>
      <c r="C1814" s="40"/>
      <c r="D1814" s="41">
        <v>121000.0</v>
      </c>
      <c r="E1814" s="39" t="s">
        <v>4825</v>
      </c>
    </row>
    <row r="1815">
      <c r="A1815" s="40"/>
      <c r="B1815" s="42" t="s">
        <v>3964</v>
      </c>
      <c r="C1815" s="40"/>
      <c r="D1815" s="41">
        <v>220000.0</v>
      </c>
      <c r="E1815" s="39" t="s">
        <v>4683</v>
      </c>
    </row>
    <row r="1816">
      <c r="A1816" s="40"/>
      <c r="B1816" s="42" t="s">
        <v>648</v>
      </c>
      <c r="C1816" s="40"/>
      <c r="D1816" s="1">
        <v>143000.0</v>
      </c>
      <c r="E1816" s="42"/>
    </row>
    <row r="1817">
      <c r="A1817" s="1" t="s">
        <v>4905</v>
      </c>
      <c r="B1817" s="1" t="s">
        <v>4509</v>
      </c>
      <c r="C1817" s="1">
        <v>2515111.0</v>
      </c>
    </row>
    <row r="1818">
      <c r="B1818" s="1" t="s">
        <v>4048</v>
      </c>
      <c r="C1818" s="1">
        <v>1803769.0</v>
      </c>
    </row>
    <row r="1819">
      <c r="A1819" s="1" t="s">
        <v>4910</v>
      </c>
      <c r="B1819" s="1" t="s">
        <v>4577</v>
      </c>
      <c r="C1819" s="1">
        <v>2426154.0</v>
      </c>
    </row>
    <row r="1820">
      <c r="B1820" s="33" t="s">
        <v>4297</v>
      </c>
      <c r="C1820" s="1">
        <v>2329769.0</v>
      </c>
    </row>
    <row r="1821">
      <c r="A1821" s="1" t="s">
        <v>3146</v>
      </c>
      <c r="B1821" s="1" t="s">
        <v>4054</v>
      </c>
      <c r="C1821" s="1">
        <v>4093068.0</v>
      </c>
    </row>
    <row r="1822">
      <c r="B1822" s="1" t="s">
        <v>4373</v>
      </c>
      <c r="C1822" s="1">
        <v>3112191.0</v>
      </c>
    </row>
    <row r="1823">
      <c r="B1823" s="1" t="s">
        <v>4911</v>
      </c>
      <c r="C1823" s="1">
        <v>2591626.0</v>
      </c>
    </row>
    <row r="1824">
      <c r="B1824" s="1" t="s">
        <v>4912</v>
      </c>
      <c r="C1824" s="1">
        <v>2603035.0</v>
      </c>
    </row>
    <row r="1825">
      <c r="A1825" s="1" t="s">
        <v>3151</v>
      </c>
      <c r="B1825" s="1" t="s">
        <v>4721</v>
      </c>
      <c r="C1825" s="1">
        <v>1906610.0</v>
      </c>
    </row>
    <row r="1826">
      <c r="B1826" s="1" t="s">
        <v>4729</v>
      </c>
      <c r="C1826" s="1">
        <v>17514.0</v>
      </c>
    </row>
    <row r="1827">
      <c r="B1827" s="33" t="s">
        <v>4391</v>
      </c>
      <c r="C1827" s="1">
        <v>1913270.0</v>
      </c>
    </row>
    <row r="1828">
      <c r="A1828" s="1" t="s">
        <v>4913</v>
      </c>
      <c r="B1828" s="1" t="s">
        <v>4914</v>
      </c>
      <c r="C1828" s="1">
        <v>190661.0</v>
      </c>
    </row>
    <row r="1829">
      <c r="A1829" s="1" t="s">
        <v>4915</v>
      </c>
      <c r="B1829" s="1" t="s">
        <v>3908</v>
      </c>
      <c r="D1829" s="1">
        <v>1141680.0</v>
      </c>
      <c r="E1829" s="1" t="s">
        <v>4916</v>
      </c>
    </row>
    <row r="1830">
      <c r="B1830" s="22" t="s">
        <v>4773</v>
      </c>
      <c r="C1830" s="78"/>
      <c r="D1830" s="22">
        <v>40000.0</v>
      </c>
      <c r="E1830" s="22" t="s">
        <v>4491</v>
      </c>
    </row>
    <row r="1831">
      <c r="B1831" s="30" t="s">
        <v>4694</v>
      </c>
      <c r="C1831" s="31"/>
      <c r="D1831" s="30">
        <v>1100000.0</v>
      </c>
      <c r="E1831" s="30" t="s">
        <v>4695</v>
      </c>
    </row>
    <row r="1832">
      <c r="A1832" s="39" t="s">
        <v>3158</v>
      </c>
      <c r="B1832" s="39" t="s">
        <v>4661</v>
      </c>
      <c r="C1832" s="40"/>
      <c r="D1832" s="41">
        <v>121000.0</v>
      </c>
      <c r="E1832" s="39" t="s">
        <v>4825</v>
      </c>
    </row>
    <row r="1833">
      <c r="A1833" s="40"/>
      <c r="B1833" s="42" t="s">
        <v>3964</v>
      </c>
      <c r="C1833" s="40"/>
      <c r="D1833" s="41">
        <v>220000.0</v>
      </c>
      <c r="E1833" s="39" t="s">
        <v>4683</v>
      </c>
    </row>
    <row r="1834">
      <c r="A1834" s="39" t="s">
        <v>4917</v>
      </c>
      <c r="B1834" s="42" t="s">
        <v>648</v>
      </c>
      <c r="C1834" s="40"/>
      <c r="D1834" s="1">
        <v>143000.0</v>
      </c>
      <c r="E1834" s="42"/>
    </row>
    <row r="1835">
      <c r="A1835" s="1" t="s">
        <v>4917</v>
      </c>
      <c r="B1835" s="1" t="s">
        <v>4918</v>
      </c>
      <c r="D1835" s="1">
        <v>6577000.0</v>
      </c>
      <c r="E1835" s="1" t="s">
        <v>4919</v>
      </c>
    </row>
    <row r="1836">
      <c r="A1836" s="1" t="s">
        <v>3156</v>
      </c>
      <c r="B1836" s="33" t="s">
        <v>4920</v>
      </c>
      <c r="C1836" s="1">
        <v>1359597.0</v>
      </c>
    </row>
    <row r="1837">
      <c r="A1837" s="1" t="s">
        <v>3173</v>
      </c>
      <c r="B1837" s="1" t="s">
        <v>4921</v>
      </c>
      <c r="D1837" s="1">
        <v>525000.0</v>
      </c>
      <c r="E1837" s="1" t="s">
        <v>4368</v>
      </c>
    </row>
    <row r="1838">
      <c r="B1838" s="1" t="s">
        <v>4656</v>
      </c>
      <c r="D1838" s="1">
        <v>22500.0</v>
      </c>
      <c r="E1838" s="1" t="s">
        <v>4368</v>
      </c>
    </row>
    <row r="1839">
      <c r="A1839" s="1" t="s">
        <v>4917</v>
      </c>
      <c r="B1839" s="1" t="s">
        <v>4498</v>
      </c>
      <c r="C1839" s="1">
        <v>2309437.0</v>
      </c>
    </row>
    <row r="1840">
      <c r="B1840" s="1" t="s">
        <v>4831</v>
      </c>
      <c r="C1840" s="1">
        <v>1520664.0</v>
      </c>
    </row>
    <row r="1841">
      <c r="A1841" s="1" t="s">
        <v>4922</v>
      </c>
      <c r="B1841" s="1" t="s">
        <v>4483</v>
      </c>
      <c r="C1841" s="1">
        <v>2388225.0</v>
      </c>
    </row>
    <row r="1842">
      <c r="B1842" s="1" t="s">
        <v>3988</v>
      </c>
      <c r="C1842" s="1">
        <v>1762238.0</v>
      </c>
    </row>
    <row r="1843">
      <c r="B1843" s="1" t="s">
        <v>4520</v>
      </c>
      <c r="C1843" s="1">
        <v>2390537.0</v>
      </c>
    </row>
    <row r="1844">
      <c r="A1844" s="1" t="s">
        <v>3158</v>
      </c>
      <c r="B1844" s="1" t="s">
        <v>3984</v>
      </c>
      <c r="C1844" s="1">
        <v>4023696.0</v>
      </c>
    </row>
    <row r="1845">
      <c r="B1845" s="33" t="s">
        <v>4287</v>
      </c>
      <c r="C1845" s="1">
        <v>2203154.0</v>
      </c>
    </row>
    <row r="1846">
      <c r="A1846" s="1" t="s">
        <v>4923</v>
      </c>
      <c r="B1846" s="1" t="s">
        <v>4377</v>
      </c>
      <c r="C1846" s="1">
        <v>3067525.0</v>
      </c>
    </row>
    <row r="1847">
      <c r="A1847" s="1" t="s">
        <v>4924</v>
      </c>
      <c r="B1847" s="1" t="s">
        <v>4721</v>
      </c>
      <c r="C1847" s="1">
        <v>2061223.0</v>
      </c>
    </row>
    <row r="1848">
      <c r="A1848" s="1" t="s">
        <v>4925</v>
      </c>
      <c r="B1848" s="33" t="s">
        <v>4285</v>
      </c>
      <c r="C1848" s="1">
        <v>1863050.0</v>
      </c>
    </row>
    <row r="1849">
      <c r="A1849" s="1" t="s">
        <v>4926</v>
      </c>
      <c r="B1849" s="1" t="s">
        <v>3908</v>
      </c>
      <c r="D1849" s="1">
        <v>1004760.0</v>
      </c>
      <c r="E1849" s="1" t="s">
        <v>4927</v>
      </c>
    </row>
    <row r="1850">
      <c r="B1850" s="42" t="s">
        <v>1975</v>
      </c>
      <c r="C1850" s="46"/>
      <c r="D1850" s="47">
        <v>308160.0</v>
      </c>
      <c r="E1850" s="39" t="s">
        <v>4867</v>
      </c>
    </row>
    <row r="1851">
      <c r="B1851" s="22" t="s">
        <v>4785</v>
      </c>
      <c r="C1851" s="78"/>
      <c r="D1851" s="22">
        <v>40000.0</v>
      </c>
      <c r="E1851" s="22" t="s">
        <v>4491</v>
      </c>
    </row>
    <row r="1852">
      <c r="B1852" s="30" t="s">
        <v>4694</v>
      </c>
      <c r="C1852" s="31"/>
      <c r="D1852" s="30">
        <v>1100000.0</v>
      </c>
      <c r="E1852" s="30" t="s">
        <v>4695</v>
      </c>
    </row>
    <row r="1853">
      <c r="A1853" s="1" t="s">
        <v>3171</v>
      </c>
      <c r="B1853" s="33" t="s">
        <v>4928</v>
      </c>
      <c r="C1853" s="1">
        <v>1342235.0</v>
      </c>
    </row>
    <row r="1854">
      <c r="A1854" s="39" t="s">
        <v>3174</v>
      </c>
      <c r="B1854" s="39" t="s">
        <v>4661</v>
      </c>
      <c r="C1854" s="40"/>
      <c r="D1854" s="41">
        <v>121000.0</v>
      </c>
      <c r="E1854" s="39" t="s">
        <v>4825</v>
      </c>
    </row>
    <row r="1855">
      <c r="A1855" s="40"/>
      <c r="B1855" s="42" t="s">
        <v>3964</v>
      </c>
      <c r="C1855" s="40"/>
      <c r="D1855" s="41">
        <v>220000.0</v>
      </c>
      <c r="E1855" s="39" t="s">
        <v>4683</v>
      </c>
    </row>
    <row r="1856">
      <c r="A1856" s="39"/>
      <c r="B1856" s="42" t="s">
        <v>648</v>
      </c>
      <c r="C1856" s="40"/>
      <c r="D1856" s="1">
        <v>143000.0</v>
      </c>
      <c r="E1856" s="42"/>
    </row>
    <row r="1857">
      <c r="A1857" s="1" t="s">
        <v>4929</v>
      </c>
      <c r="B1857" s="1" t="s">
        <v>4507</v>
      </c>
      <c r="C1857" s="1">
        <v>2315333.0</v>
      </c>
    </row>
    <row r="1858">
      <c r="B1858" s="1" t="s">
        <v>4841</v>
      </c>
      <c r="C1858" s="1">
        <v>1517084.0</v>
      </c>
    </row>
    <row r="1859">
      <c r="B1859" s="1" t="s">
        <v>4048</v>
      </c>
      <c r="C1859" s="1">
        <v>1776197.0</v>
      </c>
    </row>
    <row r="1860">
      <c r="A1860" s="1" t="s">
        <v>4930</v>
      </c>
      <c r="B1860" s="1" t="s">
        <v>4509</v>
      </c>
      <c r="C1860" s="1">
        <v>2406176.0</v>
      </c>
    </row>
    <row r="1861">
      <c r="A1861" s="1" t="s">
        <v>4931</v>
      </c>
      <c r="B1861" s="33" t="s">
        <v>4391</v>
      </c>
      <c r="C1861" s="1">
        <v>1866140.0</v>
      </c>
    </row>
    <row r="1862">
      <c r="A1862" s="1" t="s">
        <v>4932</v>
      </c>
      <c r="B1862" s="1" t="s">
        <v>4577</v>
      </c>
      <c r="C1862" s="1">
        <v>2427095.0</v>
      </c>
    </row>
    <row r="1863">
      <c r="A1863" s="1" t="s">
        <v>4933</v>
      </c>
      <c r="B1863" s="33" t="s">
        <v>4297</v>
      </c>
      <c r="C1863" s="1">
        <v>2241451.0</v>
      </c>
    </row>
    <row r="1864">
      <c r="A1864" s="1" t="s">
        <v>3174</v>
      </c>
      <c r="B1864" s="1" t="s">
        <v>4054</v>
      </c>
      <c r="C1864" s="1">
        <v>4049897.0</v>
      </c>
    </row>
    <row r="1865">
      <c r="B1865" s="1" t="s">
        <v>4373</v>
      </c>
      <c r="C1865" s="1">
        <v>3078174.0</v>
      </c>
    </row>
    <row r="1866">
      <c r="A1866" s="1" t="s">
        <v>4934</v>
      </c>
      <c r="B1866" s="1" t="s">
        <v>4935</v>
      </c>
      <c r="D1866" s="1">
        <v>96000.0</v>
      </c>
      <c r="E1866" s="1" t="s">
        <v>4936</v>
      </c>
    </row>
    <row r="1867">
      <c r="A1867" s="1" t="s">
        <v>3175</v>
      </c>
      <c r="B1867" s="1" t="s">
        <v>4721</v>
      </c>
      <c r="C1867" s="1">
        <v>2047668.0</v>
      </c>
    </row>
    <row r="1868">
      <c r="B1868" s="1" t="s">
        <v>4729</v>
      </c>
      <c r="C1868" s="1">
        <v>20694.0</v>
      </c>
    </row>
    <row r="1869">
      <c r="A1869" s="1" t="s">
        <v>4937</v>
      </c>
      <c r="B1869" s="1" t="s">
        <v>3908</v>
      </c>
      <c r="D1869" s="1">
        <v>1256260.0</v>
      </c>
      <c r="E1869" s="1" t="s">
        <v>4938</v>
      </c>
    </row>
    <row r="1870">
      <c r="B1870" s="22" t="s">
        <v>4793</v>
      </c>
      <c r="C1870" s="78"/>
      <c r="D1870" s="22">
        <v>40000.0</v>
      </c>
      <c r="E1870" s="22" t="s">
        <v>4491</v>
      </c>
    </row>
    <row r="1871">
      <c r="B1871" s="30" t="s">
        <v>4694</v>
      </c>
      <c r="C1871" s="31"/>
      <c r="D1871" s="30">
        <v>1100000.0</v>
      </c>
      <c r="E1871" s="30" t="s">
        <v>4695</v>
      </c>
    </row>
    <row r="1872">
      <c r="A1872" s="1" t="s">
        <v>4939</v>
      </c>
      <c r="B1872" s="33" t="s">
        <v>4940</v>
      </c>
      <c r="C1872" s="1">
        <v>1352900.0</v>
      </c>
    </row>
    <row r="1873">
      <c r="A1873" s="1" t="s">
        <v>4941</v>
      </c>
      <c r="B1873" s="1" t="s">
        <v>4942</v>
      </c>
      <c r="D1873" s="1">
        <v>330000.0</v>
      </c>
      <c r="E1873" s="1" t="s">
        <v>4943</v>
      </c>
    </row>
    <row r="1874">
      <c r="A1874" s="39" t="s">
        <v>3190</v>
      </c>
      <c r="B1874" s="39" t="s">
        <v>4661</v>
      </c>
      <c r="C1874" s="40"/>
      <c r="D1874" s="41">
        <v>121000.0</v>
      </c>
      <c r="E1874" s="39" t="s">
        <v>4825</v>
      </c>
    </row>
    <row r="1875">
      <c r="A1875" s="40"/>
      <c r="B1875" s="42" t="s">
        <v>3964</v>
      </c>
      <c r="C1875" s="40"/>
      <c r="D1875" s="41">
        <v>220000.0</v>
      </c>
      <c r="E1875" s="39" t="s">
        <v>4683</v>
      </c>
    </row>
    <row r="1876">
      <c r="A1876" s="39"/>
      <c r="B1876" s="42" t="s">
        <v>648</v>
      </c>
      <c r="C1876" s="40"/>
      <c r="D1876" s="1">
        <v>143000.0</v>
      </c>
      <c r="E1876" s="42"/>
    </row>
    <row r="1877">
      <c r="A1877" s="91" t="s">
        <v>4812</v>
      </c>
      <c r="B1877" s="91" t="s">
        <v>1828</v>
      </c>
      <c r="C1877" s="92"/>
      <c r="D1877" s="93">
        <v>1030700.0</v>
      </c>
      <c r="E1877" s="92"/>
    </row>
    <row r="1878">
      <c r="A1878" s="92"/>
      <c r="B1878" s="91" t="s">
        <v>2826</v>
      </c>
      <c r="C1878" s="92"/>
      <c r="D1878" s="93">
        <v>797830.0</v>
      </c>
      <c r="E1878" s="92"/>
    </row>
    <row r="1879">
      <c r="A1879" s="1" t="s">
        <v>4941</v>
      </c>
      <c r="B1879" s="1" t="s">
        <v>4520</v>
      </c>
      <c r="C1879" s="1">
        <v>2441453.0</v>
      </c>
    </row>
    <row r="1880">
      <c r="B1880" s="1" t="s">
        <v>4498</v>
      </c>
      <c r="C1880" s="1">
        <v>2305882.0</v>
      </c>
    </row>
    <row r="1881">
      <c r="B1881" s="1" t="s">
        <v>4831</v>
      </c>
      <c r="C1881" s="1">
        <v>1506397.0</v>
      </c>
    </row>
    <row r="1882">
      <c r="A1882" s="1" t="s">
        <v>4944</v>
      </c>
      <c r="B1882" s="1" t="s">
        <v>4483</v>
      </c>
      <c r="C1882" s="1">
        <v>2492763.0</v>
      </c>
    </row>
    <row r="1883">
      <c r="B1883" s="1" t="s">
        <v>3988</v>
      </c>
      <c r="C1883" s="1">
        <v>1744396.0</v>
      </c>
    </row>
    <row r="1884">
      <c r="B1884" s="33" t="s">
        <v>4285</v>
      </c>
      <c r="C1884" s="1">
        <v>1867560.0</v>
      </c>
    </row>
    <row r="1885">
      <c r="A1885" s="1" t="s">
        <v>3190</v>
      </c>
      <c r="B1885" s="1" t="s">
        <v>3984</v>
      </c>
      <c r="C1885" s="1">
        <v>4028246.0</v>
      </c>
    </row>
    <row r="1886">
      <c r="B1886" s="33" t="s">
        <v>4287</v>
      </c>
      <c r="C1886" s="1">
        <v>2192526.0</v>
      </c>
    </row>
    <row r="1887">
      <c r="A1887" s="1" t="s">
        <v>4945</v>
      </c>
      <c r="B1887" s="1" t="s">
        <v>4946</v>
      </c>
      <c r="C1887" s="1">
        <v>2622039.0</v>
      </c>
    </row>
    <row r="1888">
      <c r="B1888" s="1" t="s">
        <v>4947</v>
      </c>
      <c r="C1888" s="1">
        <v>2715376.0</v>
      </c>
    </row>
    <row r="1889">
      <c r="B1889" s="1" t="s">
        <v>4948</v>
      </c>
      <c r="C1889" s="1">
        <v>21074.0</v>
      </c>
    </row>
    <row r="1890">
      <c r="B1890" s="1" t="s">
        <v>4377</v>
      </c>
      <c r="C1890" s="1">
        <v>3053685.0</v>
      </c>
    </row>
    <row r="1891">
      <c r="A1891" s="1" t="s">
        <v>4949</v>
      </c>
      <c r="B1891" s="1" t="s">
        <v>4721</v>
      </c>
      <c r="C1891" s="1">
        <v>2062570.0</v>
      </c>
    </row>
    <row r="1892">
      <c r="A1892" s="1" t="s">
        <v>3201</v>
      </c>
      <c r="B1892" s="33" t="s">
        <v>4950</v>
      </c>
      <c r="C1892" s="1">
        <v>1353631.0</v>
      </c>
    </row>
    <row r="1893">
      <c r="A1893" s="1" t="s">
        <v>3210</v>
      </c>
      <c r="B1893" s="1" t="s">
        <v>4951</v>
      </c>
      <c r="D1893" s="1">
        <v>1896220.0</v>
      </c>
      <c r="E1893" s="1" t="s">
        <v>4952</v>
      </c>
    </row>
    <row r="1894">
      <c r="B1894" s="1" t="s">
        <v>4953</v>
      </c>
      <c r="D1894" s="1">
        <v>7070.0</v>
      </c>
      <c r="E1894" s="1" t="s">
        <v>4954</v>
      </c>
    </row>
    <row r="1895">
      <c r="A1895" s="1" t="s">
        <v>3800</v>
      </c>
      <c r="B1895" s="1" t="s">
        <v>3908</v>
      </c>
      <c r="D1895" s="1">
        <v>1748230.0</v>
      </c>
      <c r="E1895" s="1" t="s">
        <v>4955</v>
      </c>
    </row>
    <row r="1896">
      <c r="B1896" s="42" t="s">
        <v>1975</v>
      </c>
      <c r="C1896" s="46"/>
      <c r="D1896" s="47">
        <v>352560.0</v>
      </c>
      <c r="E1896" s="39" t="s">
        <v>4867</v>
      </c>
    </row>
    <row r="1897">
      <c r="B1897" s="22" t="s">
        <v>4801</v>
      </c>
      <c r="C1897" s="78"/>
      <c r="D1897" s="22">
        <v>40000.0</v>
      </c>
      <c r="E1897" s="22" t="s">
        <v>4491</v>
      </c>
    </row>
    <row r="1898">
      <c r="B1898" s="30" t="s">
        <v>4956</v>
      </c>
      <c r="C1898" s="31"/>
      <c r="D1898" s="30">
        <v>1100000.0</v>
      </c>
      <c r="E1898" s="30" t="s">
        <v>4957</v>
      </c>
    </row>
    <row r="1899">
      <c r="A1899" s="39" t="s">
        <v>3800</v>
      </c>
      <c r="B1899" s="39" t="s">
        <v>4661</v>
      </c>
      <c r="C1899" s="40"/>
      <c r="D1899" s="41">
        <v>121000.0</v>
      </c>
      <c r="E1899" s="39" t="s">
        <v>4825</v>
      </c>
    </row>
    <row r="1900">
      <c r="A1900" s="40"/>
      <c r="B1900" s="42" t="s">
        <v>3964</v>
      </c>
      <c r="C1900" s="40"/>
      <c r="D1900" s="41">
        <v>220000.0</v>
      </c>
      <c r="E1900" s="39" t="s">
        <v>4683</v>
      </c>
    </row>
    <row r="1901">
      <c r="A1901" s="39"/>
      <c r="B1901" s="42" t="s">
        <v>648</v>
      </c>
      <c r="C1901" s="40"/>
      <c r="D1901" s="1">
        <v>143000.0</v>
      </c>
      <c r="E1901" s="42"/>
    </row>
    <row r="1902">
      <c r="A1902" s="1" t="s">
        <v>3214</v>
      </c>
      <c r="B1902" s="1" t="s">
        <v>4958</v>
      </c>
      <c r="D1902" s="1">
        <v>6942980.0</v>
      </c>
      <c r="E1902" s="1" t="s">
        <v>4959</v>
      </c>
    </row>
    <row r="1903">
      <c r="A1903" s="1" t="s">
        <v>3214</v>
      </c>
      <c r="B1903" s="1" t="s">
        <v>4054</v>
      </c>
      <c r="C1903" s="1">
        <v>4111690.0</v>
      </c>
    </row>
    <row r="1904">
      <c r="B1904" s="1" t="s">
        <v>4507</v>
      </c>
      <c r="C1904" s="1">
        <v>2392925.0</v>
      </c>
    </row>
    <row r="1905">
      <c r="B1905" s="1" t="s">
        <v>4841</v>
      </c>
      <c r="C1905" s="1">
        <v>1651823.0</v>
      </c>
    </row>
    <row r="1906">
      <c r="B1906" s="1" t="s">
        <v>4048</v>
      </c>
      <c r="C1906" s="1">
        <v>1768463.0</v>
      </c>
    </row>
    <row r="1907">
      <c r="A1907" s="1" t="s">
        <v>4960</v>
      </c>
      <c r="B1907" s="1" t="s">
        <v>4509</v>
      </c>
      <c r="C1907" s="1">
        <v>2541289.0</v>
      </c>
    </row>
    <row r="1908">
      <c r="A1908" s="1" t="s">
        <v>4961</v>
      </c>
      <c r="B1908" s="1" t="s">
        <v>4577</v>
      </c>
      <c r="C1908" s="1">
        <v>2552764.0</v>
      </c>
    </row>
    <row r="1909">
      <c r="A1909" s="1" t="s">
        <v>4962</v>
      </c>
      <c r="B1909" s="33" t="s">
        <v>4297</v>
      </c>
      <c r="C1909" s="1">
        <v>2250479.0</v>
      </c>
    </row>
    <row r="1910">
      <c r="A1910" s="1" t="s">
        <v>4963</v>
      </c>
      <c r="B1910" s="1" t="s">
        <v>4373</v>
      </c>
      <c r="C1910" s="1">
        <v>3103043.0</v>
      </c>
    </row>
    <row r="1911">
      <c r="A1911" s="1" t="s">
        <v>3216</v>
      </c>
      <c r="B1911" s="1" t="s">
        <v>4721</v>
      </c>
      <c r="C1911" s="1">
        <v>2112148.0</v>
      </c>
    </row>
    <row r="1912">
      <c r="B1912" s="1" t="s">
        <v>4729</v>
      </c>
      <c r="C1912" s="1">
        <v>23676.0</v>
      </c>
    </row>
    <row r="1913">
      <c r="A1913" s="1" t="s">
        <v>4964</v>
      </c>
      <c r="B1913" s="33" t="s">
        <v>4391</v>
      </c>
      <c r="C1913" s="1">
        <v>1943000.0</v>
      </c>
    </row>
    <row r="1914">
      <c r="A1914" s="1" t="s">
        <v>4965</v>
      </c>
      <c r="B1914" s="33" t="s">
        <v>4821</v>
      </c>
      <c r="C1914" s="1">
        <v>1377227.0</v>
      </c>
    </row>
    <row r="1915">
      <c r="A1915" s="1" t="s">
        <v>3222</v>
      </c>
      <c r="B1915" s="1" t="s">
        <v>3908</v>
      </c>
      <c r="D1915" s="1">
        <v>1929670.0</v>
      </c>
      <c r="E1915" s="1" t="s">
        <v>4966</v>
      </c>
    </row>
    <row r="1916">
      <c r="B1916" s="22" t="s">
        <v>4824</v>
      </c>
      <c r="C1916" s="78"/>
      <c r="D1916" s="22">
        <v>40000.0</v>
      </c>
      <c r="E1916" s="22" t="s">
        <v>4491</v>
      </c>
    </row>
    <row r="1917">
      <c r="B1917" s="30" t="s">
        <v>4956</v>
      </c>
      <c r="C1917" s="31"/>
      <c r="D1917" s="30">
        <v>1100000.0</v>
      </c>
      <c r="E1917" s="30" t="s">
        <v>4957</v>
      </c>
    </row>
    <row r="1918">
      <c r="A1918" s="1" t="s">
        <v>4967</v>
      </c>
      <c r="B1918" s="1" t="s">
        <v>3225</v>
      </c>
      <c r="D1918" s="1">
        <v>99000.0</v>
      </c>
      <c r="E1918" s="1" t="s">
        <v>3226</v>
      </c>
    </row>
    <row r="1919">
      <c r="B1919" s="1" t="s">
        <v>3227</v>
      </c>
      <c r="D1919" s="1">
        <v>42000.0</v>
      </c>
      <c r="E1919" s="1" t="s">
        <v>3228</v>
      </c>
    </row>
    <row r="1920">
      <c r="A1920" s="39" t="s">
        <v>4968</v>
      </c>
      <c r="B1920" s="39" t="s">
        <v>4661</v>
      </c>
      <c r="C1920" s="40"/>
      <c r="D1920" s="41">
        <v>121000.0</v>
      </c>
      <c r="E1920" s="39" t="s">
        <v>4825</v>
      </c>
    </row>
    <row r="1921">
      <c r="A1921" s="40"/>
      <c r="B1921" s="42" t="s">
        <v>3964</v>
      </c>
      <c r="C1921" s="40"/>
      <c r="D1921" s="41">
        <v>220000.0</v>
      </c>
      <c r="E1921" s="39" t="s">
        <v>4683</v>
      </c>
    </row>
    <row r="1922">
      <c r="A1922" s="39"/>
      <c r="B1922" s="42" t="s">
        <v>648</v>
      </c>
      <c r="C1922" s="40"/>
      <c r="D1922" s="1">
        <v>143000.0</v>
      </c>
      <c r="E1922" s="42"/>
    </row>
    <row r="1923">
      <c r="A1923" s="1" t="s">
        <v>4969</v>
      </c>
      <c r="B1923" s="1" t="s">
        <v>4827</v>
      </c>
      <c r="D1923" s="1">
        <v>157800.0</v>
      </c>
      <c r="E1923" s="1" t="s">
        <v>4828</v>
      </c>
    </row>
    <row r="1924">
      <c r="B1924" s="1" t="s">
        <v>4829</v>
      </c>
      <c r="D1924" s="1">
        <v>16000.0</v>
      </c>
      <c r="E1924" s="1" t="s">
        <v>4828</v>
      </c>
    </row>
    <row r="1925">
      <c r="A1925" s="1" t="s">
        <v>4970</v>
      </c>
      <c r="B1925" s="1" t="s">
        <v>4498</v>
      </c>
      <c r="C1925" s="1">
        <v>2385781.0</v>
      </c>
    </row>
    <row r="1926">
      <c r="B1926" s="1" t="s">
        <v>4831</v>
      </c>
      <c r="C1926" s="1">
        <v>1672161.0</v>
      </c>
    </row>
    <row r="1927">
      <c r="A1927" s="1" t="s">
        <v>3230</v>
      </c>
      <c r="B1927" s="1" t="s">
        <v>3988</v>
      </c>
      <c r="C1927" s="1">
        <v>1740448.0</v>
      </c>
    </row>
    <row r="1928">
      <c r="A1928" s="1" t="s">
        <v>3229</v>
      </c>
      <c r="B1928" s="1" t="s">
        <v>4520</v>
      </c>
      <c r="C1928" s="1">
        <v>2579980.0</v>
      </c>
    </row>
    <row r="1929">
      <c r="B1929" s="1" t="s">
        <v>4483</v>
      </c>
      <c r="C1929" s="1">
        <v>2518633.0</v>
      </c>
    </row>
    <row r="1930">
      <c r="B1930" s="1" t="s">
        <v>3984</v>
      </c>
      <c r="C1930" s="1">
        <v>4027962.0</v>
      </c>
    </row>
    <row r="1931">
      <c r="A1931" s="1" t="s">
        <v>4971</v>
      </c>
      <c r="B1931" s="33" t="s">
        <v>4287</v>
      </c>
      <c r="C1931" s="1">
        <v>2228201.0</v>
      </c>
    </row>
    <row r="1932">
      <c r="A1932" s="1" t="s">
        <v>3223</v>
      </c>
      <c r="B1932" s="1" t="s">
        <v>4377</v>
      </c>
      <c r="C1932" s="1">
        <v>3085542.0</v>
      </c>
    </row>
    <row r="1933">
      <c r="A1933" s="1" t="s">
        <v>4972</v>
      </c>
      <c r="B1933" s="1" t="s">
        <v>4721</v>
      </c>
      <c r="C1933" s="1">
        <v>2151231.0</v>
      </c>
    </row>
    <row r="1934">
      <c r="A1934" s="1" t="s">
        <v>4973</v>
      </c>
      <c r="B1934" s="33" t="s">
        <v>4285</v>
      </c>
      <c r="C1934" s="1">
        <v>1907000.0</v>
      </c>
    </row>
    <row r="1935">
      <c r="A1935" s="1" t="s">
        <v>3239</v>
      </c>
      <c r="B1935" s="33" t="s">
        <v>4836</v>
      </c>
      <c r="C1935" s="1">
        <v>1365818.0</v>
      </c>
    </row>
    <row r="1936">
      <c r="A1936" s="1" t="s">
        <v>4974</v>
      </c>
      <c r="B1936" s="1" t="s">
        <v>3908</v>
      </c>
      <c r="D1936" s="1">
        <v>1626730.0</v>
      </c>
      <c r="E1936" s="1" t="s">
        <v>4975</v>
      </c>
    </row>
    <row r="1937">
      <c r="B1937" s="42" t="s">
        <v>1975</v>
      </c>
      <c r="C1937" s="46"/>
      <c r="D1937" s="47">
        <v>299280.0</v>
      </c>
      <c r="E1937" s="39" t="s">
        <v>4976</v>
      </c>
    </row>
    <row r="1938">
      <c r="A1938" s="1" t="s">
        <v>4977</v>
      </c>
      <c r="B1938" s="1" t="s">
        <v>4412</v>
      </c>
      <c r="D1938" s="1">
        <v>1.935562E7</v>
      </c>
      <c r="E1938" s="1" t="s">
        <v>4978</v>
      </c>
    </row>
    <row r="1939">
      <c r="A1939" s="1" t="s">
        <v>3249</v>
      </c>
      <c r="B1939" s="22" t="s">
        <v>4839</v>
      </c>
      <c r="C1939" s="78"/>
      <c r="D1939" s="22">
        <v>40000.0</v>
      </c>
      <c r="E1939" s="22" t="s">
        <v>4491</v>
      </c>
    </row>
    <row r="1940">
      <c r="B1940" s="30" t="s">
        <v>4956</v>
      </c>
      <c r="C1940" s="31"/>
      <c r="D1940" s="30">
        <v>1100000.0</v>
      </c>
      <c r="E1940" s="30" t="s">
        <v>4957</v>
      </c>
    </row>
    <row r="1941">
      <c r="A1941" s="39" t="s">
        <v>3249</v>
      </c>
      <c r="B1941" s="39" t="s">
        <v>4661</v>
      </c>
      <c r="C1941" s="40"/>
      <c r="D1941" s="41">
        <v>121000.0</v>
      </c>
      <c r="E1941" s="39" t="s">
        <v>4825</v>
      </c>
    </row>
    <row r="1942">
      <c r="A1942" s="40"/>
      <c r="B1942" s="42" t="s">
        <v>3964</v>
      </c>
      <c r="C1942" s="40"/>
      <c r="D1942" s="41">
        <v>220000.0</v>
      </c>
      <c r="E1942" s="39" t="s">
        <v>4683</v>
      </c>
    </row>
    <row r="1943">
      <c r="A1943" s="39"/>
      <c r="B1943" s="42" t="s">
        <v>648</v>
      </c>
      <c r="C1943" s="40"/>
      <c r="D1943" s="1">
        <v>143000.0</v>
      </c>
      <c r="E1943" s="42"/>
    </row>
    <row r="1944">
      <c r="A1944" s="1" t="s">
        <v>3257</v>
      </c>
      <c r="B1944" s="1" t="s">
        <v>4979</v>
      </c>
      <c r="D1944" s="1">
        <v>6759000.0</v>
      </c>
      <c r="E1944" s="1" t="s">
        <v>4980</v>
      </c>
    </row>
    <row r="1945">
      <c r="B1945" s="1" t="s">
        <v>4126</v>
      </c>
      <c r="D1945" s="1">
        <v>558770.0</v>
      </c>
      <c r="E1945" s="1" t="s">
        <v>4981</v>
      </c>
    </row>
    <row r="1946">
      <c r="A1946" s="1" t="s">
        <v>4982</v>
      </c>
      <c r="B1946" s="1" t="s">
        <v>4507</v>
      </c>
      <c r="C1946" s="1">
        <v>2358775.0</v>
      </c>
    </row>
    <row r="1947">
      <c r="B1947" s="1" t="s">
        <v>4841</v>
      </c>
      <c r="C1947" s="1">
        <v>1557321.0</v>
      </c>
    </row>
    <row r="1948">
      <c r="A1948" s="1" t="s">
        <v>4977</v>
      </c>
      <c r="B1948" s="1" t="s">
        <v>4483</v>
      </c>
      <c r="C1948" s="1">
        <v>2539071.0</v>
      </c>
    </row>
    <row r="1949">
      <c r="A1949" s="1" t="s">
        <v>3249</v>
      </c>
      <c r="B1949" s="1" t="s">
        <v>4048</v>
      </c>
      <c r="C1949" s="1">
        <v>1768030.0</v>
      </c>
    </row>
    <row r="1950">
      <c r="B1950" s="1" t="s">
        <v>4983</v>
      </c>
      <c r="C1950" s="1">
        <v>28920.0</v>
      </c>
    </row>
    <row r="1951">
      <c r="B1951" s="33" t="s">
        <v>4391</v>
      </c>
      <c r="C1951" s="1">
        <v>1925280.0</v>
      </c>
    </row>
    <row r="1952">
      <c r="A1952" s="1" t="s">
        <v>3241</v>
      </c>
      <c r="B1952" s="1" t="s">
        <v>4054</v>
      </c>
      <c r="C1952" s="1">
        <v>4141632.0</v>
      </c>
    </row>
    <row r="1953">
      <c r="B1953" s="33" t="s">
        <v>4297</v>
      </c>
      <c r="C1953" s="1">
        <v>2319163.0</v>
      </c>
    </row>
    <row r="1954">
      <c r="A1954" s="1" t="s">
        <v>4984</v>
      </c>
      <c r="B1954" s="1" t="s">
        <v>4721</v>
      </c>
      <c r="C1954" s="1">
        <v>2100104.0</v>
      </c>
    </row>
    <row r="1955">
      <c r="B1955" s="1" t="s">
        <v>4729</v>
      </c>
      <c r="C1955" s="1">
        <v>20098.0</v>
      </c>
    </row>
    <row r="1956">
      <c r="A1956" s="1" t="s">
        <v>4985</v>
      </c>
      <c r="B1956" s="1" t="s">
        <v>4373</v>
      </c>
      <c r="C1956" s="1">
        <v>3107925.0</v>
      </c>
    </row>
    <row r="1957">
      <c r="B1957" s="1" t="s">
        <v>4577</v>
      </c>
      <c r="C1957" s="1">
        <v>2438335.0</v>
      </c>
    </row>
    <row r="1958">
      <c r="A1958" s="1" t="s">
        <v>3805</v>
      </c>
      <c r="B1958" s="33" t="s">
        <v>4986</v>
      </c>
      <c r="C1958" s="1">
        <v>1410958.0</v>
      </c>
    </row>
    <row r="1959">
      <c r="A1959" s="1" t="s">
        <v>3257</v>
      </c>
      <c r="B1959" s="1" t="s">
        <v>3908</v>
      </c>
      <c r="D1959" s="1">
        <v>1114860.0</v>
      </c>
      <c r="E1959" s="1" t="s">
        <v>4987</v>
      </c>
    </row>
    <row r="1960">
      <c r="A1960" s="1" t="s">
        <v>3257</v>
      </c>
      <c r="B1960" s="22" t="s">
        <v>4854</v>
      </c>
      <c r="C1960" s="78"/>
      <c r="D1960" s="22">
        <v>40000.0</v>
      </c>
      <c r="E1960" s="22" t="s">
        <v>4491</v>
      </c>
    </row>
    <row r="1961">
      <c r="B1961" s="30" t="s">
        <v>4956</v>
      </c>
      <c r="C1961" s="31"/>
      <c r="D1961" s="30">
        <v>1100000.0</v>
      </c>
      <c r="E1961" s="30" t="s">
        <v>4957</v>
      </c>
    </row>
    <row r="1962">
      <c r="A1962" s="39" t="s">
        <v>3261</v>
      </c>
      <c r="B1962" s="39" t="s">
        <v>4661</v>
      </c>
      <c r="C1962" s="40"/>
      <c r="D1962" s="41">
        <v>121000.0</v>
      </c>
      <c r="E1962" s="39" t="s">
        <v>4825</v>
      </c>
    </row>
    <row r="1963">
      <c r="A1963" s="40"/>
      <c r="B1963" s="42" t="s">
        <v>3964</v>
      </c>
      <c r="C1963" s="40"/>
      <c r="D1963" s="41">
        <v>220000.0</v>
      </c>
      <c r="E1963" s="39" t="s">
        <v>4683</v>
      </c>
    </row>
    <row r="1964">
      <c r="A1964" s="39"/>
      <c r="B1964" s="42" t="s">
        <v>648</v>
      </c>
      <c r="C1964" s="40"/>
      <c r="D1964" s="1">
        <v>143000.0</v>
      </c>
      <c r="E1964" s="42"/>
    </row>
    <row r="1965">
      <c r="A1965" s="1" t="s">
        <v>4988</v>
      </c>
      <c r="B1965" s="1" t="s">
        <v>4498</v>
      </c>
      <c r="C1965" s="1">
        <v>2299304.0</v>
      </c>
    </row>
    <row r="1966">
      <c r="B1966" s="1" t="s">
        <v>4831</v>
      </c>
      <c r="C1966" s="1">
        <v>1528718.0</v>
      </c>
    </row>
    <row r="1967">
      <c r="A1967" s="1" t="s">
        <v>4989</v>
      </c>
      <c r="B1967" s="1" t="s">
        <v>4483</v>
      </c>
      <c r="C1967" s="1">
        <v>2424795.0</v>
      </c>
    </row>
    <row r="1968">
      <c r="B1968" s="1" t="s">
        <v>3988</v>
      </c>
      <c r="C1968" s="1">
        <v>1740196.0</v>
      </c>
    </row>
    <row r="1969">
      <c r="A1969" s="1" t="s">
        <v>4990</v>
      </c>
      <c r="B1969" s="1" t="s">
        <v>4520</v>
      </c>
      <c r="C1969" s="1">
        <v>2398281.0</v>
      </c>
    </row>
    <row r="1970">
      <c r="A1970" s="1" t="s">
        <v>4991</v>
      </c>
      <c r="B1970" s="33" t="s">
        <v>4287</v>
      </c>
      <c r="C1970" s="1">
        <v>2282451.0</v>
      </c>
    </row>
    <row r="1971">
      <c r="A1971" s="1" t="s">
        <v>3261</v>
      </c>
      <c r="B1971" s="1" t="s">
        <v>3984</v>
      </c>
      <c r="C1971" s="1">
        <v>4029404.0</v>
      </c>
    </row>
    <row r="1972">
      <c r="B1972" s="1" t="s">
        <v>4377</v>
      </c>
      <c r="C1972" s="1">
        <v>3052286.0</v>
      </c>
    </row>
    <row r="1973">
      <c r="B1973" s="1" t="s">
        <v>4721</v>
      </c>
      <c r="C1973" s="1">
        <v>2052360.0</v>
      </c>
    </row>
    <row r="1974">
      <c r="A1974" s="1" t="s">
        <v>4992</v>
      </c>
      <c r="B1974" s="33" t="s">
        <v>4285</v>
      </c>
      <c r="C1974" s="1">
        <v>1844500.0</v>
      </c>
    </row>
    <row r="1975">
      <c r="A1975" s="1" t="s">
        <v>3273</v>
      </c>
      <c r="B1975" s="33" t="s">
        <v>4864</v>
      </c>
      <c r="C1975" s="1">
        <v>1359349.0</v>
      </c>
    </row>
    <row r="1976">
      <c r="A1976" s="5" t="s">
        <v>3272</v>
      </c>
      <c r="B1976" s="5" t="s">
        <v>4993</v>
      </c>
      <c r="C1976" s="5">
        <v>2000000.0</v>
      </c>
    </row>
    <row r="1977">
      <c r="A1977" s="5" t="s">
        <v>4994</v>
      </c>
      <c r="B1977" s="5" t="s">
        <v>4995</v>
      </c>
      <c r="C1977" s="5">
        <v>1.8E7</v>
      </c>
    </row>
    <row r="1978">
      <c r="A1978" s="1" t="s">
        <v>3806</v>
      </c>
      <c r="B1978" s="1" t="s">
        <v>3908</v>
      </c>
      <c r="D1978" s="1">
        <v>1141510.0</v>
      </c>
      <c r="E1978" s="1" t="s">
        <v>4996</v>
      </c>
    </row>
    <row r="1979">
      <c r="B1979" s="42" t="s">
        <v>1975</v>
      </c>
      <c r="C1979" s="46"/>
      <c r="D1979" s="47">
        <v>238680.0</v>
      </c>
      <c r="E1979" s="39" t="s">
        <v>4997</v>
      </c>
    </row>
    <row r="1980">
      <c r="A1980" s="1" t="s">
        <v>3806</v>
      </c>
      <c r="B1980" s="22" t="s">
        <v>4868</v>
      </c>
      <c r="C1980" s="78"/>
      <c r="D1980" s="22">
        <v>40000.0</v>
      </c>
      <c r="E1980" s="22" t="s">
        <v>4491</v>
      </c>
    </row>
    <row r="1981">
      <c r="B1981" s="30" t="s">
        <v>4956</v>
      </c>
      <c r="C1981" s="31"/>
      <c r="D1981" s="30">
        <v>990000.0</v>
      </c>
      <c r="E1981" s="30" t="s">
        <v>4957</v>
      </c>
    </row>
    <row r="1982">
      <c r="A1982" s="39" t="s">
        <v>3274</v>
      </c>
      <c r="B1982" s="39" t="s">
        <v>4661</v>
      </c>
      <c r="C1982" s="40"/>
      <c r="D1982" s="41">
        <v>121000.0</v>
      </c>
      <c r="E1982" s="39" t="s">
        <v>4825</v>
      </c>
    </row>
    <row r="1983">
      <c r="A1983" s="40"/>
      <c r="B1983" s="42" t="s">
        <v>3964</v>
      </c>
      <c r="C1983" s="40"/>
      <c r="D1983" s="41">
        <v>220000.0</v>
      </c>
      <c r="E1983" s="39" t="s">
        <v>4683</v>
      </c>
    </row>
    <row r="1984">
      <c r="A1984" s="39"/>
      <c r="B1984" s="42" t="s">
        <v>648</v>
      </c>
      <c r="C1984" s="40"/>
      <c r="D1984" s="1">
        <v>143000.0</v>
      </c>
      <c r="E1984" s="42"/>
    </row>
    <row r="1985">
      <c r="A1985" s="1" t="s">
        <v>4994</v>
      </c>
      <c r="B1985" s="1" t="s">
        <v>4998</v>
      </c>
      <c r="D1985" s="1">
        <v>2.1411E7</v>
      </c>
      <c r="E1985" s="1" t="s">
        <v>4999</v>
      </c>
    </row>
    <row r="1986">
      <c r="A1986" s="1" t="s">
        <v>5000</v>
      </c>
      <c r="B1986" s="1" t="s">
        <v>5001</v>
      </c>
      <c r="D1986" s="23">
        <v>1210000.0</v>
      </c>
      <c r="E1986" s="1" t="s">
        <v>5002</v>
      </c>
    </row>
    <row r="1987">
      <c r="A1987" s="1" t="s">
        <v>5003</v>
      </c>
      <c r="B1987" s="1" t="s">
        <v>4370</v>
      </c>
      <c r="C1987" s="1">
        <v>2301613.0</v>
      </c>
    </row>
    <row r="1988">
      <c r="B1988" s="1" t="s">
        <v>4891</v>
      </c>
      <c r="C1988" s="1">
        <v>1548531.0</v>
      </c>
    </row>
    <row r="1989">
      <c r="A1989" s="1" t="s">
        <v>5004</v>
      </c>
      <c r="B1989" s="1" t="s">
        <v>4509</v>
      </c>
      <c r="C1989" s="1">
        <v>2455343.0</v>
      </c>
    </row>
    <row r="1990">
      <c r="B1990" s="1" t="s">
        <v>4048</v>
      </c>
      <c r="C1990" s="1">
        <v>1773420.0</v>
      </c>
    </row>
    <row r="1991">
      <c r="A1991" s="1" t="s">
        <v>5005</v>
      </c>
      <c r="B1991" s="33" t="s">
        <v>4297</v>
      </c>
      <c r="C1991" s="1">
        <v>2325100.0</v>
      </c>
    </row>
    <row r="1992">
      <c r="A1992" s="1" t="s">
        <v>3274</v>
      </c>
      <c r="B1992" s="1" t="s">
        <v>4054</v>
      </c>
      <c r="C1992" s="1">
        <v>4073901.0</v>
      </c>
    </row>
    <row r="1993">
      <c r="B1993" s="1" t="s">
        <v>5006</v>
      </c>
      <c r="C1993" s="1">
        <v>1005387.0</v>
      </c>
    </row>
    <row r="1994">
      <c r="B1994" s="1" t="s">
        <v>4373</v>
      </c>
      <c r="C1994" s="1">
        <v>3078959.0</v>
      </c>
    </row>
    <row r="1995">
      <c r="A1995" s="1" t="s">
        <v>3271</v>
      </c>
      <c r="B1995" s="1" t="s">
        <v>4712</v>
      </c>
      <c r="C1995" s="1">
        <v>2060393.0</v>
      </c>
    </row>
    <row r="1996">
      <c r="A1996" s="1" t="s">
        <v>3276</v>
      </c>
      <c r="B1996" s="33" t="s">
        <v>4391</v>
      </c>
      <c r="C1996" s="1">
        <v>1875330.0</v>
      </c>
    </row>
    <row r="1997">
      <c r="B1997" s="1" t="s">
        <v>4520</v>
      </c>
      <c r="C1997" s="1">
        <v>2395250.0</v>
      </c>
    </row>
    <row r="1998">
      <c r="B1998" s="1" t="s">
        <v>5007</v>
      </c>
      <c r="C1998" s="1">
        <v>23300.0</v>
      </c>
    </row>
    <row r="1999">
      <c r="A1999" s="1" t="s">
        <v>5008</v>
      </c>
      <c r="B1999" s="33" t="s">
        <v>4873</v>
      </c>
      <c r="C1999" s="1">
        <v>1363233.0</v>
      </c>
    </row>
    <row r="2000">
      <c r="A2000" s="1" t="s">
        <v>3283</v>
      </c>
      <c r="B2000" s="1" t="s">
        <v>3908</v>
      </c>
      <c r="D2000" s="1">
        <v>1829520.0</v>
      </c>
      <c r="E2000" s="1" t="s">
        <v>5009</v>
      </c>
    </row>
    <row r="2001">
      <c r="A2001" s="1" t="s">
        <v>3283</v>
      </c>
      <c r="B2001" s="22" t="s">
        <v>4876</v>
      </c>
      <c r="C2001" s="78"/>
      <c r="D2001" s="22">
        <v>40000.0</v>
      </c>
      <c r="E2001" s="22" t="s">
        <v>4491</v>
      </c>
    </row>
    <row r="2002">
      <c r="B2002" s="30" t="s">
        <v>4956</v>
      </c>
      <c r="C2002" s="31"/>
      <c r="D2002" s="30">
        <v>880000.0</v>
      </c>
      <c r="E2002" s="30" t="s">
        <v>4957</v>
      </c>
    </row>
    <row r="2003">
      <c r="A2003" s="39" t="s">
        <v>3284</v>
      </c>
      <c r="B2003" s="39" t="s">
        <v>4661</v>
      </c>
      <c r="C2003" s="40"/>
      <c r="D2003" s="41">
        <v>121000.0</v>
      </c>
      <c r="E2003" s="39" t="s">
        <v>4825</v>
      </c>
    </row>
    <row r="2004">
      <c r="A2004" s="40"/>
      <c r="B2004" s="42" t="s">
        <v>3964</v>
      </c>
      <c r="C2004" s="40"/>
      <c r="D2004" s="41">
        <v>220000.0</v>
      </c>
      <c r="E2004" s="39" t="s">
        <v>4683</v>
      </c>
    </row>
    <row r="2005">
      <c r="A2005" s="39"/>
      <c r="B2005" s="42" t="s">
        <v>648</v>
      </c>
      <c r="C2005" s="40"/>
      <c r="D2005" s="1">
        <v>143000.0</v>
      </c>
      <c r="E2005" s="42"/>
    </row>
    <row r="2006">
      <c r="A2006" s="1" t="s">
        <v>3289</v>
      </c>
      <c r="B2006" s="1" t="s">
        <v>5010</v>
      </c>
      <c r="D2006" s="1">
        <v>22000.0</v>
      </c>
      <c r="E2006" s="1" t="s">
        <v>2490</v>
      </c>
    </row>
    <row r="2007">
      <c r="A2007" s="1" t="s">
        <v>5011</v>
      </c>
      <c r="B2007" s="1" t="s">
        <v>3988</v>
      </c>
      <c r="C2007" s="1">
        <v>1787960.0</v>
      </c>
    </row>
    <row r="2008">
      <c r="A2008" s="1" t="s">
        <v>5012</v>
      </c>
      <c r="B2008" s="1" t="s">
        <v>4498</v>
      </c>
      <c r="C2008" s="1">
        <v>2343812.0</v>
      </c>
    </row>
    <row r="2009">
      <c r="B2009" s="1" t="s">
        <v>4831</v>
      </c>
      <c r="C2009" s="1">
        <v>1523720.0</v>
      </c>
    </row>
    <row r="2010">
      <c r="A2010" s="1" t="s">
        <v>5013</v>
      </c>
      <c r="B2010" s="33" t="s">
        <v>4285</v>
      </c>
      <c r="C2010" s="1">
        <v>1946330.0</v>
      </c>
    </row>
    <row r="2011">
      <c r="B2011" s="1" t="s">
        <v>4483</v>
      </c>
      <c r="C2011" s="1">
        <v>2524307.0</v>
      </c>
    </row>
    <row r="2012">
      <c r="A2012" s="1" t="s">
        <v>5014</v>
      </c>
      <c r="B2012" s="1" t="s">
        <v>4377</v>
      </c>
      <c r="C2012" s="1">
        <v>3135920.0</v>
      </c>
    </row>
    <row r="2013">
      <c r="B2013" s="1" t="s">
        <v>4520</v>
      </c>
      <c r="C2013" s="1">
        <v>2407635.0</v>
      </c>
    </row>
    <row r="2014">
      <c r="A2014" s="1" t="s">
        <v>5015</v>
      </c>
      <c r="B2014" s="33" t="s">
        <v>4287</v>
      </c>
      <c r="C2014" s="1">
        <v>2377433.0</v>
      </c>
    </row>
    <row r="2015">
      <c r="A2015" s="1" t="s">
        <v>5016</v>
      </c>
      <c r="B2015" s="1" t="s">
        <v>3984</v>
      </c>
      <c r="C2015" s="1">
        <v>4148856.0</v>
      </c>
    </row>
    <row r="2016">
      <c r="B2016" s="1" t="s">
        <v>5017</v>
      </c>
      <c r="C2016" s="1">
        <v>2756444.0</v>
      </c>
    </row>
    <row r="2017">
      <c r="A2017" s="1" t="s">
        <v>5018</v>
      </c>
      <c r="B2017" s="1" t="s">
        <v>4721</v>
      </c>
      <c r="C2017" s="1">
        <v>2122235.0</v>
      </c>
    </row>
    <row r="2018">
      <c r="A2018" s="1" t="s">
        <v>5019</v>
      </c>
      <c r="B2018" s="33" t="s">
        <v>4890</v>
      </c>
      <c r="C2018" s="1">
        <v>1374871.0</v>
      </c>
    </row>
    <row r="2019">
      <c r="A2019" s="1" t="s">
        <v>3292</v>
      </c>
      <c r="B2019" s="1" t="s">
        <v>3908</v>
      </c>
      <c r="D2019" s="1">
        <v>2376190.0</v>
      </c>
      <c r="E2019" s="1" t="s">
        <v>5020</v>
      </c>
    </row>
    <row r="2020">
      <c r="B2020" s="42" t="s">
        <v>1975</v>
      </c>
      <c r="C2020" s="46"/>
      <c r="D2020" s="47">
        <v>243560.0</v>
      </c>
      <c r="E2020" s="39" t="s">
        <v>4997</v>
      </c>
    </row>
    <row r="2021">
      <c r="A2021" s="1" t="s">
        <v>3292</v>
      </c>
      <c r="B2021" s="22" t="s">
        <v>4887</v>
      </c>
      <c r="C2021" s="78"/>
      <c r="D2021" s="22">
        <v>40000.0</v>
      </c>
      <c r="E2021" s="22" t="s">
        <v>4491</v>
      </c>
    </row>
    <row r="2022">
      <c r="B2022" s="30" t="s">
        <v>4956</v>
      </c>
      <c r="C2022" s="31"/>
      <c r="D2022" s="30">
        <v>825000.0</v>
      </c>
      <c r="E2022" s="30" t="s">
        <v>4957</v>
      </c>
    </row>
    <row r="2023">
      <c r="A2023" s="39" t="s">
        <v>3297</v>
      </c>
      <c r="B2023" s="39" t="s">
        <v>4661</v>
      </c>
      <c r="C2023" s="40"/>
      <c r="D2023" s="41">
        <v>121000.0</v>
      </c>
      <c r="E2023" s="39" t="s">
        <v>4825</v>
      </c>
    </row>
    <row r="2024">
      <c r="A2024" s="40"/>
      <c r="B2024" s="42" t="s">
        <v>3964</v>
      </c>
      <c r="C2024" s="40"/>
      <c r="D2024" s="41">
        <v>220000.0</v>
      </c>
      <c r="E2024" s="39" t="s">
        <v>4683</v>
      </c>
    </row>
    <row r="2025">
      <c r="A2025" s="39"/>
      <c r="B2025" s="42" t="s">
        <v>648</v>
      </c>
      <c r="C2025" s="40"/>
      <c r="D2025" s="1">
        <v>143000.0</v>
      </c>
      <c r="E2025" s="42"/>
    </row>
    <row r="2026">
      <c r="A2026" s="1" t="s">
        <v>5021</v>
      </c>
      <c r="B2026" s="1" t="s">
        <v>5022</v>
      </c>
      <c r="D2026" s="1">
        <v>6318700.0</v>
      </c>
      <c r="E2026" s="1" t="s">
        <v>5023</v>
      </c>
    </row>
    <row r="2027">
      <c r="A2027" s="1" t="s">
        <v>5021</v>
      </c>
      <c r="B2027" s="1" t="s">
        <v>5024</v>
      </c>
      <c r="C2027" s="1">
        <v>2472759.0</v>
      </c>
    </row>
    <row r="2028">
      <c r="B2028" s="1" t="s">
        <v>5025</v>
      </c>
      <c r="C2028" s="1">
        <v>1597549.0</v>
      </c>
    </row>
    <row r="2029">
      <c r="A2029" s="1" t="s">
        <v>5026</v>
      </c>
      <c r="B2029" s="1" t="s">
        <v>5027</v>
      </c>
      <c r="C2029" s="1">
        <v>2638630.0</v>
      </c>
    </row>
    <row r="2030">
      <c r="A2030" s="1" t="s">
        <v>3298</v>
      </c>
      <c r="B2030" s="1" t="s">
        <v>5028</v>
      </c>
      <c r="C2030" s="1">
        <v>1797069.0</v>
      </c>
    </row>
    <row r="2031">
      <c r="A2031" s="1" t="s">
        <v>5029</v>
      </c>
      <c r="B2031" s="1" t="s">
        <v>5030</v>
      </c>
      <c r="C2031" s="1">
        <v>2487212.0</v>
      </c>
    </row>
    <row r="2032">
      <c r="A2032" s="1" t="s">
        <v>5031</v>
      </c>
      <c r="B2032" s="33" t="s">
        <v>5032</v>
      </c>
      <c r="C2032" s="1">
        <v>2447972.0</v>
      </c>
    </row>
    <row r="2033">
      <c r="A2033" s="1" t="s">
        <v>3297</v>
      </c>
      <c r="B2033" s="1" t="s">
        <v>3969</v>
      </c>
      <c r="C2033" s="1">
        <v>4187234.0</v>
      </c>
    </row>
    <row r="2034">
      <c r="B2034" s="1" t="s">
        <v>5033</v>
      </c>
      <c r="C2034" s="1">
        <v>3187691.0</v>
      </c>
    </row>
    <row r="2035">
      <c r="B2035" s="1" t="s">
        <v>5034</v>
      </c>
      <c r="C2035" s="2">
        <v>2594864.0</v>
      </c>
      <c r="E2035" s="2" t="s">
        <v>5035</v>
      </c>
    </row>
    <row r="2036">
      <c r="A2036" s="1" t="s">
        <v>3299</v>
      </c>
      <c r="B2036" s="1" t="s">
        <v>5036</v>
      </c>
      <c r="C2036" s="1">
        <v>2192347.0</v>
      </c>
    </row>
    <row r="2037">
      <c r="A2037" s="1" t="s">
        <v>3304</v>
      </c>
      <c r="B2037" s="33" t="s">
        <v>5037</v>
      </c>
      <c r="C2037" s="1">
        <v>1972780.0</v>
      </c>
    </row>
    <row r="2038">
      <c r="A2038" s="1" t="s">
        <v>5038</v>
      </c>
      <c r="B2038" s="33" t="s">
        <v>5039</v>
      </c>
      <c r="C2038" s="1">
        <v>1350000.0</v>
      </c>
    </row>
    <row r="2039">
      <c r="A2039" s="1" t="s">
        <v>5040</v>
      </c>
      <c r="B2039" s="33" t="s">
        <v>5039</v>
      </c>
      <c r="C2039" s="1">
        <v>42953.0</v>
      </c>
    </row>
    <row r="2040">
      <c r="A2040" s="1" t="s">
        <v>3309</v>
      </c>
      <c r="B2040" s="1" t="s">
        <v>3908</v>
      </c>
      <c r="D2040" s="1">
        <v>2260960.0</v>
      </c>
      <c r="E2040" s="1" t="s">
        <v>5041</v>
      </c>
    </row>
    <row r="2041">
      <c r="A2041" s="1" t="s">
        <v>3309</v>
      </c>
      <c r="B2041" s="22" t="s">
        <v>4896</v>
      </c>
      <c r="C2041" s="78"/>
      <c r="D2041" s="22">
        <v>40000.0</v>
      </c>
      <c r="E2041" s="22" t="s">
        <v>4491</v>
      </c>
    </row>
    <row r="2042">
      <c r="B2042" s="30" t="s">
        <v>4956</v>
      </c>
      <c r="C2042" s="31"/>
      <c r="D2042" s="30">
        <v>825000.0</v>
      </c>
      <c r="E2042" s="30" t="s">
        <v>4957</v>
      </c>
    </row>
    <row r="2043">
      <c r="A2043" s="39" t="s">
        <v>3312</v>
      </c>
      <c r="B2043" s="39" t="s">
        <v>4661</v>
      </c>
      <c r="C2043" s="40"/>
      <c r="D2043" s="41">
        <v>121000.0</v>
      </c>
      <c r="E2043" s="39" t="s">
        <v>4825</v>
      </c>
    </row>
    <row r="2044">
      <c r="A2044" s="40"/>
      <c r="B2044" s="42" t="s">
        <v>3964</v>
      </c>
      <c r="C2044" s="40"/>
      <c r="D2044" s="41">
        <v>220000.0</v>
      </c>
      <c r="E2044" s="39" t="s">
        <v>4683</v>
      </c>
    </row>
    <row r="2045">
      <c r="A2045" s="39"/>
      <c r="B2045" s="42" t="s">
        <v>648</v>
      </c>
      <c r="C2045" s="40"/>
      <c r="D2045" s="1">
        <v>143000.0</v>
      </c>
      <c r="E2045" s="42"/>
    </row>
    <row r="2046">
      <c r="A2046" s="1" t="s">
        <v>5040</v>
      </c>
      <c r="B2046" s="1" t="s">
        <v>5024</v>
      </c>
      <c r="C2046" s="1">
        <v>2403092.0</v>
      </c>
    </row>
    <row r="2047">
      <c r="B2047" s="1" t="s">
        <v>5025</v>
      </c>
      <c r="C2047" s="1">
        <v>1588481.0</v>
      </c>
    </row>
    <row r="2048">
      <c r="A2048" s="1" t="s">
        <v>3310</v>
      </c>
      <c r="B2048" s="1" t="s">
        <v>5027</v>
      </c>
      <c r="C2048" s="1">
        <v>2593972.0</v>
      </c>
    </row>
    <row r="2049">
      <c r="B2049" s="1" t="s">
        <v>5028</v>
      </c>
      <c r="C2049" s="1">
        <v>1793006.0</v>
      </c>
    </row>
    <row r="2050">
      <c r="B2050" s="33" t="s">
        <v>5042</v>
      </c>
      <c r="C2050" s="1">
        <v>1405775.0</v>
      </c>
    </row>
    <row r="2051">
      <c r="A2051" s="1" t="s">
        <v>5043</v>
      </c>
      <c r="B2051" s="1" t="s">
        <v>5030</v>
      </c>
      <c r="C2051" s="1">
        <v>2413150.0</v>
      </c>
    </row>
    <row r="2052">
      <c r="B2052" s="33" t="s">
        <v>5032</v>
      </c>
      <c r="C2052" s="1">
        <v>2499524.0</v>
      </c>
    </row>
    <row r="2053">
      <c r="A2053" s="1" t="s">
        <v>3312</v>
      </c>
      <c r="B2053" s="1" t="s">
        <v>3969</v>
      </c>
      <c r="C2053" s="1">
        <v>4167891.0</v>
      </c>
    </row>
    <row r="2054">
      <c r="B2054" s="1" t="s">
        <v>5033</v>
      </c>
      <c r="C2054" s="1">
        <v>3153166.0</v>
      </c>
    </row>
    <row r="2055">
      <c r="A2055" s="1" t="s">
        <v>3319</v>
      </c>
      <c r="B2055" s="1" t="s">
        <v>5036</v>
      </c>
      <c r="C2055" s="1">
        <v>2180372.0</v>
      </c>
    </row>
    <row r="2056">
      <c r="A2056" s="1" t="s">
        <v>5044</v>
      </c>
      <c r="B2056" s="33" t="s">
        <v>5037</v>
      </c>
      <c r="C2056" s="1">
        <v>1908230.0</v>
      </c>
    </row>
    <row r="2061">
      <c r="A2061" s="1" t="s">
        <v>3325</v>
      </c>
      <c r="B2061" s="1" t="s">
        <v>3908</v>
      </c>
      <c r="D2061" s="1">
        <v>1656240.0</v>
      </c>
      <c r="E2061" s="1" t="s">
        <v>5045</v>
      </c>
    </row>
    <row r="2062">
      <c r="B2062" s="42" t="s">
        <v>1975</v>
      </c>
      <c r="C2062" s="46"/>
      <c r="D2062" s="47">
        <v>219160.0</v>
      </c>
      <c r="E2062" s="39" t="s">
        <v>4997</v>
      </c>
    </row>
    <row r="2063">
      <c r="A2063" s="1" t="s">
        <v>3325</v>
      </c>
      <c r="B2063" s="22" t="s">
        <v>4759</v>
      </c>
      <c r="C2063" s="78"/>
      <c r="D2063" s="22">
        <v>40000.0</v>
      </c>
      <c r="E2063" s="22" t="s">
        <v>4491</v>
      </c>
    </row>
    <row r="2064">
      <c r="B2064" s="30" t="s">
        <v>4956</v>
      </c>
      <c r="C2064" s="31"/>
      <c r="D2064" s="30">
        <v>825000.0</v>
      </c>
      <c r="E2064" s="30" t="s">
        <v>4957</v>
      </c>
    </row>
    <row r="2065">
      <c r="A2065" s="39" t="s">
        <v>3328</v>
      </c>
      <c r="B2065" s="39" t="s">
        <v>4661</v>
      </c>
      <c r="C2065" s="40"/>
      <c r="D2065" s="41">
        <v>121000.0</v>
      </c>
      <c r="E2065" s="39" t="s">
        <v>4825</v>
      </c>
    </row>
    <row r="2066">
      <c r="A2066" s="40"/>
      <c r="B2066" s="42" t="s">
        <v>3964</v>
      </c>
      <c r="C2066" s="40"/>
      <c r="D2066" s="41">
        <v>220000.0</v>
      </c>
      <c r="E2066" s="39" t="s">
        <v>4683</v>
      </c>
    </row>
    <row r="2067">
      <c r="A2067" s="39"/>
      <c r="B2067" s="42" t="s">
        <v>648</v>
      </c>
      <c r="C2067" s="40"/>
      <c r="D2067" s="1">
        <v>143000.0</v>
      </c>
      <c r="E2067" s="42"/>
    </row>
    <row r="2068">
      <c r="A2068" s="1" t="s">
        <v>5046</v>
      </c>
      <c r="B2068" s="1" t="s">
        <v>5024</v>
      </c>
      <c r="C2068" s="1">
        <v>2359655.0</v>
      </c>
    </row>
    <row r="2069">
      <c r="B2069" s="1" t="s">
        <v>5025</v>
      </c>
      <c r="C2069" s="1">
        <v>1548030.0</v>
      </c>
    </row>
    <row r="2070">
      <c r="A2070" s="1" t="s">
        <v>5047</v>
      </c>
      <c r="B2070" s="1" t="s">
        <v>5028</v>
      </c>
      <c r="C2070" s="1">
        <v>1779681.0</v>
      </c>
    </row>
    <row r="2071">
      <c r="A2071" s="1" t="s">
        <v>5048</v>
      </c>
      <c r="B2071" s="1" t="s">
        <v>5027</v>
      </c>
      <c r="C2071" s="1">
        <v>2546681.0</v>
      </c>
    </row>
    <row r="2072">
      <c r="A2072" s="1" t="s">
        <v>3328</v>
      </c>
      <c r="B2072" s="1" t="s">
        <v>3969</v>
      </c>
      <c r="C2072" s="1">
        <v>4127188.0</v>
      </c>
    </row>
    <row r="2073">
      <c r="B2073" s="33" t="s">
        <v>5032</v>
      </c>
      <c r="C2073" s="1">
        <v>2401650.0</v>
      </c>
    </row>
    <row r="2074">
      <c r="B2074" s="1" t="s">
        <v>5049</v>
      </c>
      <c r="C2074" s="1">
        <v>2768201.0</v>
      </c>
    </row>
    <row r="2075">
      <c r="A2075" s="1" t="s">
        <v>5050</v>
      </c>
      <c r="B2075" s="1" t="s">
        <v>5033</v>
      </c>
      <c r="C2075" s="1">
        <v>3130626.0</v>
      </c>
    </row>
    <row r="2076">
      <c r="A2076" s="1" t="s">
        <v>3329</v>
      </c>
      <c r="B2076" s="1" t="s">
        <v>5036</v>
      </c>
      <c r="C2076" s="1">
        <v>2221198.0</v>
      </c>
    </row>
    <row r="2077">
      <c r="C2077" s="1">
        <v>14717.0</v>
      </c>
    </row>
    <row r="2078">
      <c r="B2078" s="1" t="s">
        <v>5030</v>
      </c>
      <c r="C2078" s="1">
        <v>2428994.0</v>
      </c>
    </row>
    <row r="2079">
      <c r="B2079" s="33" t="s">
        <v>5037</v>
      </c>
      <c r="C2079" s="1">
        <v>1906700.0</v>
      </c>
    </row>
    <row r="2082">
      <c r="A2082" s="1" t="s">
        <v>5051</v>
      </c>
      <c r="B2082" s="1" t="s">
        <v>3908</v>
      </c>
      <c r="D2082" s="1">
        <v>1275610.0</v>
      </c>
      <c r="E2082" s="1" t="s">
        <v>5052</v>
      </c>
    </row>
    <row r="2083">
      <c r="A2083" s="1" t="s">
        <v>5051</v>
      </c>
      <c r="B2083" s="22" t="s">
        <v>4773</v>
      </c>
      <c r="C2083" s="78"/>
      <c r="D2083" s="22">
        <v>40000.0</v>
      </c>
      <c r="E2083" s="22" t="s">
        <v>4491</v>
      </c>
    </row>
    <row r="2084">
      <c r="B2084" s="30" t="s">
        <v>4956</v>
      </c>
      <c r="C2084" s="31"/>
      <c r="D2084" s="30">
        <v>825000.0</v>
      </c>
      <c r="E2084" s="30" t="s">
        <v>4957</v>
      </c>
    </row>
    <row r="2085">
      <c r="A2085" s="39" t="s">
        <v>3339</v>
      </c>
      <c r="B2085" s="39" t="s">
        <v>4661</v>
      </c>
      <c r="C2085" s="40"/>
      <c r="D2085" s="41">
        <v>121000.0</v>
      </c>
      <c r="E2085" s="39" t="s">
        <v>4825</v>
      </c>
    </row>
    <row r="2086">
      <c r="A2086" s="40"/>
      <c r="B2086" s="42" t="s">
        <v>3964</v>
      </c>
      <c r="C2086" s="40"/>
      <c r="D2086" s="41">
        <v>220000.0</v>
      </c>
      <c r="E2086" s="39" t="s">
        <v>4683</v>
      </c>
    </row>
    <row r="2087">
      <c r="A2087" s="39"/>
      <c r="B2087" s="42" t="s">
        <v>648</v>
      </c>
      <c r="C2087" s="40"/>
      <c r="D2087" s="1">
        <v>143000.0</v>
      </c>
      <c r="E2087" s="42"/>
    </row>
    <row r="2089">
      <c r="A2089" s="39" t="s">
        <v>5051</v>
      </c>
      <c r="B2089" s="39" t="s">
        <v>4918</v>
      </c>
      <c r="C2089" s="40"/>
      <c r="D2089" s="41">
        <v>6521000.0</v>
      </c>
      <c r="E2089" s="1" t="s">
        <v>5053</v>
      </c>
    </row>
    <row r="2090">
      <c r="A2090" s="1" t="s">
        <v>5054</v>
      </c>
      <c r="B2090" s="33" t="s">
        <v>5055</v>
      </c>
      <c r="C2090" s="1">
        <v>1345949.0</v>
      </c>
    </row>
    <row r="2091">
      <c r="B2091" s="1" t="s">
        <v>5027</v>
      </c>
      <c r="C2091" s="1">
        <v>2450045.0</v>
      </c>
    </row>
    <row r="2092">
      <c r="B2092" s="1" t="s">
        <v>5024</v>
      </c>
      <c r="C2092" s="1">
        <v>2332637.0</v>
      </c>
    </row>
    <row r="2093">
      <c r="B2093" s="1" t="s">
        <v>5025</v>
      </c>
      <c r="C2093" s="1">
        <v>1512668.0</v>
      </c>
    </row>
    <row r="2094">
      <c r="B2094" s="1" t="s">
        <v>5028</v>
      </c>
      <c r="C2094" s="1">
        <v>1741526.0</v>
      </c>
    </row>
    <row r="2095">
      <c r="A2095" s="1" t="s">
        <v>5056</v>
      </c>
      <c r="B2095" s="33" t="s">
        <v>5037</v>
      </c>
      <c r="C2095" s="1">
        <v>1883583.0</v>
      </c>
    </row>
    <row r="2096">
      <c r="B2096" s="1" t="s">
        <v>3969</v>
      </c>
      <c r="C2096" s="1">
        <v>4058793.0</v>
      </c>
    </row>
    <row r="2097">
      <c r="B2097" s="33" t="s">
        <v>5032</v>
      </c>
      <c r="C2097" s="1">
        <v>2297718.0</v>
      </c>
    </row>
    <row r="2098">
      <c r="A2098" s="1" t="s">
        <v>3339</v>
      </c>
      <c r="B2098" s="1" t="s">
        <v>5033</v>
      </c>
      <c r="C2098" s="1">
        <v>3071628.0</v>
      </c>
    </row>
    <row r="2099">
      <c r="A2099" s="1" t="s">
        <v>5057</v>
      </c>
      <c r="B2099" s="1" t="s">
        <v>5036</v>
      </c>
      <c r="C2099" s="1">
        <v>2163820.0</v>
      </c>
    </row>
    <row r="2100">
      <c r="A2100" s="1" t="s">
        <v>3345</v>
      </c>
      <c r="B2100" s="1" t="s">
        <v>5030</v>
      </c>
      <c r="C2100" s="1">
        <v>2388156.0</v>
      </c>
    </row>
    <row r="2101">
      <c r="A2101" s="1" t="s">
        <v>5058</v>
      </c>
      <c r="B2101" s="33" t="s">
        <v>5059</v>
      </c>
      <c r="C2101" s="1">
        <v>1361075.0</v>
      </c>
    </row>
    <row r="2102">
      <c r="B2102" s="1" t="s">
        <v>5060</v>
      </c>
      <c r="C2102" s="1">
        <v>2748079.0</v>
      </c>
    </row>
    <row r="2103">
      <c r="A2103" s="1" t="s">
        <v>3350</v>
      </c>
      <c r="B2103" s="1" t="s">
        <v>3908</v>
      </c>
      <c r="D2103" s="1">
        <v>1086210.0</v>
      </c>
      <c r="E2103" s="1" t="s">
        <v>5061</v>
      </c>
    </row>
    <row r="2104">
      <c r="B2104" s="42" t="s">
        <v>1975</v>
      </c>
      <c r="C2104" s="46"/>
      <c r="D2104" s="47">
        <v>328880.0</v>
      </c>
      <c r="E2104" s="39" t="s">
        <v>4997</v>
      </c>
    </row>
    <row r="2105">
      <c r="A2105" s="1" t="s">
        <v>3350</v>
      </c>
      <c r="B2105" s="22" t="s">
        <v>4785</v>
      </c>
      <c r="C2105" s="78"/>
      <c r="D2105" s="22">
        <v>40000.0</v>
      </c>
      <c r="E2105" s="22" t="s">
        <v>4491</v>
      </c>
    </row>
    <row r="2106">
      <c r="B2106" s="30" t="s">
        <v>4956</v>
      </c>
      <c r="C2106" s="31"/>
      <c r="D2106" s="30">
        <v>825000.0</v>
      </c>
      <c r="E2106" s="30" t="s">
        <v>4957</v>
      </c>
    </row>
    <row r="2107">
      <c r="A2107" s="39" t="s">
        <v>3352</v>
      </c>
      <c r="B2107" s="39" t="s">
        <v>4661</v>
      </c>
      <c r="C2107" s="40"/>
      <c r="D2107" s="41">
        <v>121000.0</v>
      </c>
      <c r="E2107" s="39" t="s">
        <v>4825</v>
      </c>
    </row>
    <row r="2108">
      <c r="A2108" s="40"/>
      <c r="B2108" s="42" t="s">
        <v>3964</v>
      </c>
      <c r="C2108" s="40"/>
      <c r="D2108" s="41">
        <v>220000.0</v>
      </c>
      <c r="E2108" s="39" t="s">
        <v>4683</v>
      </c>
    </row>
    <row r="2109">
      <c r="A2109" s="39"/>
      <c r="B2109" s="42" t="s">
        <v>648</v>
      </c>
      <c r="C2109" s="40"/>
      <c r="D2109" s="1">
        <v>143000.0</v>
      </c>
      <c r="E2109" s="42"/>
    </row>
    <row r="2110">
      <c r="A2110" s="1" t="s">
        <v>3348</v>
      </c>
      <c r="B2110" s="1" t="s">
        <v>5062</v>
      </c>
      <c r="D2110" s="1">
        <v>525000.0</v>
      </c>
      <c r="E2110" s="1" t="s">
        <v>4368</v>
      </c>
    </row>
    <row r="2111">
      <c r="B2111" s="1" t="s">
        <v>4656</v>
      </c>
      <c r="D2111" s="1">
        <v>22500.0</v>
      </c>
      <c r="E2111" s="1" t="s">
        <v>4368</v>
      </c>
    </row>
    <row r="2112">
      <c r="A2112" s="1" t="s">
        <v>5063</v>
      </c>
      <c r="B2112" s="1" t="s">
        <v>5027</v>
      </c>
      <c r="C2112" s="1">
        <v>2460587.0</v>
      </c>
    </row>
    <row r="2113">
      <c r="B2113" s="1" t="s">
        <v>5030</v>
      </c>
      <c r="C2113" s="1">
        <v>2446296.0</v>
      </c>
    </row>
    <row r="2114">
      <c r="A2114" s="1" t="s">
        <v>5064</v>
      </c>
      <c r="B2114" s="1" t="s">
        <v>5024</v>
      </c>
      <c r="C2114" s="1">
        <v>2352404.0</v>
      </c>
    </row>
    <row r="2115">
      <c r="B2115" s="1" t="s">
        <v>5025</v>
      </c>
      <c r="C2115" s="1">
        <v>1522667.0</v>
      </c>
    </row>
    <row r="2116">
      <c r="A2116" s="1" t="s">
        <v>5065</v>
      </c>
      <c r="B2116" s="1" t="s">
        <v>5028</v>
      </c>
      <c r="C2116" s="1">
        <v>1764949.0</v>
      </c>
    </row>
    <row r="2117">
      <c r="A2117" s="1" t="s">
        <v>5066</v>
      </c>
      <c r="B2117" s="33" t="s">
        <v>5032</v>
      </c>
      <c r="C2117" s="1">
        <v>2327992.0</v>
      </c>
    </row>
    <row r="2118">
      <c r="B2118" s="33" t="s">
        <v>5037</v>
      </c>
      <c r="C2118" s="1">
        <v>1850500.0</v>
      </c>
    </row>
    <row r="2119">
      <c r="B2119" s="1" t="s">
        <v>5067</v>
      </c>
      <c r="C2119" s="1">
        <v>2762843.0</v>
      </c>
    </row>
    <row r="2120">
      <c r="A2120" s="1" t="s">
        <v>3352</v>
      </c>
      <c r="B2120" s="1" t="s">
        <v>3969</v>
      </c>
      <c r="C2120" s="1">
        <v>4048780.0</v>
      </c>
    </row>
    <row r="2121">
      <c r="A2121" s="1" t="s">
        <v>3351</v>
      </c>
      <c r="B2121" s="1" t="s">
        <v>5036</v>
      </c>
      <c r="C2121" s="1">
        <v>2161775.0</v>
      </c>
    </row>
    <row r="2122">
      <c r="B2122" s="1" t="s">
        <v>5033</v>
      </c>
      <c r="C2122" s="1">
        <v>3183219.0</v>
      </c>
    </row>
    <row r="2123">
      <c r="A2123" s="1" t="s">
        <v>5068</v>
      </c>
      <c r="B2123" s="33" t="s">
        <v>5069</v>
      </c>
      <c r="C2123" s="1">
        <v>1367404.0</v>
      </c>
    </row>
    <row r="2124">
      <c r="A2124" s="1" t="s">
        <v>5070</v>
      </c>
      <c r="B2124" s="1" t="s">
        <v>3908</v>
      </c>
      <c r="D2124" s="1">
        <v>1327960.0</v>
      </c>
      <c r="E2124" s="1" t="s">
        <v>5071</v>
      </c>
    </row>
    <row r="2125">
      <c r="A2125" s="1" t="s">
        <v>5070</v>
      </c>
      <c r="B2125" s="22" t="s">
        <v>4793</v>
      </c>
      <c r="C2125" s="78"/>
      <c r="D2125" s="22">
        <v>40000.0</v>
      </c>
      <c r="E2125" s="22" t="s">
        <v>4491</v>
      </c>
    </row>
    <row r="2126">
      <c r="B2126" s="30" t="s">
        <v>4956</v>
      </c>
      <c r="C2126" s="31"/>
      <c r="D2126" s="30">
        <v>825000.0</v>
      </c>
      <c r="E2126" s="30" t="s">
        <v>4957</v>
      </c>
    </row>
    <row r="2127">
      <c r="A2127" s="39" t="s">
        <v>3373</v>
      </c>
      <c r="B2127" s="39" t="s">
        <v>4661</v>
      </c>
      <c r="C2127" s="40"/>
      <c r="D2127" s="41">
        <v>121000.0</v>
      </c>
      <c r="E2127" s="39" t="s">
        <v>4825</v>
      </c>
    </row>
    <row r="2128">
      <c r="A2128" s="40"/>
      <c r="B2128" s="42" t="s">
        <v>3964</v>
      </c>
      <c r="C2128" s="40"/>
      <c r="D2128" s="41">
        <v>220000.0</v>
      </c>
      <c r="E2128" s="39" t="s">
        <v>4683</v>
      </c>
    </row>
    <row r="2129">
      <c r="A2129" s="39"/>
      <c r="B2129" s="42" t="s">
        <v>648</v>
      </c>
      <c r="C2129" s="40"/>
      <c r="D2129" s="1">
        <v>143000.0</v>
      </c>
      <c r="E2129" s="42"/>
    </row>
    <row r="2130">
      <c r="B2130" s="1" t="s">
        <v>1828</v>
      </c>
      <c r="D2130" s="1">
        <v>1029270.0</v>
      </c>
    </row>
    <row r="2131">
      <c r="B2131" s="1" t="s">
        <v>2033</v>
      </c>
      <c r="D2131" s="1">
        <v>764060.0</v>
      </c>
    </row>
    <row r="2132">
      <c r="A2132" s="1" t="s">
        <v>3363</v>
      </c>
      <c r="B2132" s="1" t="s">
        <v>5028</v>
      </c>
      <c r="C2132" s="1">
        <v>1742902.0</v>
      </c>
    </row>
    <row r="2133">
      <c r="A2133" s="1" t="s">
        <v>5072</v>
      </c>
      <c r="B2133" s="1" t="s">
        <v>5024</v>
      </c>
      <c r="C2133" s="1">
        <v>2350875.0</v>
      </c>
    </row>
    <row r="2134">
      <c r="B2134" s="1" t="s">
        <v>5025</v>
      </c>
      <c r="C2134" s="1">
        <v>1525631.0</v>
      </c>
    </row>
    <row r="2135">
      <c r="A2135" s="1" t="s">
        <v>5070</v>
      </c>
      <c r="B2135" s="1" t="s">
        <v>5027</v>
      </c>
      <c r="C2135" s="1">
        <v>2463829.0</v>
      </c>
    </row>
    <row r="2136">
      <c r="A2136" s="1" t="s">
        <v>5073</v>
      </c>
      <c r="B2136" s="1" t="s">
        <v>5030</v>
      </c>
      <c r="C2136" s="1">
        <v>2473245.0</v>
      </c>
    </row>
    <row r="2137">
      <c r="A2137" s="1" t="s">
        <v>3373</v>
      </c>
      <c r="B2137" s="1" t="s">
        <v>3969</v>
      </c>
      <c r="C2137" s="1">
        <v>4037090.0</v>
      </c>
    </row>
    <row r="2138">
      <c r="B2138" s="33" t="s">
        <v>5032</v>
      </c>
      <c r="C2138" s="1">
        <v>2282817.0</v>
      </c>
    </row>
    <row r="2139">
      <c r="A2139" s="1" t="s">
        <v>5074</v>
      </c>
      <c r="B2139" s="1" t="s">
        <v>5033</v>
      </c>
      <c r="C2139" s="1">
        <v>3198162.0</v>
      </c>
    </row>
    <row r="2140">
      <c r="B2140" s="1" t="s">
        <v>5036</v>
      </c>
      <c r="C2140" s="1">
        <v>2141389.0</v>
      </c>
    </row>
    <row r="2141">
      <c r="A2141" s="1" t="s">
        <v>3372</v>
      </c>
      <c r="B2141" s="33" t="s">
        <v>5037</v>
      </c>
      <c r="C2141" s="1">
        <v>1848820.0</v>
      </c>
    </row>
    <row r="2142">
      <c r="A2142" s="1" t="s">
        <v>5075</v>
      </c>
      <c r="B2142" s="33" t="s">
        <v>5076</v>
      </c>
      <c r="C2142" s="1">
        <v>1363438.0</v>
      </c>
    </row>
    <row r="2143">
      <c r="A2143" s="1" t="s">
        <v>3379</v>
      </c>
      <c r="B2143" s="1" t="s">
        <v>5077</v>
      </c>
      <c r="D2143" s="1">
        <v>1841630.0</v>
      </c>
      <c r="E2143" s="1" t="s">
        <v>5078</v>
      </c>
    </row>
    <row r="2144">
      <c r="B2144" s="42" t="s">
        <v>1975</v>
      </c>
      <c r="C2144" s="46"/>
      <c r="D2144" s="47">
        <v>320000.0</v>
      </c>
      <c r="E2144" s="39" t="s">
        <v>4997</v>
      </c>
    </row>
    <row r="2145">
      <c r="A2145" s="1" t="s">
        <v>3379</v>
      </c>
      <c r="B2145" s="22" t="s">
        <v>4801</v>
      </c>
      <c r="C2145" s="78"/>
      <c r="D2145" s="22">
        <v>40000.0</v>
      </c>
      <c r="E2145" s="22" t="s">
        <v>4491</v>
      </c>
    </row>
    <row r="2146">
      <c r="B2146" s="30" t="s">
        <v>4956</v>
      </c>
      <c r="C2146" s="31"/>
      <c r="D2146" s="30">
        <v>825000.0</v>
      </c>
      <c r="E2146" s="30" t="s">
        <v>4957</v>
      </c>
    </row>
    <row r="2147">
      <c r="A2147" s="39" t="s">
        <v>3381</v>
      </c>
      <c r="B2147" s="39" t="s">
        <v>4661</v>
      </c>
      <c r="C2147" s="40"/>
      <c r="D2147" s="41">
        <v>121000.0</v>
      </c>
      <c r="E2147" s="39" t="s">
        <v>5079</v>
      </c>
      <c r="F2147" s="40"/>
    </row>
    <row r="2148">
      <c r="A2148" s="40"/>
      <c r="B2148" s="42" t="s">
        <v>3964</v>
      </c>
      <c r="C2148" s="40"/>
      <c r="D2148" s="41">
        <v>220000.0</v>
      </c>
      <c r="E2148" s="39" t="s">
        <v>4683</v>
      </c>
      <c r="F2148" s="40"/>
    </row>
    <row r="2149">
      <c r="A2149" s="39"/>
      <c r="B2149" s="42" t="s">
        <v>648</v>
      </c>
      <c r="C2149" s="40"/>
      <c r="D2149" s="1">
        <v>143000.0</v>
      </c>
      <c r="E2149" s="42"/>
      <c r="F2149" s="40"/>
    </row>
    <row r="2150">
      <c r="A2150" s="1" t="s">
        <v>5080</v>
      </c>
      <c r="B2150" s="39" t="s">
        <v>4958</v>
      </c>
      <c r="C2150" s="40"/>
      <c r="D2150" s="41">
        <v>7453840.0</v>
      </c>
      <c r="E2150" s="1" t="s">
        <v>5081</v>
      </c>
    </row>
    <row r="2151">
      <c r="B2151" s="1" t="s">
        <v>4951</v>
      </c>
      <c r="D2151" s="1">
        <v>1459650.0</v>
      </c>
      <c r="E2151" s="1" t="s">
        <v>5082</v>
      </c>
    </row>
    <row r="2152">
      <c r="A2152" s="1" t="s">
        <v>5080</v>
      </c>
      <c r="B2152" s="1" t="s">
        <v>3969</v>
      </c>
      <c r="C2152" s="1">
        <v>4065060.0</v>
      </c>
    </row>
    <row r="2153">
      <c r="A2153" s="1" t="s">
        <v>3383</v>
      </c>
      <c r="B2153" s="1" t="s">
        <v>5027</v>
      </c>
      <c r="C2153" s="1">
        <v>2531218.0</v>
      </c>
    </row>
    <row r="2154">
      <c r="B2154" s="1" t="s">
        <v>5028</v>
      </c>
      <c r="C2154" s="1">
        <v>1764799.0</v>
      </c>
    </row>
    <row r="2155">
      <c r="A2155" s="1" t="s">
        <v>5083</v>
      </c>
      <c r="B2155" s="1" t="s">
        <v>5024</v>
      </c>
      <c r="C2155" s="1">
        <v>2476542.0</v>
      </c>
    </row>
    <row r="2156">
      <c r="B2156" s="1" t="s">
        <v>5025</v>
      </c>
      <c r="C2156" s="1">
        <v>1630412.0</v>
      </c>
    </row>
    <row r="2157">
      <c r="A2157" s="1" t="s">
        <v>5084</v>
      </c>
      <c r="B2157" s="1" t="s">
        <v>5030</v>
      </c>
      <c r="C2157" s="1">
        <v>2571335.0</v>
      </c>
    </row>
    <row r="2158">
      <c r="A2158" s="1" t="s">
        <v>3381</v>
      </c>
      <c r="B2158" s="33" t="s">
        <v>5032</v>
      </c>
      <c r="C2158" s="1">
        <v>2366562.0</v>
      </c>
    </row>
    <row r="2159">
      <c r="B2159" s="1" t="s">
        <v>5033</v>
      </c>
      <c r="C2159" s="1">
        <v>3240255.0</v>
      </c>
    </row>
    <row r="2160">
      <c r="A2160" s="1" t="s">
        <v>3380</v>
      </c>
      <c r="B2160" s="1" t="s">
        <v>5036</v>
      </c>
      <c r="C2160" s="1">
        <v>2229849.0</v>
      </c>
    </row>
    <row r="2161">
      <c r="A2161" s="1" t="s">
        <v>3397</v>
      </c>
      <c r="B2161" s="33" t="s">
        <v>5037</v>
      </c>
      <c r="C2161" s="1">
        <v>1913840.0</v>
      </c>
    </row>
    <row r="2162">
      <c r="A2162" s="1" t="s">
        <v>5085</v>
      </c>
      <c r="B2162" s="33" t="s">
        <v>5086</v>
      </c>
      <c r="C2162" s="1">
        <v>1378111.0</v>
      </c>
    </row>
    <row r="2163">
      <c r="A2163" s="1" t="s">
        <v>3814</v>
      </c>
      <c r="B2163" s="1" t="s">
        <v>5087</v>
      </c>
      <c r="D2163" s="1">
        <v>539000.0</v>
      </c>
      <c r="E2163" s="1" t="s">
        <v>5088</v>
      </c>
    </row>
    <row r="2164">
      <c r="A2164" s="1" t="s">
        <v>5089</v>
      </c>
      <c r="B2164" s="1" t="s">
        <v>5077</v>
      </c>
      <c r="D2164" s="1">
        <v>2049780.0</v>
      </c>
      <c r="E2164" s="1" t="s">
        <v>5090</v>
      </c>
    </row>
    <row r="2165">
      <c r="A2165" s="1" t="s">
        <v>5089</v>
      </c>
      <c r="B2165" s="22" t="s">
        <v>4824</v>
      </c>
      <c r="C2165" s="78"/>
      <c r="D2165" s="22">
        <v>40000.0</v>
      </c>
      <c r="E2165" s="22" t="s">
        <v>4491</v>
      </c>
    </row>
    <row r="2166">
      <c r="B2166" s="30" t="s">
        <v>4956</v>
      </c>
      <c r="C2166" s="31"/>
      <c r="D2166" s="30">
        <v>1100000.0</v>
      </c>
      <c r="E2166" s="30" t="s">
        <v>4957</v>
      </c>
    </row>
    <row r="2167">
      <c r="A2167" s="56" t="s">
        <v>5091</v>
      </c>
      <c r="B2167" s="56" t="s">
        <v>5092</v>
      </c>
      <c r="C2167" s="32"/>
      <c r="D2167" s="56">
        <v>1210000.0</v>
      </c>
      <c r="E2167" s="94" t="s">
        <v>5079</v>
      </c>
    </row>
    <row r="2168">
      <c r="A2168" s="39" t="s">
        <v>3396</v>
      </c>
      <c r="B2168" s="39" t="s">
        <v>4661</v>
      </c>
      <c r="C2168" s="40"/>
      <c r="D2168" s="41">
        <v>121000.0</v>
      </c>
      <c r="E2168" s="39" t="s">
        <v>5079</v>
      </c>
    </row>
    <row r="2169">
      <c r="A2169" s="40"/>
      <c r="B2169" s="42" t="s">
        <v>3964</v>
      </c>
      <c r="C2169" s="40"/>
      <c r="D2169" s="41">
        <v>220000.0</v>
      </c>
      <c r="E2169" s="39" t="s">
        <v>4683</v>
      </c>
    </row>
    <row r="2170">
      <c r="A2170" s="39"/>
      <c r="B2170" s="42" t="s">
        <v>648</v>
      </c>
      <c r="C2170" s="40"/>
      <c r="D2170" s="1">
        <v>143000.0</v>
      </c>
      <c r="E2170" s="42"/>
    </row>
    <row r="2171">
      <c r="A2171" s="1" t="s">
        <v>5093</v>
      </c>
      <c r="B2171" s="1" t="s">
        <v>4827</v>
      </c>
      <c r="D2171" s="1">
        <v>141700.0</v>
      </c>
      <c r="E2171" s="1" t="s">
        <v>5094</v>
      </c>
    </row>
    <row r="2172">
      <c r="B2172" s="1" t="s">
        <v>4829</v>
      </c>
      <c r="D2172" s="1">
        <v>20000.0</v>
      </c>
      <c r="E2172" s="1" t="s">
        <v>5095</v>
      </c>
    </row>
    <row r="2173">
      <c r="A2173" s="1" t="s">
        <v>5096</v>
      </c>
      <c r="B2173" s="1" t="s">
        <v>5024</v>
      </c>
      <c r="C2173" s="1">
        <v>2464649.0</v>
      </c>
    </row>
    <row r="2174">
      <c r="B2174" s="1" t="s">
        <v>5025</v>
      </c>
      <c r="C2174" s="1">
        <v>1663711.0</v>
      </c>
    </row>
    <row r="2175">
      <c r="A2175" s="1" t="s">
        <v>5097</v>
      </c>
      <c r="B2175" s="1" t="s">
        <v>5028</v>
      </c>
      <c r="C2175" s="1">
        <v>1741235.0</v>
      </c>
    </row>
    <row r="2176">
      <c r="A2176" s="1" t="s">
        <v>5098</v>
      </c>
      <c r="B2176" s="1" t="s">
        <v>5027</v>
      </c>
      <c r="C2176" s="1">
        <v>2538333.0</v>
      </c>
    </row>
    <row r="2177">
      <c r="A2177" s="1" t="s">
        <v>5099</v>
      </c>
      <c r="B2177" s="1" t="s">
        <v>3969</v>
      </c>
      <c r="C2177" s="1">
        <v>4096183.0</v>
      </c>
    </row>
    <row r="2178">
      <c r="B2178" s="33" t="s">
        <v>5032</v>
      </c>
      <c r="C2178" s="1">
        <v>2334877.0</v>
      </c>
    </row>
    <row r="2179">
      <c r="A2179" s="1" t="s">
        <v>5100</v>
      </c>
      <c r="B2179" s="1" t="s">
        <v>5036</v>
      </c>
      <c r="C2179" s="1">
        <v>2204607.0</v>
      </c>
    </row>
    <row r="2180">
      <c r="A2180" s="1" t="s">
        <v>3401</v>
      </c>
      <c r="B2180" s="1" t="s">
        <v>5033</v>
      </c>
      <c r="C2180" s="1">
        <v>3234200.0</v>
      </c>
    </row>
    <row r="2181">
      <c r="A2181" s="1" t="s">
        <v>5101</v>
      </c>
      <c r="B2181" s="1" t="s">
        <v>5030</v>
      </c>
      <c r="C2181" s="1">
        <v>2542149.0</v>
      </c>
    </row>
    <row r="2182">
      <c r="A2182" s="1" t="s">
        <v>3404</v>
      </c>
      <c r="B2182" s="33" t="s">
        <v>5037</v>
      </c>
      <c r="C2182" s="1">
        <v>1872287.0</v>
      </c>
    </row>
    <row r="2183">
      <c r="B2183" s="33" t="s">
        <v>5102</v>
      </c>
      <c r="C2183" s="1">
        <v>1372825.0</v>
      </c>
    </row>
    <row r="2184">
      <c r="A2184" s="1" t="s">
        <v>5103</v>
      </c>
      <c r="B2184" s="1" t="s">
        <v>5077</v>
      </c>
      <c r="D2184" s="1">
        <v>1917340.0</v>
      </c>
      <c r="E2184" s="1" t="s">
        <v>5104</v>
      </c>
    </row>
    <row r="2185">
      <c r="A2185" s="1" t="s">
        <v>3406</v>
      </c>
      <c r="B2185" s="42" t="s">
        <v>1975</v>
      </c>
      <c r="C2185" s="46"/>
      <c r="D2185" s="47">
        <v>346640.0</v>
      </c>
      <c r="E2185" s="39" t="s">
        <v>4997</v>
      </c>
    </row>
    <row r="2186">
      <c r="A2186" s="1" t="s">
        <v>5105</v>
      </c>
      <c r="B2186" s="1" t="s">
        <v>4412</v>
      </c>
      <c r="D2186" s="1">
        <v>1.954099E7</v>
      </c>
      <c r="E2186" s="1" t="s">
        <v>5106</v>
      </c>
    </row>
    <row r="2187">
      <c r="A2187" s="1" t="s">
        <v>5103</v>
      </c>
      <c r="B2187" s="22" t="s">
        <v>4839</v>
      </c>
      <c r="C2187" s="78"/>
      <c r="D2187" s="22">
        <v>40000.0</v>
      </c>
      <c r="E2187" s="22" t="s">
        <v>4491</v>
      </c>
    </row>
    <row r="2188">
      <c r="B2188" s="30" t="s">
        <v>4956</v>
      </c>
      <c r="C2188" s="31"/>
      <c r="D2188" s="30">
        <v>1100000.0</v>
      </c>
      <c r="E2188" s="30" t="s">
        <v>4957</v>
      </c>
    </row>
    <row r="2189">
      <c r="A2189" s="39" t="s">
        <v>3407</v>
      </c>
      <c r="B2189" s="39" t="s">
        <v>4661</v>
      </c>
      <c r="C2189" s="40"/>
      <c r="D2189" s="41">
        <v>121000.0</v>
      </c>
      <c r="E2189" s="39" t="s">
        <v>5079</v>
      </c>
    </row>
    <row r="2190">
      <c r="A2190" s="40"/>
      <c r="B2190" s="42" t="s">
        <v>3964</v>
      </c>
      <c r="C2190" s="40"/>
      <c r="D2190" s="41">
        <v>220000.0</v>
      </c>
      <c r="E2190" s="39" t="s">
        <v>4683</v>
      </c>
    </row>
    <row r="2191">
      <c r="A2191" s="39"/>
      <c r="B2191" s="42" t="s">
        <v>648</v>
      </c>
      <c r="C2191" s="40"/>
      <c r="D2191" s="1">
        <v>143000.0</v>
      </c>
      <c r="E2191" s="42"/>
    </row>
    <row r="2192">
      <c r="A2192" s="1" t="s">
        <v>5107</v>
      </c>
      <c r="B2192" s="1" t="s">
        <v>5024</v>
      </c>
      <c r="C2192" s="1">
        <v>2481139.0</v>
      </c>
    </row>
    <row r="2193">
      <c r="B2193" s="1" t="s">
        <v>5025</v>
      </c>
      <c r="C2193" s="1">
        <v>1629742.0</v>
      </c>
    </row>
    <row r="2194">
      <c r="A2194" s="1" t="s">
        <v>5108</v>
      </c>
      <c r="B2194" s="1" t="s">
        <v>5027</v>
      </c>
      <c r="C2194" s="1">
        <v>2533887.0</v>
      </c>
    </row>
    <row r="2195">
      <c r="B2195" s="1" t="s">
        <v>5028</v>
      </c>
      <c r="C2195" s="1">
        <v>1796154.0</v>
      </c>
    </row>
    <row r="2196">
      <c r="A2196" s="1" t="s">
        <v>5109</v>
      </c>
      <c r="B2196" s="33" t="s">
        <v>5037</v>
      </c>
      <c r="C2196" s="1">
        <v>1948911.0</v>
      </c>
    </row>
    <row r="2197">
      <c r="A2197" s="1" t="s">
        <v>5110</v>
      </c>
      <c r="B2197" s="33" t="s">
        <v>5032</v>
      </c>
      <c r="C2197" s="1">
        <v>2387344.0</v>
      </c>
    </row>
    <row r="2198">
      <c r="B2198" s="1" t="s">
        <v>3969</v>
      </c>
      <c r="C2198" s="1">
        <v>4128998.0</v>
      </c>
    </row>
    <row r="2199">
      <c r="A2199" s="1" t="s">
        <v>3407</v>
      </c>
      <c r="B2199" s="1" t="s">
        <v>5033</v>
      </c>
      <c r="C2199" s="1">
        <v>3283208.0</v>
      </c>
    </row>
    <row r="2200">
      <c r="B2200" s="1" t="s">
        <v>5030</v>
      </c>
      <c r="C2200" s="1">
        <v>2497657.0</v>
      </c>
    </row>
    <row r="2201">
      <c r="A2201" s="1" t="s">
        <v>5111</v>
      </c>
      <c r="B2201" s="1" t="s">
        <v>5036</v>
      </c>
      <c r="C2201" s="1">
        <v>2213009.0</v>
      </c>
    </row>
    <row r="2202">
      <c r="C2202" s="1">
        <v>23278.0</v>
      </c>
    </row>
    <row r="2203">
      <c r="A2203" s="1" t="s">
        <v>5112</v>
      </c>
      <c r="B2203" s="33" t="s">
        <v>5113</v>
      </c>
      <c r="C2203" s="1">
        <v>1397021.0</v>
      </c>
    </row>
    <row r="2206">
      <c r="A2206" s="1" t="s">
        <v>3421</v>
      </c>
      <c r="B2206" s="1" t="s">
        <v>5077</v>
      </c>
      <c r="D2206" s="1">
        <v>1170050.0</v>
      </c>
      <c r="E2206" s="1" t="s">
        <v>5114</v>
      </c>
    </row>
    <row r="2207">
      <c r="A2207" s="1" t="s">
        <v>3421</v>
      </c>
      <c r="B2207" s="22" t="s">
        <v>4854</v>
      </c>
      <c r="C2207" s="78"/>
      <c r="D2207" s="22">
        <v>40000.0</v>
      </c>
      <c r="E2207" s="22" t="s">
        <v>4491</v>
      </c>
    </row>
    <row r="2208">
      <c r="B2208" s="30" t="s">
        <v>4956</v>
      </c>
      <c r="C2208" s="31"/>
      <c r="D2208" s="30">
        <v>1100000.0</v>
      </c>
      <c r="E2208" s="30" t="s">
        <v>4957</v>
      </c>
    </row>
    <row r="2209">
      <c r="A2209" s="39" t="s">
        <v>5115</v>
      </c>
      <c r="B2209" s="39" t="s">
        <v>4661</v>
      </c>
      <c r="C2209" s="40"/>
      <c r="D2209" s="41">
        <v>121000.0</v>
      </c>
      <c r="E2209" s="39" t="s">
        <v>5079</v>
      </c>
    </row>
    <row r="2210">
      <c r="A2210" s="40"/>
      <c r="B2210" s="42" t="s">
        <v>3964</v>
      </c>
      <c r="C2210" s="40"/>
      <c r="D2210" s="41">
        <v>220000.0</v>
      </c>
      <c r="E2210" s="39" t="s">
        <v>4683</v>
      </c>
    </row>
    <row r="2211">
      <c r="A2211" s="39"/>
      <c r="B2211" s="42" t="s">
        <v>648</v>
      </c>
      <c r="C2211" s="40"/>
      <c r="D2211" s="1">
        <v>143000.0</v>
      </c>
      <c r="E2211" s="42"/>
    </row>
    <row r="2212">
      <c r="A2212" s="1" t="s">
        <v>3421</v>
      </c>
      <c r="B2212" s="1" t="s">
        <v>5116</v>
      </c>
      <c r="D2212" s="1">
        <v>6987000.0</v>
      </c>
      <c r="E2212" s="1" t="s">
        <v>5117</v>
      </c>
    </row>
    <row r="2213">
      <c r="A2213" s="1" t="s">
        <v>5115</v>
      </c>
      <c r="B2213" s="1" t="s">
        <v>4126</v>
      </c>
      <c r="D2213" s="1">
        <v>558770.0</v>
      </c>
      <c r="E2213" s="1" t="s">
        <v>5118</v>
      </c>
    </row>
    <row r="2214">
      <c r="A2214" s="1" t="s">
        <v>3421</v>
      </c>
      <c r="B2214" s="1" t="s">
        <v>5119</v>
      </c>
      <c r="D2214" s="1">
        <v>2.2E7</v>
      </c>
      <c r="E2214" s="1" t="s">
        <v>5120</v>
      </c>
    </row>
    <row r="2215">
      <c r="A2215" s="2" t="s">
        <v>5121</v>
      </c>
      <c r="B2215" s="2" t="s">
        <v>5122</v>
      </c>
      <c r="C2215" s="2">
        <v>2900000.0</v>
      </c>
    </row>
    <row r="2216">
      <c r="A2216" s="1" t="s">
        <v>5123</v>
      </c>
      <c r="B2216" s="1" t="s">
        <v>5028</v>
      </c>
      <c r="C2216" s="1">
        <v>1710490.0</v>
      </c>
    </row>
    <row r="2217">
      <c r="A2217" s="1" t="s">
        <v>5124</v>
      </c>
      <c r="B2217" s="1" t="s">
        <v>5027</v>
      </c>
      <c r="C2217" s="1">
        <v>2430753.0</v>
      </c>
    </row>
    <row r="2218">
      <c r="B2218" s="1" t="s">
        <v>5024</v>
      </c>
      <c r="C2218" s="1">
        <v>2355498.0</v>
      </c>
    </row>
    <row r="2219">
      <c r="B2219" s="1" t="s">
        <v>5025</v>
      </c>
      <c r="C2219" s="1">
        <v>1512959.0</v>
      </c>
    </row>
    <row r="2220">
      <c r="A2220" s="1" t="s">
        <v>3425</v>
      </c>
      <c r="B2220" s="33" t="s">
        <v>5032</v>
      </c>
      <c r="C2220" s="1">
        <v>2275851.0</v>
      </c>
    </row>
    <row r="2221">
      <c r="B2221" s="1" t="s">
        <v>3969</v>
      </c>
      <c r="C2221" s="1">
        <v>4007068.0</v>
      </c>
    </row>
    <row r="2222">
      <c r="A2222" s="1" t="s">
        <v>5115</v>
      </c>
      <c r="B2222" s="1" t="s">
        <v>5030</v>
      </c>
      <c r="C2222" s="1">
        <v>2421838.0</v>
      </c>
    </row>
    <row r="2223">
      <c r="B2223" s="1" t="s">
        <v>5033</v>
      </c>
      <c r="C2223" s="1">
        <v>3170759.0</v>
      </c>
    </row>
    <row r="2224">
      <c r="A2224" s="1" t="s">
        <v>5125</v>
      </c>
      <c r="B2224" s="1" t="s">
        <v>5036</v>
      </c>
      <c r="C2224" s="1">
        <v>2141995.0</v>
      </c>
    </row>
    <row r="2225">
      <c r="A2225" s="1" t="s">
        <v>5126</v>
      </c>
      <c r="B2225" s="33" t="s">
        <v>5037</v>
      </c>
      <c r="C2225" s="1">
        <v>1873111.0</v>
      </c>
    </row>
    <row r="2226">
      <c r="A2226" s="1" t="s">
        <v>5127</v>
      </c>
      <c r="B2226" s="33" t="s">
        <v>5128</v>
      </c>
      <c r="C2226" s="1">
        <v>1372591.0</v>
      </c>
    </row>
    <row r="2227">
      <c r="A2227" s="1" t="s">
        <v>3436</v>
      </c>
      <c r="B2227" s="1" t="s">
        <v>5077</v>
      </c>
      <c r="D2227" s="1">
        <v>1161450.0</v>
      </c>
      <c r="E2227" s="1" t="s">
        <v>5129</v>
      </c>
    </row>
    <row r="2228">
      <c r="A2228" s="1" t="s">
        <v>3436</v>
      </c>
      <c r="B2228" s="42" t="s">
        <v>1975</v>
      </c>
      <c r="C2228" s="46"/>
      <c r="D2228" s="47">
        <v>254880.0</v>
      </c>
      <c r="E2228" s="39" t="s">
        <v>4997</v>
      </c>
    </row>
    <row r="2229">
      <c r="A2229" s="1" t="s">
        <v>3436</v>
      </c>
      <c r="B2229" s="22" t="s">
        <v>4868</v>
      </c>
      <c r="C2229" s="78"/>
      <c r="D2229" s="22">
        <v>40000.0</v>
      </c>
      <c r="E2229" s="22" t="s">
        <v>4491</v>
      </c>
    </row>
    <row r="2230">
      <c r="B2230" s="30" t="s">
        <v>4956</v>
      </c>
      <c r="C2230" s="31"/>
      <c r="D2230" s="30">
        <v>1100000.0</v>
      </c>
      <c r="E2230" s="30" t="s">
        <v>4957</v>
      </c>
    </row>
    <row r="2231">
      <c r="A2231" s="1" t="s">
        <v>5130</v>
      </c>
      <c r="B2231" s="1" t="s">
        <v>5131</v>
      </c>
      <c r="C2231" s="1">
        <v>3000000.0</v>
      </c>
      <c r="E2231" s="1" t="s">
        <v>5132</v>
      </c>
    </row>
    <row r="2232">
      <c r="A2232" s="1" t="s">
        <v>5133</v>
      </c>
      <c r="B2232" s="1" t="s">
        <v>5134</v>
      </c>
      <c r="D2232" s="1">
        <v>1000000.0</v>
      </c>
      <c r="E2232" s="1" t="s">
        <v>5135</v>
      </c>
    </row>
    <row r="2233">
      <c r="A2233" s="39" t="s">
        <v>5136</v>
      </c>
      <c r="B2233" s="39" t="s">
        <v>4661</v>
      </c>
      <c r="C2233" s="40"/>
      <c r="D2233" s="41">
        <v>121000.0</v>
      </c>
      <c r="E2233" s="39" t="s">
        <v>5079</v>
      </c>
    </row>
    <row r="2234">
      <c r="A2234" s="40"/>
      <c r="B2234" s="42" t="s">
        <v>3964</v>
      </c>
      <c r="C2234" s="40"/>
      <c r="D2234" s="41">
        <v>220000.0</v>
      </c>
      <c r="E2234" s="39" t="s">
        <v>4683</v>
      </c>
    </row>
    <row r="2235">
      <c r="A2235" s="39"/>
      <c r="B2235" s="42" t="s">
        <v>648</v>
      </c>
      <c r="C2235" s="40"/>
      <c r="D2235" s="1">
        <v>143000.0</v>
      </c>
      <c r="E2235" s="42"/>
    </row>
    <row r="2236">
      <c r="B2236" s="1" t="s">
        <v>5137</v>
      </c>
      <c r="D2236" s="1">
        <v>12780.0</v>
      </c>
      <c r="E2236" s="1" t="s">
        <v>5138</v>
      </c>
    </row>
    <row r="2237">
      <c r="A2237" s="1" t="s">
        <v>5139</v>
      </c>
      <c r="B2237" s="1" t="s">
        <v>5028</v>
      </c>
      <c r="C2237" s="1">
        <v>1768986.0</v>
      </c>
    </row>
    <row r="2238">
      <c r="A2238" s="1" t="s">
        <v>5130</v>
      </c>
      <c r="B2238" s="1" t="s">
        <v>5027</v>
      </c>
      <c r="C2238" s="1">
        <v>2452926.0</v>
      </c>
    </row>
    <row r="2239">
      <c r="B2239" s="1" t="s">
        <v>5030</v>
      </c>
      <c r="C2239" s="1">
        <v>2418770.0</v>
      </c>
    </row>
    <row r="2240">
      <c r="A2240" s="1" t="s">
        <v>5133</v>
      </c>
      <c r="B2240" s="1" t="s">
        <v>5024</v>
      </c>
      <c r="C2240" s="1">
        <v>2351063.0</v>
      </c>
    </row>
    <row r="2241">
      <c r="B2241" s="1" t="s">
        <v>5025</v>
      </c>
      <c r="C2241" s="1">
        <v>1510091.0</v>
      </c>
    </row>
    <row r="2242">
      <c r="A2242" s="1" t="s">
        <v>3438</v>
      </c>
      <c r="B2242" s="1" t="s">
        <v>3969</v>
      </c>
      <c r="C2242" s="1">
        <v>4052021.0</v>
      </c>
    </row>
    <row r="2243">
      <c r="B2243" s="33" t="s">
        <v>5032</v>
      </c>
      <c r="C2243" s="1">
        <v>2309664.0</v>
      </c>
    </row>
    <row r="2244">
      <c r="A2244" s="1" t="s">
        <v>5136</v>
      </c>
      <c r="B2244" s="1" t="s">
        <v>5033</v>
      </c>
      <c r="C2244" s="1">
        <v>3215505.0</v>
      </c>
    </row>
    <row r="2245">
      <c r="A2245" s="1" t="s">
        <v>5140</v>
      </c>
      <c r="B2245" s="1" t="s">
        <v>5036</v>
      </c>
      <c r="C2245" s="1">
        <v>2170129.0</v>
      </c>
    </row>
    <row r="2246">
      <c r="C2246" s="1">
        <v>17116.0</v>
      </c>
    </row>
    <row r="2247">
      <c r="A2247" s="1" t="s">
        <v>3451</v>
      </c>
      <c r="B2247" s="33" t="s">
        <v>5037</v>
      </c>
      <c r="C2247" s="1">
        <v>1899840.0</v>
      </c>
    </row>
    <row r="2248">
      <c r="A2248" s="2" t="s">
        <v>3444</v>
      </c>
      <c r="B2248" s="2" t="s">
        <v>5141</v>
      </c>
      <c r="C2248" s="2">
        <v>2400000.0</v>
      </c>
    </row>
    <row r="2249">
      <c r="A2249" s="1" t="s">
        <v>3453</v>
      </c>
      <c r="B2249" s="33" t="s">
        <v>5142</v>
      </c>
      <c r="C2249" s="1">
        <v>1383281.0</v>
      </c>
    </row>
    <row r="2250">
      <c r="A2250" s="1" t="s">
        <v>3455</v>
      </c>
      <c r="B2250" s="1" t="s">
        <v>5077</v>
      </c>
      <c r="D2250" s="1">
        <v>1599780.0</v>
      </c>
      <c r="E2250" s="1" t="s">
        <v>5143</v>
      </c>
    </row>
    <row r="2251">
      <c r="A2251" s="1" t="s">
        <v>3455</v>
      </c>
      <c r="B2251" s="22" t="s">
        <v>4876</v>
      </c>
      <c r="C2251" s="78"/>
      <c r="D2251" s="22">
        <v>40000.0</v>
      </c>
      <c r="E2251" s="22" t="s">
        <v>4491</v>
      </c>
    </row>
    <row r="2252">
      <c r="B2252" s="30" t="s">
        <v>4956</v>
      </c>
      <c r="C2252" s="31"/>
      <c r="D2252" s="30">
        <v>1155000.0</v>
      </c>
      <c r="E2252" s="30" t="s">
        <v>4957</v>
      </c>
    </row>
    <row r="2253">
      <c r="A2253" s="39" t="s">
        <v>3450</v>
      </c>
      <c r="B2253" s="39" t="s">
        <v>4661</v>
      </c>
      <c r="C2253" s="40"/>
      <c r="D2253" s="41">
        <v>121000.0</v>
      </c>
      <c r="E2253" s="39" t="s">
        <v>5079</v>
      </c>
    </row>
    <row r="2254">
      <c r="A2254" s="40"/>
      <c r="B2254" s="42" t="s">
        <v>3964</v>
      </c>
      <c r="C2254" s="40"/>
      <c r="D2254" s="41">
        <v>220000.0</v>
      </c>
      <c r="E2254" s="39" t="s">
        <v>4683</v>
      </c>
    </row>
    <row r="2255">
      <c r="A2255" s="39"/>
      <c r="B2255" s="42" t="s">
        <v>648</v>
      </c>
      <c r="C2255" s="40"/>
      <c r="D2255" s="1">
        <v>143000.0</v>
      </c>
      <c r="E2255" s="42"/>
    </row>
    <row r="2256">
      <c r="A2256" s="1" t="s">
        <v>5144</v>
      </c>
      <c r="B2256" s="1" t="s">
        <v>5024</v>
      </c>
      <c r="C2256" s="1">
        <v>2336559.0</v>
      </c>
      <c r="E2256" s="1"/>
    </row>
    <row r="2257">
      <c r="A2257" s="1"/>
      <c r="B2257" s="1" t="s">
        <v>5025</v>
      </c>
      <c r="C2257" s="1">
        <v>1516103.0</v>
      </c>
      <c r="E2257" s="1"/>
    </row>
    <row r="2258">
      <c r="A2258" s="33"/>
      <c r="B2258" s="1" t="s">
        <v>5028</v>
      </c>
      <c r="C2258" s="33">
        <v>1777250.0</v>
      </c>
      <c r="E2258" s="1"/>
    </row>
    <row r="2259">
      <c r="A2259" s="33" t="s">
        <v>3458</v>
      </c>
      <c r="B2259" s="1" t="s">
        <v>3969</v>
      </c>
      <c r="C2259" s="33">
        <v>4101281.0</v>
      </c>
      <c r="E2259" s="1"/>
    </row>
    <row r="2260">
      <c r="A2260" s="33"/>
      <c r="B2260" s="1" t="s">
        <v>5027</v>
      </c>
      <c r="C2260" s="33">
        <v>2535287.0</v>
      </c>
      <c r="E2260" s="1"/>
    </row>
    <row r="2261">
      <c r="A2261" s="33" t="s">
        <v>5145</v>
      </c>
      <c r="B2261" s="33" t="s">
        <v>5032</v>
      </c>
      <c r="C2261" s="33">
        <v>2284516.0</v>
      </c>
      <c r="E2261" s="1"/>
    </row>
    <row r="2262">
      <c r="A2262" s="33" t="s">
        <v>3450</v>
      </c>
      <c r="B2262" s="1" t="s">
        <v>5033</v>
      </c>
      <c r="C2262" s="33">
        <v>3264112.0</v>
      </c>
      <c r="E2262" s="1"/>
    </row>
    <row r="2263">
      <c r="A2263" s="33" t="s">
        <v>5146</v>
      </c>
      <c r="B2263" s="1" t="s">
        <v>5036</v>
      </c>
      <c r="C2263" s="33">
        <v>2247989.0</v>
      </c>
      <c r="E2263" s="1"/>
    </row>
    <row r="2264">
      <c r="A2264" s="33" t="s">
        <v>3460</v>
      </c>
      <c r="B2264" s="1" t="s">
        <v>5030</v>
      </c>
      <c r="C2264" s="33">
        <v>2413003.0</v>
      </c>
      <c r="E2264" s="1"/>
    </row>
    <row r="2265">
      <c r="A2265" s="33" t="s">
        <v>5147</v>
      </c>
      <c r="B2265" s="33" t="s">
        <v>5037</v>
      </c>
      <c r="C2265" s="33">
        <v>1965000.0</v>
      </c>
      <c r="E2265" s="1"/>
    </row>
    <row r="2266">
      <c r="A2266" s="2" t="s">
        <v>5148</v>
      </c>
      <c r="B2266" s="2" t="s">
        <v>5149</v>
      </c>
      <c r="C2266" s="2">
        <v>2665594.0</v>
      </c>
      <c r="E2266" s="1"/>
    </row>
    <row r="2267">
      <c r="A2267" s="1" t="s">
        <v>5150</v>
      </c>
      <c r="B2267" s="33" t="s">
        <v>5151</v>
      </c>
      <c r="C2267" s="1">
        <v>1387596.0</v>
      </c>
      <c r="E2267" s="1"/>
    </row>
    <row r="2268">
      <c r="A2268" s="1"/>
      <c r="B2268" s="1"/>
      <c r="E2268" s="1"/>
    </row>
    <row r="2269">
      <c r="A2269" s="1"/>
      <c r="B2269" s="1"/>
      <c r="E2269" s="1"/>
    </row>
    <row r="2270">
      <c r="A2270" s="1" t="s">
        <v>3466</v>
      </c>
      <c r="B2270" s="1" t="s">
        <v>5077</v>
      </c>
      <c r="D2270" s="1">
        <v>2309800.0</v>
      </c>
      <c r="E2270" s="1" t="s">
        <v>5152</v>
      </c>
    </row>
    <row r="2271">
      <c r="A2271" s="1" t="s">
        <v>3466</v>
      </c>
      <c r="B2271" s="42" t="s">
        <v>1975</v>
      </c>
      <c r="C2271" s="46"/>
      <c r="D2271" s="47">
        <v>246000.0</v>
      </c>
      <c r="E2271" s="39" t="s">
        <v>4997</v>
      </c>
    </row>
    <row r="2272">
      <c r="A2272" s="1" t="s">
        <v>3466</v>
      </c>
      <c r="B2272" s="22" t="s">
        <v>4887</v>
      </c>
      <c r="C2272" s="78"/>
      <c r="D2272" s="22">
        <v>40000.0</v>
      </c>
      <c r="E2272" s="22" t="s">
        <v>4491</v>
      </c>
    </row>
    <row r="2273">
      <c r="B2273" s="30" t="s">
        <v>4956</v>
      </c>
      <c r="C2273" s="31"/>
      <c r="D2273" s="30">
        <v>1155000.0</v>
      </c>
      <c r="E2273" s="30" t="s">
        <v>4957</v>
      </c>
    </row>
    <row r="2274">
      <c r="A2274" s="1" t="s">
        <v>3467</v>
      </c>
      <c r="B2274" s="1" t="s">
        <v>4228</v>
      </c>
      <c r="D2274" s="1">
        <v>5214440.0</v>
      </c>
      <c r="E2274" s="1" t="s">
        <v>5153</v>
      </c>
    </row>
    <row r="2275">
      <c r="A2275" s="39" t="s">
        <v>3467</v>
      </c>
      <c r="B2275" s="39" t="s">
        <v>4661</v>
      </c>
      <c r="C2275" s="40"/>
      <c r="D2275" s="41">
        <v>121000.0</v>
      </c>
      <c r="E2275" s="39" t="s">
        <v>5079</v>
      </c>
    </row>
    <row r="2276">
      <c r="A2276" s="40"/>
      <c r="B2276" s="42" t="s">
        <v>3964</v>
      </c>
      <c r="C2276" s="40"/>
      <c r="D2276" s="41">
        <v>220000.0</v>
      </c>
      <c r="E2276" s="39" t="s">
        <v>4683</v>
      </c>
    </row>
    <row r="2277">
      <c r="A2277" s="39"/>
      <c r="B2277" s="42" t="s">
        <v>648</v>
      </c>
      <c r="C2277" s="40"/>
      <c r="D2277" s="1">
        <v>143000.0</v>
      </c>
      <c r="E2277" s="42"/>
    </row>
    <row r="2278">
      <c r="A2278" s="2" t="s">
        <v>3472</v>
      </c>
      <c r="B2278" s="2" t="s">
        <v>5149</v>
      </c>
      <c r="C2278" s="2">
        <v>2400000.0</v>
      </c>
      <c r="D2278" s="47"/>
      <c r="E2278" s="45"/>
    </row>
    <row r="2279">
      <c r="B2279" s="1" t="s">
        <v>5027</v>
      </c>
      <c r="C2279" s="1">
        <v>2605887.0</v>
      </c>
      <c r="D2279" s="33"/>
      <c r="E2279" s="33"/>
    </row>
    <row r="2280">
      <c r="B2280" s="1" t="s">
        <v>5024</v>
      </c>
      <c r="C2280" s="33">
        <v>2451468.0</v>
      </c>
      <c r="D2280" s="33"/>
      <c r="E2280" s="33"/>
    </row>
    <row r="2281">
      <c r="A2281" s="1"/>
      <c r="B2281" s="1" t="s">
        <v>5025</v>
      </c>
      <c r="C2281" s="1">
        <v>1627909.0</v>
      </c>
      <c r="D2281" s="1"/>
      <c r="E2281" s="1"/>
    </row>
    <row r="2282">
      <c r="A2282" s="1"/>
      <c r="B2282" s="1" t="s">
        <v>5028</v>
      </c>
      <c r="C2282" s="1">
        <v>1816081.0</v>
      </c>
      <c r="D2282" s="1"/>
      <c r="E2282" s="1"/>
    </row>
    <row r="2283">
      <c r="A2283" s="1" t="s">
        <v>5154</v>
      </c>
      <c r="B2283" s="1" t="s">
        <v>5030</v>
      </c>
      <c r="C2283" s="1">
        <v>2421606.0</v>
      </c>
      <c r="D2283" s="1"/>
      <c r="E2283" s="1"/>
    </row>
    <row r="2284">
      <c r="A2284" s="1" t="s">
        <v>5155</v>
      </c>
      <c r="B2284" s="1" t="s">
        <v>5033</v>
      </c>
      <c r="C2284" s="1">
        <v>3366600.0</v>
      </c>
      <c r="D2284" s="1"/>
      <c r="E2284" s="1"/>
    </row>
    <row r="2285">
      <c r="A2285" s="1" t="s">
        <v>3467</v>
      </c>
      <c r="B2285" s="1" t="s">
        <v>3969</v>
      </c>
      <c r="C2285" s="1">
        <v>4270801.0</v>
      </c>
      <c r="D2285" s="1"/>
      <c r="E2285" s="1"/>
    </row>
    <row r="2286">
      <c r="A2286" s="1"/>
      <c r="B2286" s="33" t="s">
        <v>5032</v>
      </c>
      <c r="C2286" s="1">
        <v>2362409.0</v>
      </c>
      <c r="D2286" s="1"/>
      <c r="E2286" s="1"/>
    </row>
    <row r="2287">
      <c r="A2287" s="1" t="s">
        <v>5156</v>
      </c>
      <c r="B2287" s="1" t="s">
        <v>5036</v>
      </c>
      <c r="C2287" s="1">
        <v>2344116.0</v>
      </c>
      <c r="D2287" s="1"/>
      <c r="E2287" s="1"/>
    </row>
    <row r="2288">
      <c r="A2288" s="1" t="s">
        <v>3474</v>
      </c>
      <c r="B2288" s="33" t="s">
        <v>5037</v>
      </c>
      <c r="C2288" s="1">
        <v>2013600.0</v>
      </c>
      <c r="D2288" s="1"/>
      <c r="E2288" s="1"/>
    </row>
    <row r="2289">
      <c r="A2289" s="1" t="s">
        <v>5157</v>
      </c>
      <c r="B2289" s="1" t="s">
        <v>5033</v>
      </c>
      <c r="C2289" s="1">
        <v>952668.0</v>
      </c>
      <c r="D2289" s="1"/>
      <c r="E2289" s="1"/>
    </row>
    <row r="2290">
      <c r="A2290" s="1" t="s">
        <v>5158</v>
      </c>
      <c r="B2290" s="1" t="s">
        <v>5159</v>
      </c>
      <c r="C2290" s="1">
        <v>2.7E7</v>
      </c>
      <c r="D2290" s="1"/>
      <c r="E2290" s="1"/>
    </row>
    <row r="2291">
      <c r="A2291" s="1"/>
      <c r="B2291" s="1" t="s">
        <v>5160</v>
      </c>
      <c r="D2291" s="1">
        <v>3.0E7</v>
      </c>
      <c r="E2291" s="1"/>
    </row>
    <row r="2292">
      <c r="A2292" s="1" t="s">
        <v>5161</v>
      </c>
      <c r="B2292" s="33" t="s">
        <v>5042</v>
      </c>
      <c r="C2292" s="1">
        <v>1398266.0</v>
      </c>
      <c r="D2292" s="1"/>
      <c r="E2292" s="1"/>
    </row>
    <row r="2293">
      <c r="A2293" s="1" t="s">
        <v>3478</v>
      </c>
      <c r="B2293" s="1" t="s">
        <v>5077</v>
      </c>
      <c r="D2293" s="1">
        <v>2144940.0</v>
      </c>
      <c r="E2293" s="1" t="s">
        <v>5162</v>
      </c>
    </row>
    <row r="2294">
      <c r="A2294" s="1" t="s">
        <v>5163</v>
      </c>
      <c r="B2294" s="22" t="s">
        <v>4896</v>
      </c>
      <c r="C2294" s="78"/>
      <c r="D2294" s="22">
        <v>40000.0</v>
      </c>
      <c r="E2294" s="22" t="s">
        <v>4491</v>
      </c>
    </row>
    <row r="2295">
      <c r="B2295" s="30" t="s">
        <v>4956</v>
      </c>
      <c r="C2295" s="31"/>
      <c r="D2295" s="30">
        <v>1218000.0</v>
      </c>
      <c r="E2295" s="30" t="s">
        <v>4957</v>
      </c>
    </row>
    <row r="2296">
      <c r="A2296" s="39" t="s">
        <v>5043</v>
      </c>
      <c r="B2296" s="39" t="s">
        <v>4661</v>
      </c>
      <c r="C2296" s="40"/>
      <c r="D2296" s="41">
        <v>121000.0</v>
      </c>
      <c r="E2296" s="39" t="s">
        <v>5079</v>
      </c>
    </row>
    <row r="2297">
      <c r="A2297" s="40"/>
      <c r="B2297" s="42" t="s">
        <v>3964</v>
      </c>
      <c r="C2297" s="40"/>
      <c r="D2297" s="41">
        <v>220000.0</v>
      </c>
      <c r="E2297" s="39" t="s">
        <v>4683</v>
      </c>
    </row>
    <row r="2298">
      <c r="A2298" s="39"/>
      <c r="B2298" s="42" t="s">
        <v>648</v>
      </c>
      <c r="C2298" s="40"/>
      <c r="D2298" s="1">
        <v>143000.0</v>
      </c>
      <c r="E2298" s="42"/>
    </row>
    <row r="2300">
      <c r="A2300" s="1" t="s">
        <v>5164</v>
      </c>
      <c r="B2300" s="1" t="s">
        <v>5030</v>
      </c>
      <c r="C2300" s="1">
        <v>2407467.0</v>
      </c>
    </row>
    <row r="2301">
      <c r="A2301" s="1" t="s">
        <v>5165</v>
      </c>
      <c r="B2301" s="1" t="s">
        <v>5027</v>
      </c>
      <c r="C2301" s="1">
        <v>2589153.0</v>
      </c>
    </row>
    <row r="2302">
      <c r="B2302" s="1" t="s">
        <v>5024</v>
      </c>
      <c r="C2302" s="1">
        <v>2362372.0</v>
      </c>
    </row>
    <row r="2303">
      <c r="B2303" s="1" t="s">
        <v>5025</v>
      </c>
      <c r="C2303" s="1">
        <v>1608888.0</v>
      </c>
    </row>
    <row r="2304">
      <c r="A2304" s="1" t="s">
        <v>5166</v>
      </c>
      <c r="B2304" s="1" t="s">
        <v>5028</v>
      </c>
      <c r="C2304" s="1">
        <v>1869384.0</v>
      </c>
    </row>
    <row r="2305">
      <c r="B2305" s="33" t="s">
        <v>5037</v>
      </c>
      <c r="C2305" s="1">
        <v>1989160.0</v>
      </c>
    </row>
    <row r="2306">
      <c r="A2306" s="1" t="s">
        <v>3479</v>
      </c>
      <c r="B2306" s="1" t="s">
        <v>3969</v>
      </c>
      <c r="C2306" s="1">
        <v>4196887.0</v>
      </c>
    </row>
    <row r="2307">
      <c r="B2307" s="33" t="s">
        <v>5032</v>
      </c>
      <c r="C2307" s="1">
        <v>2338616.0</v>
      </c>
    </row>
    <row r="2308">
      <c r="B2308" s="1" t="s">
        <v>5159</v>
      </c>
      <c r="C2308" s="1">
        <v>2387587.0</v>
      </c>
    </row>
    <row r="2309">
      <c r="A2309" s="1" t="s">
        <v>5167</v>
      </c>
      <c r="B2309" s="1" t="s">
        <v>5036</v>
      </c>
      <c r="C2309" s="1">
        <v>2306349.0</v>
      </c>
    </row>
    <row r="2310">
      <c r="A2310" s="1" t="s">
        <v>5168</v>
      </c>
      <c r="B2310" s="33" t="s">
        <v>5039</v>
      </c>
      <c r="C2310" s="1">
        <v>1385803.0</v>
      </c>
    </row>
    <row r="2314">
      <c r="A2314" s="1" t="s">
        <v>3495</v>
      </c>
      <c r="B2314" s="1" t="s">
        <v>5077</v>
      </c>
      <c r="D2314" s="1">
        <v>1705440.0</v>
      </c>
      <c r="E2314" s="1" t="s">
        <v>5169</v>
      </c>
    </row>
    <row r="2315">
      <c r="A2315" s="1" t="s">
        <v>3495</v>
      </c>
      <c r="B2315" s="42" t="s">
        <v>1975</v>
      </c>
      <c r="C2315" s="46"/>
      <c r="D2315" s="47">
        <v>182560.0</v>
      </c>
      <c r="E2315" s="39" t="s">
        <v>4997</v>
      </c>
    </row>
    <row r="2316">
      <c r="A2316" s="1" t="s">
        <v>3495</v>
      </c>
      <c r="B2316" s="22" t="s">
        <v>4759</v>
      </c>
      <c r="C2316" s="78"/>
      <c r="D2316" s="22">
        <v>40000.0</v>
      </c>
      <c r="E2316" s="22" t="s">
        <v>4491</v>
      </c>
    </row>
    <row r="2317">
      <c r="B2317" s="30" t="s">
        <v>4956</v>
      </c>
      <c r="C2317" s="31"/>
      <c r="D2317" s="30">
        <v>1037000.0</v>
      </c>
      <c r="E2317" s="30" t="s">
        <v>4957</v>
      </c>
    </row>
    <row r="2318">
      <c r="A2318" s="39" t="s">
        <v>3493</v>
      </c>
      <c r="B2318" s="39" t="s">
        <v>4661</v>
      </c>
      <c r="C2318" s="40"/>
      <c r="D2318" s="41">
        <v>121000.0</v>
      </c>
      <c r="E2318" s="39" t="s">
        <v>5079</v>
      </c>
    </row>
    <row r="2319">
      <c r="A2319" s="40"/>
      <c r="B2319" s="42" t="s">
        <v>3964</v>
      </c>
      <c r="C2319" s="40"/>
      <c r="D2319" s="41">
        <v>220000.0</v>
      </c>
      <c r="E2319" s="39" t="s">
        <v>4683</v>
      </c>
    </row>
    <row r="2320">
      <c r="A2320" s="39"/>
      <c r="B2320" s="42" t="s">
        <v>648</v>
      </c>
      <c r="C2320" s="40"/>
      <c r="D2320" s="1">
        <v>143000.0</v>
      </c>
      <c r="E2320" s="42"/>
    </row>
    <row r="2321">
      <c r="A2321" s="1" t="s">
        <v>5170</v>
      </c>
      <c r="B2321" s="1" t="s">
        <v>5028</v>
      </c>
      <c r="C2321" s="1">
        <v>1841839.0</v>
      </c>
    </row>
    <row r="2322">
      <c r="B2322" s="1" t="s">
        <v>5024</v>
      </c>
      <c r="C2322" s="1">
        <v>2356445.0</v>
      </c>
    </row>
    <row r="2323">
      <c r="B2323" s="1" t="s">
        <v>5025</v>
      </c>
      <c r="C2323" s="1">
        <v>1595218.0</v>
      </c>
    </row>
    <row r="2324">
      <c r="A2324" s="1" t="s">
        <v>5171</v>
      </c>
      <c r="B2324" s="1" t="s">
        <v>5027</v>
      </c>
      <c r="C2324" s="1">
        <v>2538392.0</v>
      </c>
    </row>
    <row r="2325">
      <c r="A2325" s="1" t="s">
        <v>5172</v>
      </c>
      <c r="B2325" s="1" t="s">
        <v>5030</v>
      </c>
      <c r="C2325" s="1">
        <v>2413763.0</v>
      </c>
    </row>
    <row r="2326">
      <c r="A2326" s="1" t="s">
        <v>5173</v>
      </c>
      <c r="B2326" s="2" t="s">
        <v>5149</v>
      </c>
      <c r="C2326" s="1">
        <v>2000000.0</v>
      </c>
    </row>
    <row r="2327">
      <c r="B2327" s="1" t="s">
        <v>5159</v>
      </c>
      <c r="C2327" s="1">
        <v>3281734.0</v>
      </c>
    </row>
    <row r="2328">
      <c r="A2328" s="1" t="s">
        <v>3493</v>
      </c>
      <c r="B2328" s="1" t="s">
        <v>3969</v>
      </c>
      <c r="C2328" s="1">
        <v>4151472.0</v>
      </c>
    </row>
    <row r="2329">
      <c r="B2329" s="33" t="s">
        <v>5037</v>
      </c>
      <c r="C2329" s="1">
        <v>1966900.0</v>
      </c>
    </row>
    <row r="2330">
      <c r="B2330" s="33" t="s">
        <v>5032</v>
      </c>
      <c r="C2330" s="1">
        <v>2475290.0</v>
      </c>
    </row>
    <row r="2331">
      <c r="A2331" s="1" t="s">
        <v>3490</v>
      </c>
      <c r="B2331" s="1" t="s">
        <v>5036</v>
      </c>
      <c r="C2331" s="1">
        <v>2224374.0</v>
      </c>
    </row>
    <row r="2332">
      <c r="A2332" s="1" t="s">
        <v>5174</v>
      </c>
      <c r="B2332" s="33" t="s">
        <v>5059</v>
      </c>
      <c r="C2332" s="1">
        <v>1372692.0</v>
      </c>
    </row>
    <row r="2333">
      <c r="A2333" s="1" t="s">
        <v>5175</v>
      </c>
      <c r="B2333" s="22" t="s">
        <v>5176</v>
      </c>
      <c r="D2333" s="1">
        <v>550000.0</v>
      </c>
      <c r="E2333" s="1" t="s">
        <v>5177</v>
      </c>
    </row>
    <row r="2334">
      <c r="A2334" s="1" t="s">
        <v>3504</v>
      </c>
      <c r="B2334" s="1" t="s">
        <v>5077</v>
      </c>
      <c r="D2334" s="1">
        <v>1264630.0</v>
      </c>
      <c r="E2334" s="1" t="s">
        <v>5178</v>
      </c>
    </row>
    <row r="2335">
      <c r="A2335" s="1" t="s">
        <v>3504</v>
      </c>
      <c r="B2335" s="22" t="s">
        <v>4773</v>
      </c>
      <c r="C2335" s="78"/>
      <c r="D2335" s="22">
        <v>40000.0</v>
      </c>
      <c r="E2335" s="22" t="s">
        <v>4491</v>
      </c>
    </row>
    <row r="2336">
      <c r="B2336" s="30" t="s">
        <v>4956</v>
      </c>
      <c r="C2336" s="31"/>
      <c r="D2336" s="30">
        <v>1100000.0</v>
      </c>
      <c r="E2336" s="30" t="s">
        <v>4957</v>
      </c>
    </row>
    <row r="2337">
      <c r="A2337" s="39" t="s">
        <v>3505</v>
      </c>
      <c r="B2337" s="39" t="s">
        <v>4661</v>
      </c>
      <c r="C2337" s="40"/>
      <c r="D2337" s="41">
        <v>121000.0</v>
      </c>
      <c r="E2337" s="39" t="s">
        <v>5079</v>
      </c>
    </row>
    <row r="2338">
      <c r="A2338" s="40"/>
      <c r="B2338" s="42" t="s">
        <v>3964</v>
      </c>
      <c r="C2338" s="40"/>
      <c r="D2338" s="41">
        <v>220000.0</v>
      </c>
      <c r="E2338" s="39" t="s">
        <v>4683</v>
      </c>
    </row>
    <row r="2339">
      <c r="A2339" s="39"/>
      <c r="B2339" s="42" t="s">
        <v>648</v>
      </c>
      <c r="C2339" s="40"/>
      <c r="D2339" s="1">
        <v>143000.0</v>
      </c>
      <c r="E2339" s="42"/>
    </row>
    <row r="2340">
      <c r="A2340" s="1" t="s">
        <v>3504</v>
      </c>
      <c r="B2340" s="1" t="s">
        <v>4228</v>
      </c>
      <c r="D2340" s="1">
        <v>6100000.0</v>
      </c>
      <c r="E2340" s="1" t="s">
        <v>5179</v>
      </c>
    </row>
    <row r="2341">
      <c r="A2341" s="1" t="s">
        <v>5180</v>
      </c>
      <c r="B2341" s="1" t="s">
        <v>5181</v>
      </c>
      <c r="C2341" s="1">
        <v>1.0E7</v>
      </c>
    </row>
    <row r="2342">
      <c r="A2342" s="1" t="s">
        <v>3518</v>
      </c>
      <c r="B2342" s="1" t="s">
        <v>5182</v>
      </c>
      <c r="D2342" s="1">
        <v>525000.0</v>
      </c>
      <c r="E2342" s="1" t="s">
        <v>4368</v>
      </c>
    </row>
    <row r="2343">
      <c r="B2343" s="1" t="s">
        <v>4656</v>
      </c>
      <c r="D2343" s="1">
        <v>22500.0</v>
      </c>
      <c r="E2343" s="1" t="s">
        <v>4368</v>
      </c>
    </row>
    <row r="2352">
      <c r="A2352" s="1" t="s">
        <v>3522</v>
      </c>
      <c r="B2352" s="1" t="s">
        <v>5077</v>
      </c>
      <c r="D2352" s="1">
        <v>1024880.0</v>
      </c>
      <c r="E2352" s="1" t="s">
        <v>5183</v>
      </c>
    </row>
    <row r="2353">
      <c r="A2353" s="1" t="s">
        <v>3522</v>
      </c>
      <c r="B2353" s="42" t="s">
        <v>1975</v>
      </c>
      <c r="C2353" s="46"/>
      <c r="D2353" s="47">
        <v>237680.0</v>
      </c>
      <c r="E2353" s="39" t="s">
        <v>4997</v>
      </c>
    </row>
    <row r="2354">
      <c r="A2354" s="1" t="s">
        <v>3522</v>
      </c>
      <c r="B2354" s="22" t="s">
        <v>4785</v>
      </c>
      <c r="C2354" s="78"/>
      <c r="D2354" s="22">
        <v>40000.0</v>
      </c>
      <c r="E2354" s="22" t="s">
        <v>4491</v>
      </c>
    </row>
    <row r="2355">
      <c r="B2355" s="30" t="s">
        <v>4956</v>
      </c>
      <c r="C2355" s="31"/>
      <c r="D2355" s="30">
        <v>1100000.0</v>
      </c>
      <c r="E2355" s="30" t="s">
        <v>4957</v>
      </c>
    </row>
    <row r="2356">
      <c r="A2356" s="39" t="s">
        <v>3517</v>
      </c>
      <c r="B2356" s="39" t="s">
        <v>4661</v>
      </c>
      <c r="C2356" s="40"/>
      <c r="D2356" s="41">
        <v>121000.0</v>
      </c>
      <c r="E2356" s="39" t="s">
        <v>5079</v>
      </c>
    </row>
    <row r="2357">
      <c r="A2357" s="40"/>
      <c r="B2357" s="42" t="s">
        <v>3964</v>
      </c>
      <c r="C2357" s="40"/>
      <c r="D2357" s="41">
        <v>220000.0</v>
      </c>
      <c r="E2357" s="39" t="s">
        <v>4683</v>
      </c>
    </row>
    <row r="2358">
      <c r="A2358" s="39"/>
      <c r="B2358" s="42" t="s">
        <v>648</v>
      </c>
      <c r="C2358" s="40"/>
      <c r="D2358" s="1">
        <v>143000.0</v>
      </c>
      <c r="E2358" s="42"/>
    </row>
    <row r="2362">
      <c r="A2362" s="1" t="s">
        <v>3526</v>
      </c>
      <c r="B2362" s="1" t="s">
        <v>5184</v>
      </c>
      <c r="C2362" s="1">
        <v>3.0E7</v>
      </c>
    </row>
    <row r="2364">
      <c r="A2364" s="1" t="s">
        <v>5185</v>
      </c>
      <c r="B2364" s="1" t="s">
        <v>5077</v>
      </c>
      <c r="D2364" s="1">
        <v>1324550.0</v>
      </c>
      <c r="E2364" s="1" t="s">
        <v>5186</v>
      </c>
    </row>
    <row r="2365">
      <c r="A2365" s="1" t="s">
        <v>5185</v>
      </c>
      <c r="B2365" s="22" t="s">
        <v>4793</v>
      </c>
      <c r="C2365" s="78"/>
      <c r="D2365" s="22">
        <v>40000.0</v>
      </c>
      <c r="E2365" s="22" t="s">
        <v>4491</v>
      </c>
    </row>
    <row r="2366">
      <c r="B2366" s="30" t="s">
        <v>4956</v>
      </c>
      <c r="C2366" s="31"/>
      <c r="D2366" s="30">
        <v>1100000.0</v>
      </c>
      <c r="E2366" s="30" t="s">
        <v>4957</v>
      </c>
    </row>
    <row r="2367">
      <c r="A2367" s="39" t="s">
        <v>3528</v>
      </c>
      <c r="B2367" s="39" t="s">
        <v>4661</v>
      </c>
      <c r="C2367" s="40"/>
      <c r="D2367" s="41">
        <v>121000.0</v>
      </c>
      <c r="E2367" s="39" t="s">
        <v>5079</v>
      </c>
    </row>
    <row r="2368">
      <c r="A2368" s="40"/>
      <c r="B2368" s="42" t="s">
        <v>3964</v>
      </c>
      <c r="C2368" s="40"/>
      <c r="D2368" s="41">
        <v>220000.0</v>
      </c>
      <c r="E2368" s="39" t="s">
        <v>4683</v>
      </c>
    </row>
    <row r="2369">
      <c r="A2369" s="39"/>
      <c r="B2369" s="42" t="s">
        <v>648</v>
      </c>
      <c r="C2369" s="40"/>
      <c r="D2369" s="1">
        <v>143000.0</v>
      </c>
      <c r="E2369" s="42"/>
    </row>
    <row r="2371">
      <c r="A2371" s="1" t="s">
        <v>3543</v>
      </c>
      <c r="B2371" s="40" t="s">
        <v>1828</v>
      </c>
      <c r="C2371" s="40"/>
      <c r="D2371" s="1">
        <v>1053690.0</v>
      </c>
    </row>
    <row r="2372">
      <c r="B2372" s="40" t="s">
        <v>2033</v>
      </c>
      <c r="C2372" s="40"/>
      <c r="D2372" s="1">
        <v>787050.0</v>
      </c>
    </row>
    <row r="2375">
      <c r="A2375" s="1" t="s">
        <v>3544</v>
      </c>
      <c r="B2375" s="1" t="s">
        <v>5077</v>
      </c>
      <c r="D2375" s="1">
        <v>1849240.0</v>
      </c>
      <c r="E2375" s="1" t="s">
        <v>5187</v>
      </c>
    </row>
    <row r="2376">
      <c r="A2376" s="1" t="s">
        <v>3544</v>
      </c>
      <c r="B2376" s="42" t="s">
        <v>1975</v>
      </c>
      <c r="C2376" s="46"/>
      <c r="D2376" s="47">
        <v>271640.0</v>
      </c>
      <c r="E2376" s="39" t="s">
        <v>4997</v>
      </c>
    </row>
    <row r="2377">
      <c r="A2377" s="1" t="s">
        <v>3544</v>
      </c>
      <c r="B2377" s="22" t="s">
        <v>4801</v>
      </c>
      <c r="C2377" s="78"/>
      <c r="D2377" s="22">
        <v>40000.0</v>
      </c>
      <c r="E2377" s="22" t="s">
        <v>4491</v>
      </c>
    </row>
    <row r="2378">
      <c r="B2378" s="30" t="s">
        <v>4956</v>
      </c>
      <c r="C2378" s="31"/>
      <c r="D2378" s="30">
        <v>1100000.0</v>
      </c>
      <c r="E2378" s="30" t="s">
        <v>4957</v>
      </c>
    </row>
    <row r="2379">
      <c r="A2379" s="39" t="s">
        <v>5188</v>
      </c>
      <c r="B2379" s="39" t="s">
        <v>4661</v>
      </c>
      <c r="C2379" s="40"/>
      <c r="D2379" s="49">
        <v>121000.0</v>
      </c>
      <c r="E2379" s="39" t="s">
        <v>5079</v>
      </c>
    </row>
    <row r="2380">
      <c r="A2380" s="40"/>
      <c r="B2380" s="42" t="s">
        <v>3964</v>
      </c>
      <c r="C2380" s="40"/>
      <c r="D2380" s="49">
        <v>220000.0</v>
      </c>
      <c r="E2380" s="39" t="s">
        <v>4683</v>
      </c>
    </row>
    <row r="2381">
      <c r="A2381" s="39"/>
      <c r="B2381" s="42" t="s">
        <v>648</v>
      </c>
      <c r="C2381" s="40"/>
      <c r="D2381" s="23">
        <v>143000.0</v>
      </c>
      <c r="E2381" s="42"/>
    </row>
    <row r="2382">
      <c r="A2382" s="1" t="s">
        <v>5189</v>
      </c>
      <c r="B2382" s="1" t="s">
        <v>4228</v>
      </c>
      <c r="D2382" s="1">
        <v>7032340.0</v>
      </c>
      <c r="E2382" s="1" t="s">
        <v>5190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13"/>
    <col customWidth="1" min="2" max="2" width="41.13"/>
    <col customWidth="1" min="3" max="3" width="14.63"/>
    <col customWidth="1" min="4" max="4" width="17.75"/>
    <col customWidth="1" min="5" max="5" width="10.5"/>
    <col customWidth="1" min="6" max="6" width="10.63"/>
    <col customWidth="1" min="7" max="7" width="13.88"/>
    <col customWidth="1" min="8" max="8" width="8.88"/>
    <col customWidth="1" min="9" max="9" width="10.0"/>
    <col customWidth="1" min="10" max="10" width="17.25"/>
    <col customWidth="1" min="11" max="11" width="2.13"/>
    <col customWidth="1" min="12" max="12" width="8.63"/>
    <col customWidth="1" min="13" max="13" width="39.5"/>
    <col customWidth="1" min="14" max="14" width="15.75"/>
    <col customWidth="1" min="15" max="15" width="14.5"/>
    <col customWidth="1" min="16" max="16" width="27.63"/>
    <col customWidth="1" min="17" max="17" width="29.75"/>
    <col customWidth="1" min="18" max="18" width="11.75"/>
    <col customWidth="1" min="19" max="19" width="6.5"/>
    <col customWidth="1" min="20" max="29" width="8.13"/>
  </cols>
  <sheetData>
    <row r="1">
      <c r="A1">
        <f>SUM(B1,J1,L1,C57,C58)</f>
        <v>3287636</v>
      </c>
      <c r="B1">
        <f>SUM(C1:F1,H11)</f>
        <v>598538</v>
      </c>
      <c r="C1">
        <f>Sum(C3:C31)</f>
        <v>118641</v>
      </c>
      <c r="D1">
        <f>Sum(D3:D16)</f>
        <v>8200</v>
      </c>
      <c r="F1">
        <f>Sum(F6:F31)</f>
        <v>491697</v>
      </c>
      <c r="H1">
        <f>SUM(F27,F21,I17)</f>
        <v>153500</v>
      </c>
      <c r="I1">
        <f>SUM(C8:C16,D8:D13,F10,F12,F15,)</f>
        <v>61738</v>
      </c>
      <c r="J1">
        <f>Sum(J80:J106)</f>
        <v>137478</v>
      </c>
      <c r="L1">
        <f>Sum(L6:L77)</f>
        <v>2495620</v>
      </c>
    </row>
    <row r="2">
      <c r="A2" s="63">
        <f>SUM(M64,0.5*L37,M43,J82,J84,J85,J88,J90,J93,J97,J105,L41,C5,C9,C11,C12,C14,C16,D13,F10,C8,L31,L30,0.5*M64)</f>
        <v>2283504</v>
      </c>
      <c r="C2" s="3" t="s">
        <v>5191</v>
      </c>
      <c r="D2" s="1" t="s">
        <v>5192</v>
      </c>
      <c r="E2" s="3" t="s">
        <v>5193</v>
      </c>
      <c r="F2" s="3" t="s">
        <v>5194</v>
      </c>
      <c r="H2" s="3" t="s">
        <v>5195</v>
      </c>
      <c r="I2" s="3" t="s">
        <v>5196</v>
      </c>
      <c r="J2" s="3" t="s">
        <v>5197</v>
      </c>
      <c r="L2" s="3" t="s">
        <v>5198</v>
      </c>
    </row>
    <row r="3">
      <c r="A3" s="1">
        <v>100000.0</v>
      </c>
      <c r="B3" s="3" t="s">
        <v>5199</v>
      </c>
      <c r="N3" s="1"/>
      <c r="O3" s="1"/>
      <c r="P3" s="1"/>
      <c r="Q3" s="1"/>
    </row>
    <row r="4">
      <c r="A4" s="1">
        <v>30000.0</v>
      </c>
      <c r="B4" s="1" t="s">
        <v>5200</v>
      </c>
      <c r="C4" s="1">
        <v>1000.0</v>
      </c>
      <c r="N4" s="1"/>
      <c r="O4" s="1"/>
      <c r="P4" s="1"/>
      <c r="Q4" s="1"/>
    </row>
    <row r="5">
      <c r="A5" s="1">
        <v>5000.0</v>
      </c>
      <c r="B5" s="3" t="s">
        <v>5201</v>
      </c>
      <c r="C5" s="1">
        <v>1000.0</v>
      </c>
      <c r="D5" s="1"/>
      <c r="E5" s="1"/>
      <c r="N5" s="1"/>
      <c r="O5" s="1"/>
      <c r="P5" s="1"/>
      <c r="Q5" s="1"/>
    </row>
    <row r="6">
      <c r="A6" s="1"/>
      <c r="B6" s="1" t="s">
        <v>630</v>
      </c>
      <c r="C6" s="23">
        <v>3000.0</v>
      </c>
      <c r="D6" s="88">
        <v>0.0</v>
      </c>
      <c r="E6" s="88" t="s">
        <v>5202</v>
      </c>
      <c r="G6" s="1"/>
    </row>
    <row r="7" ht="15.0" customHeight="1">
      <c r="A7" s="95">
        <f>SUM(D8,D9,C8,C9,C11,D11,D13,C14,F10)</f>
        <v>52397</v>
      </c>
      <c r="B7" s="96"/>
      <c r="C7" s="97"/>
      <c r="D7" s="98"/>
      <c r="E7" s="98"/>
      <c r="F7" s="98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A8" s="18">
        <f>SUM(C6,A7)</f>
        <v>55397</v>
      </c>
      <c r="B8" s="1" t="s">
        <v>5203</v>
      </c>
      <c r="C8" s="22">
        <v>0.0</v>
      </c>
      <c r="D8" s="23">
        <v>1000.0</v>
      </c>
      <c r="G8" s="99"/>
    </row>
    <row r="9">
      <c r="B9" s="1" t="s">
        <v>5204</v>
      </c>
      <c r="C9" s="23">
        <v>48000.0</v>
      </c>
      <c r="D9" s="23">
        <v>500.0</v>
      </c>
      <c r="F9" s="100"/>
      <c r="G9" s="101"/>
    </row>
    <row r="10">
      <c r="B10" s="3" t="s">
        <v>5205</v>
      </c>
      <c r="D10" s="1">
        <v>5000.0</v>
      </c>
      <c r="E10" s="102"/>
      <c r="F10" s="102">
        <v>397.0</v>
      </c>
      <c r="G10" s="102"/>
      <c r="H10" s="1">
        <v>0.0</v>
      </c>
    </row>
    <row r="11">
      <c r="B11" s="3" t="s">
        <v>5206</v>
      </c>
      <c r="C11" s="23">
        <v>500.0</v>
      </c>
      <c r="D11" s="23">
        <v>700.0</v>
      </c>
      <c r="F11" s="103"/>
      <c r="G11" s="1" t="s">
        <v>5207</v>
      </c>
      <c r="H11" s="1">
        <v>-20000.0</v>
      </c>
      <c r="I11" s="3" t="s">
        <v>5208</v>
      </c>
      <c r="J11" s="1" t="s">
        <v>5209</v>
      </c>
    </row>
    <row r="12">
      <c r="B12" s="23" t="s">
        <v>5210</v>
      </c>
      <c r="C12" s="1">
        <v>641.0</v>
      </c>
      <c r="D12" s="1"/>
      <c r="F12" s="33"/>
    </row>
    <row r="13">
      <c r="B13" s="1" t="s">
        <v>5211</v>
      </c>
      <c r="C13" s="1"/>
      <c r="D13" s="23">
        <v>1000.0</v>
      </c>
      <c r="E13" s="1"/>
      <c r="F13" s="5"/>
      <c r="G13" s="5"/>
      <c r="H13" s="5"/>
    </row>
    <row r="14">
      <c r="B14" s="3" t="s">
        <v>5212</v>
      </c>
      <c r="C14" s="23">
        <v>300.0</v>
      </c>
    </row>
    <row r="15">
      <c r="E15" s="104" t="s">
        <v>5213</v>
      </c>
      <c r="G15" s="105">
        <f>H16-1400</f>
        <v>400</v>
      </c>
      <c r="H15" s="33"/>
    </row>
    <row r="16">
      <c r="A16" s="56" t="s">
        <v>5214</v>
      </c>
      <c r="B16" s="106" t="s">
        <v>5215</v>
      </c>
      <c r="C16" s="1">
        <v>3700.0</v>
      </c>
      <c r="D16" s="56" t="s">
        <v>5216</v>
      </c>
      <c r="E16" s="107" t="s">
        <v>5217</v>
      </c>
      <c r="F16" s="108" t="s">
        <v>5218</v>
      </c>
      <c r="G16" s="56" t="s">
        <v>5219</v>
      </c>
      <c r="H16" s="56">
        <v>1800.0</v>
      </c>
      <c r="I16" s="56" t="s">
        <v>5220</v>
      </c>
      <c r="J16" s="30"/>
    </row>
    <row r="17">
      <c r="B17" s="2" t="s">
        <v>5221</v>
      </c>
      <c r="G17" s="74"/>
      <c r="H17" s="74">
        <v>38500.0</v>
      </c>
      <c r="I17" s="74">
        <f>H17-35000</f>
        <v>3500</v>
      </c>
      <c r="J17" s="2"/>
      <c r="M17" s="3" t="s">
        <v>5222</v>
      </c>
    </row>
    <row r="18">
      <c r="B18" s="3" t="s">
        <v>5223</v>
      </c>
      <c r="E18" s="109" t="s">
        <v>2726</v>
      </c>
      <c r="M18" s="3" t="s">
        <v>5224</v>
      </c>
    </row>
    <row r="19">
      <c r="A19" s="1">
        <v>500000.0</v>
      </c>
      <c r="B19" s="110" t="s">
        <v>5225</v>
      </c>
      <c r="C19" s="111">
        <f>A19*0.12
</f>
        <v>60000</v>
      </c>
      <c r="D19" s="2" t="s">
        <v>5226</v>
      </c>
      <c r="E19" s="109">
        <v>99132.0</v>
      </c>
      <c r="F19" s="1">
        <v>100000.0</v>
      </c>
      <c r="G19" s="3" t="s">
        <v>5227</v>
      </c>
    </row>
    <row r="20">
      <c r="B20" s="110" t="s">
        <v>5228</v>
      </c>
      <c r="E20" s="109">
        <v>101037.0</v>
      </c>
      <c r="F20" s="1">
        <v>100000.0</v>
      </c>
      <c r="G20" s="1" t="s">
        <v>5229</v>
      </c>
    </row>
    <row r="21">
      <c r="B21" s="3" t="s">
        <v>5230</v>
      </c>
      <c r="E21" s="109">
        <v>477200.0</v>
      </c>
      <c r="F21" s="1">
        <v>150000.0</v>
      </c>
      <c r="G21" s="1" t="s">
        <v>5231</v>
      </c>
    </row>
    <row r="22">
      <c r="B22" s="3" t="s">
        <v>5232</v>
      </c>
    </row>
    <row r="23">
      <c r="B23" s="56" t="s">
        <v>5233</v>
      </c>
      <c r="F23" s="56">
        <v>3300.0</v>
      </c>
      <c r="G23" s="56" t="s">
        <v>5234</v>
      </c>
      <c r="L23" s="3">
        <v>12000.0</v>
      </c>
    </row>
    <row r="24">
      <c r="B24" s="3" t="s">
        <v>5235</v>
      </c>
      <c r="F24" s="102" t="s">
        <v>5236</v>
      </c>
      <c r="G24" s="102" t="s">
        <v>4354</v>
      </c>
      <c r="H24" s="102" t="s">
        <v>5237</v>
      </c>
      <c r="J24" s="3" t="s">
        <v>5238</v>
      </c>
    </row>
    <row r="25">
      <c r="B25" s="1" t="s">
        <v>5239</v>
      </c>
      <c r="F25" s="102" t="s">
        <v>5240</v>
      </c>
      <c r="G25" s="112" t="s">
        <v>5241</v>
      </c>
      <c r="H25" s="112" t="s">
        <v>5242</v>
      </c>
    </row>
    <row r="26">
      <c r="B26" s="1" t="s">
        <v>5243</v>
      </c>
      <c r="C26" s="1" t="s">
        <v>5244</v>
      </c>
    </row>
    <row r="27">
      <c r="B27" s="1" t="s">
        <v>5245</v>
      </c>
      <c r="F27" s="58" t="s">
        <v>5246</v>
      </c>
    </row>
    <row r="28">
      <c r="B28" s="113" t="s">
        <v>5247</v>
      </c>
      <c r="C28" s="114"/>
      <c r="D28" s="114"/>
      <c r="E28" s="114"/>
      <c r="F28" s="114">
        <f>100000+38000</f>
        <v>138000</v>
      </c>
      <c r="J28" s="2" t="s">
        <v>5248</v>
      </c>
      <c r="K28" s="29"/>
      <c r="L28" s="2">
        <v>0.0</v>
      </c>
      <c r="M28" s="2" t="s">
        <v>5249</v>
      </c>
      <c r="N28" s="33" t="s">
        <v>5250</v>
      </c>
      <c r="O28" s="33"/>
      <c r="P28" s="33"/>
    </row>
    <row r="29">
      <c r="B29" s="1" t="s">
        <v>5251</v>
      </c>
      <c r="J29" s="5" t="s">
        <v>5252</v>
      </c>
      <c r="K29" s="44"/>
      <c r="L29" s="5"/>
      <c r="M29" s="5" t="s">
        <v>5253</v>
      </c>
      <c r="N29" s="5" t="s">
        <v>5254</v>
      </c>
    </row>
    <row r="30">
      <c r="B30" s="1" t="s">
        <v>5255</v>
      </c>
      <c r="C30" s="1">
        <v>500.0</v>
      </c>
      <c r="J30" s="2" t="s">
        <v>5256</v>
      </c>
      <c r="K30" s="29"/>
      <c r="L30" s="2">
        <f> (100+150+20+30+30+120+10+20-100-100-100-100-32.5)*100</f>
        <v>4750</v>
      </c>
      <c r="M30" s="2" t="s">
        <v>5257</v>
      </c>
    </row>
    <row r="31">
      <c r="D31" s="100"/>
      <c r="J31" s="5" t="s">
        <v>5258</v>
      </c>
      <c r="K31" s="44"/>
      <c r="L31" s="5">
        <v>2000.0</v>
      </c>
      <c r="M31" s="5" t="s">
        <v>5259</v>
      </c>
      <c r="N31" s="44"/>
    </row>
    <row r="32">
      <c r="B32" s="3" t="s">
        <v>5260</v>
      </c>
      <c r="C32" s="72"/>
      <c r="D32" s="21">
        <v>0.0</v>
      </c>
      <c r="E32" s="115" t="s">
        <v>3647</v>
      </c>
    </row>
    <row r="33">
      <c r="B33" s="3" t="s">
        <v>5261</v>
      </c>
      <c r="C33" s="72"/>
      <c r="D33" s="23">
        <v>-14000.0</v>
      </c>
      <c r="E33" s="17" t="s">
        <v>5262</v>
      </c>
      <c r="F33" s="3" t="s">
        <v>5263</v>
      </c>
      <c r="G33" s="1" t="s">
        <v>5264</v>
      </c>
      <c r="H33" s="1" t="s">
        <v>2656</v>
      </c>
      <c r="J33" s="27" t="s">
        <v>5265</v>
      </c>
      <c r="L33" s="1" t="s">
        <v>5266</v>
      </c>
      <c r="M33" s="1" t="s">
        <v>5267</v>
      </c>
    </row>
    <row r="34">
      <c r="B34" s="3" t="s">
        <v>5268</v>
      </c>
      <c r="C34" s="72"/>
      <c r="D34" s="23">
        <v>-4230.0</v>
      </c>
      <c r="E34" s="17" t="s">
        <v>5262</v>
      </c>
      <c r="G34" s="3" t="s">
        <v>5269</v>
      </c>
      <c r="I34" s="116" t="s">
        <v>5270</v>
      </c>
      <c r="J34" s="27" t="s">
        <v>5271</v>
      </c>
      <c r="K34" s="65"/>
      <c r="L34" s="27">
        <f>24000+5000</f>
        <v>29000</v>
      </c>
      <c r="M34" s="27" t="s">
        <v>5272</v>
      </c>
    </row>
    <row r="35">
      <c r="B35" s="1" t="s">
        <v>5273</v>
      </c>
      <c r="D35" s="23">
        <v>-9300.0</v>
      </c>
      <c r="E35" s="17" t="s">
        <v>5262</v>
      </c>
      <c r="G35" s="1" t="s">
        <v>5274</v>
      </c>
      <c r="H35" s="1" t="s">
        <v>1813</v>
      </c>
      <c r="I35" s="27" t="s">
        <v>5275</v>
      </c>
      <c r="J35" s="116" t="s">
        <v>5276</v>
      </c>
      <c r="M35" s="77">
        <v>174200.0</v>
      </c>
      <c r="N35" s="23">
        <v>216200.0</v>
      </c>
      <c r="O35" s="23">
        <v>178500.0</v>
      </c>
      <c r="R35" s="23">
        <v>202500.0</v>
      </c>
      <c r="S35">
        <f>(R35-O35)*100/O35</f>
        <v>13.44537815</v>
      </c>
    </row>
    <row r="36">
      <c r="D36" s="1" t="s">
        <v>5277</v>
      </c>
      <c r="G36" s="1" t="s">
        <v>5278</v>
      </c>
      <c r="H36" s="1" t="s">
        <v>1855</v>
      </c>
      <c r="J36" s="1" t="s">
        <v>5279</v>
      </c>
      <c r="M36" s="30" t="s">
        <v>5280</v>
      </c>
      <c r="N36" s="1" t="s">
        <v>5281</v>
      </c>
      <c r="O36" s="1" t="s">
        <v>5282</v>
      </c>
      <c r="R36" s="23" t="s">
        <v>5283</v>
      </c>
      <c r="S36" s="1" t="s">
        <v>5284</v>
      </c>
    </row>
    <row r="37">
      <c r="A37" s="3" t="s">
        <v>5198</v>
      </c>
      <c r="B37" s="3" t="s">
        <v>5285</v>
      </c>
      <c r="D37" s="1" t="s">
        <v>5286</v>
      </c>
      <c r="G37" s="1" t="s">
        <v>5287</v>
      </c>
      <c r="H37" s="1" t="s">
        <v>5288</v>
      </c>
      <c r="I37" s="102" t="s">
        <v>5289</v>
      </c>
      <c r="J37" s="23" t="s">
        <v>5290</v>
      </c>
      <c r="L37" s="1">
        <v>283000.0</v>
      </c>
      <c r="M37" s="77">
        <v>120200.0</v>
      </c>
      <c r="N37" s="23">
        <v>152400.0</v>
      </c>
      <c r="O37" s="23">
        <v>123900.0</v>
      </c>
      <c r="P37" s="1" t="s">
        <v>5291</v>
      </c>
      <c r="Q37" s="30" t="s">
        <v>5292</v>
      </c>
      <c r="R37" s="23">
        <v>140900.0</v>
      </c>
      <c r="S37">
        <f t="shared" ref="S37:S38" si="1">(R37-O37)*100/O37</f>
        <v>13.72074253</v>
      </c>
    </row>
    <row r="38">
      <c r="A38" s="1" t="s">
        <v>5293</v>
      </c>
      <c r="B38" s="3" t="s">
        <v>5294</v>
      </c>
      <c r="D38" s="1" t="s">
        <v>5295</v>
      </c>
      <c r="G38" s="1" t="s">
        <v>5296</v>
      </c>
      <c r="H38" s="1" t="s">
        <v>5297</v>
      </c>
      <c r="J38" s="30" t="s">
        <v>5298</v>
      </c>
      <c r="L38" s="1">
        <v>125000.0</v>
      </c>
      <c r="M38" s="77">
        <v>58900.0</v>
      </c>
      <c r="N38" s="23">
        <v>79000.0</v>
      </c>
      <c r="O38" s="23">
        <v>48600.0</v>
      </c>
      <c r="P38" s="23" t="s">
        <v>5299</v>
      </c>
      <c r="R38" s="23">
        <v>69700.0</v>
      </c>
      <c r="S38">
        <f t="shared" si="1"/>
        <v>43.41563786</v>
      </c>
    </row>
    <row r="39">
      <c r="B39" s="3" t="s">
        <v>5300</v>
      </c>
      <c r="D39" s="1" t="s">
        <v>5301</v>
      </c>
      <c r="G39" s="1" t="s">
        <v>5302</v>
      </c>
      <c r="H39" s="1" t="s">
        <v>5303</v>
      </c>
      <c r="J39" s="33"/>
      <c r="L39" s="1">
        <v>80000.0</v>
      </c>
      <c r="P39" s="23" t="s">
        <v>5304</v>
      </c>
    </row>
    <row r="40">
      <c r="B40" s="1" t="s">
        <v>5305</v>
      </c>
      <c r="D40" s="1" t="s">
        <v>5306</v>
      </c>
      <c r="G40" s="1" t="s">
        <v>5307</v>
      </c>
      <c r="H40" s="1" t="s">
        <v>5308</v>
      </c>
      <c r="M40" s="77" t="s">
        <v>5309</v>
      </c>
      <c r="N40" s="23" t="s">
        <v>5310</v>
      </c>
      <c r="O40" s="23" t="s">
        <v>5311</v>
      </c>
      <c r="P40" s="23" t="s">
        <v>5312</v>
      </c>
    </row>
    <row r="41">
      <c r="B41" s="1" t="s">
        <v>5313</v>
      </c>
      <c r="D41" s="1" t="s">
        <v>5314</v>
      </c>
      <c r="G41" s="1" t="s">
        <v>5315</v>
      </c>
      <c r="H41" s="1" t="s">
        <v>5316</v>
      </c>
      <c r="K41" s="1"/>
      <c r="L41" s="1">
        <v>-71400.0</v>
      </c>
      <c r="M41" s="1" t="s">
        <v>5317</v>
      </c>
    </row>
    <row r="42">
      <c r="B42" s="1" t="s">
        <v>5318</v>
      </c>
      <c r="D42" s="1" t="s">
        <v>5319</v>
      </c>
      <c r="K42" s="1"/>
      <c r="L42" s="1">
        <v>-40000.0</v>
      </c>
      <c r="M42" s="1" t="s">
        <v>5320</v>
      </c>
    </row>
    <row r="43">
      <c r="A43" s="1" t="s">
        <v>5321</v>
      </c>
      <c r="B43" s="1" t="s">
        <v>5322</v>
      </c>
      <c r="G43" s="18">
        <f>(L43-450000-220000)*100/220000</f>
        <v>604.5454545</v>
      </c>
      <c r="H43" s="18">
        <f>(L43-480000-220000)*100/220000</f>
        <v>590.9090909</v>
      </c>
      <c r="I43" s="18">
        <f>(L43-700000)*100/700000</f>
        <v>185.7142857</v>
      </c>
      <c r="J43" s="23" t="s">
        <v>5323</v>
      </c>
      <c r="K43" s="1"/>
      <c r="L43" s="117">
        <v>2000000.0</v>
      </c>
      <c r="M43" s="23">
        <f>SUM(L43:L45)</f>
        <v>1526000</v>
      </c>
      <c r="N43" s="1" t="s">
        <v>5324</v>
      </c>
    </row>
    <row r="44">
      <c r="B44" s="1" t="s">
        <v>5325</v>
      </c>
      <c r="J44" s="1" t="s">
        <v>5326</v>
      </c>
      <c r="K44" s="1"/>
      <c r="L44" s="37">
        <v>-24000.0</v>
      </c>
      <c r="M44" s="1"/>
    </row>
    <row r="45">
      <c r="B45" s="1" t="s">
        <v>5327</v>
      </c>
      <c r="J45" s="30" t="s">
        <v>5328</v>
      </c>
      <c r="K45" s="1"/>
      <c r="L45" s="75">
        <v>-450000.0</v>
      </c>
      <c r="M45" s="5" t="s">
        <v>5329</v>
      </c>
      <c r="N45">
        <f>450000*0.0256</f>
        <v>11520</v>
      </c>
      <c r="O45" s="118">
        <v>664.0</v>
      </c>
      <c r="P45" s="23" t="s">
        <v>5330</v>
      </c>
      <c r="Q45" s="5" t="s">
        <v>5331</v>
      </c>
    </row>
    <row r="46">
      <c r="A46" s="1" t="s">
        <v>5332</v>
      </c>
      <c r="B46" s="1" t="s">
        <v>5333</v>
      </c>
      <c r="J46" s="30" t="s">
        <v>5334</v>
      </c>
      <c r="K46" s="1"/>
      <c r="L46" s="30">
        <v>160000.0</v>
      </c>
      <c r="M46" s="23">
        <v>110400.0</v>
      </c>
      <c r="N46" s="1" t="s">
        <v>5335</v>
      </c>
    </row>
    <row r="47">
      <c r="A47" s="1" t="s">
        <v>5336</v>
      </c>
      <c r="B47" s="1" t="s">
        <v>5337</v>
      </c>
      <c r="J47" s="33" t="s">
        <v>5338</v>
      </c>
      <c r="K47" s="1" t="s">
        <v>5339</v>
      </c>
      <c r="L47" s="1">
        <v>275000.0</v>
      </c>
    </row>
    <row r="48">
      <c r="B48" s="3"/>
      <c r="K48" s="3" t="s">
        <v>5340</v>
      </c>
      <c r="L48" s="3">
        <v>4500.0</v>
      </c>
      <c r="M48" s="3" t="s">
        <v>5341</v>
      </c>
      <c r="N48" s="3" t="s">
        <v>5342</v>
      </c>
    </row>
    <row r="49">
      <c r="B49" s="2" t="s">
        <v>5343</v>
      </c>
      <c r="J49" s="3"/>
      <c r="K49" s="3" t="s">
        <v>5340</v>
      </c>
      <c r="L49" s="3">
        <v>10340.0</v>
      </c>
      <c r="M49" s="3" t="s">
        <v>5344</v>
      </c>
    </row>
    <row r="50">
      <c r="B50" s="111" t="s">
        <v>5345</v>
      </c>
      <c r="J50" s="3"/>
      <c r="K50" s="3" t="s">
        <v>5340</v>
      </c>
      <c r="L50" s="3">
        <v>10340.0</v>
      </c>
      <c r="M50" s="3" t="s">
        <v>5346</v>
      </c>
    </row>
    <row r="51">
      <c r="K51" s="3" t="s">
        <v>5347</v>
      </c>
      <c r="L51" s="3">
        <v>10340.0</v>
      </c>
      <c r="M51" s="3" t="s">
        <v>5348</v>
      </c>
    </row>
    <row r="52">
      <c r="B52" s="2" t="s">
        <v>5349</v>
      </c>
      <c r="K52" s="3" t="s">
        <v>5347</v>
      </c>
      <c r="L52" s="3">
        <v>10340.0</v>
      </c>
      <c r="M52" s="3" t="s">
        <v>3683</v>
      </c>
    </row>
    <row r="53">
      <c r="B53" s="2" t="s">
        <v>5350</v>
      </c>
      <c r="K53" s="1" t="s">
        <v>5340</v>
      </c>
      <c r="L53" s="3">
        <v>10340.0</v>
      </c>
      <c r="M53" s="1" t="s">
        <v>3690</v>
      </c>
    </row>
    <row r="54">
      <c r="K54" s="3" t="s">
        <v>5347</v>
      </c>
      <c r="L54" s="3">
        <v>10340.0</v>
      </c>
      <c r="M54" s="1" t="s">
        <v>1683</v>
      </c>
    </row>
    <row r="55">
      <c r="B55" s="2" t="s">
        <v>5351</v>
      </c>
      <c r="K55" s="3" t="s">
        <v>5347</v>
      </c>
      <c r="L55" s="3">
        <v>10340.0</v>
      </c>
      <c r="M55" s="1" t="s">
        <v>3706</v>
      </c>
    </row>
    <row r="56">
      <c r="K56" s="3" t="s">
        <v>5347</v>
      </c>
      <c r="L56" s="1">
        <v>6000.0</v>
      </c>
      <c r="M56" s="1" t="s">
        <v>5352</v>
      </c>
    </row>
    <row r="57">
      <c r="B57" s="35" t="s">
        <v>5353</v>
      </c>
      <c r="C57" s="35">
        <v>39000.0</v>
      </c>
      <c r="K57" s="3" t="s">
        <v>5347</v>
      </c>
      <c r="L57" s="1">
        <v>6000.0</v>
      </c>
      <c r="M57" s="1" t="s">
        <v>5354</v>
      </c>
    </row>
    <row r="58">
      <c r="B58" s="35" t="s">
        <v>5355</v>
      </c>
      <c r="C58" s="35">
        <v>17000.0</v>
      </c>
      <c r="K58" s="3" t="s">
        <v>5347</v>
      </c>
      <c r="L58" s="1">
        <v>8000.0</v>
      </c>
      <c r="M58" s="1" t="s">
        <v>3709</v>
      </c>
    </row>
    <row r="59">
      <c r="K59" s="1" t="s">
        <v>5347</v>
      </c>
      <c r="L59" s="1">
        <v>6000.0</v>
      </c>
      <c r="M59" s="1" t="s">
        <v>5356</v>
      </c>
    </row>
    <row r="60">
      <c r="K60" s="1" t="s">
        <v>5340</v>
      </c>
      <c r="L60" s="1">
        <v>4500.0</v>
      </c>
      <c r="M60" s="1" t="s">
        <v>5357</v>
      </c>
    </row>
    <row r="61">
      <c r="J61" s="1"/>
      <c r="K61" s="1" t="s">
        <v>5340</v>
      </c>
      <c r="L61" s="1">
        <v>520.0</v>
      </c>
      <c r="M61" s="1" t="s">
        <v>5358</v>
      </c>
    </row>
    <row r="62">
      <c r="M62" s="23">
        <f>SUM(L49:L61)</f>
        <v>103400</v>
      </c>
    </row>
    <row r="63">
      <c r="M63">
        <f>SUM(L73:L78,M62,L48)</f>
        <v>110270</v>
      </c>
      <c r="N63" s="1" t="s">
        <v>5359</v>
      </c>
    </row>
    <row r="64">
      <c r="M64" s="23">
        <f> M63 + L47</f>
        <v>385270</v>
      </c>
      <c r="N64" s="1" t="s">
        <v>5360</v>
      </c>
    </row>
    <row r="65">
      <c r="B65" s="1"/>
      <c r="L65" s="1"/>
      <c r="M65" s="1"/>
    </row>
    <row r="66">
      <c r="J66" s="1"/>
      <c r="L66" s="1"/>
    </row>
    <row r="67">
      <c r="J67" s="1"/>
      <c r="L67" s="1"/>
    </row>
    <row r="68">
      <c r="H68" s="1"/>
      <c r="J68" s="1"/>
      <c r="L68" s="1"/>
    </row>
    <row r="69">
      <c r="J69" s="1"/>
      <c r="L69" s="1"/>
    </row>
    <row r="70">
      <c r="J70" s="1"/>
      <c r="L70" s="1"/>
    </row>
    <row r="71">
      <c r="J71" s="1"/>
      <c r="L71" s="1"/>
    </row>
    <row r="72">
      <c r="J72" s="1"/>
      <c r="L72" s="1"/>
    </row>
    <row r="73">
      <c r="J73" s="1" t="s">
        <v>5361</v>
      </c>
      <c r="L73" s="1">
        <v>500.0</v>
      </c>
    </row>
    <row r="74">
      <c r="J74" s="1" t="s">
        <v>5362</v>
      </c>
      <c r="L74" s="1">
        <v>374.0</v>
      </c>
    </row>
    <row r="75">
      <c r="J75" s="1" t="s">
        <v>5363</v>
      </c>
      <c r="L75" s="1">
        <v>748.0</v>
      </c>
    </row>
    <row r="76">
      <c r="J76" s="1" t="s">
        <v>5364</v>
      </c>
      <c r="L76" s="1">
        <v>748.0</v>
      </c>
      <c r="M76" s="1" t="s">
        <v>5365</v>
      </c>
    </row>
    <row r="77">
      <c r="J77" s="1" t="s">
        <v>5366</v>
      </c>
    </row>
    <row r="78">
      <c r="J78" s="1" t="s">
        <v>1316</v>
      </c>
    </row>
    <row r="80">
      <c r="D80" s="119" t="s">
        <v>5367</v>
      </c>
    </row>
    <row r="81">
      <c r="B81" s="23"/>
      <c r="D81" s="1" t="s">
        <v>5368</v>
      </c>
    </row>
    <row r="82">
      <c r="A82" s="3" t="s">
        <v>5197</v>
      </c>
      <c r="B82" s="1" t="s">
        <v>5369</v>
      </c>
      <c r="D82" s="30" t="s">
        <v>5370</v>
      </c>
      <c r="E82" s="1" t="s">
        <v>5371</v>
      </c>
      <c r="F82" s="1" t="s">
        <v>5372</v>
      </c>
      <c r="G82" s="1" t="s">
        <v>5373</v>
      </c>
      <c r="I82" s="1" t="s">
        <v>282</v>
      </c>
      <c r="J82" s="1">
        <v>27093.0</v>
      </c>
      <c r="L82" s="1" t="s">
        <v>5374</v>
      </c>
    </row>
    <row r="83">
      <c r="B83" s="3" t="s">
        <v>5375</v>
      </c>
      <c r="C83" s="3"/>
      <c r="D83" s="1" t="s">
        <v>5376</v>
      </c>
      <c r="E83" s="3" t="s">
        <v>5377</v>
      </c>
      <c r="I83" s="1" t="s">
        <v>282</v>
      </c>
      <c r="J83" s="1">
        <v>64861.0</v>
      </c>
      <c r="L83" s="1" t="s">
        <v>5374</v>
      </c>
    </row>
    <row r="84">
      <c r="B84" s="3" t="s">
        <v>5378</v>
      </c>
      <c r="D84" s="58" t="s">
        <v>5379</v>
      </c>
      <c r="E84" s="120" t="s">
        <v>5377</v>
      </c>
      <c r="I84" s="3" t="s">
        <v>5380</v>
      </c>
      <c r="J84" s="1">
        <v>2936.0</v>
      </c>
      <c r="L84" s="1" t="s">
        <v>5374</v>
      </c>
      <c r="M84" s="2" t="s">
        <v>5381</v>
      </c>
      <c r="N84" s="1" t="s">
        <v>5382</v>
      </c>
      <c r="O84" s="1" t="s">
        <v>5383</v>
      </c>
      <c r="P84" s="1" t="s">
        <v>5384</v>
      </c>
      <c r="Q84" s="1" t="s">
        <v>5385</v>
      </c>
    </row>
    <row r="85">
      <c r="B85" s="3" t="s">
        <v>5386</v>
      </c>
      <c r="I85" s="1" t="s">
        <v>282</v>
      </c>
      <c r="J85" s="56"/>
      <c r="M85" s="121"/>
    </row>
    <row r="86">
      <c r="B86" s="3" t="s">
        <v>5387</v>
      </c>
      <c r="I86" s="1" t="s">
        <v>5388</v>
      </c>
      <c r="J86" s="56"/>
      <c r="M86" s="121"/>
    </row>
    <row r="87">
      <c r="B87" s="3" t="s">
        <v>5389</v>
      </c>
      <c r="I87" s="1" t="s">
        <v>5390</v>
      </c>
      <c r="J87" s="56"/>
      <c r="M87" s="122"/>
    </row>
    <row r="88">
      <c r="B88" s="3" t="s">
        <v>5391</v>
      </c>
      <c r="I88" s="3" t="s">
        <v>5392</v>
      </c>
      <c r="J88" s="56"/>
      <c r="M88" s="122"/>
    </row>
    <row r="90">
      <c r="B90" s="3" t="s">
        <v>5393</v>
      </c>
      <c r="D90" s="3" t="s">
        <v>5394</v>
      </c>
      <c r="I90" s="3" t="s">
        <v>5395</v>
      </c>
      <c r="J90" s="1">
        <v>9882.0</v>
      </c>
      <c r="L90" s="1" t="s">
        <v>5374</v>
      </c>
    </row>
    <row r="91">
      <c r="B91" s="3" t="s">
        <v>5396</v>
      </c>
      <c r="D91" s="3" t="s">
        <v>5394</v>
      </c>
      <c r="I91" s="3" t="s">
        <v>5395</v>
      </c>
      <c r="J91" s="1">
        <v>9466.0</v>
      </c>
      <c r="L91" s="1" t="s">
        <v>5374</v>
      </c>
    </row>
    <row r="93">
      <c r="B93" s="2" t="s">
        <v>5397</v>
      </c>
      <c r="C93" s="3" t="s">
        <v>5398</v>
      </c>
      <c r="D93" s="106" t="s">
        <v>5399</v>
      </c>
      <c r="E93" s="1" t="s">
        <v>5400</v>
      </c>
      <c r="I93" s="1" t="s">
        <v>5401</v>
      </c>
      <c r="L93" s="1" t="s">
        <v>5402</v>
      </c>
      <c r="M93" s="123" t="s">
        <v>5403</v>
      </c>
      <c r="N93" s="1" t="s">
        <v>5404</v>
      </c>
      <c r="O93" s="1">
        <v>4100.0</v>
      </c>
      <c r="P93" s="1" t="s">
        <v>5405</v>
      </c>
      <c r="Q93" s="1">
        <v>110.0</v>
      </c>
      <c r="R93" s="1" t="s">
        <v>5406</v>
      </c>
    </row>
    <row r="94">
      <c r="B94" s="1" t="s">
        <v>5407</v>
      </c>
      <c r="D94" s="3" t="s">
        <v>5408</v>
      </c>
      <c r="I94" s="3" t="s">
        <v>5409</v>
      </c>
      <c r="M94" s="1" t="s">
        <v>5410</v>
      </c>
      <c r="N94" s="74" t="s">
        <v>5411</v>
      </c>
      <c r="O94" s="74" t="s">
        <v>5412</v>
      </c>
      <c r="P94" s="74" t="s">
        <v>5413</v>
      </c>
      <c r="Q94" s="74" t="s">
        <v>5414</v>
      </c>
    </row>
    <row r="95">
      <c r="B95" s="1" t="s">
        <v>5415</v>
      </c>
      <c r="D95" s="3" t="s">
        <v>5416</v>
      </c>
    </row>
    <row r="96">
      <c r="B96" s="1" t="s">
        <v>5417</v>
      </c>
    </row>
    <row r="97">
      <c r="A97" s="119" t="s">
        <v>5418</v>
      </c>
      <c r="B97" s="3" t="s">
        <v>5419</v>
      </c>
      <c r="D97" s="3" t="s">
        <v>5420</v>
      </c>
      <c r="I97" s="1" t="s">
        <v>5421</v>
      </c>
      <c r="J97" s="1">
        <v>2300.0</v>
      </c>
      <c r="L97" s="1" t="s">
        <v>5422</v>
      </c>
    </row>
    <row r="99">
      <c r="B99" s="1" t="s">
        <v>5423</v>
      </c>
      <c r="C99" s="1" t="s">
        <v>5424</v>
      </c>
      <c r="D99" s="1" t="s">
        <v>5425</v>
      </c>
      <c r="I99" s="3"/>
      <c r="J99" s="1">
        <v>3000.0</v>
      </c>
      <c r="L99" s="1" t="s">
        <v>5426</v>
      </c>
    </row>
    <row r="100">
      <c r="B100" s="3"/>
      <c r="C100" s="1" t="s">
        <v>5427</v>
      </c>
      <c r="D100" s="1" t="s">
        <v>5425</v>
      </c>
      <c r="E100" s="1" t="s">
        <v>5428</v>
      </c>
      <c r="I100" s="3"/>
      <c r="J100" s="1">
        <v>3640.0</v>
      </c>
      <c r="L100" s="1" t="s">
        <v>5429</v>
      </c>
    </row>
    <row r="101">
      <c r="B101" s="3"/>
      <c r="C101" s="1" t="s">
        <v>5430</v>
      </c>
      <c r="D101" s="1" t="s">
        <v>5431</v>
      </c>
      <c r="I101" s="1" t="s">
        <v>5432</v>
      </c>
      <c r="J101" s="1">
        <v>1200.0</v>
      </c>
      <c r="L101" s="1" t="s">
        <v>5426</v>
      </c>
    </row>
    <row r="102">
      <c r="B102" s="1" t="s">
        <v>5433</v>
      </c>
      <c r="C102" s="1" t="s">
        <v>5434</v>
      </c>
      <c r="D102" s="1" t="s">
        <v>5435</v>
      </c>
      <c r="E102" s="1" t="s">
        <v>5436</v>
      </c>
      <c r="I102" s="1" t="s">
        <v>5437</v>
      </c>
      <c r="J102" s="1">
        <v>3700.0</v>
      </c>
      <c r="L102" s="1" t="s">
        <v>5426</v>
      </c>
    </row>
    <row r="103">
      <c r="B103" s="3"/>
      <c r="C103" s="1" t="s">
        <v>5434</v>
      </c>
      <c r="D103" s="1" t="s">
        <v>3561</v>
      </c>
      <c r="I103" s="1" t="s">
        <v>5437</v>
      </c>
      <c r="J103" s="1">
        <v>1400.0</v>
      </c>
      <c r="L103" s="1" t="s">
        <v>5426</v>
      </c>
    </row>
    <row r="105">
      <c r="B105" s="1" t="s">
        <v>5438</v>
      </c>
      <c r="D105" s="1" t="s">
        <v>5439</v>
      </c>
      <c r="I105" s="1" t="s">
        <v>5440</v>
      </c>
      <c r="J105" s="1">
        <v>5000.0</v>
      </c>
      <c r="L105" s="1" t="s">
        <v>5441</v>
      </c>
    </row>
    <row r="106">
      <c r="B106" s="1" t="s">
        <v>5442</v>
      </c>
      <c r="D106" s="1" t="s">
        <v>5443</v>
      </c>
      <c r="J106" s="1">
        <v>3000.0</v>
      </c>
      <c r="L106" s="1" t="s">
        <v>5441</v>
      </c>
    </row>
    <row r="112">
      <c r="D112" s="1" t="s">
        <v>5444</v>
      </c>
    </row>
    <row r="113">
      <c r="B113" s="124" t="s">
        <v>5445</v>
      </c>
      <c r="D113">
        <f>(100000-30000)*0.6*0.016</f>
        <v>672</v>
      </c>
    </row>
    <row r="114">
      <c r="B114" s="23" t="s">
        <v>5446</v>
      </c>
      <c r="D114">
        <f>672*0.4*0.14</f>
        <v>37.632</v>
      </c>
    </row>
    <row r="115">
      <c r="B115" s="125" t="s">
        <v>5447</v>
      </c>
    </row>
    <row r="117">
      <c r="B117" s="1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38"/>
    <col customWidth="1" min="2" max="2" width="19.13"/>
    <col customWidth="1" min="3" max="16" width="13.0"/>
    <col customWidth="1" min="17" max="17" width="13.5"/>
    <col customWidth="1" min="18" max="18" width="11.13"/>
    <col customWidth="1" min="19" max="19" width="5.75"/>
    <col customWidth="1" min="20" max="20" width="13.0"/>
    <col customWidth="1" min="21" max="33" width="7.88"/>
    <col customWidth="1" min="34" max="34" width="9.63"/>
    <col customWidth="1" min="35" max="35" width="7.88"/>
    <col customWidth="1" min="36" max="36" width="8.5"/>
    <col customWidth="1" min="37" max="37" width="5.75"/>
    <col customWidth="1" min="38" max="38" width="7.5"/>
    <col customWidth="1" min="39" max="39" width="11.0"/>
    <col customWidth="1" min="42" max="46" width="7.88"/>
    <col customWidth="1" min="47" max="47" width="9.38"/>
    <col customWidth="1" min="48" max="71" width="7.88"/>
    <col customWidth="1" min="72" max="72" width="9.88"/>
    <col customWidth="1" min="73" max="77" width="7.88"/>
  </cols>
  <sheetData>
    <row r="1">
      <c r="B1" s="1" t="s">
        <v>5448</v>
      </c>
      <c r="D1" s="1" t="s">
        <v>5449</v>
      </c>
      <c r="E1" s="1" t="s">
        <v>5450</v>
      </c>
      <c r="F1" s="1" t="s">
        <v>5451</v>
      </c>
      <c r="G1" s="1" t="s">
        <v>5452</v>
      </c>
      <c r="H1" s="1" t="s">
        <v>5453</v>
      </c>
      <c r="J1" s="1" t="s">
        <v>5454</v>
      </c>
      <c r="K1" s="1" t="s">
        <v>5455</v>
      </c>
      <c r="L1" s="1" t="s">
        <v>5456</v>
      </c>
      <c r="M1" s="1" t="s">
        <v>5457</v>
      </c>
      <c r="N1" s="1" t="s">
        <v>5458</v>
      </c>
      <c r="T1" s="1" t="s">
        <v>5459</v>
      </c>
      <c r="U1" s="1">
        <v>54.4</v>
      </c>
      <c r="V1" s="1">
        <v>195.0</v>
      </c>
      <c r="W1" s="1">
        <v>81.2</v>
      </c>
      <c r="X1" s="1">
        <v>81.2</v>
      </c>
      <c r="Y1" s="1">
        <v>74.5</v>
      </c>
      <c r="Z1" s="1">
        <v>107.2</v>
      </c>
      <c r="AA1" s="1">
        <v>81.7</v>
      </c>
      <c r="AB1" s="1">
        <v>108.3</v>
      </c>
      <c r="AC1" s="1">
        <v>73.9</v>
      </c>
      <c r="AD1" s="1">
        <v>99.0</v>
      </c>
      <c r="AE1" s="1">
        <v>50.49</v>
      </c>
      <c r="AF1" s="1">
        <v>58.1</v>
      </c>
      <c r="AG1" s="1">
        <v>44.4</v>
      </c>
      <c r="AI1">
        <f>SUM(U1:AH1)</f>
        <v>1109.39</v>
      </c>
      <c r="AL1" s="1" t="s">
        <v>5460</v>
      </c>
      <c r="AM1" s="1" t="s">
        <v>5461</v>
      </c>
      <c r="AS1" s="1" t="s">
        <v>5462</v>
      </c>
      <c r="AX1" s="1" t="s">
        <v>5459</v>
      </c>
      <c r="AY1" s="1">
        <v>54.4</v>
      </c>
      <c r="AZ1" s="1">
        <v>195.0</v>
      </c>
      <c r="BA1" s="1">
        <v>81.2</v>
      </c>
      <c r="BB1" s="1">
        <v>81.2</v>
      </c>
      <c r="BC1" s="1">
        <v>74.5</v>
      </c>
      <c r="BD1" s="1">
        <v>107.2</v>
      </c>
      <c r="BE1" s="1">
        <v>81.7</v>
      </c>
      <c r="BF1" s="1">
        <v>108.3</v>
      </c>
      <c r="BG1" s="1">
        <v>73.9</v>
      </c>
      <c r="BH1" s="1">
        <v>99.0</v>
      </c>
      <c r="BI1" s="1">
        <v>50.49</v>
      </c>
      <c r="BJ1" s="1">
        <v>58.1</v>
      </c>
      <c r="BK1" s="1">
        <v>44.4</v>
      </c>
      <c r="BM1">
        <f>SUM(AY1:BL1)</f>
        <v>1109.39</v>
      </c>
      <c r="BP1" s="1" t="s">
        <v>5460</v>
      </c>
      <c r="BQ1" s="1"/>
      <c r="BR1" s="1"/>
      <c r="BS1" s="1"/>
      <c r="BT1" s="1"/>
      <c r="BU1" s="1"/>
      <c r="BV1" s="1"/>
      <c r="BW1" s="1"/>
      <c r="BX1" s="1"/>
      <c r="BY1" s="1"/>
    </row>
    <row r="2">
      <c r="C2" s="1" t="s">
        <v>5463</v>
      </c>
      <c r="D2" s="1" t="s">
        <v>5464</v>
      </c>
      <c r="E2" s="1">
        <v>101.0</v>
      </c>
      <c r="F2" s="1">
        <v>102.0</v>
      </c>
      <c r="G2" s="1">
        <v>201.0</v>
      </c>
      <c r="H2" s="1">
        <v>202.0</v>
      </c>
      <c r="I2" s="1">
        <v>301.0</v>
      </c>
      <c r="J2" s="1">
        <v>302.0</v>
      </c>
      <c r="K2" s="1">
        <v>401.0</v>
      </c>
      <c r="L2" s="1">
        <v>402.0</v>
      </c>
      <c r="M2" s="1">
        <v>501.0</v>
      </c>
      <c r="N2" s="1">
        <v>502.0</v>
      </c>
      <c r="O2" s="1">
        <v>503.0</v>
      </c>
      <c r="T2" s="1" t="s">
        <v>5465</v>
      </c>
      <c r="U2" s="23" t="s">
        <v>5463</v>
      </c>
      <c r="V2" s="23" t="s">
        <v>5464</v>
      </c>
      <c r="W2" s="23">
        <v>101.0</v>
      </c>
      <c r="X2" s="23">
        <v>102.0</v>
      </c>
      <c r="Y2" s="23">
        <v>201.0</v>
      </c>
      <c r="Z2" s="23">
        <v>202.0</v>
      </c>
      <c r="AA2" s="23">
        <v>301.0</v>
      </c>
      <c r="AB2" s="23">
        <v>302.0</v>
      </c>
      <c r="AC2" s="23">
        <v>401.0</v>
      </c>
      <c r="AD2" s="23">
        <v>402.0</v>
      </c>
      <c r="AE2" s="23">
        <v>501.0</v>
      </c>
      <c r="AF2" s="23">
        <v>502.0</v>
      </c>
      <c r="AG2" s="23">
        <v>503.0</v>
      </c>
      <c r="AH2" s="23" t="s">
        <v>5466</v>
      </c>
      <c r="AI2" s="23" t="s">
        <v>5467</v>
      </c>
      <c r="AJ2" s="1" t="s">
        <v>5468</v>
      </c>
      <c r="AK2" s="1" t="s">
        <v>5469</v>
      </c>
      <c r="AL2" s="1" t="s">
        <v>5470</v>
      </c>
      <c r="AM2" s="1" t="s">
        <v>5471</v>
      </c>
      <c r="AP2" s="1"/>
      <c r="AQ2" s="1"/>
      <c r="AR2" s="1"/>
      <c r="AS2" s="1" t="s">
        <v>5472</v>
      </c>
      <c r="AT2" s="1" t="s">
        <v>5473</v>
      </c>
      <c r="AU2" s="1" t="s">
        <v>5474</v>
      </c>
      <c r="AV2" s="1" t="s">
        <v>1975</v>
      </c>
      <c r="AW2" s="1"/>
      <c r="AX2" s="1" t="s">
        <v>5475</v>
      </c>
      <c r="AY2" s="23" t="s">
        <v>5463</v>
      </c>
      <c r="AZ2" s="23" t="s">
        <v>5464</v>
      </c>
      <c r="BA2" s="23">
        <v>101.0</v>
      </c>
      <c r="BB2" s="23">
        <v>102.0</v>
      </c>
      <c r="BC2" s="23">
        <v>201.0</v>
      </c>
      <c r="BD2" s="23">
        <v>202.0</v>
      </c>
      <c r="BE2" s="23">
        <v>301.0</v>
      </c>
      <c r="BF2" s="23">
        <v>302.0</v>
      </c>
      <c r="BG2" s="23">
        <v>401.0</v>
      </c>
      <c r="BH2" s="23">
        <v>402.0</v>
      </c>
      <c r="BI2" s="23">
        <v>501.0</v>
      </c>
      <c r="BJ2" s="23">
        <v>502.0</v>
      </c>
      <c r="BK2" s="23">
        <v>503.0</v>
      </c>
      <c r="BL2" s="23"/>
      <c r="BM2" s="23" t="s">
        <v>5467</v>
      </c>
      <c r="BN2" s="1" t="s">
        <v>5468</v>
      </c>
      <c r="BO2" s="1"/>
      <c r="BP2" s="1" t="s">
        <v>5470</v>
      </c>
      <c r="BQ2" s="1" t="s">
        <v>5471</v>
      </c>
      <c r="BR2" s="1"/>
      <c r="BS2" s="1"/>
      <c r="BT2" s="1"/>
      <c r="BU2" s="1"/>
      <c r="BV2" s="1"/>
      <c r="BW2" s="1"/>
      <c r="BX2" s="1"/>
      <c r="BY2" s="1"/>
    </row>
    <row r="3">
      <c r="D3" s="1" t="s">
        <v>5476</v>
      </c>
      <c r="E3" s="1" t="s">
        <v>5477</v>
      </c>
      <c r="F3" s="1" t="s">
        <v>5478</v>
      </c>
      <c r="G3" s="1" t="s">
        <v>5479</v>
      </c>
      <c r="H3" s="1" t="s">
        <v>5480</v>
      </c>
      <c r="I3" s="1" t="s">
        <v>5481</v>
      </c>
      <c r="J3" s="1" t="s">
        <v>5482</v>
      </c>
      <c r="K3" s="1" t="s">
        <v>5483</v>
      </c>
      <c r="L3" s="1" t="s">
        <v>5484</v>
      </c>
      <c r="M3" s="1" t="s">
        <v>5485</v>
      </c>
      <c r="N3" s="1" t="s">
        <v>5486</v>
      </c>
      <c r="O3" s="1" t="s">
        <v>5487</v>
      </c>
      <c r="T3" s="1" t="s">
        <v>5488</v>
      </c>
      <c r="V3" s="1" t="s">
        <v>5476</v>
      </c>
      <c r="W3" s="1" t="s">
        <v>5477</v>
      </c>
      <c r="X3" s="1" t="s">
        <v>5478</v>
      </c>
      <c r="Y3" s="1" t="s">
        <v>5479</v>
      </c>
      <c r="Z3" s="1" t="s">
        <v>5480</v>
      </c>
      <c r="AB3" s="1" t="s">
        <v>5482</v>
      </c>
      <c r="AC3" s="1" t="s">
        <v>5483</v>
      </c>
      <c r="AD3" s="1" t="s">
        <v>5484</v>
      </c>
      <c r="AE3" s="1" t="s">
        <v>5485</v>
      </c>
      <c r="AF3" s="1" t="s">
        <v>5486</v>
      </c>
      <c r="AG3" s="1" t="s">
        <v>5489</v>
      </c>
      <c r="AS3" s="2" t="s">
        <v>5490</v>
      </c>
      <c r="AT3" s="2" t="s">
        <v>5491</v>
      </c>
      <c r="AU3" s="2" t="s">
        <v>5492</v>
      </c>
      <c r="AY3" s="31">
        <f t="shared" ref="AY3:AZ3" si="1">AY1</f>
        <v>54.4</v>
      </c>
      <c r="AZ3" s="31">
        <f t="shared" si="1"/>
        <v>195</v>
      </c>
      <c r="BA3" s="31">
        <f>BA1*2</f>
        <v>162.4</v>
      </c>
      <c r="BB3" s="31">
        <f t="shared" ref="BB3:BD3" si="2">BB1</f>
        <v>81.2</v>
      </c>
      <c r="BC3" s="31">
        <f t="shared" si="2"/>
        <v>74.5</v>
      </c>
      <c r="BD3" s="31">
        <f t="shared" si="2"/>
        <v>107.2</v>
      </c>
      <c r="BE3" s="31">
        <f>BE1*2</f>
        <v>163.4</v>
      </c>
      <c r="BF3" s="31">
        <f t="shared" ref="BF3:BK3" si="3">BF1</f>
        <v>108.3</v>
      </c>
      <c r="BG3" s="31">
        <f t="shared" si="3"/>
        <v>73.9</v>
      </c>
      <c r="BH3" s="31">
        <f t="shared" si="3"/>
        <v>99</v>
      </c>
      <c r="BI3" s="31">
        <f t="shared" si="3"/>
        <v>50.49</v>
      </c>
      <c r="BJ3" s="31">
        <f t="shared" si="3"/>
        <v>58.1</v>
      </c>
      <c r="BK3" s="31">
        <f t="shared" si="3"/>
        <v>44.4</v>
      </c>
      <c r="BL3" s="30" t="s">
        <v>5493</v>
      </c>
      <c r="BM3" s="31">
        <f>SUM(AY3:BL3)</f>
        <v>1272.29</v>
      </c>
    </row>
    <row r="4">
      <c r="B4" s="1" t="s">
        <v>5494</v>
      </c>
      <c r="C4" s="1">
        <v>1000000.0</v>
      </c>
      <c r="D4" s="1">
        <v>1600000.0</v>
      </c>
      <c r="E4" s="1">
        <v>2300000.0</v>
      </c>
      <c r="F4" s="1">
        <v>1600000.0</v>
      </c>
      <c r="G4" s="1">
        <v>1800000.0</v>
      </c>
      <c r="H4" s="1">
        <v>1800000.0</v>
      </c>
      <c r="I4" s="1">
        <v>2500000.0</v>
      </c>
      <c r="J4" s="1">
        <v>2200000.0</v>
      </c>
      <c r="K4" s="1">
        <v>2300000.0</v>
      </c>
      <c r="L4" s="1">
        <v>1750000.0</v>
      </c>
      <c r="M4" s="1">
        <v>1730000.0</v>
      </c>
      <c r="N4" s="1">
        <v>1300000.0</v>
      </c>
      <c r="O4" s="1">
        <v>1300000.0</v>
      </c>
      <c r="P4">
        <f t="shared" ref="P4:P5" si="5">SUM(C4:O4)</f>
        <v>23180000</v>
      </c>
      <c r="T4" s="1" t="s">
        <v>1859</v>
      </c>
      <c r="U4" s="1">
        <v>946.0</v>
      </c>
      <c r="W4" s="1">
        <v>6340.0</v>
      </c>
      <c r="Y4" s="1">
        <v>40758.0</v>
      </c>
      <c r="AA4" s="1">
        <v>28197.0</v>
      </c>
      <c r="AC4" s="1">
        <v>42243.0</v>
      </c>
      <c r="AE4" s="1">
        <v>70699.0</v>
      </c>
      <c r="AH4" s="1">
        <v>1406.0</v>
      </c>
      <c r="AI4" s="1">
        <v>6200.0</v>
      </c>
      <c r="AJ4" s="1"/>
      <c r="AK4" s="1"/>
      <c r="AM4" s="1"/>
      <c r="AP4" s="1"/>
      <c r="AQ4" s="1"/>
      <c r="AR4" s="1"/>
      <c r="AS4" s="1" t="s">
        <v>5495</v>
      </c>
      <c r="AT4" s="1">
        <v>7013.0</v>
      </c>
      <c r="AU4" s="1">
        <v>222.0</v>
      </c>
      <c r="AV4" s="1">
        <v>462580.0</v>
      </c>
      <c r="AY4" s="1" t="s">
        <v>5321</v>
      </c>
      <c r="AZ4" s="1" t="s">
        <v>5476</v>
      </c>
      <c r="BA4" s="1" t="s">
        <v>5496</v>
      </c>
      <c r="BB4" s="1" t="s">
        <v>5478</v>
      </c>
      <c r="BC4" s="1" t="s">
        <v>5479</v>
      </c>
      <c r="BD4" s="1" t="s">
        <v>5480</v>
      </c>
      <c r="BE4" s="1" t="s">
        <v>5497</v>
      </c>
      <c r="BF4" s="1" t="s">
        <v>5482</v>
      </c>
      <c r="BG4" s="1" t="s">
        <v>5483</v>
      </c>
      <c r="BH4" s="1" t="s">
        <v>5484</v>
      </c>
      <c r="BI4" s="1" t="s">
        <v>5485</v>
      </c>
      <c r="BJ4" s="1" t="s">
        <v>5486</v>
      </c>
      <c r="BK4" s="1" t="s">
        <v>5487</v>
      </c>
      <c r="BM4">
        <f>SUM(AZ3,BA3,BB3,BC3,BD3,BF3,BG3,BH3,BI3,BJ3)</f>
        <v>1010.09</v>
      </c>
    </row>
    <row r="5">
      <c r="B5" s="1" t="s">
        <v>5498</v>
      </c>
      <c r="C5" s="1">
        <f t="shared" ref="C5:N5" si="4">C4*19/30</f>
        <v>633333.3333</v>
      </c>
      <c r="D5" s="1">
        <f t="shared" si="4"/>
        <v>1013333.333</v>
      </c>
      <c r="E5" s="1">
        <f t="shared" si="4"/>
        <v>1456666.667</v>
      </c>
      <c r="F5" s="1">
        <f t="shared" si="4"/>
        <v>1013333.333</v>
      </c>
      <c r="G5" s="1">
        <f t="shared" si="4"/>
        <v>1140000</v>
      </c>
      <c r="H5" s="1">
        <f t="shared" si="4"/>
        <v>1140000</v>
      </c>
      <c r="I5" s="1">
        <f t="shared" si="4"/>
        <v>1583333.333</v>
      </c>
      <c r="J5" s="1">
        <f t="shared" si="4"/>
        <v>1393333.333</v>
      </c>
      <c r="K5" s="1">
        <f t="shared" si="4"/>
        <v>1456666.667</v>
      </c>
      <c r="L5" s="1">
        <f t="shared" si="4"/>
        <v>1108333.333</v>
      </c>
      <c r="M5" s="1">
        <f t="shared" si="4"/>
        <v>1095666.667</v>
      </c>
      <c r="N5" s="1">
        <f t="shared" si="4"/>
        <v>823333.3333</v>
      </c>
      <c r="O5" s="1"/>
      <c r="P5">
        <f t="shared" si="5"/>
        <v>13857333.33</v>
      </c>
      <c r="T5" s="1"/>
      <c r="W5" s="1">
        <v>26106.0</v>
      </c>
      <c r="AA5" s="1"/>
      <c r="AE5" s="1">
        <v>80722.0</v>
      </c>
      <c r="AS5" s="1" t="s">
        <v>1874</v>
      </c>
      <c r="AT5" s="1">
        <v>7230.0</v>
      </c>
      <c r="AU5" s="1">
        <v>217.0</v>
      </c>
      <c r="AV5" s="1">
        <v>455480.0</v>
      </c>
      <c r="AW5">
        <f t="shared" ref="AW5:AW6" si="9">SUM(AZ5:BJ5)</f>
        <v>421588.939</v>
      </c>
      <c r="AZ5">
        <f t="shared" ref="AZ5:BD5" si="6">455480*AZ3/1091.29</f>
        <v>81388.6318</v>
      </c>
      <c r="BA5">
        <f t="shared" si="6"/>
        <v>67782.12208</v>
      </c>
      <c r="BB5">
        <f t="shared" si="6"/>
        <v>33891.06104</v>
      </c>
      <c r="BC5">
        <f t="shared" si="6"/>
        <v>31094.63112</v>
      </c>
      <c r="BD5">
        <f t="shared" si="6"/>
        <v>44742.87861</v>
      </c>
      <c r="BF5">
        <f t="shared" ref="BF5:BJ5" si="7">455480*BF3/1091.29</f>
        <v>45201.99397</v>
      </c>
      <c r="BG5">
        <f t="shared" si="7"/>
        <v>30844.20457</v>
      </c>
      <c r="BH5">
        <f t="shared" si="7"/>
        <v>41320.3823</v>
      </c>
      <c r="BI5">
        <f t="shared" si="7"/>
        <v>21073.39497</v>
      </c>
      <c r="BJ5">
        <f t="shared" si="7"/>
        <v>24249.6385</v>
      </c>
      <c r="BL5">
        <f t="shared" ref="BL5:BL7" si="12">SUM(AY5:BK5)</f>
        <v>421588.939</v>
      </c>
      <c r="BM5">
        <f>SUM(AY3:BJ3)</f>
        <v>1227.89</v>
      </c>
    </row>
    <row r="6">
      <c r="B6" s="1" t="s">
        <v>5499</v>
      </c>
      <c r="C6" s="1">
        <f t="shared" ref="C6:N6" si="8">C5*0.1</f>
        <v>63333.33333</v>
      </c>
      <c r="D6" s="1">
        <f t="shared" si="8"/>
        <v>101333.3333</v>
      </c>
      <c r="E6" s="1">
        <f t="shared" si="8"/>
        <v>145666.6667</v>
      </c>
      <c r="F6" s="1">
        <f t="shared" si="8"/>
        <v>101333.3333</v>
      </c>
      <c r="G6" s="1">
        <f t="shared" si="8"/>
        <v>114000</v>
      </c>
      <c r="H6" s="1">
        <f t="shared" si="8"/>
        <v>114000</v>
      </c>
      <c r="I6" s="1">
        <f t="shared" si="8"/>
        <v>158333.3333</v>
      </c>
      <c r="J6" s="1">
        <f t="shared" si="8"/>
        <v>139333.3333</v>
      </c>
      <c r="K6" s="1">
        <f t="shared" si="8"/>
        <v>145666.6667</v>
      </c>
      <c r="L6" s="1">
        <f t="shared" si="8"/>
        <v>110833.3333</v>
      </c>
      <c r="M6" s="1">
        <f t="shared" si="8"/>
        <v>109566.6667</v>
      </c>
      <c r="N6" s="1">
        <f t="shared" si="8"/>
        <v>82333.33333</v>
      </c>
      <c r="O6" s="1"/>
      <c r="P6" s="1">
        <f>P5*0.1</f>
        <v>1385733.333</v>
      </c>
      <c r="T6" s="1" t="s">
        <v>5500</v>
      </c>
      <c r="AW6">
        <f t="shared" si="9"/>
        <v>632383.4084</v>
      </c>
      <c r="AX6" s="1" t="s">
        <v>5501</v>
      </c>
      <c r="AZ6">
        <f t="shared" ref="AZ6:BD6" si="10">AZ5*1.5</f>
        <v>122082.9477</v>
      </c>
      <c r="BA6">
        <f t="shared" si="10"/>
        <v>101673.1831</v>
      </c>
      <c r="BB6">
        <f t="shared" si="10"/>
        <v>50836.59156</v>
      </c>
      <c r="BC6">
        <f t="shared" si="10"/>
        <v>46641.94669</v>
      </c>
      <c r="BD6">
        <f t="shared" si="10"/>
        <v>67114.31792</v>
      </c>
      <c r="BF6">
        <f t="shared" ref="BF6:BJ6" si="11">BF5*1.5</f>
        <v>67802.99096</v>
      </c>
      <c r="BG6">
        <f t="shared" si="11"/>
        <v>46266.30685</v>
      </c>
      <c r="BH6">
        <f t="shared" si="11"/>
        <v>61980.57345</v>
      </c>
      <c r="BI6">
        <f t="shared" si="11"/>
        <v>31610.09246</v>
      </c>
      <c r="BJ6">
        <f t="shared" si="11"/>
        <v>36374.45775</v>
      </c>
      <c r="BL6">
        <f t="shared" si="12"/>
        <v>632383.4084</v>
      </c>
    </row>
    <row r="7">
      <c r="B7" s="1" t="s">
        <v>5502</v>
      </c>
      <c r="C7">
        <f t="shared" ref="C7:N7" si="13">SUM(C5:C6)</f>
        <v>696666.6667</v>
      </c>
      <c r="D7" s="18">
        <f t="shared" si="13"/>
        <v>1114666.667</v>
      </c>
      <c r="E7" s="18">
        <f t="shared" si="13"/>
        <v>1602333.333</v>
      </c>
      <c r="F7" s="18">
        <f t="shared" si="13"/>
        <v>1114666.667</v>
      </c>
      <c r="G7" s="18">
        <f t="shared" si="13"/>
        <v>1254000</v>
      </c>
      <c r="H7" s="18">
        <f t="shared" si="13"/>
        <v>1254000</v>
      </c>
      <c r="I7">
        <f t="shared" si="13"/>
        <v>1741666.667</v>
      </c>
      <c r="J7" s="18">
        <f t="shared" si="13"/>
        <v>1532666.667</v>
      </c>
      <c r="K7" s="18">
        <f t="shared" si="13"/>
        <v>1602333.333</v>
      </c>
      <c r="L7" s="18">
        <f t="shared" si="13"/>
        <v>1219166.667</v>
      </c>
      <c r="M7" s="18">
        <f t="shared" si="13"/>
        <v>1205233.333</v>
      </c>
      <c r="N7" s="18">
        <f t="shared" si="13"/>
        <v>905666.6667</v>
      </c>
      <c r="P7">
        <f>SUM(P5:P6)</f>
        <v>15243066.67</v>
      </c>
      <c r="W7" s="1">
        <v>26359.0</v>
      </c>
      <c r="AE7" s="1">
        <v>80844.0</v>
      </c>
      <c r="AG7" s="1">
        <v>4978.0</v>
      </c>
      <c r="AU7" s="1">
        <v>213.0</v>
      </c>
      <c r="AV7" s="1">
        <v>438820.0</v>
      </c>
      <c r="AW7" s="1"/>
      <c r="AX7" s="1" t="s">
        <v>5503</v>
      </c>
      <c r="AZ7">
        <f t="shared" ref="AZ7:BD7" si="14">438820*AZ3/1091.29</f>
        <v>78411.69625</v>
      </c>
      <c r="BA7">
        <f t="shared" si="14"/>
        <v>65302.86908</v>
      </c>
      <c r="BB7">
        <f t="shared" si="14"/>
        <v>32651.43454</v>
      </c>
      <c r="BC7">
        <f t="shared" si="14"/>
        <v>29957.28908</v>
      </c>
      <c r="BD7">
        <f t="shared" si="14"/>
        <v>43106.32737</v>
      </c>
      <c r="BF7">
        <f t="shared" ref="BF7:BJ7" si="15">438820*BF3/1091.29</f>
        <v>43548.64976</v>
      </c>
      <c r="BG7">
        <f t="shared" si="15"/>
        <v>29716.02232</v>
      </c>
      <c r="BH7">
        <f t="shared" si="15"/>
        <v>39809.01502</v>
      </c>
      <c r="BI7">
        <f t="shared" si="15"/>
        <v>20302.59766</v>
      </c>
      <c r="BJ7">
        <f t="shared" si="15"/>
        <v>23362.66437</v>
      </c>
      <c r="BL7">
        <f t="shared" si="12"/>
        <v>406168.5655</v>
      </c>
      <c r="BN7" s="1" t="s">
        <v>5504</v>
      </c>
      <c r="BO7">
        <f>BA6+BA7</f>
        <v>166976.0522</v>
      </c>
      <c r="BP7" s="18"/>
      <c r="BQ7" s="23" t="s">
        <v>5505</v>
      </c>
      <c r="BR7" s="18"/>
      <c r="BS7" s="23" t="s">
        <v>4228</v>
      </c>
      <c r="BT7" s="18"/>
    </row>
    <row r="8">
      <c r="B8" s="1" t="s">
        <v>5506</v>
      </c>
      <c r="D8" s="1" t="s">
        <v>5507</v>
      </c>
      <c r="E8" s="1" t="s">
        <v>5508</v>
      </c>
      <c r="F8" s="1" t="s">
        <v>5508</v>
      </c>
      <c r="G8" s="1" t="s">
        <v>5508</v>
      </c>
      <c r="H8" s="1" t="s">
        <v>5508</v>
      </c>
      <c r="I8" s="1"/>
      <c r="J8" s="1" t="s">
        <v>5508</v>
      </c>
      <c r="K8" s="1" t="s">
        <v>5508</v>
      </c>
      <c r="L8" s="1" t="s">
        <v>5508</v>
      </c>
      <c r="M8" s="1" t="s">
        <v>5508</v>
      </c>
      <c r="N8" s="1" t="s">
        <v>5508</v>
      </c>
      <c r="T8" s="1" t="s">
        <v>3902</v>
      </c>
      <c r="U8" s="1">
        <v>2388.0</v>
      </c>
      <c r="W8" s="1">
        <v>7841.0</v>
      </c>
      <c r="Y8" s="1">
        <v>41107.0</v>
      </c>
      <c r="AA8" s="1">
        <v>28773.0</v>
      </c>
      <c r="AC8" s="1">
        <v>42813.0</v>
      </c>
      <c r="AE8" s="1">
        <v>71349.0</v>
      </c>
      <c r="AH8" s="1">
        <v>1680.0</v>
      </c>
      <c r="AS8" s="1" t="s">
        <v>5509</v>
      </c>
      <c r="AT8" s="1">
        <v>7443.0</v>
      </c>
      <c r="AX8" s="1" t="s">
        <v>5510</v>
      </c>
      <c r="AY8">
        <f t="shared" ref="AY8:BJ8" si="16">AY3/1309.09</f>
        <v>0.04155558441</v>
      </c>
      <c r="AZ8">
        <f t="shared" si="16"/>
        <v>0.1489584368</v>
      </c>
      <c r="BA8">
        <f t="shared" si="16"/>
        <v>0.1240556417</v>
      </c>
      <c r="BB8">
        <f t="shared" si="16"/>
        <v>0.06202782085</v>
      </c>
      <c r="BC8">
        <f t="shared" si="16"/>
        <v>0.05690976174</v>
      </c>
      <c r="BD8">
        <f t="shared" si="16"/>
        <v>0.08188894576</v>
      </c>
      <c r="BE8">
        <f t="shared" si="16"/>
        <v>0.1248195311</v>
      </c>
      <c r="BF8">
        <f t="shared" si="16"/>
        <v>0.08272922412</v>
      </c>
      <c r="BG8">
        <f t="shared" si="16"/>
        <v>0.05645142809</v>
      </c>
      <c r="BH8">
        <f t="shared" si="16"/>
        <v>0.07562505252</v>
      </c>
      <c r="BI8">
        <f t="shared" si="16"/>
        <v>0.03856877678</v>
      </c>
      <c r="BJ8">
        <f t="shared" si="16"/>
        <v>0.04438197527</v>
      </c>
      <c r="BL8">
        <f t="shared" ref="BL8:BL9" si="18">SUM(AY8:BJ8)</f>
        <v>0.9379721791</v>
      </c>
      <c r="BN8" s="1" t="s">
        <v>5511</v>
      </c>
      <c r="BO8">
        <f>BO7/5</f>
        <v>33395.21044</v>
      </c>
      <c r="BP8" s="18"/>
      <c r="BQ8" s="23" t="s">
        <v>5512</v>
      </c>
      <c r="BR8" s="18">
        <f>2300000*17/31</f>
        <v>1261290.323</v>
      </c>
      <c r="BS8" s="18">
        <f>BR8/10</f>
        <v>126129.0323</v>
      </c>
      <c r="BT8" s="18">
        <f>SUM(BR8:BS8)</f>
        <v>1387419.355</v>
      </c>
    </row>
    <row r="9">
      <c r="U9" s="1">
        <v>3557.0</v>
      </c>
      <c r="V9" s="1">
        <v>7617.0</v>
      </c>
      <c r="W9" s="1">
        <v>27269.0</v>
      </c>
      <c r="Y9" s="1">
        <v>9497.0</v>
      </c>
      <c r="AA9" s="1">
        <v>34085.0</v>
      </c>
      <c r="AE9" s="1">
        <v>80999.0</v>
      </c>
      <c r="AG9" s="1">
        <v>4978.0</v>
      </c>
      <c r="AS9" s="1" t="s">
        <v>5513</v>
      </c>
      <c r="AT9" s="1">
        <v>7588.0</v>
      </c>
      <c r="AU9" s="1">
        <v>145.0</v>
      </c>
      <c r="AV9" s="1">
        <v>294050.0</v>
      </c>
      <c r="AX9" s="127">
        <v>42767.0</v>
      </c>
      <c r="AY9">
        <f t="shared" ref="AY9:BJ9" si="17">AY8*294050</f>
        <v>12219.4196</v>
      </c>
      <c r="AZ9">
        <f t="shared" si="17"/>
        <v>43801.22833</v>
      </c>
      <c r="BA9">
        <f t="shared" si="17"/>
        <v>36478.56144</v>
      </c>
      <c r="BB9">
        <f t="shared" si="17"/>
        <v>18239.28072</v>
      </c>
      <c r="BC9">
        <f t="shared" si="17"/>
        <v>16734.31544</v>
      </c>
      <c r="BD9">
        <f t="shared" si="17"/>
        <v>24079.4445</v>
      </c>
      <c r="BE9">
        <f t="shared" si="17"/>
        <v>36703.18313</v>
      </c>
      <c r="BF9">
        <f t="shared" si="17"/>
        <v>24326.52835</v>
      </c>
      <c r="BG9">
        <f t="shared" si="17"/>
        <v>16599.54243</v>
      </c>
      <c r="BH9">
        <f t="shared" si="17"/>
        <v>22237.54669</v>
      </c>
      <c r="BI9">
        <f t="shared" si="17"/>
        <v>11341.14881</v>
      </c>
      <c r="BJ9">
        <f t="shared" si="17"/>
        <v>13050.51983</v>
      </c>
      <c r="BL9">
        <f t="shared" si="18"/>
        <v>275810.7193</v>
      </c>
      <c r="BM9">
        <f>SUM(AY3:BJ3)</f>
        <v>1227.89</v>
      </c>
      <c r="BN9" s="1" t="s">
        <v>5514</v>
      </c>
      <c r="BO9">
        <f>BO8*17/31</f>
        <v>18313.5025</v>
      </c>
      <c r="BP9" s="18"/>
      <c r="BQ9" s="23" t="s">
        <v>5515</v>
      </c>
      <c r="BR9" s="18">
        <f>BT9*10/11</f>
        <v>149640</v>
      </c>
      <c r="BS9" s="18">
        <f>BT9/11</f>
        <v>14964</v>
      </c>
      <c r="BT9" s="23">
        <v>164604.0</v>
      </c>
    </row>
    <row r="10">
      <c r="B10" s="1" t="s">
        <v>5516</v>
      </c>
      <c r="C10" s="1" t="s">
        <v>5517</v>
      </c>
      <c r="D10" s="1">
        <v>1600000.0</v>
      </c>
      <c r="E10" s="1">
        <v>2300000.0</v>
      </c>
      <c r="F10" s="1">
        <v>1600000.0</v>
      </c>
      <c r="G10" s="1">
        <v>1800000.0</v>
      </c>
      <c r="H10" s="1">
        <v>1800000.0</v>
      </c>
      <c r="J10" s="1">
        <v>2200000.0</v>
      </c>
      <c r="K10" s="1">
        <v>2300000.0</v>
      </c>
      <c r="L10" s="1">
        <v>1750000.0</v>
      </c>
      <c r="M10" s="1">
        <v>1730000.0</v>
      </c>
      <c r="N10" s="1">
        <v>1300000.0</v>
      </c>
      <c r="O10" s="1">
        <v>1300000.0</v>
      </c>
      <c r="P10">
        <f>SUM(C10:O10)</f>
        <v>19680000</v>
      </c>
      <c r="T10" s="1" t="s">
        <v>5518</v>
      </c>
      <c r="U10" s="1">
        <v>2872.0</v>
      </c>
      <c r="W10" s="1">
        <v>8120.0</v>
      </c>
      <c r="BE10">
        <f>BE9+AY9</f>
        <v>48922.60272</v>
      </c>
      <c r="BO10">
        <f>SUM(BO8:BO9)</f>
        <v>51708.71294</v>
      </c>
      <c r="BP10" s="18"/>
      <c r="BQ10" s="23" t="s">
        <v>5519</v>
      </c>
      <c r="BR10" s="23">
        <v>51708.0</v>
      </c>
      <c r="BS10" s="18"/>
      <c r="BT10" s="23">
        <v>51708.0</v>
      </c>
    </row>
    <row r="11">
      <c r="B11" s="1" t="s">
        <v>5499</v>
      </c>
      <c r="C11" s="1"/>
      <c r="D11" s="1">
        <f t="shared" ref="D11:H11" si="19">D10*0.1</f>
        <v>160000</v>
      </c>
      <c r="E11" s="1">
        <f t="shared" si="19"/>
        <v>230000</v>
      </c>
      <c r="F11" s="1">
        <f t="shared" si="19"/>
        <v>160000</v>
      </c>
      <c r="G11" s="1">
        <f t="shared" si="19"/>
        <v>180000</v>
      </c>
      <c r="H11" s="1">
        <f t="shared" si="19"/>
        <v>180000</v>
      </c>
      <c r="I11" s="1"/>
      <c r="J11" s="1">
        <f t="shared" ref="J11:N11" si="20">J10*0.1</f>
        <v>220000</v>
      </c>
      <c r="K11" s="1">
        <f t="shared" si="20"/>
        <v>230000</v>
      </c>
      <c r="L11" s="1">
        <f t="shared" si="20"/>
        <v>175000</v>
      </c>
      <c r="M11" s="1">
        <f t="shared" si="20"/>
        <v>173000</v>
      </c>
      <c r="N11" s="1">
        <f t="shared" si="20"/>
        <v>130000</v>
      </c>
      <c r="O11" s="1"/>
      <c r="P11" s="1">
        <f>P10*0.1</f>
        <v>1968000</v>
      </c>
      <c r="R11" s="1"/>
      <c r="S11" s="1"/>
      <c r="T11" s="1"/>
      <c r="U11" s="1">
        <v>3559.0</v>
      </c>
      <c r="V11" s="1">
        <v>8064.0</v>
      </c>
      <c r="AS11" s="1" t="s">
        <v>1985</v>
      </c>
      <c r="AT11" s="1">
        <v>7755.0</v>
      </c>
      <c r="AU11" s="1">
        <v>167.0</v>
      </c>
      <c r="AV11" s="1">
        <v>346930.0</v>
      </c>
      <c r="AX11" s="1" t="s">
        <v>5510</v>
      </c>
      <c r="AY11">
        <f t="shared" ref="AY11:BK11" si="21">AY3/1353.49</f>
        <v>0.04019239152</v>
      </c>
      <c r="AZ11">
        <f t="shared" si="21"/>
        <v>0.1440719917</v>
      </c>
      <c r="BA11">
        <f t="shared" si="21"/>
        <v>0.11998611</v>
      </c>
      <c r="BB11">
        <f t="shared" si="21"/>
        <v>0.05999305499</v>
      </c>
      <c r="BC11">
        <f t="shared" si="21"/>
        <v>0.05504288912</v>
      </c>
      <c r="BD11">
        <f t="shared" si="21"/>
        <v>0.07920265388</v>
      </c>
      <c r="BE11">
        <f t="shared" si="21"/>
        <v>0.1207249407</v>
      </c>
      <c r="BF11">
        <f t="shared" si="21"/>
        <v>0.08001536768</v>
      </c>
      <c r="BG11">
        <f t="shared" si="21"/>
        <v>0.05459959069</v>
      </c>
      <c r="BH11">
        <f t="shared" si="21"/>
        <v>0.07314424192</v>
      </c>
      <c r="BI11">
        <f t="shared" si="21"/>
        <v>0.03730356338</v>
      </c>
      <c r="BJ11">
        <f t="shared" si="21"/>
        <v>0.04292606521</v>
      </c>
      <c r="BK11">
        <f t="shared" si="21"/>
        <v>0.03280408426</v>
      </c>
      <c r="BL11">
        <f>SUM(AY11:BK11)</f>
        <v>0.940006945</v>
      </c>
      <c r="BM11" s="1">
        <v>1353.49</v>
      </c>
      <c r="BP11" s="18"/>
      <c r="BQ11" s="18"/>
      <c r="BR11" s="18">
        <f t="shared" ref="BR11:BT11" si="22">SUM(BR8:BR10)</f>
        <v>1462638.323</v>
      </c>
      <c r="BS11" s="18">
        <f t="shared" si="22"/>
        <v>141093.0323</v>
      </c>
      <c r="BT11" s="18">
        <f t="shared" si="22"/>
        <v>1603731.355</v>
      </c>
    </row>
    <row r="12">
      <c r="B12" s="1" t="s">
        <v>5520</v>
      </c>
      <c r="D12">
        <f t="shared" ref="D12:N12" si="23">D10+D11</f>
        <v>1760000</v>
      </c>
      <c r="E12">
        <f t="shared" si="23"/>
        <v>2530000</v>
      </c>
      <c r="F12">
        <f t="shared" si="23"/>
        <v>1760000</v>
      </c>
      <c r="G12">
        <f t="shared" si="23"/>
        <v>1980000</v>
      </c>
      <c r="H12">
        <f t="shared" si="23"/>
        <v>1980000</v>
      </c>
      <c r="I12">
        <f t="shared" si="23"/>
        <v>0</v>
      </c>
      <c r="J12">
        <f t="shared" si="23"/>
        <v>2420000</v>
      </c>
      <c r="K12">
        <f t="shared" si="23"/>
        <v>2530000</v>
      </c>
      <c r="L12">
        <f t="shared" si="23"/>
        <v>1925000</v>
      </c>
      <c r="M12">
        <f t="shared" si="23"/>
        <v>1903000</v>
      </c>
      <c r="N12">
        <f t="shared" si="23"/>
        <v>1430000</v>
      </c>
      <c r="P12" s="18">
        <f>P10+P11</f>
        <v>21648000</v>
      </c>
      <c r="Q12" s="18">
        <f>SUM(P12,P13)</f>
        <v>23371484</v>
      </c>
      <c r="R12" s="1"/>
      <c r="S12" s="1"/>
      <c r="T12" s="1" t="s">
        <v>5521</v>
      </c>
      <c r="U12" s="1">
        <v>3430.0</v>
      </c>
      <c r="W12" s="1">
        <v>8470.0</v>
      </c>
      <c r="Y12" s="1">
        <v>41864.0</v>
      </c>
      <c r="AA12" s="1">
        <v>29408.0</v>
      </c>
      <c r="AC12" s="1">
        <v>43933.0</v>
      </c>
      <c r="AE12" s="1">
        <v>72044.0</v>
      </c>
      <c r="AG12" s="1"/>
      <c r="AH12" s="1">
        <v>2009.0</v>
      </c>
      <c r="AX12" s="127">
        <v>42828.0</v>
      </c>
      <c r="AY12">
        <f t="shared" ref="AY12:BK12" si="24">AY11*346930</f>
        <v>13943.94639</v>
      </c>
      <c r="AZ12">
        <f t="shared" si="24"/>
        <v>49982.89607</v>
      </c>
      <c r="BA12">
        <f t="shared" si="24"/>
        <v>41626.78114</v>
      </c>
      <c r="BB12">
        <f t="shared" si="24"/>
        <v>20813.39057</v>
      </c>
      <c r="BC12">
        <f t="shared" si="24"/>
        <v>19096.02952</v>
      </c>
      <c r="BD12">
        <f t="shared" si="24"/>
        <v>27477.77671</v>
      </c>
      <c r="BE12">
        <f t="shared" si="24"/>
        <v>41883.10368</v>
      </c>
      <c r="BF12">
        <f t="shared" si="24"/>
        <v>27759.73151</v>
      </c>
      <c r="BG12">
        <f t="shared" si="24"/>
        <v>18942.236</v>
      </c>
      <c r="BH12">
        <f t="shared" si="24"/>
        <v>25375.93185</v>
      </c>
      <c r="BI12">
        <f t="shared" si="24"/>
        <v>12941.72524</v>
      </c>
      <c r="BJ12">
        <f t="shared" si="24"/>
        <v>14892.3398</v>
      </c>
      <c r="BK12">
        <f t="shared" si="24"/>
        <v>11380.72095</v>
      </c>
      <c r="BL12" s="1">
        <v>346930.0</v>
      </c>
      <c r="BM12">
        <f>SUM(AY12:BK12)</f>
        <v>326116.6094</v>
      </c>
      <c r="BP12" s="23" t="s">
        <v>5522</v>
      </c>
      <c r="BQ12" s="23" t="s">
        <v>5523</v>
      </c>
      <c r="BR12" s="18"/>
      <c r="BS12" s="18"/>
      <c r="BT12" s="128">
        <v>2851535.0</v>
      </c>
    </row>
    <row r="13">
      <c r="B13" s="1" t="s">
        <v>5524</v>
      </c>
      <c r="C13" s="1" t="s">
        <v>5525</v>
      </c>
      <c r="D13" s="3">
        <v>400000.0</v>
      </c>
      <c r="E13" s="1">
        <v>392656.0</v>
      </c>
      <c r="F13" s="1">
        <v>114116.0</v>
      </c>
      <c r="G13" s="1">
        <v>61528.0</v>
      </c>
      <c r="H13" s="1">
        <v>82734.0</v>
      </c>
      <c r="J13" s="1">
        <v>207687.0</v>
      </c>
      <c r="K13" s="1">
        <v>95470.0</v>
      </c>
      <c r="L13" s="1">
        <v>123407.0</v>
      </c>
      <c r="M13" s="1">
        <v>106737.0</v>
      </c>
      <c r="N13" s="1">
        <v>139149.0</v>
      </c>
      <c r="P13" s="18">
        <f>SUM(C13:O13)</f>
        <v>1723484</v>
      </c>
      <c r="Q13" s="18"/>
      <c r="R13" s="1"/>
      <c r="S13" s="1"/>
      <c r="T13" s="1"/>
      <c r="U13" s="1">
        <v>3562.0</v>
      </c>
      <c r="V13" s="1">
        <v>8583.0</v>
      </c>
      <c r="W13" s="1">
        <v>28896.0</v>
      </c>
      <c r="Y13" s="1">
        <v>9782.0</v>
      </c>
      <c r="AA13" s="1">
        <v>34085.0</v>
      </c>
      <c r="AE13" s="1">
        <v>81365.0</v>
      </c>
      <c r="AG13" s="1">
        <v>4978.0</v>
      </c>
      <c r="BE13">
        <f>BE12+AY12</f>
        <v>55827.05007</v>
      </c>
      <c r="BP13" s="18"/>
      <c r="BQ13" s="23" t="s">
        <v>3727</v>
      </c>
      <c r="BR13" s="18"/>
      <c r="BS13" s="18"/>
      <c r="BT13" s="128">
        <v>2915583.0</v>
      </c>
    </row>
    <row r="14">
      <c r="D14">
        <f t="shared" ref="D14:N14" si="25">D13-D15</f>
        <v>363636.3636</v>
      </c>
      <c r="E14">
        <f t="shared" si="25"/>
        <v>356960</v>
      </c>
      <c r="F14">
        <f t="shared" si="25"/>
        <v>103741.8182</v>
      </c>
      <c r="G14">
        <f t="shared" si="25"/>
        <v>55934.54545</v>
      </c>
      <c r="H14">
        <f t="shared" si="25"/>
        <v>75212.72727</v>
      </c>
      <c r="I14">
        <f t="shared" si="25"/>
        <v>0</v>
      </c>
      <c r="J14">
        <f t="shared" si="25"/>
        <v>188806.3636</v>
      </c>
      <c r="K14">
        <f t="shared" si="25"/>
        <v>86790.90909</v>
      </c>
      <c r="L14">
        <f t="shared" si="25"/>
        <v>112188.1818</v>
      </c>
      <c r="M14">
        <f t="shared" si="25"/>
        <v>97033.63636</v>
      </c>
      <c r="N14">
        <f t="shared" si="25"/>
        <v>126499.0909</v>
      </c>
      <c r="P14">
        <f>P13-P15</f>
        <v>1566803.636</v>
      </c>
      <c r="R14" s="1"/>
      <c r="S14" s="1"/>
      <c r="T14" s="1" t="s">
        <v>1894</v>
      </c>
      <c r="U14" s="1">
        <v>4274.0</v>
      </c>
      <c r="W14" s="1">
        <v>9059.0</v>
      </c>
      <c r="Y14" s="1">
        <v>43298.0</v>
      </c>
      <c r="AA14" s="1">
        <v>30355.0</v>
      </c>
      <c r="AC14" s="1">
        <v>45420.0</v>
      </c>
      <c r="AE14" s="1">
        <v>73063.0</v>
      </c>
      <c r="AH14" s="1">
        <v>2330.0</v>
      </c>
      <c r="BA14" s="2" t="s">
        <v>5526</v>
      </c>
      <c r="BB14" s="2" t="s">
        <v>5527</v>
      </c>
      <c r="BC14" s="71">
        <f>(BC9+BC12)*(22/60)/2</f>
        <v>6568.896577</v>
      </c>
      <c r="BP14" s="18"/>
      <c r="BQ14" s="18"/>
      <c r="BR14" s="18"/>
      <c r="BS14" s="18"/>
      <c r="BT14" s="18">
        <f>SUM(BT11:BT13)</f>
        <v>7370849.355</v>
      </c>
    </row>
    <row r="15">
      <c r="B15" s="1" t="s">
        <v>5499</v>
      </c>
      <c r="D15">
        <f t="shared" ref="D15:N15" si="26">D13/11</f>
        <v>36363.63636</v>
      </c>
      <c r="E15">
        <f t="shared" si="26"/>
        <v>35696</v>
      </c>
      <c r="F15">
        <f t="shared" si="26"/>
        <v>10374.18182</v>
      </c>
      <c r="G15">
        <f t="shared" si="26"/>
        <v>5593.454545</v>
      </c>
      <c r="H15">
        <f t="shared" si="26"/>
        <v>7521.272727</v>
      </c>
      <c r="I15">
        <f t="shared" si="26"/>
        <v>0</v>
      </c>
      <c r="J15">
        <f t="shared" si="26"/>
        <v>18880.63636</v>
      </c>
      <c r="K15">
        <f t="shared" si="26"/>
        <v>8679.090909</v>
      </c>
      <c r="L15">
        <f t="shared" si="26"/>
        <v>11218.81818</v>
      </c>
      <c r="M15">
        <f t="shared" si="26"/>
        <v>9703.363636</v>
      </c>
      <c r="N15">
        <f t="shared" si="26"/>
        <v>12649.90909</v>
      </c>
      <c r="P15">
        <f>P13/11</f>
        <v>156680.3636</v>
      </c>
      <c r="R15" s="1"/>
      <c r="S15" s="1"/>
      <c r="T15" s="1"/>
      <c r="U15" s="1">
        <v>3572.0</v>
      </c>
      <c r="V15" s="1">
        <v>9251.0</v>
      </c>
      <c r="W15" s="1">
        <v>30876.0</v>
      </c>
      <c r="Y15" s="1">
        <v>10393.0</v>
      </c>
      <c r="AA15" s="1">
        <v>34085.0</v>
      </c>
      <c r="AE15" s="1">
        <v>81832.0</v>
      </c>
      <c r="AG15" s="1">
        <v>4978.0</v>
      </c>
      <c r="BP15" s="18"/>
      <c r="BQ15" s="18"/>
      <c r="BR15" s="18"/>
      <c r="BS15" s="18"/>
      <c r="BT15" s="18">
        <f>20000000-BT14</f>
        <v>12629150.65</v>
      </c>
    </row>
    <row r="16">
      <c r="B16" s="23" t="s">
        <v>5528</v>
      </c>
      <c r="C16" s="18"/>
      <c r="D16" s="18">
        <f t="shared" ref="D16:P16" si="27">SUM(D12,D13)</f>
        <v>2160000</v>
      </c>
      <c r="E16" s="18">
        <f t="shared" si="27"/>
        <v>2922656</v>
      </c>
      <c r="F16" s="18">
        <f t="shared" si="27"/>
        <v>1874116</v>
      </c>
      <c r="G16" s="18">
        <f t="shared" si="27"/>
        <v>2041528</v>
      </c>
      <c r="H16" s="18">
        <f t="shared" si="27"/>
        <v>2062734</v>
      </c>
      <c r="I16" s="18">
        <f t="shared" si="27"/>
        <v>0</v>
      </c>
      <c r="J16" s="18">
        <f t="shared" si="27"/>
        <v>2627687</v>
      </c>
      <c r="K16" s="18">
        <f t="shared" si="27"/>
        <v>2625470</v>
      </c>
      <c r="L16" s="18">
        <f t="shared" si="27"/>
        <v>2048407</v>
      </c>
      <c r="M16" s="18">
        <f t="shared" si="27"/>
        <v>2009737</v>
      </c>
      <c r="N16" s="18">
        <f t="shared" si="27"/>
        <v>1569149</v>
      </c>
      <c r="O16" s="18">
        <f t="shared" si="27"/>
        <v>0</v>
      </c>
      <c r="P16" s="18">
        <f t="shared" si="27"/>
        <v>23371484</v>
      </c>
      <c r="R16" s="1"/>
      <c r="S16" s="1"/>
      <c r="T16" s="1"/>
      <c r="AT16" s="1">
        <v>7953.0</v>
      </c>
      <c r="AU16" s="1">
        <v>198.0</v>
      </c>
      <c r="AV16" s="1">
        <v>419660.0</v>
      </c>
      <c r="AX16" s="1" t="s">
        <v>5510</v>
      </c>
      <c r="AY16">
        <v>0.04019239152117858</v>
      </c>
      <c r="AZ16">
        <v>0.1440719916659894</v>
      </c>
      <c r="BA16">
        <v>0.11998610998234195</v>
      </c>
      <c r="BB16">
        <v>0.11998610998234195</v>
      </c>
      <c r="BC16">
        <v>0.055042889123672875</v>
      </c>
      <c r="BD16">
        <v>0.07920265387996957</v>
      </c>
      <c r="BE16">
        <v>0.1207249407088342</v>
      </c>
      <c r="BF16">
        <v>0.08001536767911104</v>
      </c>
      <c r="BG16">
        <v>0.054599590687777526</v>
      </c>
      <c r="BH16">
        <v>0.07314424192273308</v>
      </c>
      <c r="BI16">
        <v>0.037303563380593874</v>
      </c>
      <c r="BJ16">
        <v>0.04292606520919992</v>
      </c>
      <c r="BK16">
        <v>0.03280408425625605</v>
      </c>
      <c r="BL16">
        <f>SUM(AY16:BK16)</f>
        <v>1</v>
      </c>
    </row>
    <row r="17">
      <c r="D17" s="1" t="s">
        <v>5508</v>
      </c>
      <c r="E17" s="1" t="s">
        <v>5508</v>
      </c>
      <c r="F17" s="1" t="s">
        <v>5508</v>
      </c>
      <c r="G17" s="1" t="s">
        <v>5508</v>
      </c>
      <c r="H17" s="1" t="s">
        <v>5508</v>
      </c>
      <c r="J17" s="1" t="s">
        <v>5508</v>
      </c>
      <c r="K17" s="1" t="s">
        <v>5508</v>
      </c>
      <c r="L17" s="1" t="s">
        <v>5508</v>
      </c>
      <c r="M17" s="1" t="s">
        <v>5508</v>
      </c>
      <c r="N17" s="1" t="s">
        <v>5508</v>
      </c>
      <c r="R17" s="1"/>
      <c r="S17" s="1"/>
      <c r="T17" s="1"/>
      <c r="AX17" s="127">
        <v>43256.0</v>
      </c>
      <c r="AY17" s="34">
        <f t="shared" ref="AY17:BK17" si="28">AY16*419660</f>
        <v>16867.13903</v>
      </c>
      <c r="AZ17" s="129">
        <f t="shared" si="28"/>
        <v>60461.25202</v>
      </c>
      <c r="BA17" s="129">
        <f t="shared" si="28"/>
        <v>50353.37092</v>
      </c>
      <c r="BB17" s="129">
        <f t="shared" si="28"/>
        <v>50353.37092</v>
      </c>
      <c r="BC17">
        <f t="shared" si="28"/>
        <v>23099.29885</v>
      </c>
      <c r="BD17" s="129">
        <f t="shared" si="28"/>
        <v>33238.18573</v>
      </c>
      <c r="BE17" s="34">
        <f t="shared" si="28"/>
        <v>50663.42862</v>
      </c>
      <c r="BF17" s="129">
        <f t="shared" si="28"/>
        <v>33579.2492</v>
      </c>
      <c r="BG17" s="129">
        <f t="shared" si="28"/>
        <v>22913.26423</v>
      </c>
      <c r="BH17" s="129">
        <f t="shared" si="28"/>
        <v>30695.71257</v>
      </c>
      <c r="BI17" s="129">
        <f t="shared" si="28"/>
        <v>15654.81341</v>
      </c>
      <c r="BJ17" s="129">
        <f t="shared" si="28"/>
        <v>18014.35253</v>
      </c>
      <c r="BK17" s="129">
        <f t="shared" si="28"/>
        <v>13766.562</v>
      </c>
      <c r="BL17">
        <f>SUM(AY17:BJ17)</f>
        <v>405893.438</v>
      </c>
    </row>
    <row r="18">
      <c r="K18" s="15" t="s">
        <v>5529</v>
      </c>
      <c r="L18" s="130" t="s">
        <v>5530</v>
      </c>
      <c r="M18" s="130">
        <f>M10*0.8</f>
        <v>1384000</v>
      </c>
      <c r="N18" s="103">
        <f t="shared" ref="N18:N19" si="29">M18*0.1</f>
        <v>138400</v>
      </c>
      <c r="O18" s="131">
        <f t="shared" ref="O18:O19" si="30">SUM(M18:N18)</f>
        <v>1522400</v>
      </c>
      <c r="R18" s="1"/>
      <c r="S18" s="1"/>
      <c r="T18" s="1"/>
      <c r="BC18" s="129">
        <f>BC17-BC14</f>
        <v>16530.40227</v>
      </c>
      <c r="BE18" s="129">
        <f>BE17+AY17</f>
        <v>67530.56764</v>
      </c>
    </row>
    <row r="19">
      <c r="K19" s="73"/>
      <c r="L19" s="1" t="s">
        <v>5531</v>
      </c>
      <c r="M19" s="1">
        <f>M10*0.2</f>
        <v>346000</v>
      </c>
      <c r="N19">
        <f t="shared" si="29"/>
        <v>34600</v>
      </c>
      <c r="O19" s="72">
        <f t="shared" si="30"/>
        <v>380600</v>
      </c>
      <c r="R19" s="1">
        <v>2016.0</v>
      </c>
      <c r="S19" s="1" t="s">
        <v>5532</v>
      </c>
      <c r="T19" s="1" t="s">
        <v>5533</v>
      </c>
      <c r="U19">
        <f>U8-U4</f>
        <v>1442</v>
      </c>
      <c r="W19">
        <f>W8-W4</f>
        <v>1501</v>
      </c>
      <c r="Y19">
        <f>Y8-Y4</f>
        <v>349</v>
      </c>
      <c r="AA19">
        <f>AA8-AA4</f>
        <v>576</v>
      </c>
      <c r="AC19">
        <f>AC8-AC4</f>
        <v>570</v>
      </c>
      <c r="AE19">
        <f>AE8-AE4</f>
        <v>650</v>
      </c>
      <c r="AH19">
        <f>AH8-AH4</f>
        <v>274</v>
      </c>
      <c r="AI19">
        <f>SUM(U19:AH19)</f>
        <v>5362</v>
      </c>
    </row>
    <row r="20">
      <c r="K20" s="19"/>
      <c r="L20" s="100"/>
      <c r="M20" s="100">
        <f t="shared" ref="M20:O20" si="31">SUM(M18:M19)</f>
        <v>1730000</v>
      </c>
      <c r="N20" s="100">
        <f t="shared" si="31"/>
        <v>173000</v>
      </c>
      <c r="O20" s="100">
        <f t="shared" si="31"/>
        <v>1903000</v>
      </c>
      <c r="R20" s="1"/>
      <c r="S20" s="1" t="s">
        <v>5534</v>
      </c>
      <c r="T20" s="1" t="s">
        <v>5535</v>
      </c>
      <c r="W20">
        <f>W9-W7</f>
        <v>910</v>
      </c>
      <c r="AE20">
        <f>AE9-AE7</f>
        <v>155</v>
      </c>
      <c r="AG20">
        <f>AG8-AG4</f>
        <v>0</v>
      </c>
      <c r="AV20" s="1">
        <v>400700.0</v>
      </c>
      <c r="AX20" s="1" t="s">
        <v>5510</v>
      </c>
      <c r="AY20">
        <v>0.04019239152117858</v>
      </c>
      <c r="AZ20">
        <v>0.1440719916659894</v>
      </c>
      <c r="BA20">
        <v>0.11998610998234195</v>
      </c>
      <c r="BB20">
        <v>0.11998610998234195</v>
      </c>
      <c r="BC20">
        <v>0.055042889123672875</v>
      </c>
      <c r="BD20">
        <v>0.07920265387996957</v>
      </c>
      <c r="BE20">
        <v>0.1207249407088342</v>
      </c>
      <c r="BF20">
        <v>0.08001536767911104</v>
      </c>
      <c r="BG20">
        <v>0.054599590687777526</v>
      </c>
      <c r="BH20">
        <v>0.07314424192273308</v>
      </c>
      <c r="BI20">
        <v>0.037303563380593874</v>
      </c>
      <c r="BJ20">
        <v>0.04292606520919992</v>
      </c>
      <c r="BK20">
        <v>0.03280408425625605</v>
      </c>
      <c r="BL20">
        <f t="shared" ref="BL20:BL21" si="33">SUM(AY20:BK20)</f>
        <v>1</v>
      </c>
    </row>
    <row r="21">
      <c r="K21" s="132" t="s">
        <v>5536</v>
      </c>
      <c r="L21" s="11" t="s">
        <v>5537</v>
      </c>
      <c r="M21" s="12" t="s">
        <v>5538</v>
      </c>
      <c r="N21" s="1" t="s">
        <v>5499</v>
      </c>
      <c r="R21" s="1"/>
      <c r="S21" s="23" t="s">
        <v>5534</v>
      </c>
      <c r="T21" s="23" t="s">
        <v>5539</v>
      </c>
      <c r="U21" s="23">
        <v>0.0</v>
      </c>
      <c r="V21" s="23">
        <v>1442.0</v>
      </c>
      <c r="W21" s="18">
        <f>W9-W5</f>
        <v>1163</v>
      </c>
      <c r="X21" s="18">
        <f>W19-W21</f>
        <v>338</v>
      </c>
      <c r="Y21" s="18">
        <f>Y19*Y1/(Y1+Z1)</f>
        <v>143.0957622</v>
      </c>
      <c r="Z21" s="18">
        <f>Y19*Z1/(Y1+Z1)</f>
        <v>205.9042378</v>
      </c>
      <c r="AA21" s="23">
        <v>0.0</v>
      </c>
      <c r="AB21" s="23">
        <v>576.0</v>
      </c>
      <c r="AC21" s="18">
        <f>AC19*AC1/(AC1+AD1)</f>
        <v>243.6263736</v>
      </c>
      <c r="AD21" s="18">
        <f>AC19*AD1/(AC1+AD1)</f>
        <v>326.3736264</v>
      </c>
      <c r="AE21" s="18">
        <f>AE9-AE5</f>
        <v>277</v>
      </c>
      <c r="AF21" s="18">
        <f>AE19-AE21-AG20</f>
        <v>373</v>
      </c>
      <c r="AG21" s="23">
        <v>0.0</v>
      </c>
      <c r="AH21" s="23">
        <v>274.0</v>
      </c>
      <c r="AI21">
        <f>SUM(U21:AH21)</f>
        <v>5362</v>
      </c>
      <c r="AJ21" s="1">
        <v>905170.0</v>
      </c>
      <c r="AK21" s="1">
        <v>2620.0</v>
      </c>
      <c r="AL21" s="1">
        <v>341632.0</v>
      </c>
      <c r="AM21" s="1">
        <v>6355.0</v>
      </c>
      <c r="AX21" s="127">
        <v>43319.0</v>
      </c>
      <c r="AY21" s="34">
        <f t="shared" ref="AY21:BK21" si="32">AY20*400700</f>
        <v>16105.09128</v>
      </c>
      <c r="AZ21" s="34">
        <f t="shared" si="32"/>
        <v>57729.64706</v>
      </c>
      <c r="BA21" s="34">
        <f t="shared" si="32"/>
        <v>48078.43427</v>
      </c>
      <c r="BB21" s="34">
        <f t="shared" si="32"/>
        <v>48078.43427</v>
      </c>
      <c r="BC21" s="34">
        <f t="shared" si="32"/>
        <v>22055.68567</v>
      </c>
      <c r="BD21" s="34">
        <f t="shared" si="32"/>
        <v>31736.50341</v>
      </c>
      <c r="BE21" s="34">
        <f t="shared" si="32"/>
        <v>48374.48374</v>
      </c>
      <c r="BF21" s="34">
        <f t="shared" si="32"/>
        <v>32062.15783</v>
      </c>
      <c r="BG21" s="34">
        <f t="shared" si="32"/>
        <v>21878.05599</v>
      </c>
      <c r="BH21" s="34">
        <f t="shared" si="32"/>
        <v>29308.89774</v>
      </c>
      <c r="BI21" s="34">
        <f t="shared" si="32"/>
        <v>14947.53785</v>
      </c>
      <c r="BJ21" s="34">
        <f t="shared" si="32"/>
        <v>17200.47433</v>
      </c>
      <c r="BK21" s="34">
        <f t="shared" si="32"/>
        <v>13144.59656</v>
      </c>
      <c r="BL21">
        <f t="shared" si="33"/>
        <v>400700</v>
      </c>
    </row>
    <row r="22">
      <c r="H22" s="1" t="s">
        <v>5540</v>
      </c>
      <c r="R22" s="1"/>
      <c r="S22" s="1" t="s">
        <v>5532</v>
      </c>
      <c r="T22" s="1" t="s">
        <v>5541</v>
      </c>
      <c r="U22">
        <f t="shared" ref="U22:U23" si="34">U10-U8</f>
        <v>484</v>
      </c>
      <c r="W22">
        <f>W10-W8</f>
        <v>279</v>
      </c>
      <c r="BE22" s="129">
        <f>BE21+AY21</f>
        <v>64479.57502</v>
      </c>
    </row>
    <row r="23">
      <c r="B23" s="1" t="s">
        <v>5542</v>
      </c>
      <c r="C23" s="1" t="s">
        <v>5517</v>
      </c>
      <c r="D23" s="1">
        <v>1600000.0</v>
      </c>
      <c r="E23" s="1">
        <v>2300000.0</v>
      </c>
      <c r="F23" s="1">
        <v>1600000.0</v>
      </c>
      <c r="G23" s="1">
        <v>1800000.0</v>
      </c>
      <c r="H23" s="1">
        <v>1800000.0</v>
      </c>
      <c r="J23" s="1">
        <v>2200000.0</v>
      </c>
      <c r="K23" s="1">
        <v>2300000.0</v>
      </c>
      <c r="L23" s="1">
        <v>1750000.0</v>
      </c>
      <c r="M23" s="1">
        <v>1730000.0</v>
      </c>
      <c r="N23" s="1">
        <v>1300000.0</v>
      </c>
      <c r="O23" s="1"/>
      <c r="P23">
        <f>SUM(C23:O23)</f>
        <v>18380000</v>
      </c>
      <c r="R23" s="1"/>
      <c r="S23" s="1" t="s">
        <v>5534</v>
      </c>
      <c r="T23" s="1" t="s">
        <v>5543</v>
      </c>
      <c r="U23">
        <f t="shared" si="34"/>
        <v>2</v>
      </c>
      <c r="V23">
        <f>V11-V9</f>
        <v>447</v>
      </c>
    </row>
    <row r="24">
      <c r="B24" s="1" t="s">
        <v>5499</v>
      </c>
      <c r="C24" s="1"/>
      <c r="D24" s="1">
        <f t="shared" ref="D24:H24" si="35">D23*0.1</f>
        <v>160000</v>
      </c>
      <c r="E24" s="1">
        <f t="shared" si="35"/>
        <v>230000</v>
      </c>
      <c r="F24" s="1">
        <f t="shared" si="35"/>
        <v>160000</v>
      </c>
      <c r="G24" s="1">
        <f t="shared" si="35"/>
        <v>180000</v>
      </c>
      <c r="H24" s="1">
        <f t="shared" si="35"/>
        <v>180000</v>
      </c>
      <c r="I24" s="1"/>
      <c r="J24" s="1">
        <f t="shared" ref="J24:N24" si="36">J23*0.1</f>
        <v>220000</v>
      </c>
      <c r="K24" s="1">
        <f t="shared" si="36"/>
        <v>230000</v>
      </c>
      <c r="L24" s="1">
        <f t="shared" si="36"/>
        <v>175000</v>
      </c>
      <c r="M24" s="1">
        <f t="shared" si="36"/>
        <v>173000</v>
      </c>
      <c r="N24" s="1">
        <f t="shared" si="36"/>
        <v>130000</v>
      </c>
      <c r="O24" s="1"/>
      <c r="P24" s="1">
        <f>P23*0.1</f>
        <v>1838000</v>
      </c>
      <c r="AV24" s="1">
        <v>339080.0</v>
      </c>
      <c r="AX24" s="1" t="s">
        <v>5510</v>
      </c>
      <c r="AY24">
        <f t="shared" ref="AY24:BI24" si="37">AY3/1214.19</f>
        <v>0.04480353157</v>
      </c>
      <c r="AZ24">
        <f t="shared" si="37"/>
        <v>0.1606008944</v>
      </c>
      <c r="BA24">
        <f t="shared" si="37"/>
        <v>0.1337517193</v>
      </c>
      <c r="BB24">
        <f t="shared" si="37"/>
        <v>0.06687585963</v>
      </c>
      <c r="BC24">
        <f t="shared" si="37"/>
        <v>0.06135777761</v>
      </c>
      <c r="BD24">
        <f t="shared" si="37"/>
        <v>0.08828931222</v>
      </c>
      <c r="BE24">
        <f t="shared" si="37"/>
        <v>0.1345753136</v>
      </c>
      <c r="BF24">
        <f t="shared" si="37"/>
        <v>0.08919526598</v>
      </c>
      <c r="BG24">
        <f t="shared" si="37"/>
        <v>0.06086362101</v>
      </c>
      <c r="BH24">
        <f t="shared" si="37"/>
        <v>0.08153583871</v>
      </c>
      <c r="BI24">
        <f t="shared" si="37"/>
        <v>0.04158327774</v>
      </c>
      <c r="BK24">
        <f>BK3/1214.19</f>
        <v>0.03656758827</v>
      </c>
      <c r="BL24">
        <f t="shared" ref="BL24:BL25" si="41">SUM(AY24:BK24)</f>
        <v>1</v>
      </c>
      <c r="BM24">
        <f>SUM(AY3:BI3,BK3)</f>
        <v>1214.19</v>
      </c>
    </row>
    <row r="25">
      <c r="B25" s="1" t="s">
        <v>5520</v>
      </c>
      <c r="D25">
        <f t="shared" ref="D25:N25" si="38">D23+D24</f>
        <v>1760000</v>
      </c>
      <c r="E25">
        <f t="shared" si="38"/>
        <v>2530000</v>
      </c>
      <c r="F25">
        <f t="shared" si="38"/>
        <v>1760000</v>
      </c>
      <c r="G25">
        <f t="shared" si="38"/>
        <v>1980000</v>
      </c>
      <c r="H25">
        <f t="shared" si="38"/>
        <v>1980000</v>
      </c>
      <c r="I25">
        <f t="shared" si="38"/>
        <v>0</v>
      </c>
      <c r="J25">
        <f t="shared" si="38"/>
        <v>2420000</v>
      </c>
      <c r="K25">
        <f t="shared" si="38"/>
        <v>2530000</v>
      </c>
      <c r="L25">
        <f t="shared" si="38"/>
        <v>1925000</v>
      </c>
      <c r="M25">
        <f t="shared" si="38"/>
        <v>1903000</v>
      </c>
      <c r="N25">
        <f t="shared" si="38"/>
        <v>1430000</v>
      </c>
      <c r="P25" s="18">
        <f>P23+P24</f>
        <v>20218000</v>
      </c>
      <c r="Q25" s="18">
        <f>SUM(P25,P26)</f>
        <v>21275025.61</v>
      </c>
      <c r="R25" s="1"/>
      <c r="S25" s="1" t="s">
        <v>5544</v>
      </c>
      <c r="T25" s="23" t="s">
        <v>5539</v>
      </c>
      <c r="U25">
        <f t="shared" ref="U25:AI25" si="39">905170*U21/5362</f>
        <v>0</v>
      </c>
      <c r="V25">
        <f t="shared" si="39"/>
        <v>243426.9191</v>
      </c>
      <c r="W25">
        <f t="shared" si="39"/>
        <v>196328.3681</v>
      </c>
      <c r="X25">
        <f t="shared" si="39"/>
        <v>57058.45953</v>
      </c>
      <c r="Y25">
        <f t="shared" si="39"/>
        <v>24156.28331</v>
      </c>
      <c r="Z25">
        <f t="shared" si="39"/>
        <v>34759.10833</v>
      </c>
      <c r="AA25">
        <f t="shared" si="39"/>
        <v>0</v>
      </c>
      <c r="AB25">
        <f t="shared" si="39"/>
        <v>97235.71802</v>
      </c>
      <c r="AC25">
        <f t="shared" si="39"/>
        <v>41127.05793</v>
      </c>
      <c r="AD25">
        <f t="shared" si="39"/>
        <v>55095.78802</v>
      </c>
      <c r="AE25">
        <f t="shared" si="39"/>
        <v>46760.92689</v>
      </c>
      <c r="AF25">
        <f t="shared" si="39"/>
        <v>62966.8799</v>
      </c>
      <c r="AG25">
        <f t="shared" si="39"/>
        <v>0</v>
      </c>
      <c r="AH25">
        <f t="shared" si="39"/>
        <v>46254.49086</v>
      </c>
      <c r="AI25">
        <f t="shared" si="39"/>
        <v>905170</v>
      </c>
      <c r="AX25" s="127">
        <v>43382.0</v>
      </c>
      <c r="AY25">
        <f t="shared" ref="AY25:BK25" si="40">AY24*339080</f>
        <v>15191.98149</v>
      </c>
      <c r="AZ25" s="133">
        <f t="shared" si="40"/>
        <v>54456.55128</v>
      </c>
      <c r="BA25" s="133">
        <f t="shared" si="40"/>
        <v>45352.53296</v>
      </c>
      <c r="BB25" s="133">
        <f t="shared" si="40"/>
        <v>22676.26648</v>
      </c>
      <c r="BC25" s="133">
        <f t="shared" si="40"/>
        <v>20805.19523</v>
      </c>
      <c r="BD25" s="133">
        <f t="shared" si="40"/>
        <v>29937.13999</v>
      </c>
      <c r="BE25">
        <f t="shared" si="40"/>
        <v>45631.79733</v>
      </c>
      <c r="BF25" s="133">
        <f t="shared" si="40"/>
        <v>30244.33079</v>
      </c>
      <c r="BG25" s="133">
        <f t="shared" si="40"/>
        <v>20637.63661</v>
      </c>
      <c r="BH25" s="133">
        <f t="shared" si="40"/>
        <v>27647.17219</v>
      </c>
      <c r="BI25" s="133">
        <f t="shared" si="40"/>
        <v>14100.05782</v>
      </c>
      <c r="BJ25">
        <f t="shared" si="40"/>
        <v>0</v>
      </c>
      <c r="BK25" s="133">
        <f t="shared" si="40"/>
        <v>12399.33783</v>
      </c>
      <c r="BL25">
        <f t="shared" si="41"/>
        <v>339080</v>
      </c>
    </row>
    <row r="26">
      <c r="B26" s="1" t="s">
        <v>5545</v>
      </c>
      <c r="C26" s="1" t="s">
        <v>5525</v>
      </c>
      <c r="D26">
        <v>151093.369806299</v>
      </c>
      <c r="E26" s="134">
        <v>254481.2760609197</v>
      </c>
      <c r="F26" s="134">
        <v>98382.7428655922</v>
      </c>
      <c r="G26" s="134">
        <v>51928.236433535414</v>
      </c>
      <c r="H26" s="134">
        <v>81177.15998817093</v>
      </c>
      <c r="J26" s="134">
        <v>106672.21100103504</v>
      </c>
      <c r="K26" s="134">
        <v>82225.81264154027</v>
      </c>
      <c r="L26" s="134">
        <v>107656.90597445855</v>
      </c>
      <c r="M26" s="134">
        <v>64597.5562620139</v>
      </c>
      <c r="N26" s="134">
        <v>58810.33609344965</v>
      </c>
      <c r="P26" s="18">
        <f>SUM(C26:O26)</f>
        <v>1057025.607</v>
      </c>
      <c r="Q26" s="18"/>
      <c r="R26" s="1"/>
      <c r="S26" s="1" t="s">
        <v>5546</v>
      </c>
      <c r="T26" s="135">
        <v>42652.0</v>
      </c>
      <c r="U26">
        <f t="shared" ref="U26:AI26" si="42">U25*2</f>
        <v>0</v>
      </c>
      <c r="V26">
        <f t="shared" si="42"/>
        <v>486853.8381</v>
      </c>
      <c r="W26">
        <f t="shared" si="42"/>
        <v>392656.7363</v>
      </c>
      <c r="X26">
        <f t="shared" si="42"/>
        <v>114116.9191</v>
      </c>
      <c r="Y26">
        <f t="shared" si="42"/>
        <v>48312.56662</v>
      </c>
      <c r="Z26">
        <f t="shared" si="42"/>
        <v>69518.21667</v>
      </c>
      <c r="AA26">
        <f t="shared" si="42"/>
        <v>0</v>
      </c>
      <c r="AB26">
        <f t="shared" si="42"/>
        <v>194471.436</v>
      </c>
      <c r="AC26">
        <f t="shared" si="42"/>
        <v>82254.11586</v>
      </c>
      <c r="AD26">
        <f t="shared" si="42"/>
        <v>110191.576</v>
      </c>
      <c r="AE26">
        <f t="shared" si="42"/>
        <v>93521.85379</v>
      </c>
      <c r="AF26">
        <f t="shared" si="42"/>
        <v>125933.7598</v>
      </c>
      <c r="AG26">
        <f t="shared" si="42"/>
        <v>0</v>
      </c>
      <c r="AH26">
        <f t="shared" si="42"/>
        <v>92508.98172</v>
      </c>
      <c r="AI26">
        <f t="shared" si="42"/>
        <v>1810340</v>
      </c>
      <c r="BE26" s="133">
        <f>BE25+AY25</f>
        <v>60823.77882</v>
      </c>
    </row>
    <row r="27">
      <c r="D27">
        <f t="shared" ref="D27:N27" si="43">D26-D28</f>
        <v>137357.6089</v>
      </c>
      <c r="E27">
        <f t="shared" si="43"/>
        <v>231346.6146</v>
      </c>
      <c r="F27">
        <f t="shared" si="43"/>
        <v>89438.85715</v>
      </c>
      <c r="G27">
        <f t="shared" si="43"/>
        <v>47207.48767</v>
      </c>
      <c r="H27">
        <f t="shared" si="43"/>
        <v>73797.41817</v>
      </c>
      <c r="I27">
        <f t="shared" si="43"/>
        <v>0</v>
      </c>
      <c r="J27">
        <f t="shared" si="43"/>
        <v>96974.73727</v>
      </c>
      <c r="K27">
        <f t="shared" si="43"/>
        <v>74750.73877</v>
      </c>
      <c r="L27">
        <f t="shared" si="43"/>
        <v>97869.91452</v>
      </c>
      <c r="M27">
        <f t="shared" si="43"/>
        <v>58725.05115</v>
      </c>
      <c r="N27">
        <f t="shared" si="43"/>
        <v>53463.9419</v>
      </c>
      <c r="P27">
        <f>P26-P28</f>
        <v>960932.3701</v>
      </c>
      <c r="V27" s="1" t="s">
        <v>5547</v>
      </c>
      <c r="AH27" s="1" t="s">
        <v>5548</v>
      </c>
    </row>
    <row r="28">
      <c r="B28" s="1" t="s">
        <v>5499</v>
      </c>
      <c r="D28">
        <f t="shared" ref="D28:N28" si="44">D26/11</f>
        <v>13735.76089</v>
      </c>
      <c r="E28">
        <f t="shared" si="44"/>
        <v>23134.66146</v>
      </c>
      <c r="F28">
        <f t="shared" si="44"/>
        <v>8943.885715</v>
      </c>
      <c r="G28">
        <f t="shared" si="44"/>
        <v>4720.748767</v>
      </c>
      <c r="H28">
        <f t="shared" si="44"/>
        <v>7379.741817</v>
      </c>
      <c r="I28">
        <f t="shared" si="44"/>
        <v>0</v>
      </c>
      <c r="J28">
        <f t="shared" si="44"/>
        <v>9697.473727</v>
      </c>
      <c r="K28">
        <f t="shared" si="44"/>
        <v>7475.073877</v>
      </c>
      <c r="L28">
        <f t="shared" si="44"/>
        <v>9786.991452</v>
      </c>
      <c r="M28">
        <f t="shared" si="44"/>
        <v>5872.505115</v>
      </c>
      <c r="N28">
        <f t="shared" si="44"/>
        <v>5346.39419</v>
      </c>
      <c r="P28">
        <f>P26/11</f>
        <v>96093.23701</v>
      </c>
      <c r="R28" s="1"/>
      <c r="S28" s="1" t="s">
        <v>5544</v>
      </c>
      <c r="T28" s="1" t="s">
        <v>5549</v>
      </c>
      <c r="U28" s="18"/>
      <c r="V28" s="23">
        <v>200000.0</v>
      </c>
      <c r="W28" s="18">
        <v>196328.3681462141</v>
      </c>
      <c r="X28" s="18">
        <v>57058.459530026106</v>
      </c>
      <c r="Y28" s="18">
        <f t="shared" ref="Y28:Z28" si="45">Y25+6608</f>
        <v>30764.28331</v>
      </c>
      <c r="Z28" s="18">
        <f t="shared" si="45"/>
        <v>41367.10833</v>
      </c>
      <c r="AA28" s="18"/>
      <c r="AB28" s="18">
        <f t="shared" ref="AB28:AF28" si="46">AB25+6608</f>
        <v>103843.718</v>
      </c>
      <c r="AC28" s="18">
        <f t="shared" si="46"/>
        <v>47735.05793</v>
      </c>
      <c r="AD28" s="18">
        <f t="shared" si="46"/>
        <v>61703.78802</v>
      </c>
      <c r="AE28" s="18">
        <f t="shared" si="46"/>
        <v>53368.92689</v>
      </c>
      <c r="AF28" s="18">
        <f t="shared" si="46"/>
        <v>69574.8799</v>
      </c>
      <c r="AH28">
        <f t="shared" ref="AH28:AH29" si="50">AH25/7</f>
        <v>6607.784409</v>
      </c>
      <c r="AI28">
        <f t="shared" ref="AI28:AI29" si="51">SUM(V28:AG28)</f>
        <v>861744.5901</v>
      </c>
      <c r="AV28" s="1">
        <v>298790.0</v>
      </c>
      <c r="AX28" s="3" t="s">
        <v>5510</v>
      </c>
      <c r="AY28">
        <v>0.044803531572488654</v>
      </c>
      <c r="AZ28">
        <v>0.16060089442344277</v>
      </c>
      <c r="BA28">
        <v>0.13375171925316465</v>
      </c>
      <c r="BB28">
        <v>0.06687585962658232</v>
      </c>
      <c r="BC28">
        <v>0.06135777761305891</v>
      </c>
      <c r="BD28">
        <v>0.0882893122163747</v>
      </c>
      <c r="BE28">
        <v>0.1345753135835413</v>
      </c>
      <c r="BF28">
        <v>0.08919526597978898</v>
      </c>
      <c r="BG28">
        <v>0.06086362101483293</v>
      </c>
      <c r="BH28">
        <v>0.08153583870728634</v>
      </c>
      <c r="BI28">
        <v>0.04158327774071603</v>
      </c>
      <c r="BK28">
        <v>0.036567588268722355</v>
      </c>
      <c r="BL28">
        <v>0.9999999999999998</v>
      </c>
      <c r="BM28">
        <v>1214.19</v>
      </c>
    </row>
    <row r="29">
      <c r="B29" s="23" t="s">
        <v>5528</v>
      </c>
      <c r="C29" s="18"/>
      <c r="D29" s="18">
        <f t="shared" ref="D29:O29" si="47">SUM(D25,D26)</f>
        <v>1911093.37</v>
      </c>
      <c r="E29" s="18">
        <f t="shared" si="47"/>
        <v>2784481.276</v>
      </c>
      <c r="F29" s="18">
        <f t="shared" si="47"/>
        <v>1858382.743</v>
      </c>
      <c r="G29" s="18">
        <f t="shared" si="47"/>
        <v>2031928.236</v>
      </c>
      <c r="H29" s="18">
        <f t="shared" si="47"/>
        <v>2061177.16</v>
      </c>
      <c r="I29" s="18">
        <f t="shared" si="47"/>
        <v>0</v>
      </c>
      <c r="J29" s="18">
        <f t="shared" si="47"/>
        <v>2526672.211</v>
      </c>
      <c r="K29" s="18">
        <f t="shared" si="47"/>
        <v>2612225.813</v>
      </c>
      <c r="L29" s="18">
        <f t="shared" si="47"/>
        <v>2032656.906</v>
      </c>
      <c r="M29" s="18">
        <f t="shared" si="47"/>
        <v>1967597.556</v>
      </c>
      <c r="N29" s="18">
        <f t="shared" si="47"/>
        <v>1488810.336</v>
      </c>
      <c r="O29" s="18">
        <f t="shared" si="47"/>
        <v>0</v>
      </c>
      <c r="P29">
        <f t="shared" ref="P29:P31" si="53">SUM(C29:O29)</f>
        <v>21275025.61</v>
      </c>
      <c r="R29" s="1"/>
      <c r="S29" s="1" t="s">
        <v>5546</v>
      </c>
      <c r="V29" s="1">
        <v>400000.0</v>
      </c>
      <c r="W29">
        <v>392656.7362924282</v>
      </c>
      <c r="X29">
        <v>114116.91906005221</v>
      </c>
      <c r="Y29">
        <f t="shared" ref="Y29:Z29" si="48">Y26+13216</f>
        <v>61528.56662</v>
      </c>
      <c r="Z29">
        <f t="shared" si="48"/>
        <v>82734.21667</v>
      </c>
      <c r="AB29">
        <f t="shared" ref="AB29:AF29" si="49">AB26+13216</f>
        <v>207687.436</v>
      </c>
      <c r="AC29">
        <f t="shared" si="49"/>
        <v>95470.11586</v>
      </c>
      <c r="AD29">
        <f t="shared" si="49"/>
        <v>123407.576</v>
      </c>
      <c r="AE29">
        <f t="shared" si="49"/>
        <v>106737.8538</v>
      </c>
      <c r="AF29">
        <f t="shared" si="49"/>
        <v>139149.7598</v>
      </c>
      <c r="AH29">
        <f t="shared" si="50"/>
        <v>13215.56882</v>
      </c>
      <c r="AI29">
        <f t="shared" si="51"/>
        <v>1723489.18</v>
      </c>
      <c r="AX29" s="127">
        <v>43445.0</v>
      </c>
      <c r="AY29">
        <f t="shared" ref="AY29:BK29" si="52">AY28*298790</f>
        <v>13386.8472</v>
      </c>
      <c r="AZ29" s="136">
        <f t="shared" si="52"/>
        <v>47985.94124</v>
      </c>
      <c r="BA29" s="136">
        <f t="shared" si="52"/>
        <v>39963.6762</v>
      </c>
      <c r="BB29" s="136">
        <f t="shared" si="52"/>
        <v>19981.8381</v>
      </c>
      <c r="BC29" s="136">
        <f t="shared" si="52"/>
        <v>18333.09037</v>
      </c>
      <c r="BD29" s="136">
        <f t="shared" si="52"/>
        <v>26379.9636</v>
      </c>
      <c r="BE29">
        <f t="shared" si="52"/>
        <v>40209.75795</v>
      </c>
      <c r="BF29" s="136">
        <f t="shared" si="52"/>
        <v>26650.65352</v>
      </c>
      <c r="BG29" s="136">
        <f t="shared" si="52"/>
        <v>18185.44132</v>
      </c>
      <c r="BH29" s="136">
        <f t="shared" si="52"/>
        <v>24362.09325</v>
      </c>
      <c r="BI29" s="136">
        <f t="shared" si="52"/>
        <v>12424.66756</v>
      </c>
      <c r="BJ29">
        <f t="shared" si="52"/>
        <v>0</v>
      </c>
      <c r="BK29" s="136">
        <f t="shared" si="52"/>
        <v>10926.0297</v>
      </c>
      <c r="BL29">
        <f>SUM(AY29:BK29)</f>
        <v>298790</v>
      </c>
    </row>
    <row r="30">
      <c r="B30" s="1" t="s">
        <v>5550</v>
      </c>
      <c r="D30" s="134">
        <v>122082.94770409333</v>
      </c>
      <c r="E30" s="134">
        <v>101673.18311356285</v>
      </c>
      <c r="F30" s="134">
        <v>101673.18311356285</v>
      </c>
      <c r="G30" s="134">
        <v>46641.946686948475</v>
      </c>
      <c r="H30" s="134">
        <v>67114.3179173272</v>
      </c>
      <c r="J30" s="134">
        <v>67802.99095565798</v>
      </c>
      <c r="K30" s="134">
        <v>46266.306847858956</v>
      </c>
      <c r="L30" s="134">
        <v>61980.573449770454</v>
      </c>
      <c r="M30" s="134">
        <v>31610.09245938293</v>
      </c>
      <c r="N30" s="134">
        <v>36374.45775183498</v>
      </c>
      <c r="P30">
        <f t="shared" si="53"/>
        <v>683220</v>
      </c>
      <c r="BE30" s="133">
        <f>BE29+AY29</f>
        <v>53596.60514</v>
      </c>
    </row>
    <row r="31">
      <c r="B31" s="23" t="s">
        <v>5551</v>
      </c>
      <c r="C31" s="18"/>
      <c r="D31" s="23">
        <f t="shared" ref="D31:N31" si="54">SUM(D29:D30)</f>
        <v>2033176.318</v>
      </c>
      <c r="E31" s="23">
        <f t="shared" si="54"/>
        <v>2886154.459</v>
      </c>
      <c r="F31" s="23">
        <f t="shared" si="54"/>
        <v>1960055.926</v>
      </c>
      <c r="G31" s="23">
        <f t="shared" si="54"/>
        <v>2078570.183</v>
      </c>
      <c r="H31" s="23">
        <f t="shared" si="54"/>
        <v>2128291.478</v>
      </c>
      <c r="I31" s="23">
        <f t="shared" si="54"/>
        <v>0</v>
      </c>
      <c r="J31" s="23">
        <f t="shared" si="54"/>
        <v>2594475.202</v>
      </c>
      <c r="K31" s="23">
        <f t="shared" si="54"/>
        <v>2658492.119</v>
      </c>
      <c r="L31" s="23">
        <f t="shared" si="54"/>
        <v>2094637.479</v>
      </c>
      <c r="M31" s="23">
        <f t="shared" si="54"/>
        <v>1999207.649</v>
      </c>
      <c r="N31" s="23">
        <f t="shared" si="54"/>
        <v>1525184.794</v>
      </c>
      <c r="O31" s="18"/>
      <c r="P31">
        <f t="shared" si="53"/>
        <v>21958245.61</v>
      </c>
    </row>
    <row r="32">
      <c r="D32" s="1" t="s">
        <v>5552</v>
      </c>
      <c r="E32" s="1" t="s">
        <v>5553</v>
      </c>
      <c r="F32" s="1" t="s">
        <v>5552</v>
      </c>
      <c r="G32" s="1" t="s">
        <v>5554</v>
      </c>
      <c r="H32" s="1" t="s">
        <v>5552</v>
      </c>
      <c r="J32" s="1" t="s">
        <v>5552</v>
      </c>
      <c r="K32" s="1" t="s">
        <v>5552</v>
      </c>
      <c r="L32" s="1" t="s">
        <v>5552</v>
      </c>
      <c r="M32" s="1" t="s">
        <v>5552</v>
      </c>
      <c r="N32" s="1" t="s">
        <v>5552</v>
      </c>
      <c r="AV32" s="1">
        <v>258000.0</v>
      </c>
      <c r="AX32" s="1" t="s">
        <v>5510</v>
      </c>
      <c r="AY32">
        <f t="shared" ref="AY32:BK32" si="55">AY3/1272.29</f>
        <v>0.04275754741</v>
      </c>
      <c r="AZ32">
        <f t="shared" si="55"/>
        <v>0.1532669439</v>
      </c>
      <c r="BA32">
        <f t="shared" si="55"/>
        <v>0.1276438548</v>
      </c>
      <c r="BB32">
        <f t="shared" si="55"/>
        <v>0.06382192739</v>
      </c>
      <c r="BC32">
        <f t="shared" si="55"/>
        <v>0.0585558324</v>
      </c>
      <c r="BD32">
        <f t="shared" si="55"/>
        <v>0.08425751991</v>
      </c>
      <c r="BE32">
        <f t="shared" si="55"/>
        <v>0.1284298391</v>
      </c>
      <c r="BF32">
        <f t="shared" si="55"/>
        <v>0.08512210267</v>
      </c>
      <c r="BG32">
        <f t="shared" si="55"/>
        <v>0.0580842418</v>
      </c>
      <c r="BH32">
        <f t="shared" si="55"/>
        <v>0.07781244842</v>
      </c>
      <c r="BI32">
        <f t="shared" si="55"/>
        <v>0.03968434869</v>
      </c>
      <c r="BJ32">
        <f t="shared" si="55"/>
        <v>0.04566568943</v>
      </c>
      <c r="BK32">
        <f t="shared" si="55"/>
        <v>0.03489770414</v>
      </c>
      <c r="BL32">
        <f t="shared" ref="BL32:BL33" si="58">SUM(AY32:BK32)</f>
        <v>1</v>
      </c>
      <c r="BM32">
        <v>1272.29</v>
      </c>
    </row>
    <row r="33">
      <c r="K33" s="15" t="s">
        <v>5529</v>
      </c>
      <c r="L33" s="130" t="s">
        <v>5530</v>
      </c>
      <c r="M33" s="130">
        <f>M23*0.8</f>
        <v>1384000</v>
      </c>
      <c r="N33" s="103">
        <f t="shared" ref="N33:N34" si="59">M33*0.1</f>
        <v>138400</v>
      </c>
      <c r="O33" s="131">
        <f t="shared" ref="O33:O34" si="60">SUM(M33:N33)</f>
        <v>1522400</v>
      </c>
      <c r="R33" s="1">
        <v>2016.0</v>
      </c>
      <c r="S33" s="1" t="s">
        <v>5532</v>
      </c>
      <c r="T33" s="1" t="s">
        <v>5555</v>
      </c>
      <c r="U33">
        <f t="shared" ref="U33:AH33" si="56">U12-U8</f>
        <v>1042</v>
      </c>
      <c r="V33">
        <f t="shared" si="56"/>
        <v>0</v>
      </c>
      <c r="W33">
        <f t="shared" si="56"/>
        <v>629</v>
      </c>
      <c r="X33">
        <f t="shared" si="56"/>
        <v>0</v>
      </c>
      <c r="Y33">
        <f t="shared" si="56"/>
        <v>757</v>
      </c>
      <c r="Z33">
        <f t="shared" si="56"/>
        <v>0</v>
      </c>
      <c r="AA33">
        <f t="shared" si="56"/>
        <v>635</v>
      </c>
      <c r="AB33">
        <f t="shared" si="56"/>
        <v>0</v>
      </c>
      <c r="AC33">
        <f t="shared" si="56"/>
        <v>1120</v>
      </c>
      <c r="AD33">
        <f t="shared" si="56"/>
        <v>0</v>
      </c>
      <c r="AE33">
        <f t="shared" si="56"/>
        <v>695</v>
      </c>
      <c r="AF33">
        <f t="shared" si="56"/>
        <v>0</v>
      </c>
      <c r="AG33">
        <f t="shared" si="56"/>
        <v>0</v>
      </c>
      <c r="AH33">
        <f t="shared" si="56"/>
        <v>329</v>
      </c>
      <c r="AI33">
        <f t="shared" ref="AI33:AI34" si="62">SUM(U33:AH33)</f>
        <v>5207</v>
      </c>
      <c r="AX33" s="127"/>
      <c r="AY33">
        <f t="shared" ref="AY33:BK33" si="57">AY32*258000</f>
        <v>11031.44723</v>
      </c>
      <c r="AZ33" s="133">
        <f t="shared" si="57"/>
        <v>39542.87152</v>
      </c>
      <c r="BA33" s="133">
        <f t="shared" si="57"/>
        <v>32932.11453</v>
      </c>
      <c r="BB33" s="133">
        <f t="shared" si="57"/>
        <v>16466.05727</v>
      </c>
      <c r="BC33" s="133">
        <f t="shared" si="57"/>
        <v>15107.40476</v>
      </c>
      <c r="BD33" s="133">
        <f t="shared" si="57"/>
        <v>21738.44014</v>
      </c>
      <c r="BE33">
        <f t="shared" si="57"/>
        <v>33134.89849</v>
      </c>
      <c r="BF33" s="133">
        <f t="shared" si="57"/>
        <v>21961.50249</v>
      </c>
      <c r="BG33" s="133">
        <f t="shared" si="57"/>
        <v>14985.73438</v>
      </c>
      <c r="BH33" s="133">
        <f t="shared" si="57"/>
        <v>20075.61169</v>
      </c>
      <c r="BI33" s="133">
        <f t="shared" si="57"/>
        <v>10238.56196</v>
      </c>
      <c r="BJ33" s="133">
        <f t="shared" si="57"/>
        <v>11781.74787</v>
      </c>
      <c r="BK33" s="133">
        <f t="shared" si="57"/>
        <v>9003.607668</v>
      </c>
      <c r="BL33">
        <f t="shared" si="58"/>
        <v>258000</v>
      </c>
    </row>
    <row r="34">
      <c r="K34" s="73"/>
      <c r="L34" s="1" t="s">
        <v>5531</v>
      </c>
      <c r="M34" s="1">
        <f>M23*0.2</f>
        <v>346000</v>
      </c>
      <c r="N34">
        <f t="shared" si="59"/>
        <v>34600</v>
      </c>
      <c r="O34" s="72">
        <f t="shared" si="60"/>
        <v>380600</v>
      </c>
      <c r="S34" s="137" t="s">
        <v>5534</v>
      </c>
      <c r="T34" s="100"/>
      <c r="U34" s="100">
        <f t="shared" ref="U34:W34" si="61">U13-U9</f>
        <v>5</v>
      </c>
      <c r="V34" s="100">
        <f t="shared" si="61"/>
        <v>966</v>
      </c>
      <c r="W34" s="100">
        <f t="shared" si="61"/>
        <v>1627</v>
      </c>
      <c r="X34" s="137">
        <v>629.0</v>
      </c>
      <c r="Y34" s="100">
        <f>Y13-Y9</f>
        <v>285</v>
      </c>
      <c r="Z34" s="100">
        <f>Y33-Y34</f>
        <v>472</v>
      </c>
      <c r="AA34" s="100">
        <f>AA13-AA9</f>
        <v>0</v>
      </c>
      <c r="AB34" s="100">
        <f>AA33-AA34</f>
        <v>635</v>
      </c>
      <c r="AC34" s="100">
        <f>AC33*AC1/(AC1+AD1)</f>
        <v>478.7044534</v>
      </c>
      <c r="AD34" s="100">
        <f>AC33*AD1/(AD1+AC1)</f>
        <v>641.2955466</v>
      </c>
      <c r="AE34" s="100">
        <f>AE13-AE9</f>
        <v>366</v>
      </c>
      <c r="AF34" s="100">
        <f>AE33-AE34</f>
        <v>329</v>
      </c>
      <c r="AG34" s="100">
        <f>AG13-AG9</f>
        <v>0</v>
      </c>
      <c r="AH34" s="137">
        <v>329.0</v>
      </c>
      <c r="AI34" s="100">
        <f t="shared" si="62"/>
        <v>6763</v>
      </c>
      <c r="BE34" s="133">
        <f>BE33+AY33</f>
        <v>44166.34572</v>
      </c>
      <c r="BI34" s="29">
        <f>BI33*52/59</f>
        <v>9023.817323</v>
      </c>
      <c r="BJ34" s="29">
        <f>BJ33*0.5</f>
        <v>5890.873936</v>
      </c>
    </row>
    <row r="35">
      <c r="K35" s="19"/>
      <c r="L35" s="100"/>
      <c r="M35" s="100">
        <f t="shared" ref="M35:O35" si="63">SUM(M33:M34)</f>
        <v>1730000</v>
      </c>
      <c r="N35" s="100">
        <f t="shared" si="63"/>
        <v>173000</v>
      </c>
      <c r="O35" s="100">
        <f t="shared" si="63"/>
        <v>1903000</v>
      </c>
      <c r="AJ35" s="1">
        <v>1055310.0</v>
      </c>
      <c r="AK35" s="1">
        <v>2500.0</v>
      </c>
      <c r="AL35">
        <f>AL36-AL21</f>
        <v>7352</v>
      </c>
    </row>
    <row r="36">
      <c r="I36" s="1" t="s">
        <v>5556</v>
      </c>
      <c r="K36" s="132" t="s">
        <v>5536</v>
      </c>
      <c r="L36" s="11" t="s">
        <v>5537</v>
      </c>
      <c r="M36" s="12" t="s">
        <v>5557</v>
      </c>
      <c r="N36" s="1" t="s">
        <v>5499</v>
      </c>
      <c r="U36" s="18">
        <f t="shared" ref="U36:AI36" si="64">1057810*U34/6763</f>
        <v>782.0567795</v>
      </c>
      <c r="V36" s="18">
        <f t="shared" si="64"/>
        <v>151093.3698</v>
      </c>
      <c r="W36" s="18">
        <f t="shared" si="64"/>
        <v>254481.2761</v>
      </c>
      <c r="X36" s="18">
        <f t="shared" si="64"/>
        <v>98382.74287</v>
      </c>
      <c r="Y36">
        <f t="shared" si="64"/>
        <v>44577.23643</v>
      </c>
      <c r="Z36">
        <f t="shared" si="64"/>
        <v>73826.15999</v>
      </c>
      <c r="AA36">
        <f t="shared" si="64"/>
        <v>0</v>
      </c>
      <c r="AB36">
        <f t="shared" si="64"/>
        <v>99321.211</v>
      </c>
      <c r="AC36">
        <f t="shared" si="64"/>
        <v>74874.81264</v>
      </c>
      <c r="AD36">
        <f t="shared" si="64"/>
        <v>100305.906</v>
      </c>
      <c r="AE36">
        <f t="shared" si="64"/>
        <v>57246.55626</v>
      </c>
      <c r="AF36">
        <f t="shared" si="64"/>
        <v>51459.33609</v>
      </c>
      <c r="AG36">
        <f t="shared" si="64"/>
        <v>0</v>
      </c>
      <c r="AH36">
        <f t="shared" si="64"/>
        <v>51459.33609</v>
      </c>
      <c r="AI36">
        <f t="shared" si="64"/>
        <v>1057810</v>
      </c>
      <c r="AJ36" s="1">
        <v>1057810.0</v>
      </c>
      <c r="AL36" s="1">
        <v>348984.0</v>
      </c>
      <c r="AM36" s="1">
        <v>7352.0</v>
      </c>
    </row>
    <row r="37">
      <c r="I37" s="1" t="s">
        <v>5558</v>
      </c>
      <c r="K37" s="1" t="s">
        <v>5559</v>
      </c>
      <c r="V37">
        <v>151093.369806299</v>
      </c>
      <c r="W37">
        <v>254481.2760609197</v>
      </c>
      <c r="X37">
        <v>98382.7428655922</v>
      </c>
      <c r="Y37" s="18">
        <f t="shared" ref="Y37:Z37" si="65">Y36+7351</f>
        <v>51928.23643</v>
      </c>
      <c r="Z37" s="18">
        <f t="shared" si="65"/>
        <v>81177.15999</v>
      </c>
      <c r="AA37" s="18"/>
      <c r="AB37" s="18">
        <f t="shared" ref="AB37:AF37" si="66">AB36+7351</f>
        <v>106672.211</v>
      </c>
      <c r="AC37" s="18">
        <f t="shared" si="66"/>
        <v>82225.81264</v>
      </c>
      <c r="AD37" s="18">
        <f t="shared" si="66"/>
        <v>107656.906</v>
      </c>
      <c r="AE37" s="18">
        <f t="shared" si="66"/>
        <v>64597.55626</v>
      </c>
      <c r="AF37" s="18">
        <f t="shared" si="66"/>
        <v>58810.33609</v>
      </c>
      <c r="AH37">
        <f>AH36/7</f>
        <v>7351.333728</v>
      </c>
      <c r="AI37">
        <f>SUM(V37:AF37)</f>
        <v>1057025.607</v>
      </c>
      <c r="AJ37" s="1" t="s">
        <v>5548</v>
      </c>
      <c r="AV37" s="1">
        <v>288000.0</v>
      </c>
      <c r="AX37" s="1" t="s">
        <v>5510</v>
      </c>
      <c r="AY37">
        <f t="shared" ref="AY37:BE37" si="67">AY3/1113.5</f>
        <v>0.04885496183</v>
      </c>
      <c r="AZ37">
        <f t="shared" si="67"/>
        <v>0.1751234845</v>
      </c>
      <c r="BA37">
        <f t="shared" si="67"/>
        <v>0.1458464302</v>
      </c>
      <c r="BB37">
        <f t="shared" si="67"/>
        <v>0.07292321509</v>
      </c>
      <c r="BC37">
        <f t="shared" si="67"/>
        <v>0.06690615177</v>
      </c>
      <c r="BD37">
        <f t="shared" si="67"/>
        <v>0.09627301302</v>
      </c>
      <c r="BE37">
        <f t="shared" si="67"/>
        <v>0.1467444993</v>
      </c>
      <c r="BG37">
        <f t="shared" ref="BG37:BH37" si="68">BG3/1113.5</f>
        <v>0.06636731028</v>
      </c>
      <c r="BH37">
        <f t="shared" si="68"/>
        <v>0.08890884598</v>
      </c>
      <c r="BJ37">
        <f t="shared" ref="BJ37:BK37" si="69">BJ3/1113.5</f>
        <v>0.05217781769</v>
      </c>
      <c r="BK37">
        <f t="shared" si="69"/>
        <v>0.03987427032</v>
      </c>
      <c r="BL37">
        <f t="shared" ref="BL37:BL38" si="71">SUM(AY37:BK37)</f>
        <v>1</v>
      </c>
      <c r="BM37">
        <f>SUM(AY3,AZ3,BA3,BB3,BC3,BD3,BE3,BG3,BH3,BJ3,BK3)</f>
        <v>1113.5</v>
      </c>
    </row>
    <row r="38">
      <c r="B38" s="1" t="s">
        <v>5560</v>
      </c>
      <c r="C38" s="1" t="s">
        <v>5517</v>
      </c>
      <c r="D38" s="1">
        <v>1600000.0</v>
      </c>
      <c r="E38" s="1">
        <v>2300000.0</v>
      </c>
      <c r="F38" s="1">
        <v>1600000.0</v>
      </c>
      <c r="G38" s="1">
        <v>1800000.0</v>
      </c>
      <c r="H38" s="1">
        <v>1900000.0</v>
      </c>
      <c r="J38" s="1">
        <v>2200000.0</v>
      </c>
      <c r="K38" s="1">
        <v>2300000.0</v>
      </c>
      <c r="L38" s="1">
        <v>1750000.0</v>
      </c>
      <c r="M38" s="1">
        <v>1730000.0</v>
      </c>
      <c r="N38" s="1">
        <v>1300000.0</v>
      </c>
      <c r="P38">
        <f>SUM(C38:O38)</f>
        <v>18480000</v>
      </c>
      <c r="AX38" s="127">
        <v>43224.0</v>
      </c>
      <c r="AY38">
        <f t="shared" ref="AY38:BK38" si="70">AY37*288000</f>
        <v>14070.22901</v>
      </c>
      <c r="AZ38" s="136">
        <f t="shared" si="70"/>
        <v>50435.56354</v>
      </c>
      <c r="BA38" s="136">
        <f t="shared" si="70"/>
        <v>42003.77189</v>
      </c>
      <c r="BB38" s="136">
        <f t="shared" si="70"/>
        <v>21001.88595</v>
      </c>
      <c r="BC38" s="136">
        <f t="shared" si="70"/>
        <v>19268.97171</v>
      </c>
      <c r="BD38" s="136">
        <f t="shared" si="70"/>
        <v>27726.62775</v>
      </c>
      <c r="BE38">
        <f t="shared" si="70"/>
        <v>42262.41581</v>
      </c>
      <c r="BF38">
        <f t="shared" si="70"/>
        <v>0</v>
      </c>
      <c r="BG38" s="136">
        <f t="shared" si="70"/>
        <v>19113.78536</v>
      </c>
      <c r="BH38" s="136">
        <f t="shared" si="70"/>
        <v>25605.74764</v>
      </c>
      <c r="BI38">
        <f t="shared" si="70"/>
        <v>0</v>
      </c>
      <c r="BJ38" s="136">
        <f t="shared" si="70"/>
        <v>15027.2115</v>
      </c>
      <c r="BK38" s="136">
        <f t="shared" si="70"/>
        <v>11483.78985</v>
      </c>
      <c r="BL38">
        <f t="shared" si="71"/>
        <v>288000</v>
      </c>
    </row>
    <row r="39">
      <c r="B39" s="1" t="s">
        <v>5499</v>
      </c>
      <c r="C39" s="1"/>
      <c r="D39" s="1">
        <f t="shared" ref="D39:H39" si="72">D38*0.1</f>
        <v>160000</v>
      </c>
      <c r="E39" s="1">
        <f t="shared" si="72"/>
        <v>230000</v>
      </c>
      <c r="F39" s="1">
        <f t="shared" si="72"/>
        <v>160000</v>
      </c>
      <c r="G39" s="1">
        <f t="shared" si="72"/>
        <v>180000</v>
      </c>
      <c r="H39" s="1">
        <f t="shared" si="72"/>
        <v>190000</v>
      </c>
      <c r="I39" s="1"/>
      <c r="J39" s="1">
        <f t="shared" ref="J39:N39" si="73">J38*0.1</f>
        <v>220000</v>
      </c>
      <c r="K39" s="1">
        <f t="shared" si="73"/>
        <v>230000</v>
      </c>
      <c r="L39" s="1">
        <f t="shared" si="73"/>
        <v>175000</v>
      </c>
      <c r="M39" s="1">
        <f t="shared" si="73"/>
        <v>173000</v>
      </c>
      <c r="N39" s="1">
        <f t="shared" si="73"/>
        <v>130000</v>
      </c>
      <c r="P39" s="1">
        <f>P38*0.1</f>
        <v>1848000</v>
      </c>
      <c r="T39" s="1" t="s">
        <v>1894</v>
      </c>
      <c r="U39" s="1">
        <v>4274.0</v>
      </c>
      <c r="W39" s="1">
        <v>9059.0</v>
      </c>
      <c r="Y39" s="1">
        <v>43298.0</v>
      </c>
      <c r="AA39" s="1">
        <v>30355.0</v>
      </c>
      <c r="AC39" s="1">
        <v>45420.0</v>
      </c>
      <c r="AE39" s="1">
        <v>73063.0</v>
      </c>
      <c r="AH39" s="1">
        <v>2330.0</v>
      </c>
      <c r="BE39" s="133">
        <f>BE38+AY38</f>
        <v>56332.64481</v>
      </c>
    </row>
    <row r="40">
      <c r="B40" s="1" t="s">
        <v>5520</v>
      </c>
      <c r="D40">
        <f t="shared" ref="D40:N40" si="74">D38+D39</f>
        <v>1760000</v>
      </c>
      <c r="E40">
        <f t="shared" si="74"/>
        <v>2530000</v>
      </c>
      <c r="F40">
        <f t="shared" si="74"/>
        <v>1760000</v>
      </c>
      <c r="G40">
        <f t="shared" si="74"/>
        <v>1980000</v>
      </c>
      <c r="H40">
        <f t="shared" si="74"/>
        <v>2090000</v>
      </c>
      <c r="I40">
        <f t="shared" si="74"/>
        <v>0</v>
      </c>
      <c r="J40">
        <f t="shared" si="74"/>
        <v>2420000</v>
      </c>
      <c r="K40">
        <f t="shared" si="74"/>
        <v>2530000</v>
      </c>
      <c r="L40">
        <f t="shared" si="74"/>
        <v>1925000</v>
      </c>
      <c r="M40">
        <f t="shared" si="74"/>
        <v>1903000</v>
      </c>
      <c r="N40">
        <f t="shared" si="74"/>
        <v>1430000</v>
      </c>
      <c r="P40" s="18">
        <f>P38+P39</f>
        <v>20328000</v>
      </c>
      <c r="Q40" s="18">
        <f>SUM(P40,P41)</f>
        <v>21702481.39</v>
      </c>
      <c r="T40" s="1"/>
      <c r="U40" s="1">
        <v>3572.0</v>
      </c>
      <c r="V40" s="1">
        <v>9251.0</v>
      </c>
      <c r="W40" s="1">
        <v>30876.0</v>
      </c>
      <c r="Y40" s="1">
        <v>10393.0</v>
      </c>
      <c r="AA40" s="1">
        <v>34085.0</v>
      </c>
      <c r="AE40" s="1">
        <v>81832.0</v>
      </c>
      <c r="AG40" s="1">
        <v>4978.0</v>
      </c>
    </row>
    <row r="41">
      <c r="B41" s="1" t="s">
        <v>5545</v>
      </c>
      <c r="C41" s="18">
        <v>1623.9130434782608</v>
      </c>
      <c r="D41">
        <v>108477.39130434782</v>
      </c>
      <c r="E41">
        <v>321534.7826086957</v>
      </c>
      <c r="F41">
        <v>97110.0</v>
      </c>
      <c r="G41">
        <v>106668.08695652174</v>
      </c>
      <c r="H41">
        <v>141095.04347826086</v>
      </c>
      <c r="J41">
        <v>161231.5652173913</v>
      </c>
      <c r="K41">
        <v>110657.33407096335</v>
      </c>
      <c r="L41">
        <v>145712.53549425403</v>
      </c>
      <c r="M41">
        <v>83283.73913043478</v>
      </c>
      <c r="N41">
        <v>97087.0</v>
      </c>
      <c r="O41" s="3">
        <v>0.0</v>
      </c>
      <c r="P41" s="18">
        <f>SUM(C41:O41)</f>
        <v>1374481.391</v>
      </c>
    </row>
    <row r="42">
      <c r="D42">
        <f t="shared" ref="D42:N42" si="75">D41-D43</f>
        <v>98615.81028</v>
      </c>
      <c r="E42">
        <f t="shared" si="75"/>
        <v>292304.3478</v>
      </c>
      <c r="F42">
        <f t="shared" si="75"/>
        <v>88281.81818</v>
      </c>
      <c r="G42">
        <f t="shared" si="75"/>
        <v>96970.98814</v>
      </c>
      <c r="H42">
        <f t="shared" si="75"/>
        <v>128268.2213</v>
      </c>
      <c r="I42">
        <f t="shared" si="75"/>
        <v>0</v>
      </c>
      <c r="J42">
        <f t="shared" si="75"/>
        <v>146574.1502</v>
      </c>
      <c r="K42">
        <f t="shared" si="75"/>
        <v>100597.5764</v>
      </c>
      <c r="L42">
        <f t="shared" si="75"/>
        <v>132465.9414</v>
      </c>
      <c r="M42">
        <f t="shared" si="75"/>
        <v>75712.49012</v>
      </c>
      <c r="N42">
        <f t="shared" si="75"/>
        <v>88260.90909</v>
      </c>
      <c r="P42">
        <f>P41-P43</f>
        <v>1249528.538</v>
      </c>
      <c r="S42" s="1" t="s">
        <v>5532</v>
      </c>
      <c r="T42" s="1" t="s">
        <v>5561</v>
      </c>
      <c r="U42">
        <f t="shared" ref="U42:AH42" si="76">U39-U12</f>
        <v>844</v>
      </c>
      <c r="V42">
        <f t="shared" si="76"/>
        <v>0</v>
      </c>
      <c r="W42">
        <f t="shared" si="76"/>
        <v>589</v>
      </c>
      <c r="X42">
        <f t="shared" si="76"/>
        <v>0</v>
      </c>
      <c r="Y42">
        <f t="shared" si="76"/>
        <v>1434</v>
      </c>
      <c r="Z42">
        <f t="shared" si="76"/>
        <v>0</v>
      </c>
      <c r="AA42">
        <f t="shared" si="76"/>
        <v>947</v>
      </c>
      <c r="AB42">
        <f t="shared" si="76"/>
        <v>0</v>
      </c>
      <c r="AC42">
        <f t="shared" si="76"/>
        <v>1487</v>
      </c>
      <c r="AD42">
        <f t="shared" si="76"/>
        <v>0</v>
      </c>
      <c r="AE42">
        <f t="shared" si="76"/>
        <v>1019</v>
      </c>
      <c r="AF42">
        <f t="shared" si="76"/>
        <v>0</v>
      </c>
      <c r="AG42">
        <f t="shared" si="76"/>
        <v>0</v>
      </c>
      <c r="AH42">
        <f t="shared" si="76"/>
        <v>321</v>
      </c>
      <c r="AI42">
        <f t="shared" ref="AI42:AI43" si="82">SUM(U42:AH42)</f>
        <v>6641</v>
      </c>
      <c r="AV42" s="1">
        <v>288000.0</v>
      </c>
      <c r="AX42" s="1" t="s">
        <v>5510</v>
      </c>
      <c r="AY42">
        <f t="shared" ref="AY42:BE42" si="77">AY3/1113.5</f>
        <v>0.04885496183</v>
      </c>
      <c r="AZ42">
        <f t="shared" si="77"/>
        <v>0.1751234845</v>
      </c>
      <c r="BA42">
        <f t="shared" si="77"/>
        <v>0.1458464302</v>
      </c>
      <c r="BB42">
        <f t="shared" si="77"/>
        <v>0.07292321509</v>
      </c>
      <c r="BC42">
        <f t="shared" si="77"/>
        <v>0.06690615177</v>
      </c>
      <c r="BD42">
        <f t="shared" si="77"/>
        <v>0.09627301302</v>
      </c>
      <c r="BE42">
        <f t="shared" si="77"/>
        <v>0.1467444993</v>
      </c>
      <c r="BG42">
        <f t="shared" ref="BG42:BH42" si="78">BG3/1113.5</f>
        <v>0.06636731028</v>
      </c>
      <c r="BH42">
        <f t="shared" si="78"/>
        <v>0.08890884598</v>
      </c>
      <c r="BJ42">
        <f t="shared" ref="BJ42:BK42" si="79">BJ3/1113.5</f>
        <v>0.05217781769</v>
      </c>
      <c r="BK42">
        <f t="shared" si="79"/>
        <v>0.03987427032</v>
      </c>
      <c r="BL42">
        <f t="shared" ref="BL42:BL43" si="84">SUM(AY42:BK42)</f>
        <v>1</v>
      </c>
      <c r="BM42" s="1">
        <v>1113.5</v>
      </c>
    </row>
    <row r="43">
      <c r="B43" s="1" t="s">
        <v>5499</v>
      </c>
      <c r="D43">
        <f t="shared" ref="D43:N43" si="80">D41/11</f>
        <v>9861.581028</v>
      </c>
      <c r="E43">
        <f t="shared" si="80"/>
        <v>29230.43478</v>
      </c>
      <c r="F43">
        <f t="shared" si="80"/>
        <v>8828.181818</v>
      </c>
      <c r="G43">
        <f t="shared" si="80"/>
        <v>9697.098814</v>
      </c>
      <c r="H43">
        <f t="shared" si="80"/>
        <v>12826.82213</v>
      </c>
      <c r="I43">
        <f t="shared" si="80"/>
        <v>0</v>
      </c>
      <c r="J43">
        <f t="shared" si="80"/>
        <v>14657.41502</v>
      </c>
      <c r="K43">
        <f t="shared" si="80"/>
        <v>10059.75764</v>
      </c>
      <c r="L43">
        <f t="shared" si="80"/>
        <v>13246.59414</v>
      </c>
      <c r="M43">
        <f t="shared" si="80"/>
        <v>7571.249012</v>
      </c>
      <c r="N43">
        <f t="shared" si="80"/>
        <v>8826.090909</v>
      </c>
      <c r="P43">
        <f>P41/11</f>
        <v>124952.8538</v>
      </c>
      <c r="S43" s="137" t="s">
        <v>5534</v>
      </c>
      <c r="T43" s="100"/>
      <c r="U43" s="100">
        <f t="shared" ref="U43:W43" si="81">U40-U13</f>
        <v>10</v>
      </c>
      <c r="V43" s="100">
        <f t="shared" si="81"/>
        <v>668</v>
      </c>
      <c r="W43" s="100">
        <f t="shared" si="81"/>
        <v>1980</v>
      </c>
      <c r="X43" s="137">
        <v>598.0</v>
      </c>
      <c r="Y43" s="100">
        <f>Y40-Y13</f>
        <v>611</v>
      </c>
      <c r="Z43" s="100">
        <f>Y42-Y43</f>
        <v>823</v>
      </c>
      <c r="AA43" s="100">
        <f>AA40-AA13</f>
        <v>0</v>
      </c>
      <c r="AB43" s="100">
        <f>AA42-AA43</f>
        <v>947</v>
      </c>
      <c r="AC43" s="100">
        <f>AC42*73.9/(73.9+99)</f>
        <v>635.5656449</v>
      </c>
      <c r="AD43" s="100">
        <f>AC42*99/(73.9+99)</f>
        <v>851.4343551</v>
      </c>
      <c r="AE43" s="100">
        <f>AE40-AE13</f>
        <v>467</v>
      </c>
      <c r="AF43" s="100">
        <f>AE42-AE43</f>
        <v>552</v>
      </c>
      <c r="AG43" s="100">
        <f>AG40-AG13</f>
        <v>0</v>
      </c>
      <c r="AH43" s="137">
        <v>321.0</v>
      </c>
      <c r="AI43" s="100">
        <f t="shared" si="82"/>
        <v>8464</v>
      </c>
      <c r="AJ43" s="18">
        <f>1374480/8464</f>
        <v>162.3913043</v>
      </c>
      <c r="AX43" s="1" t="s">
        <v>5562</v>
      </c>
      <c r="AY43">
        <f t="shared" ref="AY43:BK43" si="83">AY42*288000</f>
        <v>14070.22901</v>
      </c>
      <c r="AZ43" s="136">
        <f t="shared" si="83"/>
        <v>50435.56354</v>
      </c>
      <c r="BA43" s="136">
        <f t="shared" si="83"/>
        <v>42003.77189</v>
      </c>
      <c r="BB43" s="136">
        <f t="shared" si="83"/>
        <v>21001.88595</v>
      </c>
      <c r="BC43" s="136">
        <f t="shared" si="83"/>
        <v>19268.97171</v>
      </c>
      <c r="BD43" s="136">
        <f t="shared" si="83"/>
        <v>27726.62775</v>
      </c>
      <c r="BE43">
        <f t="shared" si="83"/>
        <v>42262.41581</v>
      </c>
      <c r="BF43">
        <f t="shared" si="83"/>
        <v>0</v>
      </c>
      <c r="BG43" s="136">
        <f t="shared" si="83"/>
        <v>19113.78536</v>
      </c>
      <c r="BH43" s="136">
        <f t="shared" si="83"/>
        <v>25605.74764</v>
      </c>
      <c r="BI43">
        <f t="shared" si="83"/>
        <v>0</v>
      </c>
      <c r="BJ43" s="136">
        <f t="shared" si="83"/>
        <v>15027.2115</v>
      </c>
      <c r="BK43" s="136">
        <f t="shared" si="83"/>
        <v>11483.78985</v>
      </c>
      <c r="BL43">
        <f t="shared" si="84"/>
        <v>288000</v>
      </c>
    </row>
    <row r="44">
      <c r="B44" s="23" t="s">
        <v>5528</v>
      </c>
      <c r="C44" s="18">
        <v>1623.9130434782608</v>
      </c>
      <c r="D44" s="18">
        <f t="shared" ref="D44:N44" si="85">SUM(D40,D41)</f>
        <v>1868477.391</v>
      </c>
      <c r="E44" s="18">
        <f t="shared" si="85"/>
        <v>2851534.783</v>
      </c>
      <c r="F44" s="18">
        <f t="shared" si="85"/>
        <v>1857110</v>
      </c>
      <c r="G44" s="18">
        <f t="shared" si="85"/>
        <v>2086668.087</v>
      </c>
      <c r="H44" s="18">
        <f t="shared" si="85"/>
        <v>2231095.043</v>
      </c>
      <c r="I44" s="18">
        <f t="shared" si="85"/>
        <v>0</v>
      </c>
      <c r="J44" s="18">
        <f t="shared" si="85"/>
        <v>2581231.565</v>
      </c>
      <c r="K44" s="18">
        <f t="shared" si="85"/>
        <v>2640657.334</v>
      </c>
      <c r="L44" s="18">
        <f t="shared" si="85"/>
        <v>2070712.535</v>
      </c>
      <c r="M44" s="18">
        <f t="shared" si="85"/>
        <v>1986283.739</v>
      </c>
      <c r="N44" s="18">
        <f t="shared" si="85"/>
        <v>1527087</v>
      </c>
      <c r="O44" s="18"/>
      <c r="P44">
        <f>SUM(C44:O44)</f>
        <v>21702481.39</v>
      </c>
      <c r="AJ44" s="1">
        <v>1371980.0</v>
      </c>
      <c r="AK44" s="1">
        <v>2500.0</v>
      </c>
      <c r="AL44">
        <f>AL45-AL36</f>
        <v>8977</v>
      </c>
      <c r="BE44" s="133">
        <f>BE43+AY43</f>
        <v>56332.64481</v>
      </c>
    </row>
    <row r="45">
      <c r="D45" s="1" t="s">
        <v>5508</v>
      </c>
      <c r="E45" s="1" t="s">
        <v>5563</v>
      </c>
      <c r="F45" s="1" t="s">
        <v>5508</v>
      </c>
      <c r="G45" s="1" t="s">
        <v>5564</v>
      </c>
      <c r="H45" s="1" t="s">
        <v>5507</v>
      </c>
      <c r="J45" s="1" t="s">
        <v>5508</v>
      </c>
      <c r="K45" s="1" t="s">
        <v>5565</v>
      </c>
      <c r="L45" s="1" t="s">
        <v>5507</v>
      </c>
      <c r="M45" s="1" t="s">
        <v>5508</v>
      </c>
      <c r="N45" s="1" t="s">
        <v>5566</v>
      </c>
      <c r="U45">
        <f t="shared" ref="U45:AH45" si="86">1374480*U43/8464</f>
        <v>1623.913043</v>
      </c>
      <c r="V45">
        <f t="shared" si="86"/>
        <v>108477.3913</v>
      </c>
      <c r="W45">
        <f t="shared" si="86"/>
        <v>321534.7826</v>
      </c>
      <c r="X45">
        <f t="shared" si="86"/>
        <v>97110</v>
      </c>
      <c r="Y45">
        <f t="shared" si="86"/>
        <v>99221.08696</v>
      </c>
      <c r="Z45">
        <f t="shared" si="86"/>
        <v>133648.0435</v>
      </c>
      <c r="AA45">
        <f t="shared" si="86"/>
        <v>0</v>
      </c>
      <c r="AB45">
        <f t="shared" si="86"/>
        <v>153784.5652</v>
      </c>
      <c r="AC45">
        <f t="shared" si="86"/>
        <v>103210.3341</v>
      </c>
      <c r="AD45">
        <f t="shared" si="86"/>
        <v>138265.5355</v>
      </c>
      <c r="AE45">
        <f t="shared" si="86"/>
        <v>75836.73913</v>
      </c>
      <c r="AF45">
        <f t="shared" si="86"/>
        <v>89640</v>
      </c>
      <c r="AG45">
        <f t="shared" si="86"/>
        <v>0</v>
      </c>
      <c r="AH45">
        <f t="shared" si="86"/>
        <v>52127.6087</v>
      </c>
      <c r="AJ45" s="1">
        <f>AJ44+AK44</f>
        <v>1374480</v>
      </c>
      <c r="AL45" s="1">
        <v>357961.0</v>
      </c>
    </row>
    <row r="46">
      <c r="K46">
        <f>230*3/31+238*28/31</f>
        <v>237.2258065</v>
      </c>
      <c r="T46" s="1" t="s">
        <v>5567</v>
      </c>
      <c r="U46" s="18">
        <v>1623.9130434782608</v>
      </c>
      <c r="V46" s="18">
        <v>108477.39130434782</v>
      </c>
      <c r="W46" s="18">
        <v>321534.7826086957</v>
      </c>
      <c r="X46" s="18">
        <v>97110.0</v>
      </c>
      <c r="Y46" s="18">
        <f t="shared" ref="Y46:Z46" si="87">Y45+7447</f>
        <v>106668.087</v>
      </c>
      <c r="Z46" s="18">
        <f t="shared" si="87"/>
        <v>141095.0435</v>
      </c>
      <c r="AA46" s="18"/>
      <c r="AB46" s="18">
        <f t="shared" ref="AB46:AF46" si="88">AB45+7447</f>
        <v>161231.5652</v>
      </c>
      <c r="AC46" s="18">
        <f t="shared" si="88"/>
        <v>110657.3341</v>
      </c>
      <c r="AD46" s="18">
        <f t="shared" si="88"/>
        <v>145712.5355</v>
      </c>
      <c r="AE46" s="18">
        <f t="shared" si="88"/>
        <v>83283.73913</v>
      </c>
      <c r="AF46" s="18">
        <f t="shared" si="88"/>
        <v>97087</v>
      </c>
      <c r="AG46" s="23">
        <v>0.0</v>
      </c>
      <c r="AH46">
        <f>AH45/7</f>
        <v>7446.801242</v>
      </c>
      <c r="AI46" s="18">
        <f>SUM(U46:AF46)</f>
        <v>1374481.391</v>
      </c>
    </row>
    <row r="47">
      <c r="B47" s="1" t="s">
        <v>5568</v>
      </c>
      <c r="C47" s="1"/>
      <c r="D47" s="1">
        <v>1600000.0</v>
      </c>
      <c r="E47" s="1">
        <v>2300000.0</v>
      </c>
      <c r="F47" s="1">
        <v>1600000.0</v>
      </c>
      <c r="G47" s="1">
        <v>1800000.0</v>
      </c>
      <c r="H47" s="1">
        <v>1900000.0</v>
      </c>
      <c r="I47" s="1">
        <v>3500000.0</v>
      </c>
      <c r="J47" s="1">
        <v>2200000.0</v>
      </c>
      <c r="K47" s="1">
        <v>2372258.0</v>
      </c>
      <c r="L47" s="1">
        <v>1750000.0</v>
      </c>
      <c r="M47" s="1">
        <v>1730000.0</v>
      </c>
      <c r="N47" s="1">
        <v>1300000.0</v>
      </c>
      <c r="P47">
        <f>SUM(C47:O47)</f>
        <v>22052258</v>
      </c>
      <c r="AV47" s="1">
        <v>320500.0</v>
      </c>
      <c r="AX47" s="1" t="s">
        <v>5510</v>
      </c>
      <c r="AY47">
        <f>AY3/1163.99</f>
        <v>0.0467357967</v>
      </c>
      <c r="AZ47">
        <f>AZ3/1163.99*14/61</f>
        <v>0.03844886843</v>
      </c>
      <c r="BA47">
        <f t="shared" ref="BA47:BE47" si="89">BA3/1163.99</f>
        <v>0.139520099</v>
      </c>
      <c r="BB47">
        <f t="shared" si="89"/>
        <v>0.06976004948</v>
      </c>
      <c r="BC47">
        <f t="shared" si="89"/>
        <v>0.06400398629</v>
      </c>
      <c r="BD47">
        <f t="shared" si="89"/>
        <v>0.09209701114</v>
      </c>
      <c r="BE47">
        <f t="shared" si="89"/>
        <v>0.1403792129</v>
      </c>
      <c r="BG47">
        <f t="shared" ref="BG47:BH47" si="90">BG3/1163.99</f>
        <v>0.06348851794</v>
      </c>
      <c r="BH47">
        <f t="shared" si="90"/>
        <v>0.08505227708</v>
      </c>
      <c r="BI47">
        <f>BI3/1163.99*25/61</f>
        <v>0.01777732021</v>
      </c>
      <c r="BJ47">
        <f t="shared" ref="BJ47:BK47" si="91">BJ3/1163.99</f>
        <v>0.04991451817</v>
      </c>
      <c r="BK47">
        <f t="shared" si="91"/>
        <v>0.0381446576</v>
      </c>
      <c r="BL47">
        <f t="shared" ref="BL47:BL48" si="94">SUM(AY47:BK47)</f>
        <v>0.8453223149</v>
      </c>
      <c r="BM47">
        <f>SUM(AY3,AZ3,BA3,BB3,BC3,BD3,BE3,BG3,BH3,BI3,BJ3,BK3)</f>
        <v>1163.99</v>
      </c>
    </row>
    <row r="48">
      <c r="B48" s="1" t="s">
        <v>5499</v>
      </c>
      <c r="C48" s="1"/>
      <c r="D48" s="1">
        <f t="shared" ref="D48:N48" si="92">D47*0.1</f>
        <v>160000</v>
      </c>
      <c r="E48" s="1">
        <f t="shared" si="92"/>
        <v>230000</v>
      </c>
      <c r="F48" s="1">
        <f t="shared" si="92"/>
        <v>160000</v>
      </c>
      <c r="G48" s="1">
        <f t="shared" si="92"/>
        <v>180000</v>
      </c>
      <c r="H48" s="1">
        <f t="shared" si="92"/>
        <v>190000</v>
      </c>
      <c r="I48" s="1">
        <f t="shared" si="92"/>
        <v>350000</v>
      </c>
      <c r="J48" s="1">
        <f t="shared" si="92"/>
        <v>220000</v>
      </c>
      <c r="K48" s="1">
        <f t="shared" si="92"/>
        <v>237225.8</v>
      </c>
      <c r="L48" s="1">
        <f t="shared" si="92"/>
        <v>175000</v>
      </c>
      <c r="M48" s="1">
        <f t="shared" si="92"/>
        <v>173000</v>
      </c>
      <c r="N48" s="1">
        <f t="shared" si="92"/>
        <v>130000</v>
      </c>
      <c r="P48" s="1">
        <f>P47*0.1</f>
        <v>2205225.8</v>
      </c>
      <c r="R48" s="1">
        <v>2017.0</v>
      </c>
      <c r="T48" s="1" t="s">
        <v>5569</v>
      </c>
      <c r="U48" s="1">
        <v>5204.0</v>
      </c>
      <c r="W48" s="1">
        <v>9598.0</v>
      </c>
      <c r="Y48" s="1">
        <v>45312.0</v>
      </c>
      <c r="AA48" s="1">
        <v>32370.0</v>
      </c>
      <c r="AC48" s="1">
        <v>47536.0</v>
      </c>
      <c r="AE48" s="1">
        <v>74296.0</v>
      </c>
      <c r="AH48" s="1">
        <v>2768.0</v>
      </c>
      <c r="AX48" s="1" t="s">
        <v>5570</v>
      </c>
      <c r="AY48">
        <f t="shared" ref="AY48:BK48" si="93">AY47*320500/0.8455223</f>
        <v>17715.46752</v>
      </c>
      <c r="AZ48" s="55">
        <f t="shared" si="93"/>
        <v>14574.26059</v>
      </c>
      <c r="BA48" s="55">
        <f t="shared" si="93"/>
        <v>52885.88098</v>
      </c>
      <c r="BB48" s="55">
        <f t="shared" si="93"/>
        <v>26442.94049</v>
      </c>
      <c r="BC48" s="55">
        <f t="shared" si="93"/>
        <v>24261.07225</v>
      </c>
      <c r="BD48" s="55">
        <f t="shared" si="93"/>
        <v>34909.89188</v>
      </c>
      <c r="BE48">
        <f t="shared" si="93"/>
        <v>53211.53295</v>
      </c>
      <c r="BF48">
        <f t="shared" si="93"/>
        <v>0</v>
      </c>
      <c r="BG48" s="55">
        <f t="shared" si="93"/>
        <v>24065.68106</v>
      </c>
      <c r="BH48" s="55">
        <f t="shared" si="93"/>
        <v>32239.54567</v>
      </c>
      <c r="BI48" s="55">
        <f t="shared" si="93"/>
        <v>6738.593562</v>
      </c>
      <c r="BJ48" s="55">
        <f t="shared" si="93"/>
        <v>18920.37983</v>
      </c>
      <c r="BK48" s="55">
        <f t="shared" si="93"/>
        <v>14458.94775</v>
      </c>
      <c r="BL48">
        <f t="shared" si="94"/>
        <v>320424.1945</v>
      </c>
    </row>
    <row r="49">
      <c r="B49" s="1" t="s">
        <v>5520</v>
      </c>
      <c r="D49">
        <f t="shared" ref="D49:N49" si="95">D47+D48</f>
        <v>1760000</v>
      </c>
      <c r="E49">
        <f t="shared" si="95"/>
        <v>2530000</v>
      </c>
      <c r="F49">
        <f t="shared" si="95"/>
        <v>1760000</v>
      </c>
      <c r="G49">
        <f t="shared" si="95"/>
        <v>1980000</v>
      </c>
      <c r="H49">
        <f t="shared" si="95"/>
        <v>2090000</v>
      </c>
      <c r="I49">
        <f t="shared" si="95"/>
        <v>3850000</v>
      </c>
      <c r="J49">
        <f t="shared" si="95"/>
        <v>2420000</v>
      </c>
      <c r="K49">
        <f t="shared" si="95"/>
        <v>2609483.8</v>
      </c>
      <c r="L49">
        <f t="shared" si="95"/>
        <v>1925000</v>
      </c>
      <c r="M49">
        <f t="shared" si="95"/>
        <v>1903000</v>
      </c>
      <c r="N49">
        <f t="shared" si="95"/>
        <v>1430000</v>
      </c>
      <c r="P49" s="18">
        <f>P47+P48</f>
        <v>24257483.8</v>
      </c>
      <c r="U49" s="1">
        <v>3686.0</v>
      </c>
      <c r="V49" s="1">
        <v>9966.0</v>
      </c>
      <c r="W49" s="1">
        <v>32880.0</v>
      </c>
      <c r="Y49" s="1">
        <v>11235.0</v>
      </c>
      <c r="AA49" s="1">
        <v>253.0</v>
      </c>
      <c r="AE49" s="1">
        <v>82402.0</v>
      </c>
      <c r="AG49" s="1">
        <v>4978.0</v>
      </c>
      <c r="BE49" s="133">
        <f>BE48+AY48</f>
        <v>70927.00047</v>
      </c>
    </row>
    <row r="50">
      <c r="B50" s="1" t="s">
        <v>5545</v>
      </c>
      <c r="C50" s="21">
        <v>18219.519127636755</v>
      </c>
      <c r="D50" s="21">
        <v>114271.54540579193</v>
      </c>
      <c r="E50" s="21">
        <v>320279.96782266715</v>
      </c>
      <c r="F50" s="21">
        <v>86143.16499821236</v>
      </c>
      <c r="G50" s="18">
        <v>143318.72899535217</v>
      </c>
      <c r="H50" s="18">
        <v>196059.44225956383</v>
      </c>
      <c r="I50" s="18">
        <v>178958.66553450126</v>
      </c>
      <c r="J50" s="18">
        <v>160579.3260636396</v>
      </c>
      <c r="K50" s="18">
        <v>153293.0343487497</v>
      </c>
      <c r="L50" s="18">
        <v>202386.81191510445</v>
      </c>
      <c r="M50" s="18">
        <v>99847.59563818378</v>
      </c>
      <c r="N50" s="18">
        <v>114710.88755809797</v>
      </c>
      <c r="Y50" s="1" t="s">
        <v>5571</v>
      </c>
    </row>
    <row r="51">
      <c r="C51">
        <f t="shared" ref="C51:N51" si="96">C50-C52</f>
        <v>16563.19921</v>
      </c>
      <c r="D51">
        <f t="shared" si="96"/>
        <v>103883.2231</v>
      </c>
      <c r="E51">
        <f t="shared" si="96"/>
        <v>291163.6071</v>
      </c>
      <c r="F51">
        <f t="shared" si="96"/>
        <v>78311.96818</v>
      </c>
      <c r="G51">
        <f t="shared" si="96"/>
        <v>130289.7536</v>
      </c>
      <c r="H51">
        <f t="shared" si="96"/>
        <v>178235.8566</v>
      </c>
      <c r="I51">
        <f t="shared" si="96"/>
        <v>162689.6959</v>
      </c>
      <c r="J51">
        <f t="shared" si="96"/>
        <v>145981.2055</v>
      </c>
      <c r="K51">
        <f t="shared" si="96"/>
        <v>139357.304</v>
      </c>
      <c r="L51">
        <f t="shared" si="96"/>
        <v>183988.0108</v>
      </c>
      <c r="M51">
        <f t="shared" si="96"/>
        <v>90770.54149</v>
      </c>
      <c r="N51">
        <f t="shared" si="96"/>
        <v>104282.6251</v>
      </c>
      <c r="S51" s="1" t="s">
        <v>5532</v>
      </c>
      <c r="T51" s="1" t="s">
        <v>5572</v>
      </c>
      <c r="U51">
        <f t="shared" ref="U51:U52" si="98">U48-U39</f>
        <v>930</v>
      </c>
      <c r="W51">
        <f>W48-W39</f>
        <v>539</v>
      </c>
      <c r="Y51">
        <f t="shared" ref="Y51:Y52" si="100">Y48-Y39</f>
        <v>2014</v>
      </c>
      <c r="AA51">
        <f>AA48-AA39</f>
        <v>2015</v>
      </c>
      <c r="AC51">
        <f>AC48-AC39</f>
        <v>2116</v>
      </c>
      <c r="AE51">
        <f t="shared" ref="AE51:AE52" si="101">AE48-AE39</f>
        <v>1233</v>
      </c>
      <c r="AH51">
        <f>AH48-AH39</f>
        <v>438</v>
      </c>
      <c r="AI51">
        <f t="shared" ref="AI51:AI52" si="102">SUM(U51:AH51)</f>
        <v>9285</v>
      </c>
    </row>
    <row r="52">
      <c r="B52" s="1" t="s">
        <v>5499</v>
      </c>
      <c r="C52">
        <f t="shared" ref="C52:N52" si="97">C50/11</f>
        <v>1656.319921</v>
      </c>
      <c r="D52">
        <f t="shared" si="97"/>
        <v>10388.32231</v>
      </c>
      <c r="E52">
        <f t="shared" si="97"/>
        <v>29116.36071</v>
      </c>
      <c r="F52">
        <f t="shared" si="97"/>
        <v>7831.196818</v>
      </c>
      <c r="G52">
        <f t="shared" si="97"/>
        <v>13028.97536</v>
      </c>
      <c r="H52">
        <f t="shared" si="97"/>
        <v>17823.58566</v>
      </c>
      <c r="I52">
        <f t="shared" si="97"/>
        <v>16268.96959</v>
      </c>
      <c r="J52">
        <f t="shared" si="97"/>
        <v>14598.12055</v>
      </c>
      <c r="K52">
        <f t="shared" si="97"/>
        <v>13935.7304</v>
      </c>
      <c r="L52">
        <f t="shared" si="97"/>
        <v>18398.80108</v>
      </c>
      <c r="M52">
        <f t="shared" si="97"/>
        <v>9077.054149</v>
      </c>
      <c r="N52">
        <f t="shared" si="97"/>
        <v>10428.26251</v>
      </c>
      <c r="S52" s="137" t="s">
        <v>5534</v>
      </c>
      <c r="T52" s="100"/>
      <c r="U52" s="100">
        <f t="shared" si="98"/>
        <v>114</v>
      </c>
      <c r="V52" s="100">
        <f t="shared" ref="V52:W52" si="99">V49-V40</f>
        <v>715</v>
      </c>
      <c r="W52" s="100">
        <f t="shared" si="99"/>
        <v>2004</v>
      </c>
      <c r="X52" s="137">
        <v>539.0</v>
      </c>
      <c r="Y52" s="100">
        <f t="shared" si="100"/>
        <v>842</v>
      </c>
      <c r="Z52" s="100">
        <f>Y51-Y52</f>
        <v>1172</v>
      </c>
      <c r="AA52" s="100">
        <f>AA51-AB52</f>
        <v>1065</v>
      </c>
      <c r="AB52" s="137">
        <v>950.0</v>
      </c>
      <c r="AC52" s="100">
        <f>AC51*73.9/(73.9+99)</f>
        <v>904.4094853</v>
      </c>
      <c r="AD52" s="100">
        <f>AC51*99/(73.9+99)</f>
        <v>1211.590515</v>
      </c>
      <c r="AE52" s="100">
        <f t="shared" si="101"/>
        <v>570</v>
      </c>
      <c r="AF52" s="100">
        <f>AE51-AE52</f>
        <v>663</v>
      </c>
      <c r="AG52" s="100">
        <f>AG49-AG40</f>
        <v>0</v>
      </c>
      <c r="AH52" s="137">
        <v>438.0</v>
      </c>
      <c r="AI52" s="100">
        <f t="shared" si="102"/>
        <v>11188</v>
      </c>
      <c r="AJ52" s="18">
        <f>1788070/11188</f>
        <v>159.8203432</v>
      </c>
      <c r="AV52" s="1">
        <v>255500.0</v>
      </c>
      <c r="AX52" s="1" t="s">
        <v>5510</v>
      </c>
      <c r="AY52">
        <v>0.046735796699284356</v>
      </c>
      <c r="AZ52">
        <v>0.03844886842726805</v>
      </c>
      <c r="BA52">
        <v>0.13952009896992243</v>
      </c>
      <c r="BB52">
        <v>0.06976004948496121</v>
      </c>
      <c r="BC52">
        <v>0.064003986288542</v>
      </c>
      <c r="BD52">
        <v>0.09209701114270741</v>
      </c>
      <c r="BE52">
        <v>0.14037921287983574</v>
      </c>
      <c r="BG52">
        <v>0.06348851794259401</v>
      </c>
      <c r="BH52">
        <v>0.08505227708141823</v>
      </c>
      <c r="BI52">
        <v>0.017777320209640693</v>
      </c>
      <c r="BJ52">
        <v>0.04991451816596362</v>
      </c>
      <c r="BK52">
        <v>0.038144657600151205</v>
      </c>
      <c r="BL52">
        <v>0.8453223148922889</v>
      </c>
      <c r="BM52">
        <v>1163.99</v>
      </c>
    </row>
    <row r="53">
      <c r="B53" s="23" t="s">
        <v>5528</v>
      </c>
      <c r="D53" s="18">
        <f t="shared" ref="D53:H53" si="103">SUM(D49,D50)</f>
        <v>1874271.545</v>
      </c>
      <c r="E53" s="18">
        <f t="shared" si="103"/>
        <v>2850279.968</v>
      </c>
      <c r="F53" s="18">
        <f t="shared" si="103"/>
        <v>1846143.165</v>
      </c>
      <c r="G53" s="18">
        <f t="shared" si="103"/>
        <v>2123318.729</v>
      </c>
      <c r="H53" s="18">
        <f t="shared" si="103"/>
        <v>2286059.442</v>
      </c>
      <c r="I53" s="18">
        <f>SUM(I49,I50,C50)</f>
        <v>4047178.185</v>
      </c>
      <c r="J53" s="18">
        <f t="shared" ref="J53:N53" si="104">SUM(J49,J50)</f>
        <v>2580579.326</v>
      </c>
      <c r="K53" s="18">
        <f t="shared" si="104"/>
        <v>2762776.834</v>
      </c>
      <c r="L53" s="18">
        <f t="shared" si="104"/>
        <v>2127386.812</v>
      </c>
      <c r="M53" s="18">
        <f t="shared" si="104"/>
        <v>2002847.596</v>
      </c>
      <c r="N53" s="18">
        <f t="shared" si="104"/>
        <v>1544710.888</v>
      </c>
      <c r="AH53" s="1" t="s">
        <v>3921</v>
      </c>
      <c r="AJ53" s="1">
        <v>1785570.0</v>
      </c>
      <c r="AK53" s="1">
        <v>2500.0</v>
      </c>
      <c r="AL53">
        <f>AL54-AL45</f>
        <v>12918</v>
      </c>
      <c r="AX53" s="135">
        <v>43414.0</v>
      </c>
      <c r="AY53">
        <f t="shared" ref="AY53:BK53" si="105">AY52*255500/0.8455223</f>
        <v>14122.62699</v>
      </c>
      <c r="AZ53" s="136">
        <f t="shared" si="105"/>
        <v>11618.48231</v>
      </c>
      <c r="BA53" s="136">
        <f t="shared" si="105"/>
        <v>42160.19529</v>
      </c>
      <c r="BB53" s="136">
        <f t="shared" si="105"/>
        <v>21080.09764</v>
      </c>
      <c r="BC53" s="136">
        <f t="shared" si="105"/>
        <v>19340.72998</v>
      </c>
      <c r="BD53" s="136">
        <f t="shared" si="105"/>
        <v>27829.8826</v>
      </c>
      <c r="BE53">
        <f t="shared" si="105"/>
        <v>42419.8024</v>
      </c>
      <c r="BF53">
        <f t="shared" si="105"/>
        <v>0</v>
      </c>
      <c r="BG53" s="136">
        <f t="shared" si="105"/>
        <v>19184.96571</v>
      </c>
      <c r="BH53" s="136">
        <f t="shared" si="105"/>
        <v>25701.10427</v>
      </c>
      <c r="BI53" s="136">
        <f t="shared" si="105"/>
        <v>5371.952122</v>
      </c>
      <c r="BJ53" s="136">
        <f t="shared" si="105"/>
        <v>15083.17331</v>
      </c>
      <c r="BK53" s="136">
        <f t="shared" si="105"/>
        <v>11526.55585</v>
      </c>
      <c r="BL53">
        <f>SUM(AY53:BK53)</f>
        <v>255439.5685</v>
      </c>
    </row>
    <row r="54">
      <c r="B54" s="1" t="s">
        <v>5573</v>
      </c>
      <c r="D54">
        <v>78411.69624939292</v>
      </c>
      <c r="E54">
        <v>65302.869081545694</v>
      </c>
      <c r="F54">
        <v>65302.869081545694</v>
      </c>
      <c r="G54">
        <v>29957.28907989627</v>
      </c>
      <c r="H54">
        <v>43106.32737402524</v>
      </c>
      <c r="J54">
        <v>43548.64976312438</v>
      </c>
      <c r="K54">
        <v>29716.022322205834</v>
      </c>
      <c r="L54">
        <v>39809.01501892256</v>
      </c>
      <c r="M54">
        <v>20302.597659650506</v>
      </c>
      <c r="N54">
        <v>23362.664369690916</v>
      </c>
      <c r="U54" s="1">
        <f t="shared" ref="U54:AH54" si="106">1788070*U52/11188</f>
        <v>18219.51913</v>
      </c>
      <c r="V54" s="1">
        <f t="shared" si="106"/>
        <v>114271.5454</v>
      </c>
      <c r="W54" s="1">
        <f t="shared" si="106"/>
        <v>320279.9678</v>
      </c>
      <c r="X54" s="1">
        <f t="shared" si="106"/>
        <v>86143.165</v>
      </c>
      <c r="Y54" s="1">
        <f t="shared" si="106"/>
        <v>134568.729</v>
      </c>
      <c r="Z54" s="1">
        <f t="shared" si="106"/>
        <v>187309.4423</v>
      </c>
      <c r="AA54" s="1">
        <f t="shared" si="106"/>
        <v>170208.6655</v>
      </c>
      <c r="AB54" s="1">
        <f t="shared" si="106"/>
        <v>151829.3261</v>
      </c>
      <c r="AC54" s="1">
        <f t="shared" si="106"/>
        <v>144543.0343</v>
      </c>
      <c r="AD54" s="1">
        <f t="shared" si="106"/>
        <v>193636.8119</v>
      </c>
      <c r="AE54" s="1">
        <f t="shared" si="106"/>
        <v>91097.59564</v>
      </c>
      <c r="AF54" s="1">
        <f t="shared" si="106"/>
        <v>105960.8876</v>
      </c>
      <c r="AG54" s="1">
        <f t="shared" si="106"/>
        <v>0</v>
      </c>
      <c r="AH54" s="1">
        <f t="shared" si="106"/>
        <v>70001.31033</v>
      </c>
      <c r="AJ54" s="1">
        <f>AJ53+AK53</f>
        <v>1788070</v>
      </c>
      <c r="AL54" s="1">
        <v>370879.0</v>
      </c>
      <c r="BE54" s="133">
        <f>BE53+AY53</f>
        <v>56542.42939</v>
      </c>
    </row>
    <row r="55">
      <c r="B55" s="23" t="s">
        <v>5551</v>
      </c>
      <c r="D55" s="23">
        <f t="shared" ref="D55:N55" si="107">SUM(D53:D54)</f>
        <v>1952683.242</v>
      </c>
      <c r="E55" s="23">
        <f t="shared" si="107"/>
        <v>2915582.837</v>
      </c>
      <c r="F55" s="23">
        <f t="shared" si="107"/>
        <v>1911446.034</v>
      </c>
      <c r="G55" s="23">
        <f t="shared" si="107"/>
        <v>2153276.018</v>
      </c>
      <c r="H55" s="23">
        <f t="shared" si="107"/>
        <v>2329165.77</v>
      </c>
      <c r="I55" s="23">
        <f t="shared" si="107"/>
        <v>4047178.185</v>
      </c>
      <c r="J55" s="23">
        <f t="shared" si="107"/>
        <v>2624127.976</v>
      </c>
      <c r="K55" s="23">
        <f t="shared" si="107"/>
        <v>2792492.857</v>
      </c>
      <c r="L55" s="23">
        <f t="shared" si="107"/>
        <v>2167195.827</v>
      </c>
      <c r="M55" s="23">
        <f t="shared" si="107"/>
        <v>2023150.193</v>
      </c>
      <c r="N55" s="23">
        <f t="shared" si="107"/>
        <v>1568073.552</v>
      </c>
      <c r="T55" s="1" t="s">
        <v>5574</v>
      </c>
      <c r="U55" s="21">
        <v>18219.519127636755</v>
      </c>
      <c r="V55" s="21">
        <v>114271.54540579193</v>
      </c>
      <c r="W55" s="21">
        <v>320279.96782266715</v>
      </c>
      <c r="X55" s="21">
        <v>86143.16499821236</v>
      </c>
      <c r="Y55" s="18">
        <f t="shared" ref="Y55:AF55" si="108">Y54+8750</f>
        <v>143318.729</v>
      </c>
      <c r="Z55" s="18">
        <f t="shared" si="108"/>
        <v>196059.4423</v>
      </c>
      <c r="AA55" s="18">
        <f t="shared" si="108"/>
        <v>178958.6655</v>
      </c>
      <c r="AB55" s="18">
        <f t="shared" si="108"/>
        <v>160579.3261</v>
      </c>
      <c r="AC55" s="18">
        <f t="shared" si="108"/>
        <v>153293.0343</v>
      </c>
      <c r="AD55" s="18">
        <f t="shared" si="108"/>
        <v>202386.8119</v>
      </c>
      <c r="AE55" s="18">
        <f t="shared" si="108"/>
        <v>99847.59564</v>
      </c>
      <c r="AF55" s="18">
        <f t="shared" si="108"/>
        <v>114710.8876</v>
      </c>
      <c r="AG55" s="18"/>
      <c r="AH55">
        <f>AH54/8</f>
        <v>8750.163792</v>
      </c>
      <c r="AI55" s="18">
        <f>SUM(U55:AF55)</f>
        <v>1788068.69</v>
      </c>
    </row>
    <row r="56">
      <c r="D56" s="1" t="s">
        <v>5566</v>
      </c>
      <c r="E56" s="1" t="s">
        <v>5566</v>
      </c>
      <c r="F56" s="1" t="s">
        <v>5566</v>
      </c>
      <c r="G56" s="1" t="s">
        <v>5566</v>
      </c>
      <c r="H56" s="1" t="s">
        <v>5575</v>
      </c>
      <c r="I56" s="1" t="s">
        <v>5566</v>
      </c>
      <c r="J56" s="1" t="s">
        <v>5566</v>
      </c>
      <c r="K56" s="1" t="s">
        <v>5566</v>
      </c>
      <c r="L56" s="1" t="s">
        <v>5566</v>
      </c>
      <c r="M56" s="1" t="s">
        <v>5575</v>
      </c>
      <c r="N56" s="1" t="s">
        <v>5575</v>
      </c>
    </row>
    <row r="57">
      <c r="T57" s="1" t="s">
        <v>5576</v>
      </c>
      <c r="U57" s="1">
        <v>6499.0</v>
      </c>
      <c r="W57" s="1">
        <v>10038.0</v>
      </c>
      <c r="Y57" s="1">
        <v>47302.0</v>
      </c>
      <c r="AA57" s="1">
        <v>35120.0</v>
      </c>
      <c r="AC57" s="1">
        <v>49380.0</v>
      </c>
      <c r="AE57" s="1">
        <v>75891.0</v>
      </c>
      <c r="AH57" s="1">
        <v>2993.0</v>
      </c>
      <c r="AV57" s="1">
        <v>230500.0</v>
      </c>
      <c r="AX57" s="1" t="s">
        <v>5510</v>
      </c>
      <c r="AY57" s="138">
        <f t="shared" ref="AY57:BE57" si="109">AY3/1163.99</f>
        <v>0.0467357967</v>
      </c>
      <c r="AZ57" s="138">
        <f t="shared" si="109"/>
        <v>0.1675272124</v>
      </c>
      <c r="BA57" s="138">
        <f t="shared" si="109"/>
        <v>0.139520099</v>
      </c>
      <c r="BB57" s="138">
        <f t="shared" si="109"/>
        <v>0.06976004948</v>
      </c>
      <c r="BC57" s="138">
        <f t="shared" si="109"/>
        <v>0.06400398629</v>
      </c>
      <c r="BD57" s="138">
        <f t="shared" si="109"/>
        <v>0.09209701114</v>
      </c>
      <c r="BE57" s="138">
        <f t="shared" si="109"/>
        <v>0.1403792129</v>
      </c>
      <c r="BF57" s="138"/>
      <c r="BG57" s="138">
        <f t="shared" ref="BG57:BK57" si="110">BG3/1163.99</f>
        <v>0.06348851794</v>
      </c>
      <c r="BH57" s="138">
        <f t="shared" si="110"/>
        <v>0.08505227708</v>
      </c>
      <c r="BI57" s="138">
        <f t="shared" si="110"/>
        <v>0.04337666131</v>
      </c>
      <c r="BJ57" s="138">
        <f t="shared" si="110"/>
        <v>0.04991451817</v>
      </c>
      <c r="BK57" s="138">
        <f t="shared" si="110"/>
        <v>0.0381446576</v>
      </c>
      <c r="BL57">
        <f t="shared" ref="BL57:BL58" si="112">SUM(AY57:BK57)</f>
        <v>1</v>
      </c>
      <c r="BM57">
        <v>1163.99</v>
      </c>
    </row>
    <row r="58">
      <c r="B58" s="1" t="s">
        <v>5577</v>
      </c>
      <c r="C58" s="1"/>
      <c r="D58" s="1">
        <v>1600000.0</v>
      </c>
      <c r="E58" s="1">
        <v>2300000.0</v>
      </c>
      <c r="F58" s="1">
        <v>1600000.0</v>
      </c>
      <c r="G58" s="1">
        <v>1800000.0</v>
      </c>
      <c r="H58" s="1">
        <v>1900000.0</v>
      </c>
      <c r="I58" s="1">
        <v>3500000.0</v>
      </c>
      <c r="J58" s="1">
        <v>2200000.0</v>
      </c>
      <c r="K58" s="1">
        <v>2380000.0</v>
      </c>
      <c r="L58" s="1">
        <v>1750000.0</v>
      </c>
      <c r="M58" s="1">
        <v>1730000.0</v>
      </c>
      <c r="N58" s="1">
        <v>1300000.0</v>
      </c>
      <c r="P58">
        <f t="shared" ref="P58:P64" si="114">SUM(D58:O58)</f>
        <v>22060000</v>
      </c>
      <c r="U58" s="1">
        <v>3961.0</v>
      </c>
      <c r="V58" s="1">
        <v>10721.0</v>
      </c>
      <c r="W58" s="1">
        <v>34842.0</v>
      </c>
      <c r="Y58" s="1">
        <v>11975.0</v>
      </c>
      <c r="AA58" s="1">
        <v>1767.0</v>
      </c>
      <c r="AE58" s="1">
        <v>83064.0</v>
      </c>
      <c r="AG58" s="1">
        <v>4988.0</v>
      </c>
      <c r="AX58" s="1" t="s">
        <v>5578</v>
      </c>
      <c r="AY58">
        <f t="shared" ref="AY58:BK58" si="111">AY57*230500</f>
        <v>10772.60114</v>
      </c>
      <c r="AZ58" s="136">
        <f t="shared" si="111"/>
        <v>38615.02247</v>
      </c>
      <c r="BA58" s="136">
        <f t="shared" si="111"/>
        <v>32159.38281</v>
      </c>
      <c r="BB58" s="136">
        <f t="shared" si="111"/>
        <v>16079.69141</v>
      </c>
      <c r="BC58" s="136">
        <f t="shared" si="111"/>
        <v>14752.91884</v>
      </c>
      <c r="BD58" s="136">
        <f t="shared" si="111"/>
        <v>21228.36107</v>
      </c>
      <c r="BE58">
        <f t="shared" si="111"/>
        <v>32357.40857</v>
      </c>
      <c r="BF58">
        <f t="shared" si="111"/>
        <v>0</v>
      </c>
      <c r="BG58" s="136">
        <f t="shared" si="111"/>
        <v>14634.10339</v>
      </c>
      <c r="BH58" s="136">
        <f t="shared" si="111"/>
        <v>19604.54987</v>
      </c>
      <c r="BI58" s="136">
        <f t="shared" si="111"/>
        <v>9998.320432</v>
      </c>
      <c r="BJ58" s="136">
        <f t="shared" si="111"/>
        <v>11505.29644</v>
      </c>
      <c r="BK58" s="136">
        <f t="shared" si="111"/>
        <v>8792.343577</v>
      </c>
      <c r="BL58">
        <f t="shared" si="112"/>
        <v>230500</v>
      </c>
    </row>
    <row r="59">
      <c r="B59" s="1" t="s">
        <v>5499</v>
      </c>
      <c r="C59" s="1"/>
      <c r="D59" s="1">
        <f t="shared" ref="D59:N59" si="113">D58*0.1</f>
        <v>160000</v>
      </c>
      <c r="E59" s="1">
        <f t="shared" si="113"/>
        <v>230000</v>
      </c>
      <c r="F59" s="1">
        <f t="shared" si="113"/>
        <v>160000</v>
      </c>
      <c r="G59" s="1">
        <f t="shared" si="113"/>
        <v>180000</v>
      </c>
      <c r="H59" s="1">
        <f t="shared" si="113"/>
        <v>190000</v>
      </c>
      <c r="I59" s="1">
        <f t="shared" si="113"/>
        <v>350000</v>
      </c>
      <c r="J59" s="1">
        <f t="shared" si="113"/>
        <v>220000</v>
      </c>
      <c r="K59" s="1">
        <f t="shared" si="113"/>
        <v>238000</v>
      </c>
      <c r="L59" s="1">
        <f t="shared" si="113"/>
        <v>175000</v>
      </c>
      <c r="M59" s="1">
        <f t="shared" si="113"/>
        <v>173000</v>
      </c>
      <c r="N59" s="1">
        <f t="shared" si="113"/>
        <v>130000</v>
      </c>
      <c r="P59">
        <f t="shared" si="114"/>
        <v>2206000</v>
      </c>
      <c r="S59" s="1" t="s">
        <v>5579</v>
      </c>
      <c r="U59">
        <f t="shared" ref="U59:U60" si="116">U57-U48</f>
        <v>1295</v>
      </c>
      <c r="W59">
        <f>W57-W48</f>
        <v>440</v>
      </c>
      <c r="Y59">
        <f t="shared" ref="Y59:Y60" si="118">Y57-Y48</f>
        <v>1990</v>
      </c>
      <c r="AA59">
        <f t="shared" ref="AA59:AA60" si="119">AA57-AA48</f>
        <v>2750</v>
      </c>
      <c r="AC59">
        <f>AC57-AC48</f>
        <v>1844</v>
      </c>
      <c r="AE59">
        <f t="shared" ref="AE59:AE60" si="120">AE57-AE48</f>
        <v>1595</v>
      </c>
      <c r="AH59">
        <f>AH57-AH48</f>
        <v>225</v>
      </c>
      <c r="AI59">
        <f t="shared" ref="AI59:AI60" si="121">SUM(U59:AH59)</f>
        <v>10139</v>
      </c>
      <c r="BE59" s="133">
        <f>BE58+AY58</f>
        <v>43130.00971</v>
      </c>
    </row>
    <row r="60">
      <c r="B60" s="1" t="s">
        <v>5520</v>
      </c>
      <c r="D60">
        <f t="shared" ref="D60:N60" si="115">D58+D59</f>
        <v>1760000</v>
      </c>
      <c r="E60">
        <f t="shared" si="115"/>
        <v>2530000</v>
      </c>
      <c r="F60">
        <f t="shared" si="115"/>
        <v>1760000</v>
      </c>
      <c r="G60">
        <f t="shared" si="115"/>
        <v>1980000</v>
      </c>
      <c r="H60">
        <f t="shared" si="115"/>
        <v>2090000</v>
      </c>
      <c r="I60">
        <f t="shared" si="115"/>
        <v>3850000</v>
      </c>
      <c r="J60">
        <f t="shared" si="115"/>
        <v>2420000</v>
      </c>
      <c r="K60">
        <f t="shared" si="115"/>
        <v>2618000</v>
      </c>
      <c r="L60">
        <f t="shared" si="115"/>
        <v>1925000</v>
      </c>
      <c r="M60">
        <f t="shared" si="115"/>
        <v>1903000</v>
      </c>
      <c r="N60">
        <f t="shared" si="115"/>
        <v>1430000</v>
      </c>
      <c r="P60">
        <f t="shared" si="114"/>
        <v>24266000</v>
      </c>
      <c r="S60" s="137" t="s">
        <v>5534</v>
      </c>
      <c r="T60" s="100"/>
      <c r="U60" s="100">
        <f t="shared" si="116"/>
        <v>275</v>
      </c>
      <c r="V60" s="100">
        <f t="shared" ref="V60:W60" si="117">V58-V49</f>
        <v>755</v>
      </c>
      <c r="W60" s="100">
        <f t="shared" si="117"/>
        <v>1962</v>
      </c>
      <c r="X60" s="137">
        <v>440.0</v>
      </c>
      <c r="Y60" s="100">
        <f t="shared" si="118"/>
        <v>740</v>
      </c>
      <c r="Z60" s="100">
        <f>Y59-Y60</f>
        <v>1250</v>
      </c>
      <c r="AA60" s="100">
        <f t="shared" si="119"/>
        <v>1514</v>
      </c>
      <c r="AB60" s="100">
        <f>AA59-AA60</f>
        <v>1236</v>
      </c>
      <c r="AC60" s="100">
        <f>AC59*73.9/(73.9+99)</f>
        <v>788.1526894</v>
      </c>
      <c r="AD60" s="100">
        <f>AC59*99/(73.9+99)</f>
        <v>1055.847311</v>
      </c>
      <c r="AE60" s="100">
        <f t="shared" si="120"/>
        <v>662</v>
      </c>
      <c r="AF60" s="100">
        <f>AE59-AE60-AG60</f>
        <v>923</v>
      </c>
      <c r="AG60" s="100">
        <f>AG58-AG49</f>
        <v>10</v>
      </c>
      <c r="AH60" s="137">
        <v>225.0</v>
      </c>
      <c r="AI60" s="100">
        <f t="shared" si="121"/>
        <v>11836</v>
      </c>
      <c r="AJ60" s="18">
        <f>2099750/11836</f>
        <v>177.4036837</v>
      </c>
    </row>
    <row r="61">
      <c r="B61" s="1" t="s">
        <v>5545</v>
      </c>
      <c r="C61" s="21"/>
      <c r="D61" s="21">
        <v>133939.781176073</v>
      </c>
      <c r="E61" s="21">
        <v>348066.02737411286</v>
      </c>
      <c r="F61" s="21">
        <v>78057.62081784387</v>
      </c>
      <c r="G61" s="18">
        <v>136268.72592091924</v>
      </c>
      <c r="H61" s="18">
        <v>226744.60459614734</v>
      </c>
      <c r="I61" s="18">
        <f>273579+48786</f>
        <v>322365</v>
      </c>
      <c r="J61" s="18">
        <v>224260.9530246705</v>
      </c>
      <c r="K61" s="18">
        <v>144811.19040224107</v>
      </c>
      <c r="L61" s="18">
        <v>192301.20229799548</v>
      </c>
      <c r="M61" s="18">
        <v>122431.23859411964</v>
      </c>
      <c r="N61" s="18">
        <v>168733.6000337952</v>
      </c>
      <c r="P61">
        <f t="shared" si="114"/>
        <v>2097979.944</v>
      </c>
      <c r="AJ61" s="1">
        <v>2097250.0</v>
      </c>
      <c r="AK61" s="1">
        <v>2500.0</v>
      </c>
      <c r="AL61">
        <f>AL62-AL54</f>
        <v>15888</v>
      </c>
    </row>
    <row r="62">
      <c r="D62">
        <f t="shared" ref="D62:N62" si="122">D61-D63</f>
        <v>121763.4374</v>
      </c>
      <c r="E62">
        <f t="shared" si="122"/>
        <v>316423.6612</v>
      </c>
      <c r="F62">
        <f t="shared" si="122"/>
        <v>70961.47347</v>
      </c>
      <c r="G62">
        <f t="shared" si="122"/>
        <v>123880.6599</v>
      </c>
      <c r="H62">
        <f t="shared" si="122"/>
        <v>206131.4587</v>
      </c>
      <c r="I62">
        <f t="shared" si="122"/>
        <v>293059.0909</v>
      </c>
      <c r="J62">
        <f t="shared" si="122"/>
        <v>203873.5937</v>
      </c>
      <c r="K62">
        <f t="shared" si="122"/>
        <v>131646.5367</v>
      </c>
      <c r="L62">
        <f t="shared" si="122"/>
        <v>174819.2748</v>
      </c>
      <c r="M62">
        <f t="shared" si="122"/>
        <v>111301.126</v>
      </c>
      <c r="N62">
        <f t="shared" si="122"/>
        <v>153394.1818</v>
      </c>
      <c r="P62">
        <f t="shared" si="114"/>
        <v>1907254.495</v>
      </c>
      <c r="U62" s="1">
        <f t="shared" ref="U62:AH62" si="123">2099750*U60/11836</f>
        <v>48786.01301</v>
      </c>
      <c r="V62" s="1">
        <f t="shared" si="123"/>
        <v>133939.7812</v>
      </c>
      <c r="W62" s="1">
        <f t="shared" si="123"/>
        <v>348066.0274</v>
      </c>
      <c r="X62" s="1">
        <f t="shared" si="123"/>
        <v>78057.62082</v>
      </c>
      <c r="Y62" s="1">
        <f t="shared" si="123"/>
        <v>131278.7259</v>
      </c>
      <c r="Z62" s="1">
        <f t="shared" si="123"/>
        <v>221754.6046</v>
      </c>
      <c r="AA62" s="1">
        <f t="shared" si="123"/>
        <v>268589.1771</v>
      </c>
      <c r="AB62" s="1">
        <f t="shared" si="123"/>
        <v>219270.953</v>
      </c>
      <c r="AC62" s="1">
        <f t="shared" si="123"/>
        <v>139821.1904</v>
      </c>
      <c r="AD62" s="1">
        <f t="shared" si="123"/>
        <v>187311.2023</v>
      </c>
      <c r="AE62" s="1">
        <f t="shared" si="123"/>
        <v>117441.2386</v>
      </c>
      <c r="AF62" s="1">
        <f t="shared" si="123"/>
        <v>163743.6</v>
      </c>
      <c r="AG62" s="1">
        <f t="shared" si="123"/>
        <v>1774.036837</v>
      </c>
      <c r="AH62" s="1">
        <f t="shared" si="123"/>
        <v>39915.82883</v>
      </c>
      <c r="AJ62" s="1">
        <f>AJ61+AK61</f>
        <v>2099750</v>
      </c>
      <c r="AL62" s="1">
        <v>386767.0</v>
      </c>
      <c r="AV62" s="1">
        <v>193090.0</v>
      </c>
      <c r="AX62" s="1" t="s">
        <v>5510</v>
      </c>
      <c r="AY62" s="138">
        <f t="shared" ref="AY62:BB62" si="124">AY3/1197.79</f>
        <v>0.04541697626</v>
      </c>
      <c r="AZ62" s="138">
        <f t="shared" si="124"/>
        <v>0.162799823</v>
      </c>
      <c r="BA62" s="138">
        <f t="shared" si="124"/>
        <v>0.1355830321</v>
      </c>
      <c r="BB62" s="138">
        <f t="shared" si="124"/>
        <v>0.06779151604</v>
      </c>
      <c r="BC62" s="138"/>
      <c r="BD62" s="138">
        <f t="shared" ref="BD62:BK62" si="125">BD3/1197.79</f>
        <v>0.08949815911</v>
      </c>
      <c r="BE62" s="138">
        <f t="shared" si="125"/>
        <v>0.136417903</v>
      </c>
      <c r="BF62" s="138">
        <f t="shared" si="125"/>
        <v>0.09041651709</v>
      </c>
      <c r="BG62" s="138">
        <f t="shared" si="125"/>
        <v>0.06169695857</v>
      </c>
      <c r="BH62" s="138">
        <f t="shared" si="125"/>
        <v>0.08265221783</v>
      </c>
      <c r="BI62" s="138">
        <f t="shared" si="125"/>
        <v>0.0421526311</v>
      </c>
      <c r="BJ62" s="138">
        <f t="shared" si="125"/>
        <v>0.04850599855</v>
      </c>
      <c r="BK62" s="138">
        <f t="shared" si="125"/>
        <v>0.03706826739</v>
      </c>
      <c r="BL62">
        <f t="shared" ref="BL62:BL63" si="129">SUM(AY62:BK62)</f>
        <v>1</v>
      </c>
      <c r="BM62" s="139">
        <f>SUM(AY3:BB3,BD3:BK3)</f>
        <v>1197.79</v>
      </c>
    </row>
    <row r="63">
      <c r="B63" s="1" t="s">
        <v>5499</v>
      </c>
      <c r="D63">
        <f t="shared" ref="D63:N63" si="126">D61/11</f>
        <v>12176.34374</v>
      </c>
      <c r="E63">
        <f t="shared" si="126"/>
        <v>31642.36612</v>
      </c>
      <c r="F63">
        <f t="shared" si="126"/>
        <v>7096.147347</v>
      </c>
      <c r="G63">
        <f t="shared" si="126"/>
        <v>12388.06599</v>
      </c>
      <c r="H63">
        <f t="shared" si="126"/>
        <v>20613.14587</v>
      </c>
      <c r="I63">
        <f t="shared" si="126"/>
        <v>29305.90909</v>
      </c>
      <c r="J63">
        <f t="shared" si="126"/>
        <v>20387.35937</v>
      </c>
      <c r="K63">
        <f t="shared" si="126"/>
        <v>13164.65367</v>
      </c>
      <c r="L63">
        <f t="shared" si="126"/>
        <v>17481.92748</v>
      </c>
      <c r="M63">
        <f t="shared" si="126"/>
        <v>11130.1126</v>
      </c>
      <c r="N63">
        <f t="shared" si="126"/>
        <v>15339.41818</v>
      </c>
      <c r="P63">
        <f t="shared" si="114"/>
        <v>190725.4495</v>
      </c>
      <c r="T63" s="23" t="s">
        <v>5574</v>
      </c>
      <c r="U63" s="21">
        <v>48786.01301115242</v>
      </c>
      <c r="V63" s="21">
        <v>133939.781176073</v>
      </c>
      <c r="W63" s="21">
        <v>348066.02737411286</v>
      </c>
      <c r="X63" s="23">
        <v>78057.62081784387</v>
      </c>
      <c r="Y63" s="18">
        <f t="shared" ref="Y63:AF63" si="127">Y62+4990</f>
        <v>136268.7259</v>
      </c>
      <c r="Z63" s="18">
        <f t="shared" si="127"/>
        <v>226744.6046</v>
      </c>
      <c r="AA63" s="18">
        <f t="shared" si="127"/>
        <v>273579.1771</v>
      </c>
      <c r="AB63" s="18">
        <f t="shared" si="127"/>
        <v>224260.953</v>
      </c>
      <c r="AC63" s="18">
        <f t="shared" si="127"/>
        <v>144811.1904</v>
      </c>
      <c r="AD63" s="18">
        <f t="shared" si="127"/>
        <v>192301.2023</v>
      </c>
      <c r="AE63" s="18">
        <f t="shared" si="127"/>
        <v>122431.2386</v>
      </c>
      <c r="AF63" s="18">
        <f t="shared" si="127"/>
        <v>168733.6</v>
      </c>
      <c r="AG63" s="1">
        <v>1774.0</v>
      </c>
      <c r="AH63">
        <f>AH62/8</f>
        <v>4989.478603</v>
      </c>
      <c r="AI63" s="18">
        <f>SUM(U63:AF63)</f>
        <v>2097980.134</v>
      </c>
      <c r="AX63" s="135">
        <v>43526.0</v>
      </c>
      <c r="AY63">
        <f t="shared" ref="AY63:BK63" si="128">AY62*193090</f>
        <v>8769.563947</v>
      </c>
      <c r="AZ63" s="55">
        <f t="shared" si="128"/>
        <v>31435.01782</v>
      </c>
      <c r="BA63" s="55">
        <f t="shared" si="128"/>
        <v>26179.72767</v>
      </c>
      <c r="BB63" s="55">
        <f t="shared" si="128"/>
        <v>13089.86383</v>
      </c>
      <c r="BC63">
        <f t="shared" si="128"/>
        <v>0</v>
      </c>
      <c r="BD63" s="55">
        <f t="shared" si="128"/>
        <v>17281.19954</v>
      </c>
      <c r="BE63">
        <f t="shared" si="128"/>
        <v>26340.93288</v>
      </c>
      <c r="BF63" s="55">
        <f t="shared" si="128"/>
        <v>17458.52528</v>
      </c>
      <c r="BG63" s="55">
        <f t="shared" si="128"/>
        <v>11913.06573</v>
      </c>
      <c r="BH63" s="55">
        <f t="shared" si="128"/>
        <v>15959.31674</v>
      </c>
      <c r="BI63" s="55">
        <f t="shared" si="128"/>
        <v>8139.251538</v>
      </c>
      <c r="BJ63" s="55">
        <f t="shared" si="128"/>
        <v>9366.02326</v>
      </c>
      <c r="BK63" s="55">
        <f t="shared" si="128"/>
        <v>7157.511751</v>
      </c>
      <c r="BL63">
        <f t="shared" si="129"/>
        <v>193090</v>
      </c>
    </row>
    <row r="64">
      <c r="B64" s="23" t="s">
        <v>5528</v>
      </c>
      <c r="D64" s="18">
        <f t="shared" ref="D64:H64" si="130">SUM(D60,D61)</f>
        <v>1893939.781</v>
      </c>
      <c r="E64" s="18">
        <f t="shared" si="130"/>
        <v>2878066.027</v>
      </c>
      <c r="F64" s="18">
        <f t="shared" si="130"/>
        <v>1838057.621</v>
      </c>
      <c r="G64" s="18">
        <f t="shared" si="130"/>
        <v>2116268.726</v>
      </c>
      <c r="H64" s="18">
        <f t="shared" si="130"/>
        <v>2316744.605</v>
      </c>
      <c r="I64" s="18">
        <f>SUM(I60,I61,C61)</f>
        <v>4172365</v>
      </c>
      <c r="J64" s="18">
        <f t="shared" ref="J64:N64" si="131">SUM(J60,J61)</f>
        <v>2644260.953</v>
      </c>
      <c r="K64" s="18">
        <f t="shared" si="131"/>
        <v>2762811.19</v>
      </c>
      <c r="L64" s="18">
        <f t="shared" si="131"/>
        <v>2117301.202</v>
      </c>
      <c r="M64" s="18">
        <f t="shared" si="131"/>
        <v>2025431.239</v>
      </c>
      <c r="N64" s="18">
        <f t="shared" si="131"/>
        <v>1598733.6</v>
      </c>
      <c r="P64">
        <f t="shared" si="114"/>
        <v>26363979.94</v>
      </c>
      <c r="BE64" s="133">
        <f>BE63+AY63</f>
        <v>35110.49683</v>
      </c>
    </row>
    <row r="65">
      <c r="B65" s="1" t="s">
        <v>5580</v>
      </c>
      <c r="D65">
        <f t="shared" ref="D65:N65" si="132">D58+D62</f>
        <v>1721763.437</v>
      </c>
      <c r="E65">
        <f t="shared" si="132"/>
        <v>2616423.661</v>
      </c>
      <c r="F65">
        <f t="shared" si="132"/>
        <v>1670961.473</v>
      </c>
      <c r="G65">
        <f t="shared" si="132"/>
        <v>1923880.66</v>
      </c>
      <c r="H65">
        <f t="shared" si="132"/>
        <v>2106131.459</v>
      </c>
      <c r="I65">
        <f t="shared" si="132"/>
        <v>3793059.091</v>
      </c>
      <c r="J65">
        <f t="shared" si="132"/>
        <v>2403873.594</v>
      </c>
      <c r="K65">
        <f t="shared" si="132"/>
        <v>2511646.537</v>
      </c>
      <c r="L65">
        <f t="shared" si="132"/>
        <v>1924819.275</v>
      </c>
      <c r="M65">
        <f t="shared" si="132"/>
        <v>1841301.126</v>
      </c>
      <c r="N65">
        <f t="shared" si="132"/>
        <v>1453394.182</v>
      </c>
      <c r="T65" s="1" t="s">
        <v>5581</v>
      </c>
      <c r="U65" s="1">
        <v>7968.0</v>
      </c>
      <c r="W65" s="1">
        <v>10497.0</v>
      </c>
      <c r="Y65" s="1">
        <v>48803.0</v>
      </c>
      <c r="AA65" s="1">
        <v>37236.0</v>
      </c>
      <c r="AC65" s="1">
        <v>50948.0</v>
      </c>
      <c r="AE65" s="1">
        <v>77044.0</v>
      </c>
      <c r="AH65" s="1">
        <v>3143.0</v>
      </c>
    </row>
    <row r="66">
      <c r="B66" s="1" t="s">
        <v>5582</v>
      </c>
      <c r="D66">
        <f t="shared" ref="D66:N66" si="133">D59+D63</f>
        <v>172176.3437</v>
      </c>
      <c r="E66">
        <f t="shared" si="133"/>
        <v>261642.3661</v>
      </c>
      <c r="F66">
        <f t="shared" si="133"/>
        <v>167096.1473</v>
      </c>
      <c r="G66">
        <f t="shared" si="133"/>
        <v>192388.066</v>
      </c>
      <c r="H66">
        <f t="shared" si="133"/>
        <v>210613.1459</v>
      </c>
      <c r="I66">
        <f t="shared" si="133"/>
        <v>379305.9091</v>
      </c>
      <c r="J66">
        <f t="shared" si="133"/>
        <v>240387.3594</v>
      </c>
      <c r="K66">
        <f t="shared" si="133"/>
        <v>251164.6537</v>
      </c>
      <c r="L66">
        <f t="shared" si="133"/>
        <v>192481.9275</v>
      </c>
      <c r="M66">
        <f t="shared" si="133"/>
        <v>184130.1126</v>
      </c>
      <c r="N66">
        <f t="shared" si="133"/>
        <v>145339.4182</v>
      </c>
      <c r="U66" s="1">
        <v>4186.0</v>
      </c>
      <c r="V66" s="1">
        <v>11558.0</v>
      </c>
      <c r="W66" s="1">
        <v>36534.0</v>
      </c>
      <c r="Y66" s="1">
        <v>12500.0</v>
      </c>
      <c r="AA66" s="1">
        <v>2992.0</v>
      </c>
      <c r="AE66" s="1">
        <v>83493.0</v>
      </c>
      <c r="AG66" s="1">
        <v>4988.0</v>
      </c>
      <c r="AY66" s="31">
        <f t="shared" ref="AY66:BK66" si="134">AY1</f>
        <v>54.4</v>
      </c>
      <c r="AZ66" s="31">
        <f t="shared" si="134"/>
        <v>195</v>
      </c>
      <c r="BA66" s="31">
        <f t="shared" si="134"/>
        <v>81.2</v>
      </c>
      <c r="BB66" s="31">
        <f t="shared" si="134"/>
        <v>81.2</v>
      </c>
      <c r="BC66" s="31">
        <f t="shared" si="134"/>
        <v>74.5</v>
      </c>
      <c r="BD66" s="31">
        <f t="shared" si="134"/>
        <v>107.2</v>
      </c>
      <c r="BE66" s="31">
        <f t="shared" si="134"/>
        <v>81.7</v>
      </c>
      <c r="BF66" s="31">
        <f t="shared" si="134"/>
        <v>108.3</v>
      </c>
      <c r="BG66" s="31">
        <f t="shared" si="134"/>
        <v>73.9</v>
      </c>
      <c r="BH66" s="31">
        <f t="shared" si="134"/>
        <v>99</v>
      </c>
      <c r="BI66" s="31">
        <f t="shared" si="134"/>
        <v>50.49</v>
      </c>
      <c r="BJ66" s="31">
        <f t="shared" si="134"/>
        <v>58.1</v>
      </c>
      <c r="BK66" s="31">
        <f t="shared" si="134"/>
        <v>44.4</v>
      </c>
      <c r="BL66" s="30" t="s">
        <v>5493</v>
      </c>
      <c r="BM66" s="31">
        <f>SUM(AY66:BB66,BD66:BK66)</f>
        <v>1034.89</v>
      </c>
    </row>
    <row r="67">
      <c r="D67" s="1" t="s">
        <v>5566</v>
      </c>
      <c r="E67" s="1" t="s">
        <v>5566</v>
      </c>
      <c r="F67" s="1" t="s">
        <v>5566</v>
      </c>
      <c r="G67" s="1" t="s">
        <v>5583</v>
      </c>
      <c r="H67" s="1" t="s">
        <v>5566</v>
      </c>
      <c r="I67" s="1" t="s">
        <v>5566</v>
      </c>
      <c r="J67" s="1" t="s">
        <v>5566</v>
      </c>
      <c r="K67" s="1" t="s">
        <v>5566</v>
      </c>
      <c r="L67" s="1" t="s">
        <v>5566</v>
      </c>
      <c r="M67" s="1" t="s">
        <v>5566</v>
      </c>
      <c r="N67" s="1" t="s">
        <v>5566</v>
      </c>
      <c r="S67" s="1" t="s">
        <v>5532</v>
      </c>
      <c r="U67">
        <f t="shared" ref="U67:U68" si="135">U65-U57</f>
        <v>1469</v>
      </c>
      <c r="W67">
        <f>W65-W57</f>
        <v>459</v>
      </c>
      <c r="Y67">
        <f t="shared" ref="Y67:Y68" si="137">Y65-Y57</f>
        <v>1501</v>
      </c>
      <c r="AA67">
        <f t="shared" ref="AA67:AA68" si="138">AA65-AA57</f>
        <v>2116</v>
      </c>
      <c r="AC67">
        <f>AC65-AC57</f>
        <v>1568</v>
      </c>
      <c r="AE67">
        <f t="shared" ref="AE67:AE68" si="139">AE65-AE57</f>
        <v>1153</v>
      </c>
      <c r="AH67">
        <f>AH65-AH57</f>
        <v>150</v>
      </c>
      <c r="AI67">
        <f t="shared" ref="AI67:AI68" si="140">SUM(U67:AH67)</f>
        <v>8416</v>
      </c>
      <c r="AY67" s="1" t="s">
        <v>5321</v>
      </c>
      <c r="AZ67" s="1" t="s">
        <v>5584</v>
      </c>
      <c r="BA67" s="1" t="s">
        <v>5585</v>
      </c>
      <c r="BB67" s="1" t="s">
        <v>5478</v>
      </c>
      <c r="BD67" s="1" t="s">
        <v>5586</v>
      </c>
      <c r="BE67" s="1" t="s">
        <v>5497</v>
      </c>
      <c r="BF67" s="1" t="s">
        <v>5587</v>
      </c>
      <c r="BG67" s="1" t="s">
        <v>5483</v>
      </c>
      <c r="BH67" s="1" t="s">
        <v>5588</v>
      </c>
      <c r="BI67" s="1" t="s">
        <v>5589</v>
      </c>
      <c r="BJ67" s="1" t="s">
        <v>5590</v>
      </c>
      <c r="BK67" s="1" t="s">
        <v>5487</v>
      </c>
    </row>
    <row r="68">
      <c r="E68" s="1" t="s">
        <v>5591</v>
      </c>
      <c r="S68" s="137" t="s">
        <v>5534</v>
      </c>
      <c r="T68" s="100"/>
      <c r="U68" s="100">
        <f t="shared" si="135"/>
        <v>225</v>
      </c>
      <c r="V68" s="100">
        <f t="shared" ref="V68:W68" si="136">V66-V58</f>
        <v>837</v>
      </c>
      <c r="W68" s="100">
        <f t="shared" si="136"/>
        <v>1692</v>
      </c>
      <c r="X68" s="137">
        <v>459.0</v>
      </c>
      <c r="Y68" s="100">
        <f t="shared" si="137"/>
        <v>525</v>
      </c>
      <c r="Z68" s="100">
        <f>Y67-Y68</f>
        <v>976</v>
      </c>
      <c r="AA68" s="100">
        <f t="shared" si="138"/>
        <v>1225</v>
      </c>
      <c r="AB68" s="100">
        <f>AA67-AA68</f>
        <v>891</v>
      </c>
      <c r="AC68" s="100">
        <f>AC67*73.9/(73.9+99)</f>
        <v>670.1862348</v>
      </c>
      <c r="AD68" s="100">
        <f>AC67*99/(73.9+99)</f>
        <v>897.8137652</v>
      </c>
      <c r="AE68" s="100">
        <f t="shared" si="139"/>
        <v>429</v>
      </c>
      <c r="AF68" s="100">
        <f>AE67-AE68-AG68</f>
        <v>724</v>
      </c>
      <c r="AG68" s="100">
        <f>AG66-AG58</f>
        <v>0</v>
      </c>
      <c r="AH68" s="137">
        <v>150.0</v>
      </c>
      <c r="AI68" s="100">
        <f t="shared" si="140"/>
        <v>9701</v>
      </c>
    </row>
    <row r="69">
      <c r="B69" s="1" t="s">
        <v>5592</v>
      </c>
      <c r="D69" s="1">
        <v>1600000.0</v>
      </c>
      <c r="E69" s="23">
        <f>2300000*14/31</f>
        <v>1038709.677</v>
      </c>
      <c r="F69" s="1">
        <v>1600000.0</v>
      </c>
      <c r="G69" s="1">
        <v>1800000.0</v>
      </c>
      <c r="H69" s="1">
        <v>1900000.0</v>
      </c>
      <c r="I69" s="1">
        <v>3500000.0</v>
      </c>
      <c r="J69" s="1">
        <v>2200000.0</v>
      </c>
      <c r="K69" s="1">
        <v>2380000.0</v>
      </c>
      <c r="L69" s="1">
        <v>1750000.0</v>
      </c>
      <c r="M69" s="1">
        <v>1730000.0</v>
      </c>
      <c r="N69" s="1">
        <v>1300000.0</v>
      </c>
      <c r="AL69">
        <f>AL70-AL62</f>
        <v>12467</v>
      </c>
      <c r="AV69" s="1">
        <v>214840.0</v>
      </c>
      <c r="AX69" s="1" t="s">
        <v>5510</v>
      </c>
      <c r="AY69">
        <f t="shared" ref="AY69:BB69" si="141">AY66/1034.89</f>
        <v>0.0525659732</v>
      </c>
      <c r="AZ69">
        <f t="shared" si="141"/>
        <v>0.188425823</v>
      </c>
      <c r="BA69">
        <f t="shared" si="141"/>
        <v>0.07846244528</v>
      </c>
      <c r="BB69">
        <f t="shared" si="141"/>
        <v>0.07846244528</v>
      </c>
      <c r="BD69">
        <f t="shared" ref="BD69:BK69" si="142">BD66/1034.89</f>
        <v>0.1035858884</v>
      </c>
      <c r="BE69">
        <f t="shared" si="142"/>
        <v>0.07894558842</v>
      </c>
      <c r="BF69">
        <f t="shared" si="142"/>
        <v>0.1046488033</v>
      </c>
      <c r="BG69">
        <f t="shared" si="142"/>
        <v>0.0714085555</v>
      </c>
      <c r="BH69">
        <f t="shared" si="142"/>
        <v>0.09566234093</v>
      </c>
      <c r="BI69">
        <f t="shared" si="142"/>
        <v>0.04878779387</v>
      </c>
      <c r="BJ69">
        <f t="shared" si="142"/>
        <v>0.0561412324</v>
      </c>
      <c r="BK69">
        <f t="shared" si="142"/>
        <v>0.04290311048</v>
      </c>
      <c r="BL69">
        <f t="shared" ref="BL69:BL70" si="145">SUM(AY69:BK69)</f>
        <v>1</v>
      </c>
    </row>
    <row r="70">
      <c r="B70" s="1" t="s">
        <v>5499</v>
      </c>
      <c r="D70" s="1">
        <f t="shared" ref="D70:N70" si="143">D69*0.1</f>
        <v>160000</v>
      </c>
      <c r="E70" s="23">
        <f t="shared" si="143"/>
        <v>103870.9677</v>
      </c>
      <c r="F70" s="1">
        <f t="shared" si="143"/>
        <v>160000</v>
      </c>
      <c r="G70" s="1">
        <f t="shared" si="143"/>
        <v>180000</v>
      </c>
      <c r="H70" s="1">
        <f t="shared" si="143"/>
        <v>190000</v>
      </c>
      <c r="I70" s="1">
        <f t="shared" si="143"/>
        <v>350000</v>
      </c>
      <c r="J70" s="1">
        <f t="shared" si="143"/>
        <v>220000</v>
      </c>
      <c r="K70" s="1">
        <f t="shared" si="143"/>
        <v>238000</v>
      </c>
      <c r="L70" s="1">
        <f t="shared" si="143"/>
        <v>175000</v>
      </c>
      <c r="M70" s="1">
        <f t="shared" si="143"/>
        <v>173000</v>
      </c>
      <c r="N70" s="1">
        <f t="shared" si="143"/>
        <v>130000</v>
      </c>
      <c r="T70" s="1" t="s">
        <v>5593</v>
      </c>
      <c r="V70" s="1" t="s">
        <v>5477</v>
      </c>
      <c r="W70" s="1">
        <v>36894.0</v>
      </c>
      <c r="X70" s="1" t="s">
        <v>5594</v>
      </c>
      <c r="Y70" s="1" t="s">
        <v>5595</v>
      </c>
      <c r="Z70" s="18">
        <f>360*177.4</f>
        <v>63864</v>
      </c>
      <c r="AJ70" s="1">
        <v>1610830.0</v>
      </c>
      <c r="AL70" s="1">
        <v>399234.0</v>
      </c>
      <c r="AX70" s="135">
        <v>43589.0</v>
      </c>
      <c r="AY70">
        <f t="shared" ref="AY70:BK70" si="144">214840*AY69</f>
        <v>11293.27368</v>
      </c>
      <c r="AZ70" s="55">
        <f t="shared" si="144"/>
        <v>40481.40382</v>
      </c>
      <c r="BA70" s="55">
        <f t="shared" si="144"/>
        <v>16856.87174</v>
      </c>
      <c r="BB70" s="55">
        <f t="shared" si="144"/>
        <v>16856.87174</v>
      </c>
      <c r="BC70">
        <f t="shared" si="144"/>
        <v>0</v>
      </c>
      <c r="BD70" s="55">
        <f t="shared" si="144"/>
        <v>22254.39225</v>
      </c>
      <c r="BE70">
        <f t="shared" si="144"/>
        <v>16960.67022</v>
      </c>
      <c r="BF70" s="55">
        <f t="shared" si="144"/>
        <v>22482.74889</v>
      </c>
      <c r="BG70" s="55">
        <f t="shared" si="144"/>
        <v>15341.41406</v>
      </c>
      <c r="BH70" s="55">
        <f t="shared" si="144"/>
        <v>20552.09732</v>
      </c>
      <c r="BI70" s="55">
        <f t="shared" si="144"/>
        <v>10481.56964</v>
      </c>
      <c r="BJ70" s="55">
        <f t="shared" si="144"/>
        <v>12061.38237</v>
      </c>
      <c r="BK70" s="55">
        <f t="shared" si="144"/>
        <v>9217.304255</v>
      </c>
      <c r="BL70">
        <f t="shared" si="145"/>
        <v>214840</v>
      </c>
    </row>
    <row r="71">
      <c r="B71" s="1" t="s">
        <v>5520</v>
      </c>
      <c r="D71">
        <f t="shared" ref="D71:N71" si="146">D69+D70</f>
        <v>1760000</v>
      </c>
      <c r="E71" s="18">
        <f t="shared" si="146"/>
        <v>1142580.645</v>
      </c>
      <c r="F71">
        <f t="shared" si="146"/>
        <v>1760000</v>
      </c>
      <c r="G71">
        <f t="shared" si="146"/>
        <v>1980000</v>
      </c>
      <c r="H71">
        <f t="shared" si="146"/>
        <v>2090000</v>
      </c>
      <c r="I71">
        <f t="shared" si="146"/>
        <v>3850000</v>
      </c>
      <c r="J71">
        <f t="shared" si="146"/>
        <v>2420000</v>
      </c>
      <c r="K71">
        <f t="shared" si="146"/>
        <v>2618000</v>
      </c>
      <c r="L71">
        <f t="shared" si="146"/>
        <v>1925000</v>
      </c>
      <c r="M71">
        <f t="shared" si="146"/>
        <v>1903000</v>
      </c>
      <c r="N71">
        <f t="shared" si="146"/>
        <v>1430000</v>
      </c>
      <c r="W71" s="23" t="s">
        <v>5596</v>
      </c>
      <c r="X71" s="18">
        <f>1692*17/31</f>
        <v>927.8709677</v>
      </c>
      <c r="Y71" s="23">
        <v>177.4</v>
      </c>
      <c r="Z71" s="18">
        <f>X71*Y71</f>
        <v>164604.3097</v>
      </c>
      <c r="BE71" s="133">
        <f>BE70+AY70</f>
        <v>28253.9439</v>
      </c>
    </row>
    <row r="72">
      <c r="B72" s="1" t="s">
        <v>5545</v>
      </c>
      <c r="D72">
        <v>138982.03381094732</v>
      </c>
      <c r="E72">
        <f>(14/31)*280952.928564066</f>
        <v>126881.9677</v>
      </c>
      <c r="F72">
        <v>76215.95402535821</v>
      </c>
      <c r="G72">
        <v>90288.11081331821</v>
      </c>
      <c r="H72">
        <v>165175.68219771158</v>
      </c>
      <c r="I72">
        <v>243882.3536748789</v>
      </c>
      <c r="J72">
        <v>151061.61663746004</v>
      </c>
      <c r="K72">
        <v>114395.97006819698</v>
      </c>
      <c r="L72">
        <v>152193.0275609134</v>
      </c>
      <c r="M72">
        <v>74347.51912174003</v>
      </c>
      <c r="N72">
        <v>123331.62900731883</v>
      </c>
    </row>
    <row r="73">
      <c r="D73">
        <f t="shared" ref="D73:N73" si="147">D72-D74</f>
        <v>126347.3035</v>
      </c>
      <c r="E73">
        <f t="shared" si="147"/>
        <v>115347.2434</v>
      </c>
      <c r="F73">
        <f t="shared" si="147"/>
        <v>69287.23093</v>
      </c>
      <c r="G73">
        <f t="shared" si="147"/>
        <v>82080.10074</v>
      </c>
      <c r="H73">
        <f t="shared" si="147"/>
        <v>150159.7111</v>
      </c>
      <c r="I73">
        <f t="shared" si="147"/>
        <v>221711.2306</v>
      </c>
      <c r="J73">
        <f t="shared" si="147"/>
        <v>137328.7424</v>
      </c>
      <c r="K73">
        <f t="shared" si="147"/>
        <v>103996.3364</v>
      </c>
      <c r="L73">
        <f t="shared" si="147"/>
        <v>138357.2978</v>
      </c>
      <c r="M73">
        <f t="shared" si="147"/>
        <v>67588.65375</v>
      </c>
      <c r="N73">
        <f t="shared" si="147"/>
        <v>112119.6627</v>
      </c>
      <c r="U73">
        <f t="shared" ref="U73:AH73" si="148">U68*1610830/9701</f>
        <v>37360.76178</v>
      </c>
      <c r="V73">
        <f t="shared" si="148"/>
        <v>138982.0338</v>
      </c>
      <c r="W73">
        <f t="shared" si="148"/>
        <v>280952.9286</v>
      </c>
      <c r="X73">
        <f t="shared" si="148"/>
        <v>76215.95403</v>
      </c>
      <c r="Y73">
        <f t="shared" si="148"/>
        <v>87175.11081</v>
      </c>
      <c r="Z73">
        <f t="shared" si="148"/>
        <v>162062.6822</v>
      </c>
      <c r="AA73">
        <f t="shared" si="148"/>
        <v>203408.5919</v>
      </c>
      <c r="AB73">
        <f t="shared" si="148"/>
        <v>147948.6166</v>
      </c>
      <c r="AC73">
        <f t="shared" si="148"/>
        <v>111282.9701</v>
      </c>
      <c r="AD73">
        <f t="shared" si="148"/>
        <v>149080.0276</v>
      </c>
      <c r="AE73">
        <f t="shared" si="148"/>
        <v>71234.51912</v>
      </c>
      <c r="AF73">
        <f t="shared" si="148"/>
        <v>120218.629</v>
      </c>
      <c r="AG73">
        <f t="shared" si="148"/>
        <v>0</v>
      </c>
      <c r="AH73">
        <f t="shared" si="148"/>
        <v>24907.17452</v>
      </c>
      <c r="AV73" s="1">
        <v>225400.0</v>
      </c>
      <c r="AX73" s="3" t="s">
        <v>5510</v>
      </c>
      <c r="AY73">
        <v>0.05256597319521881</v>
      </c>
      <c r="AZ73">
        <v>0.18842582303433214</v>
      </c>
      <c r="BA73">
        <v>0.07846244528403984</v>
      </c>
      <c r="BB73">
        <v>0.07846244528403984</v>
      </c>
      <c r="BD73">
        <v>0.10358588835528412</v>
      </c>
      <c r="BE73">
        <v>0.07894558842002532</v>
      </c>
      <c r="BF73">
        <v>0.10464880325445215</v>
      </c>
      <c r="BG73">
        <v>0.07140855549865203</v>
      </c>
      <c r="BH73">
        <v>0.09566234092512246</v>
      </c>
      <c r="BI73">
        <v>0.04878779387181246</v>
      </c>
      <c r="BJ73">
        <v>0.05614123240151127</v>
      </c>
      <c r="BK73">
        <v>0.042903110475509466</v>
      </c>
      <c r="BL73">
        <f t="shared" ref="BL73:BL74" si="152">SUM(AY73:BK73)</f>
        <v>1</v>
      </c>
    </row>
    <row r="74">
      <c r="B74" s="1" t="s">
        <v>5499</v>
      </c>
      <c r="D74">
        <f t="shared" ref="D74:N74" si="149">D72/11</f>
        <v>12634.73035</v>
      </c>
      <c r="E74">
        <f t="shared" si="149"/>
        <v>11534.72434</v>
      </c>
      <c r="F74">
        <f t="shared" si="149"/>
        <v>6928.723093</v>
      </c>
      <c r="G74">
        <f t="shared" si="149"/>
        <v>8208.010074</v>
      </c>
      <c r="H74">
        <f t="shared" si="149"/>
        <v>15015.97111</v>
      </c>
      <c r="I74">
        <f t="shared" si="149"/>
        <v>22171.12306</v>
      </c>
      <c r="J74">
        <f t="shared" si="149"/>
        <v>13732.87424</v>
      </c>
      <c r="K74">
        <f t="shared" si="149"/>
        <v>10399.63364</v>
      </c>
      <c r="L74">
        <f t="shared" si="149"/>
        <v>13835.72978</v>
      </c>
      <c r="M74">
        <f t="shared" si="149"/>
        <v>6758.865375</v>
      </c>
      <c r="N74">
        <f t="shared" si="149"/>
        <v>11211.96627</v>
      </c>
      <c r="T74" s="1" t="s">
        <v>5574</v>
      </c>
      <c r="U74" s="18">
        <v>37360.76177713638</v>
      </c>
      <c r="V74" s="18">
        <v>138982.03381094732</v>
      </c>
      <c r="W74" s="18">
        <v>280952.92856406554</v>
      </c>
      <c r="X74" s="18">
        <v>76215.95402535821</v>
      </c>
      <c r="Y74" s="18">
        <f t="shared" ref="Y74:AF74" si="150">Y73+3113</f>
        <v>90288.11081</v>
      </c>
      <c r="Z74" s="18">
        <f t="shared" si="150"/>
        <v>165175.6822</v>
      </c>
      <c r="AA74" s="18">
        <f t="shared" si="150"/>
        <v>206521.5919</v>
      </c>
      <c r="AB74" s="18">
        <f t="shared" si="150"/>
        <v>151061.6166</v>
      </c>
      <c r="AC74" s="18">
        <f t="shared" si="150"/>
        <v>114395.9701</v>
      </c>
      <c r="AD74" s="18">
        <f t="shared" si="150"/>
        <v>152193.0276</v>
      </c>
      <c r="AE74" s="18">
        <f t="shared" si="150"/>
        <v>74347.51912</v>
      </c>
      <c r="AF74" s="18">
        <f t="shared" si="150"/>
        <v>123331.629</v>
      </c>
      <c r="AH74">
        <f>AH73/8</f>
        <v>3113.396815</v>
      </c>
      <c r="AI74" s="18">
        <f>SUM(U74:AF74)</f>
        <v>1610826.825</v>
      </c>
      <c r="AJ74">
        <f>1610830/9701</f>
        <v>166.0478301</v>
      </c>
      <c r="AX74" s="135">
        <v>43652.0</v>
      </c>
      <c r="AY74">
        <f t="shared" ref="AY74:BK74" si="151">225400*AY73</f>
        <v>11848.37036</v>
      </c>
      <c r="AZ74" s="55">
        <f t="shared" si="151"/>
        <v>42471.18051</v>
      </c>
      <c r="BA74" s="55">
        <f t="shared" si="151"/>
        <v>17685.43517</v>
      </c>
      <c r="BB74" s="55">
        <f t="shared" si="151"/>
        <v>17685.43517</v>
      </c>
      <c r="BC74">
        <f t="shared" si="151"/>
        <v>0</v>
      </c>
      <c r="BD74" s="55">
        <f t="shared" si="151"/>
        <v>23348.25924</v>
      </c>
      <c r="BE74">
        <f t="shared" si="151"/>
        <v>17794.33563</v>
      </c>
      <c r="BF74" s="129">
        <f t="shared" si="151"/>
        <v>23587.84025</v>
      </c>
      <c r="BG74" s="129">
        <f t="shared" si="151"/>
        <v>16095.48841</v>
      </c>
      <c r="BH74" s="129">
        <f t="shared" si="151"/>
        <v>21562.29164</v>
      </c>
      <c r="BI74" s="129">
        <f t="shared" si="151"/>
        <v>10996.76874</v>
      </c>
      <c r="BJ74" s="129">
        <f t="shared" si="151"/>
        <v>12654.23378</v>
      </c>
      <c r="BK74" s="129">
        <f t="shared" si="151"/>
        <v>9670.361101</v>
      </c>
      <c r="BL74">
        <f t="shared" si="152"/>
        <v>225400</v>
      </c>
    </row>
    <row r="75">
      <c r="B75" s="1" t="s">
        <v>5597</v>
      </c>
      <c r="D75">
        <v>43801.228334186344</v>
      </c>
      <c r="E75">
        <f>(14/60)*36478.5614434455</f>
        <v>8511.664337</v>
      </c>
      <c r="F75">
        <v>36478.56144344545</v>
      </c>
      <c r="G75">
        <v>16734.315440496834</v>
      </c>
      <c r="H75">
        <v>24079.444499614237</v>
      </c>
      <c r="I75">
        <v>48922.602724029675</v>
      </c>
      <c r="J75">
        <v>24326.528351755802</v>
      </c>
      <c r="K75">
        <v>16599.5424302378</v>
      </c>
      <c r="L75">
        <v>22237.546692740758</v>
      </c>
      <c r="M75">
        <v>11341.148813297788</v>
      </c>
      <c r="N75">
        <v>13050.51982674988</v>
      </c>
      <c r="AA75" s="18">
        <f>AA74+U74</f>
        <v>243882.3537</v>
      </c>
      <c r="BE75" s="133">
        <f>BE74+AY74</f>
        <v>29642.70599</v>
      </c>
    </row>
    <row r="76">
      <c r="B76" s="23" t="s">
        <v>5598</v>
      </c>
      <c r="C76" s="18"/>
      <c r="D76" s="18">
        <f>SUM(D71,D72,D75)</f>
        <v>1942783.262</v>
      </c>
      <c r="E76" s="18">
        <f>SUM(E71)</f>
        <v>1142580.645</v>
      </c>
      <c r="F76" s="18">
        <f t="shared" ref="F76:N76" si="153">SUM(F71,F72,F75)</f>
        <v>1872694.515</v>
      </c>
      <c r="G76" s="18">
        <f t="shared" si="153"/>
        <v>2087022.426</v>
      </c>
      <c r="H76" s="18">
        <f t="shared" si="153"/>
        <v>2279255.127</v>
      </c>
      <c r="I76" s="18">
        <f t="shared" si="153"/>
        <v>4142804.956</v>
      </c>
      <c r="J76" s="18">
        <f t="shared" si="153"/>
        <v>2595388.145</v>
      </c>
      <c r="K76" s="18">
        <f t="shared" si="153"/>
        <v>2748995.512</v>
      </c>
      <c r="L76" s="18">
        <f t="shared" si="153"/>
        <v>2099430.574</v>
      </c>
      <c r="M76" s="18">
        <f t="shared" si="153"/>
        <v>1988688.668</v>
      </c>
      <c r="N76" s="18">
        <f t="shared" si="153"/>
        <v>1566382.149</v>
      </c>
      <c r="V76" s="1"/>
      <c r="X76" s="1"/>
    </row>
    <row r="77">
      <c r="B77" s="1" t="s">
        <v>5599</v>
      </c>
      <c r="D77">
        <f t="shared" ref="D77:N77" si="154">SUM(D69,D73,D75)</f>
        <v>1770148.532</v>
      </c>
      <c r="E77">
        <f t="shared" si="154"/>
        <v>1162568.585</v>
      </c>
      <c r="F77">
        <f t="shared" si="154"/>
        <v>1705765.792</v>
      </c>
      <c r="G77">
        <f t="shared" si="154"/>
        <v>1898814.416</v>
      </c>
      <c r="H77">
        <f t="shared" si="154"/>
        <v>2074239.156</v>
      </c>
      <c r="I77">
        <f t="shared" si="154"/>
        <v>3770633.833</v>
      </c>
      <c r="J77">
        <f t="shared" si="154"/>
        <v>2361655.271</v>
      </c>
      <c r="K77">
        <f t="shared" si="154"/>
        <v>2500595.879</v>
      </c>
      <c r="L77">
        <f t="shared" si="154"/>
        <v>1910594.844</v>
      </c>
      <c r="M77">
        <f t="shared" si="154"/>
        <v>1808929.803</v>
      </c>
      <c r="N77">
        <f t="shared" si="154"/>
        <v>1425170.183</v>
      </c>
      <c r="T77" s="1" t="s">
        <v>5600</v>
      </c>
      <c r="U77" s="1">
        <v>8996.0</v>
      </c>
      <c r="V77" s="1"/>
      <c r="W77" s="1">
        <v>10890.0</v>
      </c>
      <c r="X77" s="1"/>
      <c r="Y77" s="1">
        <v>49799.0</v>
      </c>
      <c r="AA77" s="1">
        <v>38915.0</v>
      </c>
      <c r="AC77" s="1">
        <v>52221.0</v>
      </c>
      <c r="AE77" s="1">
        <v>77730.0</v>
      </c>
      <c r="AH77" s="1">
        <v>3323.0</v>
      </c>
      <c r="AV77" s="1">
        <v>235960.0</v>
      </c>
      <c r="AX77" s="3" t="s">
        <v>5510</v>
      </c>
      <c r="AY77">
        <v>0.05256597319521881</v>
      </c>
      <c r="AZ77">
        <v>0.18842582303433214</v>
      </c>
      <c r="BA77">
        <v>0.07846244528403984</v>
      </c>
      <c r="BB77">
        <v>0.07846244528403984</v>
      </c>
      <c r="BD77">
        <v>0.10358588835528412</v>
      </c>
      <c r="BE77">
        <v>0.07894558842002532</v>
      </c>
      <c r="BF77">
        <v>0.10464880325445215</v>
      </c>
      <c r="BG77">
        <v>0.07140855549865203</v>
      </c>
      <c r="BH77">
        <v>0.09566234092512246</v>
      </c>
      <c r="BI77">
        <v>0.04878779387181246</v>
      </c>
      <c r="BJ77">
        <v>0.05614123240151127</v>
      </c>
      <c r="BK77">
        <v>0.042903110475509466</v>
      </c>
      <c r="BL77">
        <f t="shared" ref="BL77:BL78" si="157">SUM(AY77:BK77)</f>
        <v>1</v>
      </c>
    </row>
    <row r="78">
      <c r="B78" s="1" t="s">
        <v>5601</v>
      </c>
      <c r="D78">
        <f t="shared" ref="D78:N78" si="155">SUM(D69,D73)</f>
        <v>1726347.303</v>
      </c>
      <c r="E78">
        <f t="shared" si="155"/>
        <v>1154056.921</v>
      </c>
      <c r="F78">
        <f t="shared" si="155"/>
        <v>1669287.231</v>
      </c>
      <c r="G78">
        <f t="shared" si="155"/>
        <v>1882080.101</v>
      </c>
      <c r="H78">
        <f t="shared" si="155"/>
        <v>2050159.711</v>
      </c>
      <c r="I78">
        <f t="shared" si="155"/>
        <v>3721711.231</v>
      </c>
      <c r="J78">
        <f t="shared" si="155"/>
        <v>2337328.742</v>
      </c>
      <c r="K78">
        <f t="shared" si="155"/>
        <v>2483996.336</v>
      </c>
      <c r="L78">
        <f t="shared" si="155"/>
        <v>1888357.298</v>
      </c>
      <c r="M78">
        <f t="shared" si="155"/>
        <v>1797588.654</v>
      </c>
      <c r="N78">
        <f t="shared" si="155"/>
        <v>1412119.663</v>
      </c>
      <c r="U78" s="1">
        <v>4343.0</v>
      </c>
      <c r="V78" s="1">
        <v>12299.0</v>
      </c>
      <c r="W78" s="1">
        <v>37251.0</v>
      </c>
      <c r="X78" s="1"/>
      <c r="Y78" s="1">
        <v>12952.0</v>
      </c>
      <c r="AA78" s="1">
        <v>4032.0</v>
      </c>
      <c r="AE78" s="1">
        <v>83782.0</v>
      </c>
      <c r="AG78" s="1">
        <v>4989.0</v>
      </c>
      <c r="AX78" s="135">
        <v>43716.0</v>
      </c>
      <c r="AY78">
        <f t="shared" ref="AY78:BK78" si="156">235960*AY77</f>
        <v>12403.46704</v>
      </c>
      <c r="AZ78" s="136">
        <f t="shared" si="156"/>
        <v>44460.9572</v>
      </c>
      <c r="BA78" s="136">
        <f t="shared" si="156"/>
        <v>18513.99859</v>
      </c>
      <c r="BB78" s="136">
        <f t="shared" si="156"/>
        <v>18513.99859</v>
      </c>
      <c r="BC78">
        <f t="shared" si="156"/>
        <v>0</v>
      </c>
      <c r="BD78" s="136">
        <f t="shared" si="156"/>
        <v>24442.12622</v>
      </c>
      <c r="BE78">
        <f t="shared" si="156"/>
        <v>18628.00104</v>
      </c>
      <c r="BF78" s="136">
        <f t="shared" si="156"/>
        <v>24692.93162</v>
      </c>
      <c r="BG78" s="136">
        <f t="shared" si="156"/>
        <v>16849.56276</v>
      </c>
      <c r="BH78" s="136">
        <f t="shared" si="156"/>
        <v>22572.48596</v>
      </c>
      <c r="BI78" s="136">
        <f t="shared" si="156"/>
        <v>11511.96784</v>
      </c>
      <c r="BJ78" s="136">
        <f t="shared" si="156"/>
        <v>13247.0852</v>
      </c>
      <c r="BK78" s="136">
        <f t="shared" si="156"/>
        <v>10123.41795</v>
      </c>
      <c r="BL78">
        <f t="shared" si="157"/>
        <v>235960</v>
      </c>
    </row>
    <row r="79">
      <c r="B79" s="1" t="s">
        <v>5582</v>
      </c>
      <c r="D79">
        <f t="shared" ref="D79:N79" si="158">SUM(D70,D74)</f>
        <v>172634.7303</v>
      </c>
      <c r="E79">
        <f t="shared" si="158"/>
        <v>115405.6921</v>
      </c>
      <c r="F79">
        <f t="shared" si="158"/>
        <v>166928.7231</v>
      </c>
      <c r="G79">
        <f t="shared" si="158"/>
        <v>188208.0101</v>
      </c>
      <c r="H79">
        <f t="shared" si="158"/>
        <v>205015.9711</v>
      </c>
      <c r="I79">
        <f t="shared" si="158"/>
        <v>372171.1231</v>
      </c>
      <c r="J79">
        <f t="shared" si="158"/>
        <v>233732.8742</v>
      </c>
      <c r="K79">
        <f t="shared" si="158"/>
        <v>248399.6336</v>
      </c>
      <c r="L79">
        <f t="shared" si="158"/>
        <v>188835.7298</v>
      </c>
      <c r="M79">
        <f t="shared" si="158"/>
        <v>179758.8654</v>
      </c>
      <c r="N79">
        <f t="shared" si="158"/>
        <v>141211.9663</v>
      </c>
      <c r="U79">
        <f t="shared" ref="U79:U80" si="160">U77-U65</f>
        <v>1028</v>
      </c>
      <c r="V79" s="1"/>
      <c r="W79">
        <f>W77-W65</f>
        <v>393</v>
      </c>
      <c r="X79" s="1"/>
      <c r="Y79">
        <f t="shared" ref="Y79:Y80" si="162">Y77-Y65</f>
        <v>996</v>
      </c>
      <c r="AA79">
        <f t="shared" ref="AA79:AA80" si="163">AA77-AA65</f>
        <v>1679</v>
      </c>
      <c r="AC79">
        <f>AC77-AC65</f>
        <v>1273</v>
      </c>
      <c r="AE79">
        <f t="shared" ref="AE79:AE80" si="164">AE77-AE65</f>
        <v>686</v>
      </c>
      <c r="AH79">
        <f>AH77-AH65</f>
        <v>180</v>
      </c>
      <c r="BE79" s="133">
        <f>BE78+AY78</f>
        <v>31031.46808</v>
      </c>
    </row>
    <row r="80">
      <c r="B80" s="1" t="s">
        <v>5602</v>
      </c>
      <c r="D80">
        <f t="shared" ref="D80:N80" si="159">SUM(D78:D79)</f>
        <v>1898982.034</v>
      </c>
      <c r="E80">
        <f t="shared" si="159"/>
        <v>1269462.613</v>
      </c>
      <c r="F80">
        <f t="shared" si="159"/>
        <v>1836215.954</v>
      </c>
      <c r="G80">
        <f t="shared" si="159"/>
        <v>2070288.111</v>
      </c>
      <c r="H80">
        <f t="shared" si="159"/>
        <v>2255175.682</v>
      </c>
      <c r="I80">
        <f t="shared" si="159"/>
        <v>4093882.354</v>
      </c>
      <c r="J80">
        <f t="shared" si="159"/>
        <v>2571061.617</v>
      </c>
      <c r="K80">
        <f t="shared" si="159"/>
        <v>2732395.97</v>
      </c>
      <c r="L80">
        <f t="shared" si="159"/>
        <v>2077193.028</v>
      </c>
      <c r="M80">
        <f t="shared" si="159"/>
        <v>1977347.519</v>
      </c>
      <c r="N80">
        <f t="shared" si="159"/>
        <v>1553331.629</v>
      </c>
      <c r="S80" s="137" t="s">
        <v>5534</v>
      </c>
      <c r="T80" s="100"/>
      <c r="U80" s="100">
        <f t="shared" si="160"/>
        <v>157</v>
      </c>
      <c r="V80" s="100">
        <f t="shared" ref="V80:W80" si="161">V78-V66</f>
        <v>741</v>
      </c>
      <c r="W80" s="18">
        <f t="shared" si="161"/>
        <v>717</v>
      </c>
      <c r="X80" s="140">
        <v>393.0</v>
      </c>
      <c r="Y80" s="100">
        <f t="shared" si="162"/>
        <v>452</v>
      </c>
      <c r="Z80" s="100">
        <f>Y79-Y80</f>
        <v>544</v>
      </c>
      <c r="AA80" s="100">
        <f t="shared" si="163"/>
        <v>1040</v>
      </c>
      <c r="AB80" s="100">
        <f>AA79-AA80</f>
        <v>639</v>
      </c>
      <c r="AC80" s="100">
        <f>AC79*73.9/(73.9+99)</f>
        <v>544.0989011</v>
      </c>
      <c r="AD80" s="100">
        <f>AC79*99/(73.9+99)</f>
        <v>728.9010989</v>
      </c>
      <c r="AE80" s="100">
        <f t="shared" si="164"/>
        <v>289</v>
      </c>
      <c r="AF80" s="100">
        <f>AE79-AE80-AG80</f>
        <v>397</v>
      </c>
      <c r="AG80" s="23">
        <v>0.0</v>
      </c>
      <c r="AH80" s="100">
        <v>180.0</v>
      </c>
      <c r="AI80" s="100">
        <f>SUM(U80:AH80)</f>
        <v>6822</v>
      </c>
      <c r="AL80" s="1">
        <v>8295.0</v>
      </c>
    </row>
    <row r="81">
      <c r="D81" s="1" t="s">
        <v>5566</v>
      </c>
      <c r="E81" s="1" t="s">
        <v>5603</v>
      </c>
      <c r="F81" s="1" t="s">
        <v>5566</v>
      </c>
      <c r="G81" s="1" t="s">
        <v>5583</v>
      </c>
      <c r="H81" s="1" t="s">
        <v>5566</v>
      </c>
      <c r="I81" s="1" t="s">
        <v>5566</v>
      </c>
      <c r="J81" s="1" t="s">
        <v>5566</v>
      </c>
      <c r="K81" s="1" t="s">
        <v>5566</v>
      </c>
      <c r="L81" s="1" t="s">
        <v>5566</v>
      </c>
      <c r="M81" s="1" t="s">
        <v>5566</v>
      </c>
      <c r="N81" s="1" t="s">
        <v>5566</v>
      </c>
      <c r="U81">
        <f t="shared" ref="U81:AH81" si="165">U80*1047320/6822</f>
        <v>24102.79097</v>
      </c>
      <c r="V81">
        <f t="shared" si="165"/>
        <v>113759.0325</v>
      </c>
      <c r="W81">
        <f t="shared" si="165"/>
        <v>110074.5295</v>
      </c>
      <c r="X81">
        <f t="shared" si="165"/>
        <v>60333.73791</v>
      </c>
      <c r="Y81">
        <f t="shared" si="165"/>
        <v>69391.47464</v>
      </c>
      <c r="Z81">
        <f t="shared" si="165"/>
        <v>83515.40311</v>
      </c>
      <c r="AA81">
        <f t="shared" si="165"/>
        <v>159661.8001</v>
      </c>
      <c r="AB81">
        <f t="shared" si="165"/>
        <v>98099.89446</v>
      </c>
      <c r="AC81">
        <f t="shared" si="165"/>
        <v>83530.5865</v>
      </c>
      <c r="AD81">
        <f t="shared" si="165"/>
        <v>111901.5976</v>
      </c>
      <c r="AE81">
        <f t="shared" si="165"/>
        <v>44367.5579</v>
      </c>
      <c r="AF81">
        <f t="shared" si="165"/>
        <v>60947.82175</v>
      </c>
      <c r="AG81">
        <f t="shared" si="165"/>
        <v>0</v>
      </c>
      <c r="AH81">
        <f t="shared" si="165"/>
        <v>27633.77309</v>
      </c>
      <c r="AJ81" s="141">
        <v>1047320.0</v>
      </c>
      <c r="AL81" s="1">
        <v>407529.0</v>
      </c>
      <c r="AV81" s="1">
        <v>217480.0</v>
      </c>
      <c r="AX81" s="3" t="s">
        <v>5510</v>
      </c>
      <c r="AY81">
        <v>0.05256597319521881</v>
      </c>
      <c r="AZ81">
        <v>0.18842582303433214</v>
      </c>
      <c r="BA81">
        <v>0.07846244528403984</v>
      </c>
      <c r="BB81">
        <v>0.07846244528403984</v>
      </c>
      <c r="BD81">
        <v>0.10358588835528412</v>
      </c>
      <c r="BE81">
        <v>0.07894558842002532</v>
      </c>
      <c r="BF81">
        <v>0.10464880325445215</v>
      </c>
      <c r="BG81">
        <v>0.07140855549865203</v>
      </c>
      <c r="BH81">
        <v>0.09566234092512246</v>
      </c>
      <c r="BI81">
        <v>0.04878779387181246</v>
      </c>
      <c r="BJ81">
        <v>0.05614123240151127</v>
      </c>
      <c r="BK81">
        <v>0.042903110475509466</v>
      </c>
      <c r="BL81">
        <f t="shared" ref="BL81:BL82" si="168">SUM(AY81:BK81)</f>
        <v>1</v>
      </c>
    </row>
    <row r="82">
      <c r="E82" s="1" t="s">
        <v>5566</v>
      </c>
      <c r="T82" s="1" t="s">
        <v>5574</v>
      </c>
      <c r="U82" s="18">
        <v>24102.790970389917</v>
      </c>
      <c r="V82" s="142">
        <v>113759.0325417766</v>
      </c>
      <c r="W82" s="18">
        <v>110074.52946350044</v>
      </c>
      <c r="X82" s="142">
        <v>60333.73790677221</v>
      </c>
      <c r="Y82" s="18">
        <f t="shared" ref="Y82:AF82" si="166">Y81+3454</f>
        <v>72845.47464</v>
      </c>
      <c r="Z82" s="18">
        <f t="shared" si="166"/>
        <v>86969.40311</v>
      </c>
      <c r="AA82" s="18">
        <f t="shared" si="166"/>
        <v>163115.8001</v>
      </c>
      <c r="AB82" s="18">
        <f t="shared" si="166"/>
        <v>101553.8945</v>
      </c>
      <c r="AC82" s="18">
        <f t="shared" si="166"/>
        <v>86984.5865</v>
      </c>
      <c r="AD82" s="18">
        <f t="shared" si="166"/>
        <v>115355.5976</v>
      </c>
      <c r="AE82" s="18">
        <f t="shared" si="166"/>
        <v>47821.5579</v>
      </c>
      <c r="AF82" s="18">
        <f t="shared" si="166"/>
        <v>64401.82175</v>
      </c>
      <c r="AH82">
        <f>AH81/8</f>
        <v>3454.221636</v>
      </c>
      <c r="AI82" s="18">
        <f>SUM(U82:AF82)</f>
        <v>1047318.227</v>
      </c>
      <c r="AJ82">
        <f>1047320/6822</f>
        <v>153.5209616</v>
      </c>
      <c r="AX82" s="135">
        <v>43779.0</v>
      </c>
      <c r="AY82">
        <f t="shared" ref="AY82:BK82" si="167">217480*AY81</f>
        <v>11432.04785</v>
      </c>
      <c r="AZ82" s="136">
        <f t="shared" si="167"/>
        <v>40978.84799</v>
      </c>
      <c r="BA82" s="136">
        <f t="shared" si="167"/>
        <v>17064.0126</v>
      </c>
      <c r="BB82" s="136">
        <f t="shared" si="167"/>
        <v>17064.0126</v>
      </c>
      <c r="BC82">
        <f t="shared" si="167"/>
        <v>0</v>
      </c>
      <c r="BD82" s="136">
        <f t="shared" si="167"/>
        <v>22527.859</v>
      </c>
      <c r="BE82" s="34">
        <f t="shared" si="167"/>
        <v>17169.08657</v>
      </c>
      <c r="BF82" s="136">
        <f t="shared" si="167"/>
        <v>22759.02173</v>
      </c>
      <c r="BG82" s="136">
        <f t="shared" si="167"/>
        <v>15529.93265</v>
      </c>
      <c r="BH82" s="136">
        <f t="shared" si="167"/>
        <v>20804.6459</v>
      </c>
      <c r="BI82" s="136">
        <f t="shared" si="167"/>
        <v>10610.36941</v>
      </c>
      <c r="BJ82" s="136">
        <f t="shared" si="167"/>
        <v>12209.59522</v>
      </c>
      <c r="BK82" s="136">
        <f t="shared" si="167"/>
        <v>9330.568466</v>
      </c>
      <c r="BL82">
        <f t="shared" si="168"/>
        <v>217480</v>
      </c>
    </row>
    <row r="83">
      <c r="O83" s="1" t="s">
        <v>5604</v>
      </c>
      <c r="V83" s="1"/>
      <c r="X83" s="1"/>
      <c r="AA83" s="18">
        <f>AA82+U82</f>
        <v>187218.591</v>
      </c>
      <c r="BE83" s="133">
        <f>BE82+AY82</f>
        <v>28601.13442</v>
      </c>
    </row>
    <row r="84">
      <c r="B84" s="1" t="s">
        <v>5605</v>
      </c>
      <c r="D84" s="1">
        <v>1600000.0</v>
      </c>
      <c r="E84" s="1">
        <v>2300000.0</v>
      </c>
      <c r="F84" s="1">
        <v>1600000.0</v>
      </c>
      <c r="G84" s="1">
        <v>1800000.0</v>
      </c>
      <c r="H84" s="1">
        <v>1900000.0</v>
      </c>
      <c r="I84" s="1">
        <v>3500000.0</v>
      </c>
      <c r="J84" s="1">
        <v>2200000.0</v>
      </c>
      <c r="K84" s="1">
        <v>2380000.0</v>
      </c>
      <c r="L84" s="1">
        <v>1750000.0</v>
      </c>
      <c r="M84" s="1">
        <v>1730000.0</v>
      </c>
      <c r="N84" s="1">
        <v>1300000.0</v>
      </c>
      <c r="O84">
        <f>1200000*11/30</f>
        <v>440000</v>
      </c>
      <c r="P84">
        <f t="shared" ref="P84:P92" si="170">SUM(D84:O84)</f>
        <v>22500000</v>
      </c>
      <c r="U84" s="1" t="s">
        <v>5606</v>
      </c>
      <c r="V84" s="1" t="s">
        <v>5591</v>
      </c>
      <c r="W84">
        <f>W74*14/31</f>
        <v>126881.9677</v>
      </c>
      <c r="X84" s="1" t="s">
        <v>5607</v>
      </c>
      <c r="Y84" s="18">
        <f>W84+W82</f>
        <v>236956.4972</v>
      </c>
      <c r="AY84" s="31">
        <v>54.4</v>
      </c>
      <c r="AZ84" s="31">
        <v>195.0</v>
      </c>
      <c r="BA84" s="30">
        <v>81.2</v>
      </c>
      <c r="BB84" s="31">
        <v>81.2</v>
      </c>
      <c r="BC84" s="31"/>
      <c r="BD84" s="31"/>
      <c r="BE84" s="30">
        <v>81.7</v>
      </c>
      <c r="BF84" s="31">
        <v>108.3</v>
      </c>
      <c r="BG84" s="31">
        <v>73.9</v>
      </c>
      <c r="BH84" s="31">
        <v>99.0</v>
      </c>
      <c r="BI84" s="31">
        <v>50.49</v>
      </c>
      <c r="BJ84" s="31">
        <v>58.1</v>
      </c>
      <c r="BK84" s="31">
        <v>44.4</v>
      </c>
      <c r="BL84" s="30"/>
      <c r="BM84" s="31">
        <f>SUM(AY84:BK84)</f>
        <v>927.69</v>
      </c>
    </row>
    <row r="85">
      <c r="B85" s="1" t="s">
        <v>5499</v>
      </c>
      <c r="D85" s="1">
        <f t="shared" ref="D85:O85" si="169">D84*0.1</f>
        <v>160000</v>
      </c>
      <c r="E85" s="1">
        <f t="shared" si="169"/>
        <v>230000</v>
      </c>
      <c r="F85" s="1">
        <f t="shared" si="169"/>
        <v>160000</v>
      </c>
      <c r="G85" s="1">
        <f t="shared" si="169"/>
        <v>180000</v>
      </c>
      <c r="H85" s="1">
        <f t="shared" si="169"/>
        <v>190000</v>
      </c>
      <c r="I85" s="1">
        <f t="shared" si="169"/>
        <v>350000</v>
      </c>
      <c r="J85" s="1">
        <f t="shared" si="169"/>
        <v>220000</v>
      </c>
      <c r="K85" s="1">
        <f t="shared" si="169"/>
        <v>238000</v>
      </c>
      <c r="L85" s="1">
        <f t="shared" si="169"/>
        <v>175000</v>
      </c>
      <c r="M85" s="1">
        <f t="shared" si="169"/>
        <v>173000</v>
      </c>
      <c r="N85" s="1">
        <f t="shared" si="169"/>
        <v>130000</v>
      </c>
      <c r="O85" s="1">
        <f t="shared" si="169"/>
        <v>44000</v>
      </c>
      <c r="P85">
        <f t="shared" si="170"/>
        <v>2250000</v>
      </c>
      <c r="AY85" s="1" t="s">
        <v>5321</v>
      </c>
      <c r="AZ85" s="1" t="s">
        <v>5584</v>
      </c>
      <c r="BA85" s="1" t="s">
        <v>5585</v>
      </c>
      <c r="BB85" s="1" t="s">
        <v>5478</v>
      </c>
      <c r="BE85" s="1" t="s">
        <v>5497</v>
      </c>
      <c r="BF85" s="1" t="s">
        <v>5587</v>
      </c>
      <c r="BG85" s="1" t="s">
        <v>5483</v>
      </c>
      <c r="BH85" s="1" t="s">
        <v>5588</v>
      </c>
      <c r="BI85" s="1" t="s">
        <v>5589</v>
      </c>
      <c r="BJ85" s="1" t="s">
        <v>5590</v>
      </c>
      <c r="BK85" s="1" t="s">
        <v>5487</v>
      </c>
    </row>
    <row r="86">
      <c r="B86" s="1" t="s">
        <v>5520</v>
      </c>
      <c r="D86">
        <f t="shared" ref="D86:O86" si="171">D84+D85</f>
        <v>1760000</v>
      </c>
      <c r="E86">
        <f t="shared" si="171"/>
        <v>2530000</v>
      </c>
      <c r="F86">
        <f t="shared" si="171"/>
        <v>1760000</v>
      </c>
      <c r="G86">
        <f t="shared" si="171"/>
        <v>1980000</v>
      </c>
      <c r="H86">
        <f t="shared" si="171"/>
        <v>2090000</v>
      </c>
      <c r="I86">
        <f t="shared" si="171"/>
        <v>3850000</v>
      </c>
      <c r="J86">
        <f t="shared" si="171"/>
        <v>2420000</v>
      </c>
      <c r="K86">
        <f t="shared" si="171"/>
        <v>2618000</v>
      </c>
      <c r="L86">
        <f t="shared" si="171"/>
        <v>1925000</v>
      </c>
      <c r="M86">
        <f t="shared" si="171"/>
        <v>1903000</v>
      </c>
      <c r="N86">
        <f t="shared" si="171"/>
        <v>1430000</v>
      </c>
      <c r="O86">
        <f t="shared" si="171"/>
        <v>484000</v>
      </c>
      <c r="P86">
        <f t="shared" si="170"/>
        <v>24750000</v>
      </c>
      <c r="T86" s="1" t="s">
        <v>5608</v>
      </c>
      <c r="U86" s="1">
        <v>9811.0</v>
      </c>
      <c r="W86" s="1">
        <v>11862.0</v>
      </c>
      <c r="Y86" s="1">
        <v>50225.0</v>
      </c>
      <c r="AA86" s="1">
        <v>40052.0</v>
      </c>
      <c r="AC86" s="1">
        <v>52909.0</v>
      </c>
      <c r="AE86" s="1">
        <v>78436.0</v>
      </c>
      <c r="AH86" s="1">
        <v>3477.0</v>
      </c>
    </row>
    <row r="87">
      <c r="B87" s="1" t="s">
        <v>5545</v>
      </c>
      <c r="C87" s="18"/>
      <c r="D87" s="142">
        <v>113759.0325417766</v>
      </c>
      <c r="E87" s="18">
        <v>236956.49720211068</v>
      </c>
      <c r="F87" s="142">
        <v>60333.73790677221</v>
      </c>
      <c r="G87" s="18">
        <v>72845.47464086777</v>
      </c>
      <c r="H87" s="18">
        <v>86969.40310759308</v>
      </c>
      <c r="I87" s="18">
        <v>187218.59102902375</v>
      </c>
      <c r="J87" s="18">
        <v>101553.8944591029</v>
      </c>
      <c r="K87" s="18">
        <v>86984.58649939917</v>
      </c>
      <c r="L87" s="18">
        <v>115355.59761083242</v>
      </c>
      <c r="M87" s="18">
        <v>47821.557900908825</v>
      </c>
      <c r="N87" s="18">
        <v>64401.82175315157</v>
      </c>
      <c r="P87">
        <f t="shared" si="170"/>
        <v>1174200.195</v>
      </c>
      <c r="U87" s="1">
        <v>4470.0</v>
      </c>
      <c r="V87" s="1">
        <v>12882.0</v>
      </c>
      <c r="W87" s="1">
        <v>38610.0</v>
      </c>
      <c r="Y87" s="1">
        <v>13105.0</v>
      </c>
      <c r="AA87" s="1">
        <v>4692.0</v>
      </c>
      <c r="AE87" s="1">
        <v>84004.0</v>
      </c>
      <c r="AG87" s="1">
        <v>5082.0</v>
      </c>
      <c r="AV87" s="1">
        <v>165510.0</v>
      </c>
      <c r="AX87" s="3" t="s">
        <v>5510</v>
      </c>
      <c r="AY87">
        <f t="shared" ref="AY87:BK87" si="172">AY84/927.69</f>
        <v>0.05864027854</v>
      </c>
      <c r="AZ87">
        <f t="shared" si="172"/>
        <v>0.2101995279</v>
      </c>
      <c r="BA87">
        <f t="shared" si="172"/>
        <v>0.08752923929</v>
      </c>
      <c r="BB87">
        <f t="shared" si="172"/>
        <v>0.08752923929</v>
      </c>
      <c r="BC87">
        <f t="shared" si="172"/>
        <v>0</v>
      </c>
      <c r="BD87">
        <f t="shared" si="172"/>
        <v>0</v>
      </c>
      <c r="BE87">
        <f t="shared" si="172"/>
        <v>0.08806821244</v>
      </c>
      <c r="BF87">
        <f t="shared" si="172"/>
        <v>0.1167415839</v>
      </c>
      <c r="BG87">
        <f t="shared" si="172"/>
        <v>0.07966023133</v>
      </c>
      <c r="BH87">
        <f t="shared" si="172"/>
        <v>0.1067166834</v>
      </c>
      <c r="BI87">
        <f t="shared" si="172"/>
        <v>0.05442550852</v>
      </c>
      <c r="BJ87">
        <f t="shared" si="172"/>
        <v>0.06262867984</v>
      </c>
      <c r="BK87">
        <f t="shared" si="172"/>
        <v>0.04786081557</v>
      </c>
      <c r="BL87">
        <f t="shared" ref="BL87:BL88" si="175">SUM(AY87:BK87)</f>
        <v>1</v>
      </c>
    </row>
    <row r="88">
      <c r="D88">
        <f t="shared" ref="D88:N88" si="173">D87-D89</f>
        <v>103417.3023</v>
      </c>
      <c r="E88">
        <f t="shared" si="173"/>
        <v>215414.9975</v>
      </c>
      <c r="F88">
        <f t="shared" si="173"/>
        <v>54848.85264</v>
      </c>
      <c r="G88">
        <f t="shared" si="173"/>
        <v>66223.15876</v>
      </c>
      <c r="H88">
        <f t="shared" si="173"/>
        <v>79063.09373</v>
      </c>
      <c r="I88">
        <f t="shared" si="173"/>
        <v>170198.7191</v>
      </c>
      <c r="J88">
        <f t="shared" si="173"/>
        <v>92321.72224</v>
      </c>
      <c r="K88">
        <f t="shared" si="173"/>
        <v>79076.89682</v>
      </c>
      <c r="L88">
        <f t="shared" si="173"/>
        <v>104868.7251</v>
      </c>
      <c r="M88">
        <f t="shared" si="173"/>
        <v>43474.14355</v>
      </c>
      <c r="N88">
        <f t="shared" si="173"/>
        <v>58547.11068</v>
      </c>
      <c r="P88">
        <f t="shared" si="170"/>
        <v>1067454.722</v>
      </c>
      <c r="U88">
        <f t="shared" ref="U88:U89" si="177">U86-U77</f>
        <v>815</v>
      </c>
      <c r="W88">
        <f>W86-W77</f>
        <v>972</v>
      </c>
      <c r="Y88">
        <f t="shared" ref="Y88:Y89" si="179">Y86-Y77</f>
        <v>426</v>
      </c>
      <c r="AA88">
        <f t="shared" ref="AA88:AA89" si="180">AA86-AA77</f>
        <v>1137</v>
      </c>
      <c r="AC88">
        <f>AC86-AC77</f>
        <v>688</v>
      </c>
      <c r="AE88">
        <f t="shared" ref="AE88:AE89" si="181">AE86-AE77</f>
        <v>706</v>
      </c>
      <c r="AH88">
        <f>AH86-AH77</f>
        <v>154</v>
      </c>
      <c r="AX88" s="135">
        <v>43842.0</v>
      </c>
      <c r="AY88">
        <f t="shared" ref="AY88:BK88" si="174">165510*AY87</f>
        <v>9705.552501</v>
      </c>
      <c r="AZ88" s="136">
        <f t="shared" si="174"/>
        <v>34790.12386</v>
      </c>
      <c r="BA88" s="136">
        <f t="shared" si="174"/>
        <v>14486.9644</v>
      </c>
      <c r="BB88" s="136">
        <f t="shared" si="174"/>
        <v>14486.9644</v>
      </c>
      <c r="BC88">
        <f t="shared" si="174"/>
        <v>0</v>
      </c>
      <c r="BD88">
        <f t="shared" si="174"/>
        <v>0</v>
      </c>
      <c r="BE88">
        <f t="shared" si="174"/>
        <v>14576.16984</v>
      </c>
      <c r="BF88" s="136">
        <f t="shared" si="174"/>
        <v>19321.89956</v>
      </c>
      <c r="BG88" s="136">
        <f t="shared" si="174"/>
        <v>13184.56489</v>
      </c>
      <c r="BH88" s="136">
        <f t="shared" si="174"/>
        <v>17662.67827</v>
      </c>
      <c r="BI88" s="136">
        <f t="shared" si="174"/>
        <v>9007.965915</v>
      </c>
      <c r="BJ88" s="136">
        <f t="shared" si="174"/>
        <v>10365.6728</v>
      </c>
      <c r="BK88" s="136">
        <f t="shared" si="174"/>
        <v>7921.443586</v>
      </c>
      <c r="BL88">
        <f t="shared" si="175"/>
        <v>165510</v>
      </c>
    </row>
    <row r="89">
      <c r="B89" s="1" t="s">
        <v>5499</v>
      </c>
      <c r="D89">
        <f t="shared" ref="D89:N89" si="176">D87/11</f>
        <v>10341.73023</v>
      </c>
      <c r="E89">
        <f t="shared" si="176"/>
        <v>21541.49975</v>
      </c>
      <c r="F89">
        <f t="shared" si="176"/>
        <v>5484.885264</v>
      </c>
      <c r="G89">
        <f t="shared" si="176"/>
        <v>6622.315876</v>
      </c>
      <c r="H89">
        <f t="shared" si="176"/>
        <v>7906.309373</v>
      </c>
      <c r="I89">
        <f t="shared" si="176"/>
        <v>17019.87191</v>
      </c>
      <c r="J89">
        <f t="shared" si="176"/>
        <v>9232.172224</v>
      </c>
      <c r="K89">
        <f t="shared" si="176"/>
        <v>7907.689682</v>
      </c>
      <c r="L89">
        <f t="shared" si="176"/>
        <v>10486.87251</v>
      </c>
      <c r="M89">
        <f t="shared" si="176"/>
        <v>4347.414355</v>
      </c>
      <c r="N89">
        <f t="shared" si="176"/>
        <v>5854.711068</v>
      </c>
      <c r="P89">
        <f t="shared" si="170"/>
        <v>106745.4722</v>
      </c>
      <c r="S89" s="137" t="s">
        <v>5534</v>
      </c>
      <c r="T89" s="100"/>
      <c r="U89" s="100">
        <f t="shared" si="177"/>
        <v>127</v>
      </c>
      <c r="V89" s="100">
        <f t="shared" ref="V89:W89" si="178">V87-V78</f>
        <v>583</v>
      </c>
      <c r="W89" s="100">
        <f t="shared" si="178"/>
        <v>1359</v>
      </c>
      <c r="X89" s="100">
        <v>972.0</v>
      </c>
      <c r="Y89" s="100">
        <f t="shared" si="179"/>
        <v>153</v>
      </c>
      <c r="Z89" s="100">
        <f>Y88-Y89</f>
        <v>273</v>
      </c>
      <c r="AA89" s="100">
        <f t="shared" si="180"/>
        <v>660</v>
      </c>
      <c r="AB89" s="100">
        <f>AA88-AA89</f>
        <v>477</v>
      </c>
      <c r="AC89" s="100">
        <f>AC88*73.9/(73.9+99)</f>
        <v>294.0613071</v>
      </c>
      <c r="AD89" s="100">
        <f>AC88*99/(73.9+99)</f>
        <v>393.9386929</v>
      </c>
      <c r="AE89" s="100">
        <f t="shared" si="181"/>
        <v>222</v>
      </c>
      <c r="AF89" s="100">
        <f>AE88-AE89-AG89</f>
        <v>391</v>
      </c>
      <c r="AG89" s="100">
        <f>AG87-AG78</f>
        <v>93</v>
      </c>
      <c r="AH89" s="100">
        <v>154.0</v>
      </c>
      <c r="AI89" s="18">
        <f>SUM(U89:AH89)</f>
        <v>6152</v>
      </c>
      <c r="AL89" s="1">
        <v>6858.0</v>
      </c>
      <c r="BE89" s="133">
        <f>BE88+AY88</f>
        <v>24281.72234</v>
      </c>
    </row>
    <row r="90">
      <c r="B90" s="23" t="s">
        <v>5528</v>
      </c>
      <c r="D90" s="18">
        <f t="shared" ref="D90:H90" si="182">SUM(D86,D87)</f>
        <v>1873759.033</v>
      </c>
      <c r="E90" s="18">
        <f t="shared" si="182"/>
        <v>2766956.497</v>
      </c>
      <c r="F90" s="18">
        <f t="shared" si="182"/>
        <v>1820333.738</v>
      </c>
      <c r="G90" s="18">
        <f t="shared" si="182"/>
        <v>2052845.475</v>
      </c>
      <c r="H90" s="18">
        <f t="shared" si="182"/>
        <v>2176969.403</v>
      </c>
      <c r="I90" s="18">
        <f>SUM(I86,I87,C87)</f>
        <v>4037218.591</v>
      </c>
      <c r="J90" s="18">
        <f t="shared" ref="J90:O90" si="183">SUM(J86,J87)</f>
        <v>2521553.894</v>
      </c>
      <c r="K90" s="18">
        <f t="shared" si="183"/>
        <v>2704984.586</v>
      </c>
      <c r="L90" s="18">
        <f t="shared" si="183"/>
        <v>2040355.598</v>
      </c>
      <c r="M90" s="18">
        <f t="shared" si="183"/>
        <v>1950821.558</v>
      </c>
      <c r="N90" s="18">
        <f t="shared" si="183"/>
        <v>1494401.822</v>
      </c>
      <c r="O90" s="18">
        <f t="shared" si="183"/>
        <v>484000</v>
      </c>
      <c r="P90">
        <f t="shared" si="170"/>
        <v>25924200.19</v>
      </c>
      <c r="U90">
        <f t="shared" ref="U90:AH90" si="184">U89*940790/6152</f>
        <v>19421.38004</v>
      </c>
      <c r="V90">
        <f t="shared" si="184"/>
        <v>89154.83908</v>
      </c>
      <c r="W90">
        <f t="shared" si="184"/>
        <v>207824.0588</v>
      </c>
      <c r="X90">
        <f t="shared" si="184"/>
        <v>148642.3732</v>
      </c>
      <c r="Y90">
        <f t="shared" si="184"/>
        <v>23397.4106</v>
      </c>
      <c r="Z90">
        <f t="shared" si="184"/>
        <v>41748.32087</v>
      </c>
      <c r="AA90">
        <f t="shared" si="184"/>
        <v>100930.0065</v>
      </c>
      <c r="AB90">
        <f t="shared" si="184"/>
        <v>72944.86834</v>
      </c>
      <c r="AC90">
        <f t="shared" si="184"/>
        <v>44969.10551</v>
      </c>
      <c r="AD90">
        <f t="shared" si="184"/>
        <v>60242.78005</v>
      </c>
      <c r="AE90">
        <f t="shared" si="184"/>
        <v>33949.18401</v>
      </c>
      <c r="AF90">
        <f t="shared" si="184"/>
        <v>59793.38264</v>
      </c>
      <c r="AG90">
        <f t="shared" si="184"/>
        <v>14221.95546</v>
      </c>
      <c r="AH90">
        <f t="shared" si="184"/>
        <v>23550.33485</v>
      </c>
      <c r="AJ90" s="141">
        <v>940790.0</v>
      </c>
      <c r="AL90" s="1">
        <v>414387.0</v>
      </c>
    </row>
    <row r="91">
      <c r="B91" s="1" t="s">
        <v>5580</v>
      </c>
      <c r="D91">
        <f t="shared" ref="D91:O91" si="185">D84+D88</f>
        <v>1703417.302</v>
      </c>
      <c r="E91">
        <f t="shared" si="185"/>
        <v>2515414.997</v>
      </c>
      <c r="F91">
        <f t="shared" si="185"/>
        <v>1654848.853</v>
      </c>
      <c r="G91">
        <f t="shared" si="185"/>
        <v>1866223.159</v>
      </c>
      <c r="H91">
        <f t="shared" si="185"/>
        <v>1979063.094</v>
      </c>
      <c r="I91">
        <f t="shared" si="185"/>
        <v>3670198.719</v>
      </c>
      <c r="J91">
        <f t="shared" si="185"/>
        <v>2292321.722</v>
      </c>
      <c r="K91">
        <f t="shared" si="185"/>
        <v>2459076.897</v>
      </c>
      <c r="L91">
        <f t="shared" si="185"/>
        <v>1854868.725</v>
      </c>
      <c r="M91">
        <f t="shared" si="185"/>
        <v>1773474.144</v>
      </c>
      <c r="N91">
        <f t="shared" si="185"/>
        <v>1358547.111</v>
      </c>
      <c r="O91">
        <f t="shared" si="185"/>
        <v>440000</v>
      </c>
      <c r="P91">
        <f t="shared" si="170"/>
        <v>23567454.72</v>
      </c>
      <c r="U91" s="18">
        <v>19421.380039011703</v>
      </c>
      <c r="V91" s="18">
        <v>89154.83907672302</v>
      </c>
      <c r="W91" s="18">
        <v>207824.0588426528</v>
      </c>
      <c r="X91" s="18">
        <v>148642.3732119636</v>
      </c>
      <c r="Y91" s="18">
        <f t="shared" ref="Y91:AG91" si="186">Y90+2617</f>
        <v>26014.4106</v>
      </c>
      <c r="Z91" s="18">
        <f t="shared" si="186"/>
        <v>44365.32087</v>
      </c>
      <c r="AA91" s="18">
        <f t="shared" si="186"/>
        <v>103547.0065</v>
      </c>
      <c r="AB91" s="18">
        <f t="shared" si="186"/>
        <v>75561.86834</v>
      </c>
      <c r="AC91" s="18">
        <f t="shared" si="186"/>
        <v>47586.10551</v>
      </c>
      <c r="AD91" s="18">
        <f t="shared" si="186"/>
        <v>62859.78005</v>
      </c>
      <c r="AE91" s="18">
        <f t="shared" si="186"/>
        <v>36566.18401</v>
      </c>
      <c r="AF91" s="18">
        <f t="shared" si="186"/>
        <v>62410.38264</v>
      </c>
      <c r="AG91" s="18">
        <f t="shared" si="186"/>
        <v>16838.95546</v>
      </c>
      <c r="AH91">
        <f>AH90/9</f>
        <v>2616.703872</v>
      </c>
      <c r="AI91" s="18">
        <f>SUM(U91:AG91)</f>
        <v>940792.6651</v>
      </c>
      <c r="AV91" s="1">
        <v>118730.0</v>
      </c>
      <c r="AX91" s="3" t="s">
        <v>5510</v>
      </c>
      <c r="AY91">
        <f t="shared" ref="AY91:BE91" si="187">AY231/1001.09</f>
        <v>0.05434076856</v>
      </c>
      <c r="AZ91">
        <f t="shared" si="187"/>
        <v>0.1947876814</v>
      </c>
      <c r="BA91">
        <f t="shared" si="187"/>
        <v>0.08111158837</v>
      </c>
      <c r="BB91">
        <f t="shared" si="187"/>
        <v>0.08111158837</v>
      </c>
      <c r="BC91">
        <f t="shared" si="187"/>
        <v>0.07441888342</v>
      </c>
      <c r="BD91">
        <f t="shared" si="187"/>
        <v>0.1070832792</v>
      </c>
      <c r="BE91">
        <f t="shared" si="187"/>
        <v>0.08161104396</v>
      </c>
      <c r="BF91" s="1">
        <v>0.0</v>
      </c>
      <c r="BG91">
        <f t="shared" ref="BG91:BK91" si="188">BG231/1001.09</f>
        <v>0.0738195367</v>
      </c>
      <c r="BH91">
        <f t="shared" si="188"/>
        <v>0.09889220749</v>
      </c>
      <c r="BI91">
        <f t="shared" si="188"/>
        <v>0.05043502582</v>
      </c>
      <c r="BJ91">
        <f t="shared" si="188"/>
        <v>0.05803673995</v>
      </c>
      <c r="BK91">
        <f t="shared" si="188"/>
        <v>0.04435165669</v>
      </c>
      <c r="BL91">
        <f t="shared" ref="BL91:BL92" si="191">SUM(AY91:BK91)</f>
        <v>1</v>
      </c>
      <c r="BM91">
        <f>BM231-BF231</f>
        <v>1001.09</v>
      </c>
    </row>
    <row r="92">
      <c r="B92" s="1" t="s">
        <v>5582</v>
      </c>
      <c r="D92">
        <f t="shared" ref="D92:O92" si="189">D85+D89</f>
        <v>170341.7302</v>
      </c>
      <c r="E92">
        <f t="shared" si="189"/>
        <v>251541.4997</v>
      </c>
      <c r="F92">
        <f t="shared" si="189"/>
        <v>165484.8853</v>
      </c>
      <c r="G92">
        <f t="shared" si="189"/>
        <v>186622.3159</v>
      </c>
      <c r="H92">
        <f t="shared" si="189"/>
        <v>197906.3094</v>
      </c>
      <c r="I92">
        <f t="shared" si="189"/>
        <v>367019.8719</v>
      </c>
      <c r="J92">
        <f t="shared" si="189"/>
        <v>229232.1722</v>
      </c>
      <c r="K92">
        <f t="shared" si="189"/>
        <v>245907.6897</v>
      </c>
      <c r="L92">
        <f t="shared" si="189"/>
        <v>185486.8725</v>
      </c>
      <c r="M92">
        <f t="shared" si="189"/>
        <v>177347.4144</v>
      </c>
      <c r="N92">
        <f t="shared" si="189"/>
        <v>135854.7111</v>
      </c>
      <c r="O92">
        <f t="shared" si="189"/>
        <v>44000</v>
      </c>
      <c r="P92">
        <f t="shared" si="170"/>
        <v>2356745.472</v>
      </c>
      <c r="W92" s="2" t="s">
        <v>5526</v>
      </c>
      <c r="X92" s="2" t="s">
        <v>5527</v>
      </c>
      <c r="Y92" s="71">
        <f>(Y82+Y91)*(22/30)/2</f>
        <v>36248.62459</v>
      </c>
      <c r="AA92" s="18">
        <f>AA91+U91</f>
        <v>122968.3865</v>
      </c>
      <c r="AX92" s="1" t="s">
        <v>5609</v>
      </c>
      <c r="AY92">
        <f t="shared" ref="AY92:BK92" si="190">118730*AY91</f>
        <v>6451.879451</v>
      </c>
      <c r="AZ92" s="55">
        <f t="shared" si="190"/>
        <v>23127.14142</v>
      </c>
      <c r="BA92" s="55">
        <f t="shared" si="190"/>
        <v>9630.378887</v>
      </c>
      <c r="BB92" s="55">
        <f t="shared" si="190"/>
        <v>9630.378887</v>
      </c>
      <c r="BC92" s="55">
        <f t="shared" si="190"/>
        <v>8835.754028</v>
      </c>
      <c r="BD92" s="55">
        <f t="shared" si="190"/>
        <v>12713.99774</v>
      </c>
      <c r="BE92">
        <f t="shared" si="190"/>
        <v>9689.67925</v>
      </c>
      <c r="BF92">
        <f t="shared" si="190"/>
        <v>0</v>
      </c>
      <c r="BG92" s="55">
        <f t="shared" si="190"/>
        <v>8764.593593</v>
      </c>
      <c r="BH92" s="55">
        <f t="shared" si="190"/>
        <v>11741.4718</v>
      </c>
      <c r="BI92" s="55">
        <f t="shared" si="190"/>
        <v>5988.150616</v>
      </c>
      <c r="BJ92" s="55">
        <f t="shared" si="190"/>
        <v>6890.702135</v>
      </c>
      <c r="BK92" s="55">
        <f t="shared" si="190"/>
        <v>5265.872199</v>
      </c>
      <c r="BL92">
        <f t="shared" si="191"/>
        <v>118730</v>
      </c>
    </row>
    <row r="93">
      <c r="D93" s="1" t="s">
        <v>5566</v>
      </c>
      <c r="E93" s="1" t="s">
        <v>5566</v>
      </c>
      <c r="F93" s="1" t="s">
        <v>5566</v>
      </c>
      <c r="G93" s="1" t="s">
        <v>5583</v>
      </c>
      <c r="H93" s="1" t="s">
        <v>5566</v>
      </c>
      <c r="I93" s="1" t="s">
        <v>5566</v>
      </c>
      <c r="J93" s="1" t="s">
        <v>5566</v>
      </c>
      <c r="K93" s="1" t="s">
        <v>5566</v>
      </c>
      <c r="L93" s="1" t="s">
        <v>5566</v>
      </c>
      <c r="M93" s="1" t="s">
        <v>5566</v>
      </c>
      <c r="N93" s="1" t="s">
        <v>5566</v>
      </c>
      <c r="O93" s="1" t="s">
        <v>5566</v>
      </c>
      <c r="BE93" s="133">
        <f>BE92+AY92</f>
        <v>16141.5587</v>
      </c>
    </row>
    <row r="94">
      <c r="T94" s="1" t="s">
        <v>5610</v>
      </c>
      <c r="U94" s="1">
        <v>10671.0</v>
      </c>
      <c r="W94" s="1">
        <v>12891.0</v>
      </c>
      <c r="Y94" s="1">
        <v>50570.0</v>
      </c>
      <c r="AA94" s="1">
        <v>41382.0</v>
      </c>
      <c r="AC94" s="1">
        <v>53565.0</v>
      </c>
      <c r="AE94" s="1">
        <v>79645.0</v>
      </c>
      <c r="AH94" s="1">
        <v>3645.0</v>
      </c>
    </row>
    <row r="95">
      <c r="B95" s="1" t="s">
        <v>5611</v>
      </c>
      <c r="D95" s="1">
        <v>1600000.0</v>
      </c>
      <c r="E95" s="1">
        <v>2300000.0</v>
      </c>
      <c r="F95" s="1">
        <v>1600000.0</v>
      </c>
      <c r="G95" s="1">
        <v>1800000.0</v>
      </c>
      <c r="H95" s="1">
        <v>1900000.0</v>
      </c>
      <c r="I95" s="1">
        <v>3500000.0</v>
      </c>
      <c r="J95" s="1">
        <v>2200000.0</v>
      </c>
      <c r="K95" s="1">
        <v>2380000.0</v>
      </c>
      <c r="L95" s="1">
        <v>1750000.0</v>
      </c>
      <c r="M95" s="1">
        <v>1730000.0</v>
      </c>
      <c r="N95" s="1">
        <v>1300000.0</v>
      </c>
      <c r="O95" s="1">
        <v>1200000.0</v>
      </c>
      <c r="P95">
        <f t="shared" ref="P95:P101" si="193">SUM(D95:O95)</f>
        <v>23260000</v>
      </c>
      <c r="U95" s="1">
        <v>4617.0</v>
      </c>
      <c r="V95" s="1">
        <v>13496.0</v>
      </c>
      <c r="W95" s="1">
        <v>40374.0</v>
      </c>
      <c r="Y95" s="1">
        <v>13248.0</v>
      </c>
      <c r="AA95" s="1">
        <v>5299.0</v>
      </c>
      <c r="AE95" s="1">
        <v>84276.0</v>
      </c>
      <c r="AG95" s="1">
        <v>5299.0</v>
      </c>
      <c r="AV95" s="1">
        <v>212200.0</v>
      </c>
      <c r="AX95" s="3" t="s">
        <v>5510</v>
      </c>
      <c r="AY95">
        <v>0.054340768562267126</v>
      </c>
      <c r="AZ95">
        <v>0.19478768142724429</v>
      </c>
      <c r="BA95">
        <v>0.08111158836867814</v>
      </c>
      <c r="BB95">
        <v>0.08111158836867814</v>
      </c>
      <c r="BC95">
        <v>0.07441888341707538</v>
      </c>
      <c r="BD95">
        <v>0.10708327922564405</v>
      </c>
      <c r="BE95">
        <v>0.08161104396208133</v>
      </c>
      <c r="BF95" s="1">
        <v>0.0</v>
      </c>
      <c r="BG95">
        <v>0.07381953670499156</v>
      </c>
      <c r="BH95">
        <v>0.09889220749383172</v>
      </c>
      <c r="BI95">
        <v>0.050435025821854176</v>
      </c>
      <c r="BJ95">
        <v>0.05803673995345074</v>
      </c>
      <c r="BK95">
        <v>0.044351656694203316</v>
      </c>
      <c r="BL95">
        <f t="shared" ref="BL95:BL96" si="195">SUM(AY95:BK95)</f>
        <v>1</v>
      </c>
    </row>
    <row r="96">
      <c r="B96" s="1" t="s">
        <v>5499</v>
      </c>
      <c r="D96" s="1">
        <f t="shared" ref="D96:O96" si="192">D95*0.1</f>
        <v>160000</v>
      </c>
      <c r="E96" s="1">
        <f t="shared" si="192"/>
        <v>230000</v>
      </c>
      <c r="F96" s="1">
        <f t="shared" si="192"/>
        <v>160000</v>
      </c>
      <c r="G96" s="1">
        <f t="shared" si="192"/>
        <v>180000</v>
      </c>
      <c r="H96" s="1">
        <f t="shared" si="192"/>
        <v>190000</v>
      </c>
      <c r="I96" s="1">
        <f t="shared" si="192"/>
        <v>350000</v>
      </c>
      <c r="J96" s="1">
        <f t="shared" si="192"/>
        <v>220000</v>
      </c>
      <c r="K96" s="1">
        <f t="shared" si="192"/>
        <v>238000</v>
      </c>
      <c r="L96" s="1">
        <f t="shared" si="192"/>
        <v>175000</v>
      </c>
      <c r="M96" s="1">
        <f t="shared" si="192"/>
        <v>173000</v>
      </c>
      <c r="N96" s="1">
        <f t="shared" si="192"/>
        <v>130000</v>
      </c>
      <c r="O96" s="1">
        <f t="shared" si="192"/>
        <v>120000</v>
      </c>
      <c r="P96">
        <f t="shared" si="193"/>
        <v>2326000</v>
      </c>
      <c r="U96">
        <f t="shared" ref="U96:U97" si="197">U94-U86</f>
        <v>860</v>
      </c>
      <c r="W96">
        <f>W94-W86</f>
        <v>1029</v>
      </c>
      <c r="Y96">
        <f t="shared" ref="Y96:Y97" si="199">Y94-Y86</f>
        <v>345</v>
      </c>
      <c r="AA96">
        <f t="shared" ref="AA96:AA97" si="200">AA94-AA86</f>
        <v>1330</v>
      </c>
      <c r="AC96">
        <f>AC94-AC86</f>
        <v>656</v>
      </c>
      <c r="AE96">
        <f t="shared" ref="AE96:AE97" si="201">AE94-AE86</f>
        <v>1209</v>
      </c>
      <c r="AH96">
        <f>AH94-AH86</f>
        <v>168</v>
      </c>
      <c r="AX96" s="1" t="s">
        <v>5612</v>
      </c>
      <c r="AY96">
        <f t="shared" ref="AY96:BK96" si="194">212200*AY95</f>
        <v>11531.11109</v>
      </c>
      <c r="AZ96" s="136">
        <f t="shared" si="194"/>
        <v>41333.946</v>
      </c>
      <c r="BA96" s="136">
        <f t="shared" si="194"/>
        <v>17211.87905</v>
      </c>
      <c r="BB96" s="136">
        <f t="shared" si="194"/>
        <v>17211.87905</v>
      </c>
      <c r="BC96" s="136">
        <f t="shared" si="194"/>
        <v>15791.68706</v>
      </c>
      <c r="BD96" s="136">
        <f t="shared" si="194"/>
        <v>22723.07185</v>
      </c>
      <c r="BE96">
        <f t="shared" si="194"/>
        <v>17317.86353</v>
      </c>
      <c r="BF96">
        <f t="shared" si="194"/>
        <v>0</v>
      </c>
      <c r="BG96" s="136">
        <f t="shared" si="194"/>
        <v>15664.50569</v>
      </c>
      <c r="BH96" s="136">
        <f t="shared" si="194"/>
        <v>20984.92643</v>
      </c>
      <c r="BI96" s="136">
        <f t="shared" si="194"/>
        <v>10702.31248</v>
      </c>
      <c r="BJ96" s="136">
        <f t="shared" si="194"/>
        <v>12315.39622</v>
      </c>
      <c r="BK96" s="136">
        <f t="shared" si="194"/>
        <v>9411.421551</v>
      </c>
      <c r="BL96">
        <f t="shared" si="195"/>
        <v>212200</v>
      </c>
    </row>
    <row r="97">
      <c r="B97" s="1" t="s">
        <v>5520</v>
      </c>
      <c r="D97">
        <f t="shared" ref="D97:O97" si="196">D95+D96</f>
        <v>1760000</v>
      </c>
      <c r="E97">
        <f t="shared" si="196"/>
        <v>2530000</v>
      </c>
      <c r="F97">
        <f t="shared" si="196"/>
        <v>1760000</v>
      </c>
      <c r="G97">
        <f t="shared" si="196"/>
        <v>1980000</v>
      </c>
      <c r="H97">
        <f t="shared" si="196"/>
        <v>2090000</v>
      </c>
      <c r="I97">
        <f t="shared" si="196"/>
        <v>3850000</v>
      </c>
      <c r="J97">
        <f t="shared" si="196"/>
        <v>2420000</v>
      </c>
      <c r="K97">
        <f t="shared" si="196"/>
        <v>2618000</v>
      </c>
      <c r="L97">
        <f t="shared" si="196"/>
        <v>1925000</v>
      </c>
      <c r="M97">
        <f t="shared" si="196"/>
        <v>1903000</v>
      </c>
      <c r="N97">
        <f t="shared" si="196"/>
        <v>1430000</v>
      </c>
      <c r="O97">
        <f t="shared" si="196"/>
        <v>1320000</v>
      </c>
      <c r="P97">
        <f t="shared" si="193"/>
        <v>25586000</v>
      </c>
      <c r="S97" s="137" t="s">
        <v>5534</v>
      </c>
      <c r="T97" s="100"/>
      <c r="U97" s="100">
        <f t="shared" si="197"/>
        <v>147</v>
      </c>
      <c r="V97" s="100">
        <f t="shared" ref="V97:W97" si="198">V95-V87</f>
        <v>614</v>
      </c>
      <c r="W97" s="100">
        <f t="shared" si="198"/>
        <v>1764</v>
      </c>
      <c r="X97" s="137">
        <v>1029.0</v>
      </c>
      <c r="Y97" s="100">
        <f t="shared" si="199"/>
        <v>143</v>
      </c>
      <c r="Z97" s="100">
        <f>Y96-Y97</f>
        <v>202</v>
      </c>
      <c r="AA97" s="100">
        <f t="shared" si="200"/>
        <v>607</v>
      </c>
      <c r="AB97" s="100">
        <f>AA96-AA97</f>
        <v>723</v>
      </c>
      <c r="AC97" s="100">
        <f>AC96*73.9/(73.9+99)</f>
        <v>280.384037</v>
      </c>
      <c r="AD97" s="100">
        <f>AC96*99/(73.9+99)</f>
        <v>375.615963</v>
      </c>
      <c r="AE97" s="100">
        <f t="shared" si="201"/>
        <v>272</v>
      </c>
      <c r="AF97" s="100">
        <f>AE96-AE97-AG97</f>
        <v>720</v>
      </c>
      <c r="AG97" s="100">
        <f>AG95-AG87</f>
        <v>217</v>
      </c>
      <c r="AH97" s="137">
        <v>168.0</v>
      </c>
      <c r="AI97" s="18">
        <f t="shared" ref="AI97:AI98" si="203">SUM(U97:AH97)</f>
        <v>7262</v>
      </c>
      <c r="AL97" s="1">
        <v>7423.0</v>
      </c>
      <c r="BE97" s="133">
        <f>BE96+AY96</f>
        <v>28848.97462</v>
      </c>
    </row>
    <row r="98">
      <c r="B98" s="1" t="s">
        <v>5545</v>
      </c>
      <c r="D98">
        <v>89154.83907672302</v>
      </c>
      <c r="E98">
        <v>207824.0588426528</v>
      </c>
      <c r="F98">
        <v>148642.3732119636</v>
      </c>
      <c r="G98">
        <v>26014.410598179453</v>
      </c>
      <c r="H98">
        <v>44365.32087126138</v>
      </c>
      <c r="I98">
        <v>122968.3865409623</v>
      </c>
      <c r="J98">
        <v>75561.86833550065</v>
      </c>
      <c r="K98">
        <v>47586.10551360898</v>
      </c>
      <c r="L98">
        <v>62859.78005206073</v>
      </c>
      <c r="M98">
        <v>36566.18400520156</v>
      </c>
      <c r="N98">
        <v>62410.38263979194</v>
      </c>
      <c r="O98">
        <v>16838.955461638492</v>
      </c>
      <c r="P98">
        <f t="shared" si="193"/>
        <v>940792.6651</v>
      </c>
      <c r="U98">
        <f t="shared" ref="U98:AH98" si="202">U97*1103970/7262</f>
        <v>22346.95538</v>
      </c>
      <c r="V98">
        <f t="shared" si="202"/>
        <v>93340.34426</v>
      </c>
      <c r="W98">
        <f t="shared" si="202"/>
        <v>268163.4646</v>
      </c>
      <c r="X98">
        <f t="shared" si="202"/>
        <v>156428.6877</v>
      </c>
      <c r="Y98">
        <f t="shared" si="202"/>
        <v>21738.87497</v>
      </c>
      <c r="Z98">
        <f t="shared" si="202"/>
        <v>30708.06114</v>
      </c>
      <c r="AA98">
        <f t="shared" si="202"/>
        <v>92276.20353</v>
      </c>
      <c r="AB98">
        <f t="shared" si="202"/>
        <v>109910.5357</v>
      </c>
      <c r="AC98">
        <f t="shared" si="202"/>
        <v>42624.01065</v>
      </c>
      <c r="AD98">
        <f t="shared" si="202"/>
        <v>57101.178</v>
      </c>
      <c r="AE98">
        <f t="shared" si="202"/>
        <v>41349.46847</v>
      </c>
      <c r="AF98">
        <f t="shared" si="202"/>
        <v>109454.4754</v>
      </c>
      <c r="AG98">
        <f t="shared" si="202"/>
        <v>32988.36271</v>
      </c>
      <c r="AH98">
        <f t="shared" si="202"/>
        <v>25539.37758</v>
      </c>
      <c r="AI98" s="18">
        <f t="shared" si="203"/>
        <v>1103970</v>
      </c>
      <c r="AJ98" s="1">
        <v>1103970.0</v>
      </c>
      <c r="AL98" s="1">
        <v>421810.0</v>
      </c>
    </row>
    <row r="99">
      <c r="D99">
        <f t="shared" ref="D99:O99" si="204">D98-D100</f>
        <v>81049.85371</v>
      </c>
      <c r="E99">
        <f t="shared" si="204"/>
        <v>188930.9626</v>
      </c>
      <c r="F99">
        <f t="shared" si="204"/>
        <v>135129.4302</v>
      </c>
      <c r="G99">
        <f t="shared" si="204"/>
        <v>23649.46418</v>
      </c>
      <c r="H99">
        <f t="shared" si="204"/>
        <v>40332.10988</v>
      </c>
      <c r="I99">
        <f t="shared" si="204"/>
        <v>111789.4423</v>
      </c>
      <c r="J99">
        <f t="shared" si="204"/>
        <v>68692.60758</v>
      </c>
      <c r="K99">
        <f t="shared" si="204"/>
        <v>43260.09592</v>
      </c>
      <c r="L99">
        <f t="shared" si="204"/>
        <v>57145.25459</v>
      </c>
      <c r="M99">
        <f t="shared" si="204"/>
        <v>33241.98546</v>
      </c>
      <c r="N99">
        <f t="shared" si="204"/>
        <v>56736.71149</v>
      </c>
      <c r="O99">
        <f t="shared" si="204"/>
        <v>15308.14133</v>
      </c>
      <c r="P99">
        <f t="shared" si="193"/>
        <v>855266.0592</v>
      </c>
      <c r="U99" s="143">
        <v>22346.955384191682</v>
      </c>
      <c r="V99" s="143">
        <v>93340.34425778022</v>
      </c>
      <c r="W99" s="143">
        <v>268163.4646103002</v>
      </c>
      <c r="X99" s="143">
        <v>156428.68768934178</v>
      </c>
      <c r="Y99" s="143">
        <f t="shared" ref="Y99:AG99" si="205">Y98+2838</f>
        <v>24576.87497</v>
      </c>
      <c r="Z99" s="143">
        <f t="shared" si="205"/>
        <v>33546.06114</v>
      </c>
      <c r="AA99" s="143">
        <f t="shared" si="205"/>
        <v>95114.20353</v>
      </c>
      <c r="AB99" s="143">
        <f t="shared" si="205"/>
        <v>112748.5357</v>
      </c>
      <c r="AC99" s="143">
        <f t="shared" si="205"/>
        <v>45462.01065</v>
      </c>
      <c r="AD99" s="143">
        <f t="shared" si="205"/>
        <v>59939.178</v>
      </c>
      <c r="AE99" s="143">
        <f t="shared" si="205"/>
        <v>44187.46847</v>
      </c>
      <c r="AF99" s="143">
        <f t="shared" si="205"/>
        <v>112292.4754</v>
      </c>
      <c r="AG99" s="143">
        <f t="shared" si="205"/>
        <v>35826.36271</v>
      </c>
      <c r="AH99">
        <f>AH98/9</f>
        <v>2837.70862</v>
      </c>
      <c r="AI99" s="18">
        <f>SUM(U99:AG99)</f>
        <v>1103972.622</v>
      </c>
      <c r="AU99" s="1">
        <v>126.0</v>
      </c>
      <c r="AV99" s="1">
        <v>267640.0</v>
      </c>
      <c r="AX99" s="1" t="s">
        <v>5510</v>
      </c>
      <c r="AY99" s="30">
        <v>54.4</v>
      </c>
      <c r="AZ99" s="30">
        <v>195.0</v>
      </c>
      <c r="BA99" s="30">
        <v>81.2</v>
      </c>
      <c r="BB99" s="30">
        <v>81.2</v>
      </c>
      <c r="BC99" s="30">
        <v>74.5</v>
      </c>
      <c r="BD99" s="30">
        <v>107.2</v>
      </c>
      <c r="BE99" s="30">
        <v>81.7</v>
      </c>
      <c r="BF99" s="30">
        <v>108.3</v>
      </c>
      <c r="BG99" s="30">
        <v>73.9</v>
      </c>
      <c r="BH99" s="30">
        <v>99.0</v>
      </c>
      <c r="BI99" s="30">
        <v>50.49</v>
      </c>
      <c r="BJ99" s="30">
        <v>58.1</v>
      </c>
      <c r="BK99" s="30">
        <v>22.2</v>
      </c>
      <c r="BL99" s="31"/>
      <c r="BM99" s="31">
        <f>SUM(AY99:BL99)</f>
        <v>1087.19</v>
      </c>
    </row>
    <row r="100">
      <c r="B100" s="1" t="s">
        <v>5499</v>
      </c>
      <c r="D100">
        <f t="shared" ref="D100:O100" si="206">D98/11</f>
        <v>8104.985371</v>
      </c>
      <c r="E100">
        <f t="shared" si="206"/>
        <v>18893.09626</v>
      </c>
      <c r="F100">
        <f t="shared" si="206"/>
        <v>13512.94302</v>
      </c>
      <c r="G100">
        <f t="shared" si="206"/>
        <v>2364.946418</v>
      </c>
      <c r="H100">
        <f t="shared" si="206"/>
        <v>4033.210988</v>
      </c>
      <c r="I100">
        <f t="shared" si="206"/>
        <v>11178.94423</v>
      </c>
      <c r="J100">
        <f t="shared" si="206"/>
        <v>6869.260758</v>
      </c>
      <c r="K100">
        <f t="shared" si="206"/>
        <v>4326.009592</v>
      </c>
      <c r="L100">
        <f t="shared" si="206"/>
        <v>5714.525459</v>
      </c>
      <c r="M100">
        <f t="shared" si="206"/>
        <v>3324.198546</v>
      </c>
      <c r="N100">
        <f t="shared" si="206"/>
        <v>5673.671149</v>
      </c>
      <c r="O100">
        <f t="shared" si="206"/>
        <v>1530.814133</v>
      </c>
      <c r="P100">
        <f t="shared" si="193"/>
        <v>85526.60592</v>
      </c>
      <c r="AA100" s="18">
        <f>AA99+U99</f>
        <v>117461.1589</v>
      </c>
      <c r="AY100">
        <f t="shared" ref="AY100:BK100" si="207">AY99/1087.19</f>
        <v>0.050037252</v>
      </c>
      <c r="AZ100">
        <f t="shared" si="207"/>
        <v>0.1793614732</v>
      </c>
      <c r="BA100">
        <f t="shared" si="207"/>
        <v>0.07468795703</v>
      </c>
      <c r="BB100">
        <f t="shared" si="207"/>
        <v>0.07468795703</v>
      </c>
      <c r="BC100">
        <f t="shared" si="207"/>
        <v>0.06852528077</v>
      </c>
      <c r="BD100">
        <f t="shared" si="207"/>
        <v>0.09860282011</v>
      </c>
      <c r="BE100">
        <f t="shared" si="207"/>
        <v>0.07514785824</v>
      </c>
      <c r="BF100">
        <f t="shared" si="207"/>
        <v>0.09961460278</v>
      </c>
      <c r="BG100">
        <f t="shared" si="207"/>
        <v>0.06797339931</v>
      </c>
      <c r="BH100">
        <f t="shared" si="207"/>
        <v>0.09106044022</v>
      </c>
      <c r="BI100">
        <f t="shared" si="207"/>
        <v>0.04644082451</v>
      </c>
      <c r="BJ100">
        <f t="shared" si="207"/>
        <v>0.05344052098</v>
      </c>
      <c r="BK100">
        <f t="shared" si="207"/>
        <v>0.02041961387</v>
      </c>
      <c r="BL100">
        <f t="shared" ref="BL100:BL101" si="209">SUM(AY100:BK100)</f>
        <v>1</v>
      </c>
    </row>
    <row r="101">
      <c r="B101" s="1" t="s">
        <v>5613</v>
      </c>
      <c r="D101">
        <v>49982.89606868171</v>
      </c>
      <c r="E101">
        <v>41626.78113617389</v>
      </c>
      <c r="F101">
        <v>41626.78113617389</v>
      </c>
      <c r="G101">
        <v>19096.029523675832</v>
      </c>
      <c r="H101">
        <v>27477.77671057784</v>
      </c>
      <c r="I101">
        <v>55827.05007055833</v>
      </c>
      <c r="J101">
        <v>27759.731508913992</v>
      </c>
      <c r="K101">
        <v>18942.235997310658</v>
      </c>
      <c r="L101">
        <v>25375.93185025379</v>
      </c>
      <c r="M101">
        <v>12941.725243629433</v>
      </c>
      <c r="N101">
        <v>14892.339803027728</v>
      </c>
      <c r="O101">
        <v>11380.720951022911</v>
      </c>
      <c r="P101">
        <f t="shared" si="193"/>
        <v>346930</v>
      </c>
      <c r="AX101" s="1" t="s">
        <v>5614</v>
      </c>
      <c r="AY101">
        <f t="shared" ref="AY101:BK101" si="208">267640*AY100</f>
        <v>13391.97012</v>
      </c>
      <c r="AZ101" s="136">
        <f t="shared" si="208"/>
        <v>48004.30468</v>
      </c>
      <c r="BA101" s="136">
        <f t="shared" si="208"/>
        <v>19989.48482</v>
      </c>
      <c r="BB101" s="136">
        <f t="shared" si="208"/>
        <v>19989.48482</v>
      </c>
      <c r="BC101" s="136">
        <f t="shared" si="208"/>
        <v>18340.10615</v>
      </c>
      <c r="BD101" s="136">
        <f t="shared" si="208"/>
        <v>26390.05878</v>
      </c>
      <c r="BE101">
        <f t="shared" si="208"/>
        <v>20112.57278</v>
      </c>
      <c r="BF101" s="136">
        <f t="shared" si="208"/>
        <v>26660.85229</v>
      </c>
      <c r="BG101" s="136">
        <f t="shared" si="208"/>
        <v>18192.40059</v>
      </c>
      <c r="BH101" s="136">
        <f t="shared" si="208"/>
        <v>24371.41622</v>
      </c>
      <c r="BI101" s="136">
        <f t="shared" si="208"/>
        <v>12429.42227</v>
      </c>
      <c r="BJ101" s="136">
        <f t="shared" si="208"/>
        <v>14302.82103</v>
      </c>
      <c r="BK101" s="136">
        <f t="shared" si="208"/>
        <v>5465.105455</v>
      </c>
      <c r="BL101">
        <f t="shared" si="209"/>
        <v>267640</v>
      </c>
    </row>
    <row r="102">
      <c r="B102" s="23" t="s">
        <v>5598</v>
      </c>
      <c r="C102" s="18"/>
      <c r="D102" s="18">
        <f t="shared" ref="D102:P102" si="210">SUM(D97,D98,D101)</f>
        <v>1899137.735</v>
      </c>
      <c r="E102" s="18">
        <f t="shared" si="210"/>
        <v>2779450.84</v>
      </c>
      <c r="F102" s="18">
        <f t="shared" si="210"/>
        <v>1950269.154</v>
      </c>
      <c r="G102" s="18">
        <f t="shared" si="210"/>
        <v>2025110.44</v>
      </c>
      <c r="H102" s="18">
        <f t="shared" si="210"/>
        <v>2161843.098</v>
      </c>
      <c r="I102" s="18">
        <f t="shared" si="210"/>
        <v>4028795.437</v>
      </c>
      <c r="J102" s="18">
        <f t="shared" si="210"/>
        <v>2523321.6</v>
      </c>
      <c r="K102" s="18">
        <f t="shared" si="210"/>
        <v>2684528.342</v>
      </c>
      <c r="L102" s="18">
        <f t="shared" si="210"/>
        <v>2013235.712</v>
      </c>
      <c r="M102" s="18">
        <f t="shared" si="210"/>
        <v>1952507.909</v>
      </c>
      <c r="N102" s="18">
        <f t="shared" si="210"/>
        <v>1507302.722</v>
      </c>
      <c r="O102" s="18">
        <f t="shared" si="210"/>
        <v>1348219.676</v>
      </c>
      <c r="P102" s="18">
        <f t="shared" si="210"/>
        <v>26873722.67</v>
      </c>
      <c r="T102" s="1" t="s">
        <v>2038</v>
      </c>
      <c r="U102" s="1">
        <v>11413.0</v>
      </c>
      <c r="W102" s="1">
        <v>13838.0</v>
      </c>
      <c r="Y102" s="1">
        <v>50904.0</v>
      </c>
      <c r="AA102" s="1">
        <v>43153.0</v>
      </c>
      <c r="AC102" s="1">
        <v>54642.0</v>
      </c>
      <c r="AE102" s="1">
        <v>81345.0</v>
      </c>
      <c r="AH102" s="1">
        <v>3802.0</v>
      </c>
      <c r="BE102" s="133">
        <f>BE101+AY101</f>
        <v>33504.5429</v>
      </c>
    </row>
    <row r="103">
      <c r="B103" s="1" t="s">
        <v>5599</v>
      </c>
      <c r="D103">
        <f t="shared" ref="D103:O103" si="211">SUM(D95,D99,D101)</f>
        <v>1731032.75</v>
      </c>
      <c r="E103">
        <f t="shared" si="211"/>
        <v>2530557.744</v>
      </c>
      <c r="F103">
        <f t="shared" si="211"/>
        <v>1776756.211</v>
      </c>
      <c r="G103">
        <f t="shared" si="211"/>
        <v>1842745.494</v>
      </c>
      <c r="H103">
        <f t="shared" si="211"/>
        <v>1967809.887</v>
      </c>
      <c r="I103">
        <f t="shared" si="211"/>
        <v>3667616.492</v>
      </c>
      <c r="J103">
        <f t="shared" si="211"/>
        <v>2296452.339</v>
      </c>
      <c r="K103">
        <f t="shared" si="211"/>
        <v>2442202.332</v>
      </c>
      <c r="L103">
        <f t="shared" si="211"/>
        <v>1832521.186</v>
      </c>
      <c r="M103">
        <f t="shared" si="211"/>
        <v>1776183.711</v>
      </c>
      <c r="N103">
        <f t="shared" si="211"/>
        <v>1371629.051</v>
      </c>
      <c r="O103">
        <f t="shared" si="211"/>
        <v>1226688.862</v>
      </c>
      <c r="T103" s="1" t="s">
        <v>5615</v>
      </c>
      <c r="U103" s="1">
        <v>4761.0</v>
      </c>
      <c r="V103" s="1">
        <v>14009.0</v>
      </c>
      <c r="W103" s="1">
        <v>42378.0</v>
      </c>
      <c r="Y103" s="1">
        <v>13298.0</v>
      </c>
      <c r="AA103" s="1">
        <v>6118.0</v>
      </c>
      <c r="AE103" s="1">
        <v>84693.0</v>
      </c>
      <c r="AG103" s="1">
        <v>5619.0</v>
      </c>
    </row>
    <row r="104">
      <c r="B104" s="1" t="s">
        <v>5601</v>
      </c>
      <c r="D104">
        <f t="shared" ref="D104:O104" si="212">SUM(D95,D99)</f>
        <v>1681049.854</v>
      </c>
      <c r="E104">
        <f t="shared" si="212"/>
        <v>2488930.963</v>
      </c>
      <c r="F104">
        <f t="shared" si="212"/>
        <v>1735129.43</v>
      </c>
      <c r="G104">
        <f t="shared" si="212"/>
        <v>1823649.464</v>
      </c>
      <c r="H104">
        <f t="shared" si="212"/>
        <v>1940332.11</v>
      </c>
      <c r="I104">
        <f t="shared" si="212"/>
        <v>3611789.442</v>
      </c>
      <c r="J104">
        <f t="shared" si="212"/>
        <v>2268692.608</v>
      </c>
      <c r="K104">
        <f t="shared" si="212"/>
        <v>2423260.096</v>
      </c>
      <c r="L104">
        <f t="shared" si="212"/>
        <v>1807145.255</v>
      </c>
      <c r="M104">
        <f t="shared" si="212"/>
        <v>1763241.985</v>
      </c>
      <c r="N104">
        <f t="shared" si="212"/>
        <v>1356736.711</v>
      </c>
      <c r="O104">
        <f t="shared" si="212"/>
        <v>1215308.141</v>
      </c>
      <c r="U104">
        <f t="shared" ref="U104:U105" si="214">U102-U94</f>
        <v>742</v>
      </c>
      <c r="W104">
        <f>W102-W94</f>
        <v>947</v>
      </c>
      <c r="Y104">
        <f t="shared" ref="Y104:Y105" si="216">Y102-Y94</f>
        <v>334</v>
      </c>
      <c r="AA104">
        <f t="shared" ref="AA104:AA105" si="217">AA102-AA94</f>
        <v>1771</v>
      </c>
      <c r="AC104">
        <f>AC102-AC94</f>
        <v>1077</v>
      </c>
      <c r="AE104">
        <f t="shared" ref="AE104:AE105" si="218">AE102-AE94</f>
        <v>1700</v>
      </c>
      <c r="AH104">
        <f>AH102-AH94</f>
        <v>157</v>
      </c>
      <c r="AV104" s="1">
        <v>270280.0</v>
      </c>
      <c r="AX104" s="1" t="s">
        <v>5510</v>
      </c>
      <c r="AY104" s="30">
        <v>54.4</v>
      </c>
      <c r="AZ104" s="30">
        <v>195.0</v>
      </c>
      <c r="BA104" s="30">
        <v>81.2</v>
      </c>
      <c r="BB104" s="30">
        <v>81.2</v>
      </c>
      <c r="BC104" s="30">
        <v>74.5</v>
      </c>
      <c r="BD104" s="30">
        <v>107.2</v>
      </c>
      <c r="BE104" s="30">
        <v>81.7</v>
      </c>
      <c r="BF104" s="30">
        <v>108.3</v>
      </c>
      <c r="BG104" s="30">
        <v>73.9</v>
      </c>
      <c r="BH104" s="30">
        <v>99.0</v>
      </c>
      <c r="BI104" s="30">
        <v>50.49</v>
      </c>
      <c r="BJ104" s="30">
        <v>58.1</v>
      </c>
      <c r="BK104" s="30">
        <v>44.4</v>
      </c>
      <c r="BL104" s="31"/>
      <c r="BM104" s="31">
        <f>SUM(AY104:BL104)</f>
        <v>1109.39</v>
      </c>
    </row>
    <row r="105">
      <c r="B105" s="1" t="s">
        <v>5582</v>
      </c>
      <c r="D105">
        <f t="shared" ref="D105:O105" si="213">SUM(D96,D100)</f>
        <v>168104.9854</v>
      </c>
      <c r="E105">
        <f t="shared" si="213"/>
        <v>248893.0963</v>
      </c>
      <c r="F105">
        <f t="shared" si="213"/>
        <v>173512.943</v>
      </c>
      <c r="G105">
        <f t="shared" si="213"/>
        <v>182364.9464</v>
      </c>
      <c r="H105">
        <f t="shared" si="213"/>
        <v>194033.211</v>
      </c>
      <c r="I105">
        <f t="shared" si="213"/>
        <v>361178.9442</v>
      </c>
      <c r="J105">
        <f t="shared" si="213"/>
        <v>226869.2608</v>
      </c>
      <c r="K105">
        <f t="shared" si="213"/>
        <v>242326.0096</v>
      </c>
      <c r="L105">
        <f t="shared" si="213"/>
        <v>180714.5255</v>
      </c>
      <c r="M105">
        <f t="shared" si="213"/>
        <v>176324.1985</v>
      </c>
      <c r="N105">
        <f t="shared" si="213"/>
        <v>135673.6711</v>
      </c>
      <c r="O105">
        <f t="shared" si="213"/>
        <v>121530.8141</v>
      </c>
      <c r="U105" s="100">
        <f t="shared" si="214"/>
        <v>144</v>
      </c>
      <c r="V105" s="100">
        <f t="shared" ref="V105:W105" si="215">V103-V95</f>
        <v>513</v>
      </c>
      <c r="W105" s="100">
        <f t="shared" si="215"/>
        <v>2004</v>
      </c>
      <c r="X105" s="137">
        <f>W104-50</f>
        <v>897</v>
      </c>
      <c r="Y105" s="100">
        <f t="shared" si="216"/>
        <v>50</v>
      </c>
      <c r="Z105" s="100">
        <f>Y104-Y105</f>
        <v>284</v>
      </c>
      <c r="AA105" s="100">
        <f t="shared" si="217"/>
        <v>819</v>
      </c>
      <c r="AB105" s="100">
        <f>AA104-AA105</f>
        <v>952</v>
      </c>
      <c r="AC105" s="100">
        <f>(AC104)*73.9/(73.9+99)</f>
        <v>460.3256217</v>
      </c>
      <c r="AD105" s="100">
        <f>(AC104)*99/(73.9+99)</f>
        <v>616.6743783</v>
      </c>
      <c r="AE105" s="100">
        <f t="shared" si="218"/>
        <v>417</v>
      </c>
      <c r="AF105" s="100">
        <f>AE104-AE105-AG105</f>
        <v>963</v>
      </c>
      <c r="AG105" s="100">
        <f>AG103-AG95</f>
        <v>320</v>
      </c>
      <c r="AH105" s="1">
        <v>157.0</v>
      </c>
      <c r="AI105" s="18">
        <f t="shared" ref="AI105:AI106" si="222">SUM(U105:AH105)</f>
        <v>8597</v>
      </c>
      <c r="AL105" s="1">
        <v>9642.0</v>
      </c>
      <c r="AY105">
        <f t="shared" ref="AY105:BK105" si="219">AY104/1109.39</f>
        <v>0.0490359567</v>
      </c>
      <c r="AZ105">
        <f t="shared" si="219"/>
        <v>0.1757722712</v>
      </c>
      <c r="BA105">
        <f t="shared" si="219"/>
        <v>0.07319337654</v>
      </c>
      <c r="BB105">
        <f t="shared" si="219"/>
        <v>0.07319337654</v>
      </c>
      <c r="BC105">
        <f t="shared" si="219"/>
        <v>0.06715402158</v>
      </c>
      <c r="BD105">
        <f t="shared" si="219"/>
        <v>0.09662967937</v>
      </c>
      <c r="BE105">
        <f t="shared" si="219"/>
        <v>0.07364407467</v>
      </c>
      <c r="BF105">
        <f t="shared" si="219"/>
        <v>0.09762121526</v>
      </c>
      <c r="BG105">
        <f t="shared" si="219"/>
        <v>0.06661318382</v>
      </c>
      <c r="BH105">
        <f t="shared" si="219"/>
        <v>0.08923823002</v>
      </c>
      <c r="BI105">
        <f t="shared" si="219"/>
        <v>0.04551149731</v>
      </c>
      <c r="BJ105">
        <f t="shared" si="219"/>
        <v>0.05237112287</v>
      </c>
      <c r="BK105">
        <f t="shared" si="219"/>
        <v>0.04002199407</v>
      </c>
      <c r="BL105">
        <f t="shared" ref="BL105:BL106" si="224">SUM(AY105:BK105)</f>
        <v>1</v>
      </c>
    </row>
    <row r="106">
      <c r="B106" s="1" t="s">
        <v>5602</v>
      </c>
      <c r="D106">
        <f t="shared" ref="D106:O106" si="220">SUM(D104:D105)</f>
        <v>1849154.839</v>
      </c>
      <c r="E106">
        <f t="shared" si="220"/>
        <v>2737824.059</v>
      </c>
      <c r="F106">
        <f t="shared" si="220"/>
        <v>1908642.373</v>
      </c>
      <c r="G106">
        <f t="shared" si="220"/>
        <v>2006014.411</v>
      </c>
      <c r="H106">
        <f t="shared" si="220"/>
        <v>2134365.321</v>
      </c>
      <c r="I106">
        <f t="shared" si="220"/>
        <v>3972968.387</v>
      </c>
      <c r="J106">
        <f t="shared" si="220"/>
        <v>2495561.868</v>
      </c>
      <c r="K106">
        <f t="shared" si="220"/>
        <v>2665586.106</v>
      </c>
      <c r="L106">
        <f t="shared" si="220"/>
        <v>1987859.78</v>
      </c>
      <c r="M106">
        <f t="shared" si="220"/>
        <v>1939566.184</v>
      </c>
      <c r="N106">
        <f t="shared" si="220"/>
        <v>1492410.383</v>
      </c>
      <c r="O106">
        <f t="shared" si="220"/>
        <v>1336838.955</v>
      </c>
      <c r="U106">
        <f t="shared" ref="U106:AH106" si="221">U105*1591170/8597</f>
        <v>26652.14377</v>
      </c>
      <c r="V106">
        <f t="shared" si="221"/>
        <v>94948.26218</v>
      </c>
      <c r="W106">
        <f t="shared" si="221"/>
        <v>370909.0008</v>
      </c>
      <c r="X106">
        <f t="shared" si="221"/>
        <v>166020.6456</v>
      </c>
      <c r="Y106">
        <f t="shared" si="221"/>
        <v>9254.216587</v>
      </c>
      <c r="Z106">
        <f t="shared" si="221"/>
        <v>52563.95022</v>
      </c>
      <c r="AA106">
        <f t="shared" si="221"/>
        <v>151584.0677</v>
      </c>
      <c r="AB106">
        <f t="shared" si="221"/>
        <v>176200.2838</v>
      </c>
      <c r="AC106">
        <f t="shared" si="221"/>
        <v>85199.06009</v>
      </c>
      <c r="AD106">
        <f t="shared" si="221"/>
        <v>114136.7652</v>
      </c>
      <c r="AE106">
        <f t="shared" si="221"/>
        <v>77180.16634</v>
      </c>
      <c r="AF106">
        <f t="shared" si="221"/>
        <v>178236.2115</v>
      </c>
      <c r="AG106">
        <f t="shared" si="221"/>
        <v>59226.98616</v>
      </c>
      <c r="AH106">
        <f t="shared" si="221"/>
        <v>29058.24008</v>
      </c>
      <c r="AI106" s="18">
        <f t="shared" si="222"/>
        <v>1591170</v>
      </c>
      <c r="AJ106" s="1">
        <v>1591170.0</v>
      </c>
      <c r="AX106" s="1" t="s">
        <v>5616</v>
      </c>
      <c r="AY106">
        <f t="shared" ref="AY106:BK106" si="223">270280*AY105</f>
        <v>13253.43838</v>
      </c>
      <c r="AZ106" s="144">
        <f t="shared" si="223"/>
        <v>47507.72947</v>
      </c>
      <c r="BA106" s="144">
        <f t="shared" si="223"/>
        <v>19782.70581</v>
      </c>
      <c r="BB106" s="144">
        <f t="shared" si="223"/>
        <v>19782.70581</v>
      </c>
      <c r="BC106" s="144">
        <f t="shared" si="223"/>
        <v>18150.38895</v>
      </c>
      <c r="BD106" s="144">
        <f t="shared" si="223"/>
        <v>26117.06974</v>
      </c>
      <c r="BE106">
        <f t="shared" si="223"/>
        <v>19904.5205</v>
      </c>
      <c r="BF106" s="136">
        <f t="shared" si="223"/>
        <v>26385.06206</v>
      </c>
      <c r="BG106" s="136">
        <f t="shared" si="223"/>
        <v>18004.21132</v>
      </c>
      <c r="BH106" s="136">
        <f t="shared" si="223"/>
        <v>24119.30881</v>
      </c>
      <c r="BI106" s="136">
        <f t="shared" si="223"/>
        <v>12300.84749</v>
      </c>
      <c r="BJ106" s="136">
        <f t="shared" si="223"/>
        <v>14154.86709</v>
      </c>
      <c r="BK106" s="136">
        <f t="shared" si="223"/>
        <v>10817.14456</v>
      </c>
      <c r="BL106">
        <f t="shared" si="224"/>
        <v>270280</v>
      </c>
    </row>
    <row r="107">
      <c r="D107" s="1" t="s">
        <v>5566</v>
      </c>
      <c r="E107" s="1" t="s">
        <v>5566</v>
      </c>
      <c r="F107" s="1" t="s">
        <v>5566</v>
      </c>
      <c r="G107" s="1" t="s">
        <v>5617</v>
      </c>
      <c r="H107" s="1" t="s">
        <v>5566</v>
      </c>
      <c r="I107" s="1" t="s">
        <v>5566</v>
      </c>
      <c r="J107" s="1" t="s">
        <v>5566</v>
      </c>
      <c r="K107" s="1" t="s">
        <v>5566</v>
      </c>
      <c r="L107" s="1" t="s">
        <v>5566</v>
      </c>
      <c r="M107" s="1" t="s">
        <v>5566</v>
      </c>
      <c r="N107" s="1" t="s">
        <v>5566</v>
      </c>
      <c r="O107" s="1" t="s">
        <v>5566</v>
      </c>
      <c r="U107" s="145">
        <v>26652.143771082934</v>
      </c>
      <c r="V107" s="146">
        <v>94948.26218448296</v>
      </c>
      <c r="W107" s="146">
        <v>370909.0008142375</v>
      </c>
      <c r="X107" s="146">
        <v>166020.64557403745</v>
      </c>
      <c r="Y107" s="146">
        <f t="shared" ref="Y107:AG107" si="225">Y106+3229</f>
        <v>12483.21659</v>
      </c>
      <c r="Z107" s="146">
        <f t="shared" si="225"/>
        <v>55792.95022</v>
      </c>
      <c r="AA107" s="145">
        <f t="shared" si="225"/>
        <v>154813.0677</v>
      </c>
      <c r="AB107" s="146">
        <f t="shared" si="225"/>
        <v>179429.2838</v>
      </c>
      <c r="AC107" s="146">
        <f t="shared" si="225"/>
        <v>88428.06009</v>
      </c>
      <c r="AD107" s="146">
        <f t="shared" si="225"/>
        <v>117365.7652</v>
      </c>
      <c r="AE107" s="146">
        <f t="shared" si="225"/>
        <v>80409.16634</v>
      </c>
      <c r="AF107" s="146">
        <f t="shared" si="225"/>
        <v>181465.2115</v>
      </c>
      <c r="AG107" s="146">
        <f t="shared" si="225"/>
        <v>62455.98616</v>
      </c>
      <c r="AH107">
        <f>AH106/9</f>
        <v>3228.693343</v>
      </c>
      <c r="AI107" s="18">
        <f>SUM(U107:AG107)</f>
        <v>1591172.76</v>
      </c>
      <c r="BE107" s="133">
        <f>BE106+AY106</f>
        <v>33157.95888</v>
      </c>
    </row>
    <row r="108">
      <c r="G108">
        <f>SUM(G102,G90,G76,G64)</f>
        <v>8281247.067</v>
      </c>
      <c r="AA108" s="146">
        <f>AA107+U107</f>
        <v>181465.2115</v>
      </c>
    </row>
    <row r="109">
      <c r="N109" s="1" t="s">
        <v>5618</v>
      </c>
      <c r="AV109" s="1">
        <v>214840.0</v>
      </c>
      <c r="AX109" s="1" t="s">
        <v>5510</v>
      </c>
      <c r="AY109">
        <v>0.04903595669692353</v>
      </c>
      <c r="AZ109">
        <v>0.1757722712481634</v>
      </c>
      <c r="BA109">
        <v>0.07319337654026085</v>
      </c>
      <c r="BB109">
        <v>0.07319337654026085</v>
      </c>
      <c r="BC109">
        <v>0.06715402157942653</v>
      </c>
      <c r="BD109">
        <v>0.0966296793733493</v>
      </c>
      <c r="BE109">
        <v>0.0736440746716664</v>
      </c>
      <c r="BF109">
        <v>0.09762121526244151</v>
      </c>
      <c r="BG109">
        <v>0.06661318382173988</v>
      </c>
      <c r="BH109">
        <v>0.08923823001829834</v>
      </c>
      <c r="BI109">
        <v>0.045511497309332155</v>
      </c>
      <c r="BJ109">
        <v>0.052371122869324584</v>
      </c>
      <c r="BK109">
        <v>0.040021994068812586</v>
      </c>
      <c r="BL109">
        <f t="shared" ref="BL109:BL110" si="227">SUM(AY109:BK109)</f>
        <v>1</v>
      </c>
    </row>
    <row r="110">
      <c r="B110" s="1" t="s">
        <v>5619</v>
      </c>
      <c r="D110" s="1">
        <v>1600000.0</v>
      </c>
      <c r="E110" s="1">
        <v>2300000.0</v>
      </c>
      <c r="F110" s="1">
        <v>1600000.0</v>
      </c>
      <c r="G110" s="1">
        <v>1320000.0</v>
      </c>
      <c r="H110" s="1">
        <v>1900000.0</v>
      </c>
      <c r="I110" s="1">
        <v>3500000.0</v>
      </c>
      <c r="J110" s="1">
        <v>2200000.0</v>
      </c>
      <c r="K110" s="1">
        <v>2380000.0</v>
      </c>
      <c r="L110" s="1">
        <v>1750000.0</v>
      </c>
      <c r="M110" s="1">
        <v>1730000.0</v>
      </c>
      <c r="N110" s="1">
        <v>1300000.0</v>
      </c>
      <c r="O110" s="1">
        <v>1200000.0</v>
      </c>
      <c r="P110">
        <f t="shared" ref="P110:P118" si="229">SUM(D110:O110)</f>
        <v>22780000</v>
      </c>
      <c r="T110" s="1" t="s">
        <v>5620</v>
      </c>
      <c r="U110" s="1">
        <v>12434.0</v>
      </c>
      <c r="W110" s="1">
        <v>15034.0</v>
      </c>
      <c r="Y110" s="1">
        <v>51459.0</v>
      </c>
      <c r="AA110" s="1">
        <v>45359.0</v>
      </c>
      <c r="AC110" s="1">
        <v>56509.0</v>
      </c>
      <c r="AE110" s="1">
        <v>83924.0</v>
      </c>
      <c r="AH110" s="1">
        <v>3965.0</v>
      </c>
      <c r="AX110" s="1" t="s">
        <v>5621</v>
      </c>
      <c r="AY110">
        <f t="shared" ref="AY110:BK110" si="226">214840*AY109</f>
        <v>10534.88494</v>
      </c>
      <c r="AZ110" s="55">
        <f t="shared" si="226"/>
        <v>37762.91475</v>
      </c>
      <c r="BA110" s="55">
        <f t="shared" si="226"/>
        <v>15724.86502</v>
      </c>
      <c r="BB110" s="55">
        <f t="shared" si="226"/>
        <v>15724.86502</v>
      </c>
      <c r="BC110" s="55">
        <f t="shared" si="226"/>
        <v>14427.37</v>
      </c>
      <c r="BD110" s="55">
        <f t="shared" si="226"/>
        <v>20759.92032</v>
      </c>
      <c r="BE110">
        <f t="shared" si="226"/>
        <v>15821.693</v>
      </c>
      <c r="BF110" s="55">
        <f t="shared" si="226"/>
        <v>20972.94189</v>
      </c>
      <c r="BG110" s="55">
        <f t="shared" si="226"/>
        <v>14311.17641</v>
      </c>
      <c r="BH110" s="55">
        <f t="shared" si="226"/>
        <v>19171.94134</v>
      </c>
      <c r="BI110" s="55">
        <f t="shared" si="226"/>
        <v>9777.690082</v>
      </c>
      <c r="BJ110" s="55">
        <f t="shared" si="226"/>
        <v>11251.41204</v>
      </c>
      <c r="BK110" s="55">
        <f t="shared" si="226"/>
        <v>8598.325206</v>
      </c>
      <c r="BL110">
        <f t="shared" si="227"/>
        <v>214840</v>
      </c>
    </row>
    <row r="111">
      <c r="B111" s="1" t="s">
        <v>5499</v>
      </c>
      <c r="D111" s="1">
        <f t="shared" ref="D111:O111" si="228">D110*0.1</f>
        <v>160000</v>
      </c>
      <c r="E111" s="1">
        <f t="shared" si="228"/>
        <v>230000</v>
      </c>
      <c r="F111" s="1">
        <f t="shared" si="228"/>
        <v>160000</v>
      </c>
      <c r="G111" s="1">
        <f t="shared" si="228"/>
        <v>132000</v>
      </c>
      <c r="H111" s="1">
        <f t="shared" si="228"/>
        <v>190000</v>
      </c>
      <c r="I111" s="1">
        <f t="shared" si="228"/>
        <v>350000</v>
      </c>
      <c r="J111" s="1">
        <f t="shared" si="228"/>
        <v>220000</v>
      </c>
      <c r="K111" s="1">
        <f t="shared" si="228"/>
        <v>238000</v>
      </c>
      <c r="L111" s="1">
        <f t="shared" si="228"/>
        <v>175000</v>
      </c>
      <c r="M111" s="1">
        <f t="shared" si="228"/>
        <v>173000</v>
      </c>
      <c r="N111" s="1">
        <f t="shared" si="228"/>
        <v>130000</v>
      </c>
      <c r="O111" s="1">
        <f t="shared" si="228"/>
        <v>120000</v>
      </c>
      <c r="P111">
        <f t="shared" si="229"/>
        <v>2278000</v>
      </c>
      <c r="U111" s="1">
        <v>4937.0</v>
      </c>
      <c r="V111" s="1">
        <v>14742.0</v>
      </c>
      <c r="W111" s="1">
        <v>45358.0</v>
      </c>
      <c r="Y111" s="1">
        <v>13425.0</v>
      </c>
      <c r="AA111" s="1">
        <v>7041.0</v>
      </c>
      <c r="AE111" s="1">
        <v>85280.0</v>
      </c>
      <c r="AG111" s="1">
        <v>6083.0</v>
      </c>
      <c r="BE111" s="133">
        <f>BE110+AY110</f>
        <v>26356.57794</v>
      </c>
    </row>
    <row r="112">
      <c r="B112" s="1" t="s">
        <v>5520</v>
      </c>
      <c r="D112">
        <f t="shared" ref="D112:O112" si="230">D110+D111</f>
        <v>1760000</v>
      </c>
      <c r="E112">
        <f t="shared" si="230"/>
        <v>2530000</v>
      </c>
      <c r="F112">
        <f t="shared" si="230"/>
        <v>1760000</v>
      </c>
      <c r="G112">
        <f t="shared" si="230"/>
        <v>1452000</v>
      </c>
      <c r="H112">
        <f t="shared" si="230"/>
        <v>2090000</v>
      </c>
      <c r="I112">
        <f t="shared" si="230"/>
        <v>3850000</v>
      </c>
      <c r="J112">
        <f t="shared" si="230"/>
        <v>2420000</v>
      </c>
      <c r="K112">
        <f t="shared" si="230"/>
        <v>2618000</v>
      </c>
      <c r="L112">
        <f t="shared" si="230"/>
        <v>1925000</v>
      </c>
      <c r="M112">
        <f t="shared" si="230"/>
        <v>1903000</v>
      </c>
      <c r="N112">
        <f t="shared" si="230"/>
        <v>1430000</v>
      </c>
      <c r="O112">
        <f t="shared" si="230"/>
        <v>1320000</v>
      </c>
      <c r="P112">
        <f t="shared" si="229"/>
        <v>25058000</v>
      </c>
      <c r="U112">
        <f t="shared" ref="U112:U113" si="231">U110-U102</f>
        <v>1021</v>
      </c>
      <c r="W112">
        <f>W110-W102</f>
        <v>1196</v>
      </c>
      <c r="Y112">
        <f t="shared" ref="Y112:Y113" si="233">Y110-Y102</f>
        <v>555</v>
      </c>
      <c r="AA112">
        <f t="shared" ref="AA112:AA113" si="234">AA110-AA102</f>
        <v>2206</v>
      </c>
      <c r="AC112">
        <f>AC110-AC102</f>
        <v>1867</v>
      </c>
      <c r="AE112">
        <f t="shared" ref="AE112:AE113" si="235">AE110-AE102</f>
        <v>2579</v>
      </c>
      <c r="AG112" s="100"/>
      <c r="AH112">
        <f>AH110-AH102</f>
        <v>163</v>
      </c>
    </row>
    <row r="113">
      <c r="B113" s="1" t="s">
        <v>5545</v>
      </c>
      <c r="D113">
        <v>93340.34425778022</v>
      </c>
      <c r="E113">
        <v>268163.4646103002</v>
      </c>
      <c r="F113">
        <v>156428.68768934178</v>
      </c>
      <c r="G113" s="1">
        <v>36248.0</v>
      </c>
      <c r="H113">
        <v>33546.06114018177</v>
      </c>
      <c r="I113">
        <v>117461.15890939135</v>
      </c>
      <c r="J113">
        <v>112748.53566510603</v>
      </c>
      <c r="K113">
        <v>45462.01065052734</v>
      </c>
      <c r="L113">
        <v>59939.17800273621</v>
      </c>
      <c r="M113">
        <v>44187.46846598733</v>
      </c>
      <c r="N113">
        <v>112292.47535114293</v>
      </c>
      <c r="O113">
        <v>35826.362709997244</v>
      </c>
      <c r="P113">
        <f t="shared" si="229"/>
        <v>1115643.747</v>
      </c>
      <c r="S113" s="137" t="s">
        <v>5534</v>
      </c>
      <c r="T113" s="100"/>
      <c r="U113" s="147">
        <f t="shared" si="231"/>
        <v>176</v>
      </c>
      <c r="V113" s="100">
        <f t="shared" ref="V113:W113" si="232">V111-V103</f>
        <v>733</v>
      </c>
      <c r="W113" s="147">
        <f t="shared" si="232"/>
        <v>2980</v>
      </c>
      <c r="X113" s="137">
        <f>W112-50</f>
        <v>1146</v>
      </c>
      <c r="Y113" s="147">
        <f t="shared" si="233"/>
        <v>127</v>
      </c>
      <c r="Z113" s="100">
        <f>Y112-Y113</f>
        <v>428</v>
      </c>
      <c r="AA113" s="147">
        <f t="shared" si="234"/>
        <v>923</v>
      </c>
      <c r="AB113" s="100">
        <f>AA112-AA113</f>
        <v>1283</v>
      </c>
      <c r="AC113" s="147">
        <f>(AC112)*73.9/(73.9+99)</f>
        <v>797.9832273</v>
      </c>
      <c r="AD113" s="147">
        <f>(AC112)*99/(73.9+99)</f>
        <v>1069.016773</v>
      </c>
      <c r="AE113" s="100">
        <f t="shared" si="235"/>
        <v>587</v>
      </c>
      <c r="AF113" s="100">
        <f>AE112-AE113-AG113</f>
        <v>1528</v>
      </c>
      <c r="AG113" s="100">
        <f>AG111-AG103</f>
        <v>464</v>
      </c>
      <c r="AH113">
        <v>163.0</v>
      </c>
      <c r="AI113" s="18">
        <f t="shared" ref="AI113:AI114" si="238">SUM(U113:AH113)</f>
        <v>12405</v>
      </c>
      <c r="AL113" s="1">
        <v>12466.0</v>
      </c>
      <c r="AV113" s="1">
        <v>259720.0</v>
      </c>
      <c r="AX113" s="1" t="s">
        <v>5510</v>
      </c>
      <c r="AY113">
        <v>0.04903595669692353</v>
      </c>
      <c r="AZ113">
        <v>0.1757722712481634</v>
      </c>
      <c r="BA113">
        <v>0.07319337654026085</v>
      </c>
      <c r="BB113">
        <v>0.07319337654026085</v>
      </c>
      <c r="BC113">
        <v>0.06715402157942653</v>
      </c>
      <c r="BD113">
        <v>0.0966296793733493</v>
      </c>
      <c r="BE113">
        <v>0.0736440746716664</v>
      </c>
      <c r="BF113">
        <v>0.09762121526244151</v>
      </c>
      <c r="BG113">
        <v>0.06661318382173988</v>
      </c>
      <c r="BH113">
        <v>0.08923823001829834</v>
      </c>
      <c r="BI113">
        <v>0.045511497309332155</v>
      </c>
      <c r="BJ113">
        <v>0.052371122869324584</v>
      </c>
      <c r="BK113">
        <v>0.040021994068812586</v>
      </c>
      <c r="BL113">
        <f t="shared" ref="BL113:BL114" si="240">SUM(AY113:BK113)</f>
        <v>1</v>
      </c>
    </row>
    <row r="114">
      <c r="D114">
        <f t="shared" ref="D114:O114" si="236">D113-D115</f>
        <v>84854.85842</v>
      </c>
      <c r="E114">
        <f t="shared" si="236"/>
        <v>243784.9678</v>
      </c>
      <c r="F114">
        <f t="shared" si="236"/>
        <v>142207.8979</v>
      </c>
      <c r="G114">
        <f t="shared" si="236"/>
        <v>32952.72727</v>
      </c>
      <c r="H114">
        <f t="shared" si="236"/>
        <v>30496.41922</v>
      </c>
      <c r="I114">
        <f t="shared" si="236"/>
        <v>106782.8717</v>
      </c>
      <c r="J114">
        <f t="shared" si="236"/>
        <v>102498.6688</v>
      </c>
      <c r="K114">
        <f t="shared" si="236"/>
        <v>41329.10059</v>
      </c>
      <c r="L114">
        <f t="shared" si="236"/>
        <v>54490.16182</v>
      </c>
      <c r="M114">
        <f t="shared" si="236"/>
        <v>40170.42588</v>
      </c>
      <c r="N114">
        <f t="shared" si="236"/>
        <v>102084.0685</v>
      </c>
      <c r="O114">
        <f t="shared" si="236"/>
        <v>32569.42065</v>
      </c>
      <c r="P114">
        <f t="shared" si="229"/>
        <v>1014221.589</v>
      </c>
      <c r="U114">
        <f t="shared" ref="U114:AH114" si="237">U113*1930570/12405</f>
        <v>27390.59412</v>
      </c>
      <c r="V114">
        <f t="shared" si="237"/>
        <v>114075.5994</v>
      </c>
      <c r="W114">
        <f t="shared" si="237"/>
        <v>463772.5595</v>
      </c>
      <c r="X114">
        <f t="shared" si="237"/>
        <v>178350.1185</v>
      </c>
      <c r="Y114">
        <f t="shared" si="237"/>
        <v>19764.80371</v>
      </c>
      <c r="Z114">
        <f t="shared" si="237"/>
        <v>66608.94478</v>
      </c>
      <c r="AA114">
        <f t="shared" si="237"/>
        <v>143644.9907</v>
      </c>
      <c r="AB114">
        <f t="shared" si="237"/>
        <v>199671.206</v>
      </c>
      <c r="AC114">
        <f t="shared" si="237"/>
        <v>124188.8335</v>
      </c>
      <c r="AD114">
        <f t="shared" si="237"/>
        <v>166369.3439</v>
      </c>
      <c r="AE114">
        <f t="shared" si="237"/>
        <v>91353.85651</v>
      </c>
      <c r="AF114">
        <f t="shared" si="237"/>
        <v>237800.158</v>
      </c>
      <c r="AG114">
        <f t="shared" si="237"/>
        <v>72211.5663</v>
      </c>
      <c r="AH114">
        <f t="shared" si="237"/>
        <v>25367.42523</v>
      </c>
      <c r="AI114" s="18">
        <f t="shared" si="238"/>
        <v>1930570</v>
      </c>
      <c r="AJ114" s="1">
        <v>1930570.0</v>
      </c>
      <c r="AL114" s="1">
        <v>40929.0</v>
      </c>
      <c r="AX114" s="1" t="s">
        <v>5622</v>
      </c>
      <c r="AY114">
        <f t="shared" ref="AY114:BK114" si="239">259720*AY113</f>
        <v>12735.61867</v>
      </c>
      <c r="AZ114" s="136">
        <f t="shared" si="239"/>
        <v>45651.57429</v>
      </c>
      <c r="BA114" s="136">
        <f t="shared" si="239"/>
        <v>19009.78376</v>
      </c>
      <c r="BB114" s="136">
        <f t="shared" si="239"/>
        <v>19009.78376</v>
      </c>
      <c r="BC114" s="136">
        <f t="shared" si="239"/>
        <v>17441.24248</v>
      </c>
      <c r="BD114" s="136">
        <f t="shared" si="239"/>
        <v>25096.66033</v>
      </c>
      <c r="BE114">
        <f t="shared" si="239"/>
        <v>19126.83907</v>
      </c>
      <c r="BF114" s="136">
        <f t="shared" si="239"/>
        <v>25354.18203</v>
      </c>
      <c r="BG114" s="136">
        <f t="shared" si="239"/>
        <v>17300.7761</v>
      </c>
      <c r="BH114" s="136">
        <f t="shared" si="239"/>
        <v>23176.9531</v>
      </c>
      <c r="BI114" s="136">
        <f t="shared" si="239"/>
        <v>11820.24608</v>
      </c>
      <c r="BJ114" s="136">
        <f t="shared" si="239"/>
        <v>13601.82803</v>
      </c>
      <c r="BK114" s="136">
        <f t="shared" si="239"/>
        <v>10394.5123</v>
      </c>
      <c r="BL114">
        <f t="shared" si="240"/>
        <v>259720</v>
      </c>
    </row>
    <row r="115">
      <c r="B115" s="1" t="s">
        <v>5499</v>
      </c>
      <c r="D115">
        <f t="shared" ref="D115:O115" si="241">D113/11</f>
        <v>8485.485842</v>
      </c>
      <c r="E115">
        <f t="shared" si="241"/>
        <v>24378.49678</v>
      </c>
      <c r="F115">
        <f t="shared" si="241"/>
        <v>14220.78979</v>
      </c>
      <c r="G115">
        <f t="shared" si="241"/>
        <v>3295.272727</v>
      </c>
      <c r="H115">
        <f t="shared" si="241"/>
        <v>3049.641922</v>
      </c>
      <c r="I115">
        <f t="shared" si="241"/>
        <v>10678.28717</v>
      </c>
      <c r="J115">
        <f t="shared" si="241"/>
        <v>10249.86688</v>
      </c>
      <c r="K115">
        <f t="shared" si="241"/>
        <v>4132.910059</v>
      </c>
      <c r="L115">
        <f t="shared" si="241"/>
        <v>5449.016182</v>
      </c>
      <c r="M115">
        <f t="shared" si="241"/>
        <v>4017.042588</v>
      </c>
      <c r="N115">
        <f t="shared" si="241"/>
        <v>10208.40685</v>
      </c>
      <c r="O115">
        <f t="shared" si="241"/>
        <v>3256.942065</v>
      </c>
      <c r="P115">
        <f t="shared" si="229"/>
        <v>101422.1589</v>
      </c>
      <c r="U115">
        <v>27390.594115276097</v>
      </c>
      <c r="V115" s="146">
        <v>114075.59935509875</v>
      </c>
      <c r="W115" s="146">
        <v>463772.55945183395</v>
      </c>
      <c r="X115" s="146">
        <v>178350.11850060459</v>
      </c>
      <c r="Y115" s="146">
        <f t="shared" ref="Y115:AG115" si="242">Y114+2819</f>
        <v>22583.80371</v>
      </c>
      <c r="Z115" s="146">
        <f t="shared" si="242"/>
        <v>69427.94478</v>
      </c>
      <c r="AA115" s="145">
        <f t="shared" si="242"/>
        <v>146463.9907</v>
      </c>
      <c r="AB115" s="146">
        <f t="shared" si="242"/>
        <v>202490.206</v>
      </c>
      <c r="AC115" s="146">
        <f t="shared" si="242"/>
        <v>127007.8335</v>
      </c>
      <c r="AD115" s="146">
        <f t="shared" si="242"/>
        <v>169188.3439</v>
      </c>
      <c r="AE115" s="146">
        <f t="shared" si="242"/>
        <v>94172.85651</v>
      </c>
      <c r="AF115" s="146">
        <f t="shared" si="242"/>
        <v>240619.158</v>
      </c>
      <c r="AG115" s="146">
        <f t="shared" si="242"/>
        <v>75030.5663</v>
      </c>
      <c r="AH115">
        <f>AH114/9</f>
        <v>2818.602804</v>
      </c>
      <c r="AI115" s="18">
        <f>SUM(U115:AG115)</f>
        <v>1930573.575</v>
      </c>
      <c r="BE115" s="133">
        <f>BE114+AY114</f>
        <v>31862.45775</v>
      </c>
    </row>
    <row r="116">
      <c r="B116" s="23" t="s">
        <v>5528</v>
      </c>
      <c r="D116" s="18">
        <f t="shared" ref="D116:F116" si="243">SUM(D112,D113)</f>
        <v>1853340.344</v>
      </c>
      <c r="E116" s="18">
        <f t="shared" si="243"/>
        <v>2798163.465</v>
      </c>
      <c r="F116" s="18">
        <f t="shared" si="243"/>
        <v>1916428.688</v>
      </c>
      <c r="G116" s="18">
        <f t="shared" ref="G116:O116" si="244">SUM(G112,G113,G119)</f>
        <v>1494816</v>
      </c>
      <c r="H116" s="18">
        <f t="shared" si="244"/>
        <v>2123546.061</v>
      </c>
      <c r="I116" s="18">
        <f t="shared" si="244"/>
        <v>3967461.159</v>
      </c>
      <c r="J116" s="18">
        <f t="shared" si="244"/>
        <v>2532748.536</v>
      </c>
      <c r="K116" s="18">
        <f t="shared" si="244"/>
        <v>2663462.011</v>
      </c>
      <c r="L116" s="18">
        <f t="shared" si="244"/>
        <v>1984939.178</v>
      </c>
      <c r="M116" s="18">
        <f t="shared" si="244"/>
        <v>1947187.468</v>
      </c>
      <c r="N116" s="18">
        <f t="shared" si="244"/>
        <v>1542292.475</v>
      </c>
      <c r="O116" s="18">
        <f t="shared" si="244"/>
        <v>1355826.363</v>
      </c>
      <c r="P116">
        <f t="shared" si="229"/>
        <v>26180211.75</v>
      </c>
      <c r="AA116" s="146">
        <f>AA115+U115</f>
        <v>173854.5848</v>
      </c>
    </row>
    <row r="117">
      <c r="B117" s="1" t="s">
        <v>5580</v>
      </c>
      <c r="D117">
        <f t="shared" ref="D117:O117" si="245">D110+D114</f>
        <v>1684854.858</v>
      </c>
      <c r="E117">
        <f t="shared" si="245"/>
        <v>2543784.968</v>
      </c>
      <c r="F117">
        <f t="shared" si="245"/>
        <v>1742207.898</v>
      </c>
      <c r="G117">
        <f t="shared" si="245"/>
        <v>1352952.727</v>
      </c>
      <c r="H117">
        <f t="shared" si="245"/>
        <v>1930496.419</v>
      </c>
      <c r="I117">
        <f t="shared" si="245"/>
        <v>3606782.872</v>
      </c>
      <c r="J117">
        <f t="shared" si="245"/>
        <v>2302498.669</v>
      </c>
      <c r="K117">
        <f t="shared" si="245"/>
        <v>2421329.101</v>
      </c>
      <c r="L117">
        <f t="shared" si="245"/>
        <v>1804490.162</v>
      </c>
      <c r="M117">
        <f t="shared" si="245"/>
        <v>1770170.426</v>
      </c>
      <c r="N117">
        <f t="shared" si="245"/>
        <v>1402084.069</v>
      </c>
      <c r="O117">
        <f t="shared" si="245"/>
        <v>1232569.421</v>
      </c>
      <c r="P117">
        <f t="shared" si="229"/>
        <v>23794221.59</v>
      </c>
      <c r="AV117" s="1">
        <v>222760.0</v>
      </c>
      <c r="AX117" s="1" t="s">
        <v>5510</v>
      </c>
      <c r="AY117">
        <v>0.04903595669692353</v>
      </c>
      <c r="AZ117">
        <v>0.1757722712481634</v>
      </c>
      <c r="BA117">
        <v>0.07319337654026085</v>
      </c>
      <c r="BB117">
        <v>0.07319337654026085</v>
      </c>
      <c r="BC117">
        <v>0.06715402157942653</v>
      </c>
      <c r="BD117">
        <v>0.0966296793733493</v>
      </c>
      <c r="BE117">
        <v>0.0736440746716664</v>
      </c>
      <c r="BF117">
        <v>0.09762121526244151</v>
      </c>
      <c r="BG117">
        <v>0.06661318382173988</v>
      </c>
      <c r="BH117">
        <v>0.08923823001829834</v>
      </c>
      <c r="BI117">
        <v>0.045511497309332155</v>
      </c>
      <c r="BJ117">
        <v>0.052371122869324584</v>
      </c>
      <c r="BK117">
        <v>0.040021994068812586</v>
      </c>
      <c r="BL117">
        <f t="shared" ref="BL117:BL118" si="248">SUM(AY117:BK117)</f>
        <v>1</v>
      </c>
    </row>
    <row r="118">
      <c r="B118" s="1" t="s">
        <v>5582</v>
      </c>
      <c r="D118">
        <f t="shared" ref="D118:O118" si="246">D111+D115</f>
        <v>168485.4858</v>
      </c>
      <c r="E118">
        <f t="shared" si="246"/>
        <v>254378.4968</v>
      </c>
      <c r="F118">
        <f t="shared" si="246"/>
        <v>174220.7898</v>
      </c>
      <c r="G118">
        <f t="shared" si="246"/>
        <v>135295.2727</v>
      </c>
      <c r="H118">
        <f t="shared" si="246"/>
        <v>193049.6419</v>
      </c>
      <c r="I118">
        <f t="shared" si="246"/>
        <v>360678.2872</v>
      </c>
      <c r="J118">
        <f t="shared" si="246"/>
        <v>230249.8669</v>
      </c>
      <c r="K118">
        <f t="shared" si="246"/>
        <v>242132.9101</v>
      </c>
      <c r="L118">
        <f t="shared" si="246"/>
        <v>180449.0162</v>
      </c>
      <c r="M118">
        <f t="shared" si="246"/>
        <v>177017.0426</v>
      </c>
      <c r="N118">
        <f t="shared" si="246"/>
        <v>140208.4069</v>
      </c>
      <c r="O118">
        <f t="shared" si="246"/>
        <v>123256.9421</v>
      </c>
      <c r="P118">
        <f t="shared" si="229"/>
        <v>2379422.159</v>
      </c>
      <c r="T118" s="1" t="s">
        <v>3739</v>
      </c>
      <c r="U118" s="1">
        <v>13274.0</v>
      </c>
      <c r="W118" s="1">
        <v>16116.0</v>
      </c>
      <c r="Y118" s="1">
        <v>51787.0</v>
      </c>
      <c r="AA118" s="1">
        <v>47063.0</v>
      </c>
      <c r="AC118" s="1">
        <v>57726.0</v>
      </c>
      <c r="AE118" s="1">
        <v>85743.0</v>
      </c>
      <c r="AH118" s="1">
        <v>4128.0</v>
      </c>
      <c r="AX118" s="1" t="s">
        <v>5623</v>
      </c>
      <c r="AY118">
        <f t="shared" ref="AY118:BK118" si="247">222760*AY117</f>
        <v>10923.24971</v>
      </c>
      <c r="AZ118" s="136">
        <f t="shared" si="247"/>
        <v>39155.03114</v>
      </c>
      <c r="BA118" s="136">
        <f t="shared" si="247"/>
        <v>16304.55656</v>
      </c>
      <c r="BB118" s="136">
        <f t="shared" si="247"/>
        <v>16304.55656</v>
      </c>
      <c r="BC118" s="136">
        <f t="shared" si="247"/>
        <v>14959.22985</v>
      </c>
      <c r="BD118" s="136">
        <f t="shared" si="247"/>
        <v>21525.22738</v>
      </c>
      <c r="BE118">
        <f t="shared" si="247"/>
        <v>16404.95407</v>
      </c>
      <c r="BF118" s="136">
        <f t="shared" si="247"/>
        <v>21746.10191</v>
      </c>
      <c r="BG118" s="136">
        <f t="shared" si="247"/>
        <v>14838.75283</v>
      </c>
      <c r="BH118" s="136">
        <f t="shared" si="247"/>
        <v>19878.70812</v>
      </c>
      <c r="BI118" s="136">
        <f t="shared" si="247"/>
        <v>10138.14114</v>
      </c>
      <c r="BJ118" s="136">
        <f t="shared" si="247"/>
        <v>11666.19133</v>
      </c>
      <c r="BK118" s="136">
        <f t="shared" si="247"/>
        <v>8915.299399</v>
      </c>
      <c r="BL118">
        <f t="shared" si="248"/>
        <v>222760</v>
      </c>
    </row>
    <row r="119">
      <c r="D119" s="1" t="s">
        <v>5566</v>
      </c>
      <c r="E119" s="1" t="s">
        <v>5566</v>
      </c>
      <c r="F119" s="1" t="s">
        <v>5566</v>
      </c>
      <c r="G119" s="1">
        <v>6568.0</v>
      </c>
      <c r="H119" s="1" t="s">
        <v>5624</v>
      </c>
      <c r="I119" s="1" t="s">
        <v>5566</v>
      </c>
      <c r="J119" s="1" t="s">
        <v>5566</v>
      </c>
      <c r="K119" s="1" t="s">
        <v>5566</v>
      </c>
      <c r="L119" s="1" t="s">
        <v>5566</v>
      </c>
      <c r="M119" s="1" t="s">
        <v>5566</v>
      </c>
      <c r="N119" s="1" t="s">
        <v>5566</v>
      </c>
      <c r="O119" s="1" t="s">
        <v>5566</v>
      </c>
      <c r="U119" s="1">
        <v>5095.0</v>
      </c>
      <c r="V119" s="1">
        <v>15333.0</v>
      </c>
      <c r="W119" s="1">
        <v>47751.0</v>
      </c>
      <c r="Y119" s="1">
        <v>13525.0</v>
      </c>
      <c r="AA119" s="1">
        <v>7891.0</v>
      </c>
      <c r="AE119" s="1">
        <v>85647.0</v>
      </c>
      <c r="AG119" s="1">
        <v>6313.0</v>
      </c>
      <c r="BE119" s="133">
        <f>BE118+AY118</f>
        <v>27328.20379</v>
      </c>
    </row>
    <row r="120">
      <c r="G120" s="1" t="s">
        <v>5566</v>
      </c>
      <c r="H120" s="1" t="s">
        <v>5566</v>
      </c>
      <c r="J120" s="1" t="s">
        <v>5625</v>
      </c>
      <c r="L120" s="1" t="s">
        <v>5626</v>
      </c>
      <c r="U120">
        <f t="shared" ref="U120:U121" si="249">U118-U110</f>
        <v>840</v>
      </c>
      <c r="W120">
        <f>W118-W110</f>
        <v>1082</v>
      </c>
      <c r="Y120">
        <f t="shared" ref="Y120:Y121" si="251">Y118-Y110</f>
        <v>328</v>
      </c>
      <c r="AA120">
        <f t="shared" ref="AA120:AA121" si="252">AA118-AA110</f>
        <v>1704</v>
      </c>
      <c r="AC120">
        <f>AC118-AC110</f>
        <v>1217</v>
      </c>
      <c r="AE120">
        <f t="shared" ref="AE120:AE121" si="253">AE118-AE110</f>
        <v>1819</v>
      </c>
      <c r="AG120" s="100"/>
      <c r="AH120">
        <f>AH118-AH110</f>
        <v>163</v>
      </c>
    </row>
    <row r="121">
      <c r="B121" s="1" t="s">
        <v>5627</v>
      </c>
      <c r="D121" s="1">
        <v>1600000.0</v>
      </c>
      <c r="E121" s="1">
        <v>2300000.0</v>
      </c>
      <c r="F121" s="1">
        <v>1600000.0</v>
      </c>
      <c r="G121" s="1">
        <v>1800000.0</v>
      </c>
      <c r="H121" s="1">
        <v>1900000.0</v>
      </c>
      <c r="I121" s="1">
        <v>3500000.0</v>
      </c>
      <c r="J121" s="1">
        <v>2200000.0</v>
      </c>
      <c r="K121" s="1">
        <v>2380000.0</v>
      </c>
      <c r="L121" s="1">
        <v>1750000.0</v>
      </c>
      <c r="M121" s="1">
        <v>1730000.0</v>
      </c>
      <c r="N121" s="1">
        <v>1340000.0</v>
      </c>
      <c r="O121" s="1">
        <v>1200000.0</v>
      </c>
      <c r="P121">
        <f t="shared" ref="P121:P127" si="255">SUM(D121:O121)</f>
        <v>23300000</v>
      </c>
      <c r="U121" s="147">
        <f t="shared" si="249"/>
        <v>158</v>
      </c>
      <c r="V121" s="100">
        <f t="shared" ref="V121:W121" si="250">V119-V111</f>
        <v>591</v>
      </c>
      <c r="W121" s="147">
        <f t="shared" si="250"/>
        <v>2393</v>
      </c>
      <c r="X121" s="137">
        <f>W120-50</f>
        <v>1032</v>
      </c>
      <c r="Y121" s="147">
        <f t="shared" si="251"/>
        <v>100</v>
      </c>
      <c r="Z121" s="100">
        <f>Y120-Y121</f>
        <v>228</v>
      </c>
      <c r="AA121" s="147">
        <f t="shared" si="252"/>
        <v>850</v>
      </c>
      <c r="AB121" s="100">
        <f>AA120-AA121</f>
        <v>854</v>
      </c>
      <c r="AC121" s="147">
        <f>(AC120)*73.9/(73.9+99)</f>
        <v>520.1636784</v>
      </c>
      <c r="AD121" s="147">
        <f>(AC120)*99/(73.9+99)</f>
        <v>696.8363216</v>
      </c>
      <c r="AE121" s="100">
        <f t="shared" si="253"/>
        <v>367</v>
      </c>
      <c r="AF121" s="100">
        <f>AE120-AE121-AG121</f>
        <v>1222</v>
      </c>
      <c r="AG121" s="100">
        <f>AG119-AG111</f>
        <v>230</v>
      </c>
      <c r="AH121" s="1">
        <v>163.0</v>
      </c>
      <c r="AI121" s="18">
        <f t="shared" ref="AI121:AI122" si="257">SUM(U121:AH121)</f>
        <v>9405</v>
      </c>
      <c r="AL121" s="1">
        <v>9641.0</v>
      </c>
      <c r="AV121" s="1">
        <v>251800.0</v>
      </c>
      <c r="AX121" s="1" t="s">
        <v>5510</v>
      </c>
      <c r="AY121">
        <v>0.04903595669692353</v>
      </c>
      <c r="AZ121">
        <v>0.1757722712481634</v>
      </c>
      <c r="BA121">
        <v>0.07319337654026085</v>
      </c>
      <c r="BB121">
        <v>0.07319337654026085</v>
      </c>
      <c r="BC121">
        <v>0.06715402157942653</v>
      </c>
      <c r="BD121">
        <v>0.0966296793733493</v>
      </c>
      <c r="BE121">
        <v>0.0736440746716664</v>
      </c>
      <c r="BF121">
        <v>0.09762121526244151</v>
      </c>
      <c r="BG121">
        <v>0.06661318382173988</v>
      </c>
      <c r="BH121">
        <v>0.08923823001829834</v>
      </c>
      <c r="BI121">
        <v>0.045511497309332155</v>
      </c>
      <c r="BJ121">
        <v>0.052371122869324584</v>
      </c>
      <c r="BK121">
        <v>0.040021994068812586</v>
      </c>
      <c r="BL121">
        <f t="shared" ref="BL121:BL122" si="259">SUM(AY121:BK121)</f>
        <v>1</v>
      </c>
    </row>
    <row r="122">
      <c r="B122" s="1" t="s">
        <v>5499</v>
      </c>
      <c r="D122" s="1">
        <f t="shared" ref="D122:O122" si="254">D121*0.1</f>
        <v>160000</v>
      </c>
      <c r="E122" s="1">
        <f t="shared" si="254"/>
        <v>230000</v>
      </c>
      <c r="F122" s="1">
        <f t="shared" si="254"/>
        <v>160000</v>
      </c>
      <c r="G122" s="1">
        <f t="shared" si="254"/>
        <v>180000</v>
      </c>
      <c r="H122" s="1">
        <f t="shared" si="254"/>
        <v>190000</v>
      </c>
      <c r="I122" s="1">
        <f t="shared" si="254"/>
        <v>350000</v>
      </c>
      <c r="J122" s="1">
        <f t="shared" si="254"/>
        <v>220000</v>
      </c>
      <c r="K122" s="1">
        <f t="shared" si="254"/>
        <v>238000</v>
      </c>
      <c r="L122" s="1">
        <f t="shared" si="254"/>
        <v>175000</v>
      </c>
      <c r="M122" s="1">
        <f t="shared" si="254"/>
        <v>173000</v>
      </c>
      <c r="N122" s="1">
        <f t="shared" si="254"/>
        <v>134000</v>
      </c>
      <c r="O122" s="1">
        <f t="shared" si="254"/>
        <v>120000</v>
      </c>
      <c r="P122">
        <f t="shared" si="255"/>
        <v>2330000</v>
      </c>
      <c r="U122">
        <f t="shared" ref="U122:AH122" si="256">U121*1433520/9405</f>
        <v>24082.52632</v>
      </c>
      <c r="V122">
        <f t="shared" si="256"/>
        <v>90080.84211</v>
      </c>
      <c r="W122">
        <f t="shared" si="256"/>
        <v>364743.5789</v>
      </c>
      <c r="X122">
        <f t="shared" si="256"/>
        <v>157298.5263</v>
      </c>
      <c r="Y122">
        <f t="shared" si="256"/>
        <v>15242.10526</v>
      </c>
      <c r="Z122">
        <f t="shared" si="256"/>
        <v>34752</v>
      </c>
      <c r="AA122">
        <f t="shared" si="256"/>
        <v>129557.8947</v>
      </c>
      <c r="AB122">
        <f t="shared" si="256"/>
        <v>130167.5789</v>
      </c>
      <c r="AC122">
        <f t="shared" si="256"/>
        <v>79283.89541</v>
      </c>
      <c r="AD122">
        <f t="shared" si="256"/>
        <v>106212.5256</v>
      </c>
      <c r="AE122">
        <f t="shared" si="256"/>
        <v>55938.52632</v>
      </c>
      <c r="AF122">
        <f t="shared" si="256"/>
        <v>186258.5263</v>
      </c>
      <c r="AG122">
        <f t="shared" si="256"/>
        <v>35056.84211</v>
      </c>
      <c r="AH122">
        <f t="shared" si="256"/>
        <v>24844.63158</v>
      </c>
      <c r="AI122" s="18">
        <f t="shared" si="257"/>
        <v>1433520</v>
      </c>
      <c r="AJ122" s="1">
        <v>1433520.0</v>
      </c>
      <c r="AL122" s="1">
        <v>50370.0</v>
      </c>
      <c r="AX122" s="1" t="s">
        <v>5628</v>
      </c>
      <c r="AY122">
        <f t="shared" ref="AY122:BK122" si="258">251800*AY121</f>
        <v>12347.2539</v>
      </c>
      <c r="AZ122" s="144">
        <f t="shared" si="258"/>
        <v>44259.4579</v>
      </c>
      <c r="BA122" s="144">
        <f t="shared" si="258"/>
        <v>18430.09221</v>
      </c>
      <c r="BB122" s="144">
        <f t="shared" si="258"/>
        <v>18430.09221</v>
      </c>
      <c r="BC122" s="144">
        <f t="shared" si="258"/>
        <v>16909.38263</v>
      </c>
      <c r="BD122" s="144">
        <f t="shared" si="258"/>
        <v>24331.35327</v>
      </c>
      <c r="BE122">
        <f t="shared" si="258"/>
        <v>18543.578</v>
      </c>
      <c r="BF122" s="144">
        <f t="shared" si="258"/>
        <v>24581.022</v>
      </c>
      <c r="BG122" s="144">
        <f t="shared" si="258"/>
        <v>16773.19969</v>
      </c>
      <c r="BH122" s="144">
        <f t="shared" si="258"/>
        <v>22470.18632</v>
      </c>
      <c r="BI122" s="144">
        <f t="shared" si="258"/>
        <v>11459.79502</v>
      </c>
      <c r="BJ122" s="144">
        <f t="shared" si="258"/>
        <v>13187.04874</v>
      </c>
      <c r="BK122" s="144">
        <f t="shared" si="258"/>
        <v>10077.53811</v>
      </c>
      <c r="BL122">
        <f t="shared" si="259"/>
        <v>251800</v>
      </c>
    </row>
    <row r="123">
      <c r="B123" s="1" t="s">
        <v>5520</v>
      </c>
      <c r="D123">
        <f t="shared" ref="D123:O123" si="260">D121+D122</f>
        <v>1760000</v>
      </c>
      <c r="E123">
        <f t="shared" si="260"/>
        <v>2530000</v>
      </c>
      <c r="F123">
        <f t="shared" si="260"/>
        <v>1760000</v>
      </c>
      <c r="G123">
        <f t="shared" si="260"/>
        <v>1980000</v>
      </c>
      <c r="H123">
        <f t="shared" si="260"/>
        <v>2090000</v>
      </c>
      <c r="I123">
        <f t="shared" si="260"/>
        <v>3850000</v>
      </c>
      <c r="J123">
        <f t="shared" si="260"/>
        <v>2420000</v>
      </c>
      <c r="K123">
        <f t="shared" si="260"/>
        <v>2618000</v>
      </c>
      <c r="L123">
        <f t="shared" si="260"/>
        <v>1925000</v>
      </c>
      <c r="M123">
        <f t="shared" si="260"/>
        <v>1903000</v>
      </c>
      <c r="N123">
        <f t="shared" si="260"/>
        <v>1474000</v>
      </c>
      <c r="O123">
        <f t="shared" si="260"/>
        <v>1320000</v>
      </c>
      <c r="P123">
        <f t="shared" si="255"/>
        <v>25630000</v>
      </c>
      <c r="U123">
        <v>24082.526315789473</v>
      </c>
      <c r="V123" s="133">
        <v>90080.84210526316</v>
      </c>
      <c r="W123" s="133">
        <v>364743.5789473684</v>
      </c>
      <c r="X123" s="133">
        <v>157298.52631578947</v>
      </c>
      <c r="Y123" s="146">
        <f t="shared" ref="Y123:AG123" si="261">Y122+2761</f>
        <v>18003.10526</v>
      </c>
      <c r="Z123" s="146">
        <f t="shared" si="261"/>
        <v>37513</v>
      </c>
      <c r="AA123" s="145">
        <f t="shared" si="261"/>
        <v>132318.8947</v>
      </c>
      <c r="AB123" s="146">
        <f t="shared" si="261"/>
        <v>132928.5789</v>
      </c>
      <c r="AC123" s="146">
        <f t="shared" si="261"/>
        <v>82044.89541</v>
      </c>
      <c r="AD123" s="146">
        <f t="shared" si="261"/>
        <v>108973.5256</v>
      </c>
      <c r="AE123" s="146">
        <f t="shared" si="261"/>
        <v>58699.52632</v>
      </c>
      <c r="AF123" s="146">
        <f t="shared" si="261"/>
        <v>189019.5263</v>
      </c>
      <c r="AG123" s="146">
        <f t="shared" si="261"/>
        <v>37817.84211</v>
      </c>
      <c r="AH123">
        <f>AH122/9</f>
        <v>2760.51462</v>
      </c>
      <c r="AI123" s="18">
        <f>SUM(U123:AG123)</f>
        <v>1433524.368</v>
      </c>
      <c r="BE123" s="133">
        <f>BE122+AY122</f>
        <v>30890.8319</v>
      </c>
    </row>
    <row r="124">
      <c r="B124" s="1" t="s">
        <v>5545</v>
      </c>
      <c r="D124">
        <v>94948.26218448296</v>
      </c>
      <c r="E124">
        <v>370909.0008142375</v>
      </c>
      <c r="F124">
        <v>166020.64557403745</v>
      </c>
      <c r="G124">
        <v>12483.216587181574</v>
      </c>
      <c r="H124">
        <v>55792.95021519135</v>
      </c>
      <c r="I124">
        <v>181465.21146911714</v>
      </c>
      <c r="J124">
        <v>179429.28381993718</v>
      </c>
      <c r="K124">
        <v>88428.0600854549</v>
      </c>
      <c r="L124">
        <v>117365.7652024362</v>
      </c>
      <c r="M124">
        <v>80409.16633709434</v>
      </c>
      <c r="N124">
        <v>181465.21146911714</v>
      </c>
      <c r="O124">
        <v>62455.98615796208</v>
      </c>
      <c r="P124">
        <f t="shared" si="255"/>
        <v>1591172.76</v>
      </c>
      <c r="AA124" s="146">
        <f>AA123+U123</f>
        <v>156401.4211</v>
      </c>
    </row>
    <row r="125">
      <c r="D125">
        <f t="shared" ref="D125:O125" si="262">D124-D126</f>
        <v>86316.60199</v>
      </c>
      <c r="E125">
        <f t="shared" si="262"/>
        <v>337190.0007</v>
      </c>
      <c r="F125">
        <f t="shared" si="262"/>
        <v>150927.8596</v>
      </c>
      <c r="G125">
        <f t="shared" si="262"/>
        <v>11348.37872</v>
      </c>
      <c r="H125">
        <f t="shared" si="262"/>
        <v>50720.86383</v>
      </c>
      <c r="I125">
        <f t="shared" si="262"/>
        <v>164968.3741</v>
      </c>
      <c r="J125">
        <f t="shared" si="262"/>
        <v>163117.5307</v>
      </c>
      <c r="K125">
        <f t="shared" si="262"/>
        <v>80389.14553</v>
      </c>
      <c r="L125">
        <f t="shared" si="262"/>
        <v>106696.1502</v>
      </c>
      <c r="M125">
        <f t="shared" si="262"/>
        <v>73099.24212</v>
      </c>
      <c r="N125">
        <f t="shared" si="262"/>
        <v>164968.3741</v>
      </c>
      <c r="O125">
        <f t="shared" si="262"/>
        <v>56778.16923</v>
      </c>
      <c r="P125">
        <f t="shared" si="255"/>
        <v>1446520.691</v>
      </c>
      <c r="AV125" s="1">
        <v>206640.0</v>
      </c>
      <c r="AX125" s="1" t="s">
        <v>5510</v>
      </c>
      <c r="AY125">
        <v>0.04903595669692353</v>
      </c>
      <c r="AZ125">
        <v>0.1757722712481634</v>
      </c>
      <c r="BA125">
        <v>0.07319337654026085</v>
      </c>
      <c r="BB125">
        <v>0.07319337654026085</v>
      </c>
      <c r="BC125">
        <v>0.06715402157942653</v>
      </c>
      <c r="BD125">
        <v>0.0966296793733493</v>
      </c>
      <c r="BE125">
        <v>0.0736440746716664</v>
      </c>
      <c r="BF125">
        <v>0.09762121526244151</v>
      </c>
      <c r="BG125">
        <v>0.06661318382173988</v>
      </c>
      <c r="BH125">
        <v>0.08923823001829834</v>
      </c>
      <c r="BI125">
        <v>0.045511497309332155</v>
      </c>
      <c r="BJ125">
        <v>0.052371122869324584</v>
      </c>
      <c r="BK125">
        <v>0.040021994068812586</v>
      </c>
      <c r="BL125">
        <f t="shared" ref="BL125:BL126" si="265">SUM(AY125:BK125)</f>
        <v>1</v>
      </c>
    </row>
    <row r="126">
      <c r="B126" s="1" t="s">
        <v>5499</v>
      </c>
      <c r="D126">
        <f t="shared" ref="D126:O126" si="263">D124/11</f>
        <v>8631.660199</v>
      </c>
      <c r="E126">
        <f t="shared" si="263"/>
        <v>33719.00007</v>
      </c>
      <c r="F126">
        <f t="shared" si="263"/>
        <v>15092.78596</v>
      </c>
      <c r="G126">
        <f t="shared" si="263"/>
        <v>1134.837872</v>
      </c>
      <c r="H126">
        <f t="shared" si="263"/>
        <v>5072.086383</v>
      </c>
      <c r="I126">
        <f t="shared" si="263"/>
        <v>16496.83741</v>
      </c>
      <c r="J126">
        <f t="shared" si="263"/>
        <v>16311.75307</v>
      </c>
      <c r="K126">
        <f t="shared" si="263"/>
        <v>8038.914553</v>
      </c>
      <c r="L126">
        <f t="shared" si="263"/>
        <v>10669.61502</v>
      </c>
      <c r="M126">
        <f t="shared" si="263"/>
        <v>7309.924212</v>
      </c>
      <c r="N126">
        <f t="shared" si="263"/>
        <v>16496.83741</v>
      </c>
      <c r="O126">
        <f t="shared" si="263"/>
        <v>5677.816923</v>
      </c>
      <c r="P126">
        <f t="shared" si="255"/>
        <v>144652.0691</v>
      </c>
      <c r="T126" s="1" t="s">
        <v>5629</v>
      </c>
      <c r="U126" s="1">
        <v>13884.0</v>
      </c>
      <c r="W126" s="1">
        <v>17112.0</v>
      </c>
      <c r="Y126" s="1">
        <v>52014.0</v>
      </c>
      <c r="AA126" s="1">
        <v>48435.0</v>
      </c>
      <c r="AC126" s="1">
        <v>58392.0</v>
      </c>
      <c r="AE126" s="1">
        <v>87026.0</v>
      </c>
      <c r="AH126" s="1">
        <v>4278.0</v>
      </c>
      <c r="AX126" s="1" t="s">
        <v>5630</v>
      </c>
      <c r="AY126">
        <f t="shared" ref="AY126:BK126" si="264">206640*AY125</f>
        <v>10132.79009</v>
      </c>
      <c r="AZ126" s="136">
        <f t="shared" si="264"/>
        <v>36321.58213</v>
      </c>
      <c r="BA126" s="136">
        <f t="shared" si="264"/>
        <v>15124.67933</v>
      </c>
      <c r="BB126" s="136">
        <f t="shared" si="264"/>
        <v>15124.67933</v>
      </c>
      <c r="BC126" s="136">
        <f t="shared" si="264"/>
        <v>13876.70702</v>
      </c>
      <c r="BD126" s="136">
        <f t="shared" si="264"/>
        <v>19967.55695</v>
      </c>
      <c r="BE126">
        <f t="shared" si="264"/>
        <v>15217.81159</v>
      </c>
      <c r="BF126" s="136">
        <f t="shared" si="264"/>
        <v>20172.44792</v>
      </c>
      <c r="BG126" s="136">
        <f t="shared" si="264"/>
        <v>13764.9483</v>
      </c>
      <c r="BH126" s="136">
        <f t="shared" si="264"/>
        <v>18440.18785</v>
      </c>
      <c r="BI126" s="136">
        <f t="shared" si="264"/>
        <v>9404.495804</v>
      </c>
      <c r="BJ126" s="136">
        <f t="shared" si="264"/>
        <v>10821.96883</v>
      </c>
      <c r="BK126" s="136">
        <f t="shared" si="264"/>
        <v>8270.144854</v>
      </c>
      <c r="BL126">
        <f t="shared" si="265"/>
        <v>206640</v>
      </c>
    </row>
    <row r="127">
      <c r="B127" s="1" t="s">
        <v>5613</v>
      </c>
      <c r="D127">
        <v>60461.25202254912</v>
      </c>
      <c r="E127">
        <v>50353.370915189626</v>
      </c>
      <c r="F127">
        <v>50353.370915189626</v>
      </c>
      <c r="G127">
        <v>16530.402272875574</v>
      </c>
      <c r="H127">
        <v>33238.18572726803</v>
      </c>
      <c r="I127">
        <v>67530.56764364717</v>
      </c>
      <c r="J127">
        <v>33579.24920021574</v>
      </c>
      <c r="K127">
        <v>22913.264228032716</v>
      </c>
      <c r="L127">
        <v>30695.712565294165</v>
      </c>
      <c r="M127">
        <v>15654.813408300026</v>
      </c>
      <c r="N127">
        <v>18014.352525692837</v>
      </c>
      <c r="O127">
        <v>13766.561998980413</v>
      </c>
      <c r="P127">
        <f t="shared" si="255"/>
        <v>413091.1034</v>
      </c>
      <c r="U127" s="1">
        <v>5238.0</v>
      </c>
      <c r="V127" s="1">
        <v>15740.0</v>
      </c>
      <c r="W127" s="1">
        <v>49623.0</v>
      </c>
      <c r="Y127" s="1">
        <v>13597.0</v>
      </c>
      <c r="AA127" s="1">
        <v>8552.0</v>
      </c>
      <c r="AE127" s="1">
        <v>85989.0</v>
      </c>
      <c r="AG127" s="1">
        <v>6480.0</v>
      </c>
      <c r="BE127" s="133">
        <f>BE126+AY126</f>
        <v>25350.60168</v>
      </c>
    </row>
    <row r="128">
      <c r="B128" s="23" t="s">
        <v>5598</v>
      </c>
      <c r="D128" s="18">
        <f t="shared" ref="D128:P128" si="266">SUM(D123,D124,D127)</f>
        <v>1915409.514</v>
      </c>
      <c r="E128" s="18">
        <f t="shared" si="266"/>
        <v>2951262.372</v>
      </c>
      <c r="F128" s="18">
        <f t="shared" si="266"/>
        <v>1976374.016</v>
      </c>
      <c r="G128" s="18">
        <f t="shared" si="266"/>
        <v>2009013.619</v>
      </c>
      <c r="H128" s="18">
        <f t="shared" si="266"/>
        <v>2179031.136</v>
      </c>
      <c r="I128" s="18">
        <f t="shared" si="266"/>
        <v>4098995.779</v>
      </c>
      <c r="J128" s="18">
        <f t="shared" si="266"/>
        <v>2633008.533</v>
      </c>
      <c r="K128" s="18">
        <f t="shared" si="266"/>
        <v>2729341.324</v>
      </c>
      <c r="L128" s="18">
        <f t="shared" si="266"/>
        <v>2073061.478</v>
      </c>
      <c r="M128" s="18">
        <f t="shared" si="266"/>
        <v>1999063.98</v>
      </c>
      <c r="N128" s="18">
        <f t="shared" si="266"/>
        <v>1673479.564</v>
      </c>
      <c r="O128" s="18">
        <f t="shared" si="266"/>
        <v>1396222.548</v>
      </c>
      <c r="P128" s="18">
        <f t="shared" si="266"/>
        <v>27634263.86</v>
      </c>
      <c r="U128">
        <f t="shared" ref="U128:U129" si="268">U126-U118</f>
        <v>610</v>
      </c>
      <c r="W128">
        <f>W126-W118</f>
        <v>996</v>
      </c>
      <c r="Y128">
        <f t="shared" ref="Y128:Y129" si="270">Y126-Y118</f>
        <v>227</v>
      </c>
      <c r="AA128">
        <f t="shared" ref="AA128:AA129" si="271">AA126-AA118</f>
        <v>1372</v>
      </c>
      <c r="AC128">
        <f>AC126-AC118</f>
        <v>666</v>
      </c>
      <c r="AE128">
        <f t="shared" ref="AE128:AE129" si="272">AE126-AE118</f>
        <v>1283</v>
      </c>
      <c r="AG128" s="100"/>
      <c r="AH128">
        <f>AH126-AH118</f>
        <v>150</v>
      </c>
    </row>
    <row r="129">
      <c r="B129" s="1" t="s">
        <v>5599</v>
      </c>
      <c r="D129">
        <f t="shared" ref="D129:O129" si="267">SUM(D121,D125,D127)</f>
        <v>1746777.854</v>
      </c>
      <c r="E129">
        <f t="shared" si="267"/>
        <v>2687543.372</v>
      </c>
      <c r="F129">
        <f t="shared" si="267"/>
        <v>1801281.231</v>
      </c>
      <c r="G129">
        <f t="shared" si="267"/>
        <v>1827878.781</v>
      </c>
      <c r="H129">
        <f t="shared" si="267"/>
        <v>1983959.05</v>
      </c>
      <c r="I129">
        <f t="shared" si="267"/>
        <v>3732498.942</v>
      </c>
      <c r="J129">
        <f t="shared" si="267"/>
        <v>2396696.78</v>
      </c>
      <c r="K129">
        <f t="shared" si="267"/>
        <v>2483302.41</v>
      </c>
      <c r="L129">
        <f t="shared" si="267"/>
        <v>1887391.863</v>
      </c>
      <c r="M129">
        <f t="shared" si="267"/>
        <v>1818754.056</v>
      </c>
      <c r="N129">
        <f t="shared" si="267"/>
        <v>1522982.727</v>
      </c>
      <c r="O129">
        <f t="shared" si="267"/>
        <v>1270544.731</v>
      </c>
      <c r="U129" s="147">
        <f t="shared" si="268"/>
        <v>143</v>
      </c>
      <c r="V129" s="100">
        <f t="shared" ref="V129:W129" si="269">V127-V119</f>
        <v>407</v>
      </c>
      <c r="W129" s="147">
        <f t="shared" si="269"/>
        <v>1872</v>
      </c>
      <c r="X129" s="137">
        <f>W128-50</f>
        <v>946</v>
      </c>
      <c r="Y129" s="147">
        <f t="shared" si="270"/>
        <v>72</v>
      </c>
      <c r="Z129" s="100">
        <f>Y128-Y129</f>
        <v>155</v>
      </c>
      <c r="AA129" s="147">
        <f t="shared" si="271"/>
        <v>661</v>
      </c>
      <c r="AB129" s="100">
        <f>AA128-AA129</f>
        <v>711</v>
      </c>
      <c r="AC129" s="147">
        <f>(AC128)*73.9/(73.9+99)</f>
        <v>284.6581839</v>
      </c>
      <c r="AD129" s="147">
        <f>(AC128)*99/(73.9+99)</f>
        <v>381.3418161</v>
      </c>
      <c r="AE129" s="100">
        <f t="shared" si="272"/>
        <v>342</v>
      </c>
      <c r="AF129" s="100"/>
      <c r="AG129" s="100">
        <f>AG127-AG119</f>
        <v>167</v>
      </c>
      <c r="AH129">
        <v>150.0</v>
      </c>
      <c r="AI129" s="18">
        <f t="shared" ref="AI129:AI130" si="275">SUM(U129:AH129)</f>
        <v>6292</v>
      </c>
      <c r="AL129" s="1">
        <v>7121.0</v>
      </c>
      <c r="AV129" s="1">
        <v>222350.0</v>
      </c>
      <c r="AX129" s="1" t="s">
        <v>5510</v>
      </c>
      <c r="AY129">
        <v>0.04903595669692353</v>
      </c>
      <c r="AZ129">
        <v>0.1757722712481634</v>
      </c>
      <c r="BA129">
        <v>0.07319337654026085</v>
      </c>
      <c r="BB129">
        <v>0.07319337654026085</v>
      </c>
      <c r="BC129">
        <v>0.06715402157942653</v>
      </c>
      <c r="BD129">
        <v>0.0966296793733493</v>
      </c>
      <c r="BE129">
        <v>0.0736440746716664</v>
      </c>
      <c r="BF129">
        <v>0.09762121526244151</v>
      </c>
      <c r="BG129">
        <v>0.06661318382173988</v>
      </c>
      <c r="BH129">
        <v>0.08923823001829834</v>
      </c>
      <c r="BI129">
        <v>0.045511497309332155</v>
      </c>
      <c r="BJ129">
        <v>0.052371122869324584</v>
      </c>
      <c r="BK129">
        <v>0.040021994068812586</v>
      </c>
      <c r="BL129">
        <f t="shared" ref="BL129:BL130" si="277">SUM(AY129:BK129)</f>
        <v>1</v>
      </c>
    </row>
    <row r="130">
      <c r="B130" s="1" t="s">
        <v>5601</v>
      </c>
      <c r="D130">
        <f t="shared" ref="D130:O130" si="273">SUM(D121,D125)</f>
        <v>1686316.602</v>
      </c>
      <c r="E130">
        <f t="shared" si="273"/>
        <v>2637190.001</v>
      </c>
      <c r="F130">
        <f t="shared" si="273"/>
        <v>1750927.86</v>
      </c>
      <c r="G130">
        <f t="shared" si="273"/>
        <v>1811348.379</v>
      </c>
      <c r="H130">
        <f t="shared" si="273"/>
        <v>1950720.864</v>
      </c>
      <c r="I130">
        <f t="shared" si="273"/>
        <v>3664968.374</v>
      </c>
      <c r="J130">
        <f t="shared" si="273"/>
        <v>2363117.531</v>
      </c>
      <c r="K130">
        <f t="shared" si="273"/>
        <v>2460389.146</v>
      </c>
      <c r="L130">
        <f t="shared" si="273"/>
        <v>1856696.15</v>
      </c>
      <c r="M130">
        <f t="shared" si="273"/>
        <v>1803099.242</v>
      </c>
      <c r="N130">
        <f t="shared" si="273"/>
        <v>1504968.374</v>
      </c>
      <c r="O130">
        <f t="shared" si="273"/>
        <v>1256778.169</v>
      </c>
      <c r="U130">
        <f t="shared" ref="U130:AH130" si="274">U129*960280/6292</f>
        <v>21824.54545</v>
      </c>
      <c r="V130">
        <f t="shared" si="274"/>
        <v>62116.01399</v>
      </c>
      <c r="W130">
        <f t="shared" si="274"/>
        <v>285703.1405</v>
      </c>
      <c r="X130">
        <f t="shared" si="274"/>
        <v>144377.7622</v>
      </c>
      <c r="Y130">
        <f t="shared" si="274"/>
        <v>10988.58233</v>
      </c>
      <c r="Z130">
        <f t="shared" si="274"/>
        <v>23655.97584</v>
      </c>
      <c r="AA130">
        <f t="shared" si="274"/>
        <v>100881.2905</v>
      </c>
      <c r="AB130">
        <f t="shared" si="274"/>
        <v>108512.2505</v>
      </c>
      <c r="AC130">
        <f t="shared" si="274"/>
        <v>43444.30401</v>
      </c>
      <c r="AD130">
        <f t="shared" si="274"/>
        <v>58200.08251</v>
      </c>
      <c r="AE130">
        <f t="shared" si="274"/>
        <v>52195.76605</v>
      </c>
      <c r="AF130">
        <f t="shared" si="274"/>
        <v>0</v>
      </c>
      <c r="AG130">
        <f t="shared" si="274"/>
        <v>25487.40623</v>
      </c>
      <c r="AH130">
        <f t="shared" si="274"/>
        <v>22892.87985</v>
      </c>
      <c r="AI130" s="18">
        <f t="shared" si="275"/>
        <v>960280</v>
      </c>
      <c r="AJ130" s="1">
        <v>960280.0</v>
      </c>
      <c r="AL130" s="1">
        <v>57491.0</v>
      </c>
      <c r="AX130" s="1" t="s">
        <v>5631</v>
      </c>
      <c r="AY130">
        <f t="shared" ref="AY130:BK130" si="276">222350*AY129</f>
        <v>10903.14497</v>
      </c>
      <c r="AZ130" s="55">
        <f t="shared" si="276"/>
        <v>39082.96451</v>
      </c>
      <c r="BA130" s="55">
        <f t="shared" si="276"/>
        <v>16274.54727</v>
      </c>
      <c r="BB130" s="55">
        <f t="shared" si="276"/>
        <v>16274.54727</v>
      </c>
      <c r="BC130" s="55">
        <f t="shared" si="276"/>
        <v>14931.6967</v>
      </c>
      <c r="BD130" s="55">
        <f t="shared" si="276"/>
        <v>21485.60921</v>
      </c>
      <c r="BE130">
        <f t="shared" si="276"/>
        <v>16374.76</v>
      </c>
      <c r="BF130" s="55">
        <f t="shared" si="276"/>
        <v>21706.07721</v>
      </c>
      <c r="BG130" s="55">
        <f t="shared" si="276"/>
        <v>14811.44142</v>
      </c>
      <c r="BH130" s="55">
        <f t="shared" si="276"/>
        <v>19842.12044</v>
      </c>
      <c r="BI130" s="55">
        <f t="shared" si="276"/>
        <v>10119.48143</v>
      </c>
      <c r="BJ130" s="55">
        <f t="shared" si="276"/>
        <v>11644.71917</v>
      </c>
      <c r="BK130" s="55">
        <f t="shared" si="276"/>
        <v>8898.890381</v>
      </c>
      <c r="BL130">
        <f t="shared" si="277"/>
        <v>222350</v>
      </c>
    </row>
    <row r="131">
      <c r="B131" s="1" t="s">
        <v>5582</v>
      </c>
      <c r="D131">
        <f t="shared" ref="D131:O131" si="278">SUM(D122,D126)</f>
        <v>168631.6602</v>
      </c>
      <c r="E131">
        <f t="shared" si="278"/>
        <v>263719.0001</v>
      </c>
      <c r="F131">
        <f t="shared" si="278"/>
        <v>175092.786</v>
      </c>
      <c r="G131">
        <f t="shared" si="278"/>
        <v>181134.8379</v>
      </c>
      <c r="H131">
        <f t="shared" si="278"/>
        <v>195072.0864</v>
      </c>
      <c r="I131">
        <f t="shared" si="278"/>
        <v>366496.8374</v>
      </c>
      <c r="J131">
        <f t="shared" si="278"/>
        <v>236311.7531</v>
      </c>
      <c r="K131">
        <f t="shared" si="278"/>
        <v>246038.9146</v>
      </c>
      <c r="L131">
        <f t="shared" si="278"/>
        <v>185669.615</v>
      </c>
      <c r="M131">
        <f t="shared" si="278"/>
        <v>180309.9242</v>
      </c>
      <c r="N131">
        <f t="shared" si="278"/>
        <v>150496.8374</v>
      </c>
      <c r="O131">
        <f t="shared" si="278"/>
        <v>125677.8169</v>
      </c>
      <c r="U131">
        <v>21824.545454545456</v>
      </c>
      <c r="V131" s="148">
        <v>62116.01398601398</v>
      </c>
      <c r="W131" s="148">
        <v>285703.14049586776</v>
      </c>
      <c r="X131" s="148">
        <v>144377.76223776225</v>
      </c>
      <c r="Y131" s="146">
        <f t="shared" ref="Y131:AE131" si="279">Y130+2862</f>
        <v>13850.58233</v>
      </c>
      <c r="Z131" s="146">
        <f t="shared" si="279"/>
        <v>26517.97584</v>
      </c>
      <c r="AA131" s="145">
        <f t="shared" si="279"/>
        <v>103743.2905</v>
      </c>
      <c r="AB131" s="146">
        <f t="shared" si="279"/>
        <v>111374.2505</v>
      </c>
      <c r="AC131" s="146">
        <f t="shared" si="279"/>
        <v>46306.30401</v>
      </c>
      <c r="AD131" s="146">
        <f t="shared" si="279"/>
        <v>61062.08251</v>
      </c>
      <c r="AE131" s="146">
        <f t="shared" si="279"/>
        <v>55057.76605</v>
      </c>
      <c r="AG131" s="146">
        <f>AG130+2862</f>
        <v>28349.40623</v>
      </c>
      <c r="AH131">
        <f>AH130/8</f>
        <v>2861.609981</v>
      </c>
      <c r="AI131" s="18">
        <f>SUM(U131:AG131)</f>
        <v>960283.1202</v>
      </c>
      <c r="BE131" s="133">
        <f>BE130+AY130</f>
        <v>27277.90497</v>
      </c>
    </row>
    <row r="132">
      <c r="B132" s="1" t="s">
        <v>5602</v>
      </c>
      <c r="D132">
        <f t="shared" ref="D132:O132" si="280">SUM(D130:D131)</f>
        <v>1854948.262</v>
      </c>
      <c r="E132">
        <f t="shared" si="280"/>
        <v>2900909.001</v>
      </c>
      <c r="F132">
        <f t="shared" si="280"/>
        <v>1926020.646</v>
      </c>
      <c r="G132">
        <f t="shared" si="280"/>
        <v>1992483.217</v>
      </c>
      <c r="H132">
        <f t="shared" si="280"/>
        <v>2145792.95</v>
      </c>
      <c r="I132">
        <f t="shared" si="280"/>
        <v>4031465.211</v>
      </c>
      <c r="J132">
        <f t="shared" si="280"/>
        <v>2599429.284</v>
      </c>
      <c r="K132">
        <f t="shared" si="280"/>
        <v>2706428.06</v>
      </c>
      <c r="L132">
        <f t="shared" si="280"/>
        <v>2042365.765</v>
      </c>
      <c r="M132">
        <f t="shared" si="280"/>
        <v>1983409.166</v>
      </c>
      <c r="N132">
        <f t="shared" si="280"/>
        <v>1655465.211</v>
      </c>
      <c r="O132">
        <f t="shared" si="280"/>
        <v>1382455.986</v>
      </c>
      <c r="AA132" s="146">
        <f>AA131+U131</f>
        <v>125567.836</v>
      </c>
    </row>
    <row r="133">
      <c r="D133" s="1" t="s">
        <v>5583</v>
      </c>
      <c r="E133" s="1" t="s">
        <v>5566</v>
      </c>
      <c r="F133" s="1" t="s">
        <v>5566</v>
      </c>
      <c r="G133" s="1" t="s">
        <v>5566</v>
      </c>
      <c r="H133" s="1" t="s">
        <v>5566</v>
      </c>
      <c r="I133" s="1" t="s">
        <v>5566</v>
      </c>
      <c r="J133" s="1" t="s">
        <v>5566</v>
      </c>
      <c r="K133" s="1" t="s">
        <v>5566</v>
      </c>
      <c r="L133" s="1" t="s">
        <v>5566</v>
      </c>
      <c r="M133" s="1" t="s">
        <v>5566</v>
      </c>
      <c r="N133" s="1" t="s">
        <v>5566</v>
      </c>
      <c r="O133" s="1" t="s">
        <v>5632</v>
      </c>
      <c r="AV133" s="1">
        <v>174040.0</v>
      </c>
      <c r="AX133" s="1" t="s">
        <v>5510</v>
      </c>
      <c r="AY133">
        <v>0.04903595669692353</v>
      </c>
      <c r="AZ133">
        <v>0.1757722712481634</v>
      </c>
      <c r="BA133">
        <v>0.07319337654026085</v>
      </c>
      <c r="BB133">
        <v>0.07319337654026085</v>
      </c>
      <c r="BC133">
        <v>0.06715402157942653</v>
      </c>
      <c r="BD133">
        <v>0.0966296793733493</v>
      </c>
      <c r="BE133">
        <v>0.0736440746716664</v>
      </c>
      <c r="BF133">
        <v>0.09762121526244151</v>
      </c>
      <c r="BG133">
        <v>0.06661318382173988</v>
      </c>
      <c r="BH133">
        <v>0.08923823001829834</v>
      </c>
      <c r="BI133">
        <v>0.045511497309332155</v>
      </c>
      <c r="BJ133">
        <v>0.052371122869324584</v>
      </c>
      <c r="BK133">
        <v>0.040021994068812586</v>
      </c>
      <c r="BL133">
        <f t="shared" ref="BL133:BL134" si="282">SUM(AY133:BK133)</f>
        <v>1</v>
      </c>
    </row>
    <row r="134">
      <c r="T134" s="1" t="s">
        <v>5633</v>
      </c>
      <c r="U134" s="1">
        <v>14634.0</v>
      </c>
      <c r="W134" s="1">
        <v>18099.0</v>
      </c>
      <c r="Y134" s="1">
        <v>52372.0</v>
      </c>
      <c r="AA134" s="1">
        <v>49712.0</v>
      </c>
      <c r="AC134" s="1">
        <v>58974.0</v>
      </c>
      <c r="AE134" s="1">
        <v>87459.0</v>
      </c>
      <c r="AH134" s="1">
        <v>4426.0</v>
      </c>
      <c r="AX134" s="1" t="s">
        <v>5634</v>
      </c>
      <c r="AY134">
        <f t="shared" ref="AY134:BK134" si="281">174040*AY133</f>
        <v>8534.217904</v>
      </c>
      <c r="AZ134" s="136">
        <f t="shared" si="281"/>
        <v>30591.40609</v>
      </c>
      <c r="BA134" s="136">
        <f t="shared" si="281"/>
        <v>12738.57525</v>
      </c>
      <c r="BB134" s="136">
        <f t="shared" si="281"/>
        <v>12738.57525</v>
      </c>
      <c r="BC134" s="136">
        <f t="shared" si="281"/>
        <v>11687.48592</v>
      </c>
      <c r="BD134" s="136">
        <f t="shared" si="281"/>
        <v>16817.4294</v>
      </c>
      <c r="BE134">
        <f t="shared" si="281"/>
        <v>12817.01476</v>
      </c>
      <c r="BF134" s="136">
        <f t="shared" si="281"/>
        <v>16989.9963</v>
      </c>
      <c r="BG134" s="136">
        <f t="shared" si="281"/>
        <v>11593.35851</v>
      </c>
      <c r="BH134" s="136">
        <f t="shared" si="281"/>
        <v>15531.02155</v>
      </c>
      <c r="BI134" s="136">
        <f t="shared" si="281"/>
        <v>7920.820992</v>
      </c>
      <c r="BJ134" s="136">
        <f t="shared" si="281"/>
        <v>9114.670224</v>
      </c>
      <c r="BK134" s="136">
        <f t="shared" si="281"/>
        <v>6965.427848</v>
      </c>
      <c r="BL134">
        <f t="shared" si="282"/>
        <v>174040</v>
      </c>
    </row>
    <row r="135">
      <c r="J135">
        <f>(220*9/31)+(227*22/31)</f>
        <v>224.9677419</v>
      </c>
      <c r="K135" s="1" t="s">
        <v>5635</v>
      </c>
      <c r="L135">
        <f>(175*4/31)+(181*27/31)</f>
        <v>180.2258065</v>
      </c>
      <c r="U135" s="1">
        <v>5380.0</v>
      </c>
      <c r="V135" s="1">
        <v>16243.0</v>
      </c>
      <c r="W135" s="1">
        <v>51086.0</v>
      </c>
      <c r="Y135" s="1">
        <v>13654.0</v>
      </c>
      <c r="AA135" s="1">
        <v>9291.0</v>
      </c>
      <c r="AE135" s="1">
        <v>86183.0</v>
      </c>
      <c r="AG135" s="1">
        <v>6663.0</v>
      </c>
      <c r="BE135" s="133">
        <f>BE134+AY134</f>
        <v>21351.23266</v>
      </c>
    </row>
    <row r="136">
      <c r="B136" s="1" t="s">
        <v>5636</v>
      </c>
      <c r="D136" s="1">
        <v>1600000.0</v>
      </c>
      <c r="E136" s="1">
        <v>2300000.0</v>
      </c>
      <c r="F136" s="1">
        <v>1600000.0</v>
      </c>
      <c r="G136" s="1">
        <v>1800000.0</v>
      </c>
      <c r="H136" s="1">
        <v>1900000.0</v>
      </c>
      <c r="I136" s="1">
        <v>3500000.0</v>
      </c>
      <c r="J136" s="1">
        <v>2249677.0</v>
      </c>
      <c r="K136" s="1">
        <v>2380000.0</v>
      </c>
      <c r="L136" s="1">
        <v>1802258.0</v>
      </c>
      <c r="M136" s="1">
        <v>1730000.0</v>
      </c>
      <c r="N136" s="1">
        <v>1340000.0</v>
      </c>
      <c r="O136" s="1">
        <v>1200000.0</v>
      </c>
      <c r="P136">
        <f t="shared" ref="P136:P144" si="284">SUM(D136:O136)</f>
        <v>23401935</v>
      </c>
      <c r="U136">
        <f t="shared" ref="U136:U137" si="285">U134-U126</f>
        <v>750</v>
      </c>
      <c r="W136">
        <f>W134-W126</f>
        <v>987</v>
      </c>
      <c r="Y136">
        <f t="shared" ref="Y136:Y137" si="287">Y134-Y126</f>
        <v>358</v>
      </c>
      <c r="AA136">
        <f t="shared" ref="AA136:AA137" si="288">AA134-AA126</f>
        <v>1277</v>
      </c>
      <c r="AC136">
        <f>AC134-AC126</f>
        <v>582</v>
      </c>
      <c r="AE136">
        <f t="shared" ref="AE136:AE137" si="289">AE134-AE126</f>
        <v>433</v>
      </c>
      <c r="AH136">
        <f>AH134-AH126</f>
        <v>148</v>
      </c>
    </row>
    <row r="137">
      <c r="B137" s="1" t="s">
        <v>5499</v>
      </c>
      <c r="D137" s="1">
        <f t="shared" ref="D137:O137" si="283">D136*0.1</f>
        <v>160000</v>
      </c>
      <c r="E137" s="1">
        <f t="shared" si="283"/>
        <v>230000</v>
      </c>
      <c r="F137" s="1">
        <f t="shared" si="283"/>
        <v>160000</v>
      </c>
      <c r="G137" s="1">
        <f t="shared" si="283"/>
        <v>180000</v>
      </c>
      <c r="H137" s="1">
        <f t="shared" si="283"/>
        <v>190000</v>
      </c>
      <c r="I137" s="1">
        <f t="shared" si="283"/>
        <v>350000</v>
      </c>
      <c r="J137" s="1">
        <f t="shared" si="283"/>
        <v>224967.7</v>
      </c>
      <c r="K137" s="1">
        <f t="shared" si="283"/>
        <v>238000</v>
      </c>
      <c r="L137" s="1">
        <f t="shared" si="283"/>
        <v>180225.8</v>
      </c>
      <c r="M137" s="1">
        <f t="shared" si="283"/>
        <v>173000</v>
      </c>
      <c r="N137" s="1">
        <f t="shared" si="283"/>
        <v>134000</v>
      </c>
      <c r="O137" s="1">
        <f t="shared" si="283"/>
        <v>120000</v>
      </c>
      <c r="P137">
        <f t="shared" si="284"/>
        <v>2340193.5</v>
      </c>
      <c r="U137" s="147">
        <f t="shared" si="285"/>
        <v>142</v>
      </c>
      <c r="V137" s="147">
        <f t="shared" ref="V137:W137" si="286">V135-V127</f>
        <v>503</v>
      </c>
      <c r="W137" s="147">
        <f t="shared" si="286"/>
        <v>1463</v>
      </c>
      <c r="X137" s="137">
        <f>W136-50</f>
        <v>937</v>
      </c>
      <c r="Y137" s="147">
        <f t="shared" si="287"/>
        <v>57</v>
      </c>
      <c r="Z137" s="100">
        <f>Y136-Y137</f>
        <v>301</v>
      </c>
      <c r="AA137" s="147">
        <f t="shared" si="288"/>
        <v>739</v>
      </c>
      <c r="AB137" s="100">
        <f>AA136-AA137</f>
        <v>538</v>
      </c>
      <c r="AC137" s="147">
        <f>(AC136)*73.9/(73.9+99)</f>
        <v>248.7553499</v>
      </c>
      <c r="AD137" s="147">
        <f>(AC136)*99/(73.9+99)</f>
        <v>333.2446501</v>
      </c>
      <c r="AE137" s="147">
        <f t="shared" si="289"/>
        <v>194</v>
      </c>
      <c r="AF137" s="137">
        <v>0.0</v>
      </c>
      <c r="AG137" s="147">
        <f>AG135-AG127</f>
        <v>183</v>
      </c>
      <c r="AH137">
        <v>148.0</v>
      </c>
      <c r="AI137" s="18">
        <f t="shared" ref="AI137:AI138" si="292">SUM(U137:AH137)</f>
        <v>5787</v>
      </c>
      <c r="AL137" s="1">
        <v>6553.0</v>
      </c>
      <c r="AV137" s="1">
        <v>254380.0</v>
      </c>
      <c r="AX137" s="1" t="s">
        <v>5510</v>
      </c>
      <c r="AY137">
        <v>0.04903595669692353</v>
      </c>
      <c r="AZ137">
        <v>0.1757722712481634</v>
      </c>
      <c r="BA137">
        <v>0.07319337654026085</v>
      </c>
      <c r="BB137">
        <v>0.07319337654026085</v>
      </c>
      <c r="BC137">
        <v>0.06715402157942653</v>
      </c>
      <c r="BD137">
        <v>0.0966296793733493</v>
      </c>
      <c r="BE137">
        <v>0.0736440746716664</v>
      </c>
      <c r="BF137">
        <v>0.09762121526244151</v>
      </c>
      <c r="BG137">
        <v>0.06661318382173988</v>
      </c>
      <c r="BH137">
        <v>0.08923823001829834</v>
      </c>
      <c r="BI137">
        <v>0.045511497309332155</v>
      </c>
      <c r="BJ137">
        <v>0.052371122869324584</v>
      </c>
      <c r="BK137">
        <v>0.040021994068812586</v>
      </c>
      <c r="BL137">
        <f t="shared" ref="BL137:BL138" si="294">SUM(AY137:BK137)</f>
        <v>1</v>
      </c>
    </row>
    <row r="138">
      <c r="B138" s="1" t="s">
        <v>5520</v>
      </c>
      <c r="D138">
        <f t="shared" ref="D138:O138" si="290">D136+D137</f>
        <v>1760000</v>
      </c>
      <c r="E138">
        <f t="shared" si="290"/>
        <v>2530000</v>
      </c>
      <c r="F138">
        <f t="shared" si="290"/>
        <v>1760000</v>
      </c>
      <c r="G138">
        <f t="shared" si="290"/>
        <v>1980000</v>
      </c>
      <c r="H138">
        <f t="shared" si="290"/>
        <v>2090000</v>
      </c>
      <c r="I138">
        <f t="shared" si="290"/>
        <v>3850000</v>
      </c>
      <c r="J138">
        <f t="shared" si="290"/>
        <v>2474644.7</v>
      </c>
      <c r="K138">
        <f t="shared" si="290"/>
        <v>2618000</v>
      </c>
      <c r="L138">
        <f t="shared" si="290"/>
        <v>1982483.8</v>
      </c>
      <c r="M138">
        <f t="shared" si="290"/>
        <v>1903000</v>
      </c>
      <c r="N138">
        <f t="shared" si="290"/>
        <v>1474000</v>
      </c>
      <c r="O138">
        <f t="shared" si="290"/>
        <v>1320000</v>
      </c>
      <c r="P138">
        <f t="shared" si="284"/>
        <v>25742128.5</v>
      </c>
      <c r="U138">
        <f t="shared" ref="U138:AH138" si="291">U137*989820/5787</f>
        <v>24287.96267</v>
      </c>
      <c r="V138">
        <f t="shared" si="291"/>
        <v>86034.12131</v>
      </c>
      <c r="W138">
        <f t="shared" si="291"/>
        <v>250234.4323</v>
      </c>
      <c r="X138">
        <f t="shared" si="291"/>
        <v>160266.3453</v>
      </c>
      <c r="Y138">
        <f t="shared" si="291"/>
        <v>9749.393468</v>
      </c>
      <c r="Z138">
        <f t="shared" si="291"/>
        <v>51483.63919</v>
      </c>
      <c r="AA138">
        <f t="shared" si="291"/>
        <v>126400.0311</v>
      </c>
      <c r="AB138">
        <f t="shared" si="291"/>
        <v>92020.59098</v>
      </c>
      <c r="AC138">
        <f t="shared" si="291"/>
        <v>42547.61024</v>
      </c>
      <c r="AD138">
        <f t="shared" si="291"/>
        <v>56998.82833</v>
      </c>
      <c r="AE138">
        <f t="shared" si="291"/>
        <v>33182.14619</v>
      </c>
      <c r="AF138">
        <f t="shared" si="291"/>
        <v>0</v>
      </c>
      <c r="AG138">
        <f t="shared" si="291"/>
        <v>31300.68429</v>
      </c>
      <c r="AH138">
        <f t="shared" si="291"/>
        <v>25314.21462</v>
      </c>
      <c r="AI138" s="18">
        <f t="shared" si="292"/>
        <v>989820</v>
      </c>
      <c r="AJ138" s="1">
        <v>989820.0</v>
      </c>
      <c r="AL138" s="1">
        <v>64044.0</v>
      </c>
      <c r="AX138" s="1" t="s">
        <v>5637</v>
      </c>
      <c r="AY138">
        <f t="shared" ref="AY138:BK138" si="293">254380*AY137</f>
        <v>12473.76666</v>
      </c>
      <c r="AZ138" s="144">
        <f t="shared" si="293"/>
        <v>44712.95036</v>
      </c>
      <c r="BA138" s="144">
        <f t="shared" si="293"/>
        <v>18618.93112</v>
      </c>
      <c r="BB138" s="144">
        <f t="shared" si="293"/>
        <v>18618.93112</v>
      </c>
      <c r="BC138" s="144">
        <f t="shared" si="293"/>
        <v>17082.64001</v>
      </c>
      <c r="BD138" s="144">
        <f t="shared" si="293"/>
        <v>24580.65784</v>
      </c>
      <c r="BE138">
        <f t="shared" si="293"/>
        <v>18733.57971</v>
      </c>
      <c r="BF138" s="144">
        <f t="shared" si="293"/>
        <v>24832.88474</v>
      </c>
      <c r="BG138" s="144">
        <f t="shared" si="293"/>
        <v>16945.0617</v>
      </c>
      <c r="BH138" s="144">
        <f t="shared" si="293"/>
        <v>22700.42095</v>
      </c>
      <c r="BI138" s="144">
        <f t="shared" si="293"/>
        <v>11577.21469</v>
      </c>
      <c r="BJ138" s="144">
        <f t="shared" si="293"/>
        <v>13322.16624</v>
      </c>
      <c r="BK138" s="144">
        <f t="shared" si="293"/>
        <v>10180.79485</v>
      </c>
      <c r="BL138">
        <f t="shared" si="294"/>
        <v>254380</v>
      </c>
    </row>
    <row r="139">
      <c r="B139" s="1" t="s">
        <v>5545</v>
      </c>
      <c r="D139">
        <v>114075.59935509875</v>
      </c>
      <c r="E139">
        <v>463772.55945183395</v>
      </c>
      <c r="F139">
        <v>178350.11850060459</v>
      </c>
      <c r="G139">
        <v>22583.803708182186</v>
      </c>
      <c r="H139">
        <v>69427.94478033051</v>
      </c>
      <c r="I139">
        <v>173854.58484482064</v>
      </c>
      <c r="J139">
        <v>202490.20596533656</v>
      </c>
      <c r="K139">
        <v>127007.83346446295</v>
      </c>
      <c r="L139">
        <v>169188.34388338067</v>
      </c>
      <c r="M139">
        <v>94172.85650947198</v>
      </c>
      <c r="N139">
        <v>240619.1580008061</v>
      </c>
      <c r="O139">
        <v>75030.56630390971</v>
      </c>
      <c r="P139">
        <f t="shared" si="284"/>
        <v>1930573.575</v>
      </c>
      <c r="U139">
        <v>24287.96267496112</v>
      </c>
      <c r="V139" s="149">
        <v>86034.12130637636</v>
      </c>
      <c r="W139" s="149">
        <v>250234.43234836703</v>
      </c>
      <c r="X139" s="149">
        <v>160266.34525660964</v>
      </c>
      <c r="Y139" s="146">
        <f t="shared" ref="Y139:AE139" si="295">Y138+3164</f>
        <v>12913.39347</v>
      </c>
      <c r="Z139" s="146">
        <f t="shared" si="295"/>
        <v>54647.63919</v>
      </c>
      <c r="AA139" s="145">
        <f t="shared" si="295"/>
        <v>129564.0311</v>
      </c>
      <c r="AB139" s="146">
        <f t="shared" si="295"/>
        <v>95184.59098</v>
      </c>
      <c r="AC139" s="146">
        <f t="shared" si="295"/>
        <v>45711.61024</v>
      </c>
      <c r="AD139" s="146">
        <f t="shared" si="295"/>
        <v>60162.82833</v>
      </c>
      <c r="AE139" s="146">
        <f t="shared" si="295"/>
        <v>36346.14619</v>
      </c>
      <c r="AG139" s="146">
        <f>AG138+3164</f>
        <v>34464.68429</v>
      </c>
      <c r="AH139">
        <f>AH138/8</f>
        <v>3164.276827</v>
      </c>
      <c r="AI139" s="18">
        <f>SUM(U139:AG139)</f>
        <v>989817.7854</v>
      </c>
      <c r="BE139" s="133">
        <f>BE138+AY138</f>
        <v>31207.34638</v>
      </c>
    </row>
    <row r="140">
      <c r="D140">
        <f t="shared" ref="D140:O140" si="296">D139-D141</f>
        <v>103705.0903</v>
      </c>
      <c r="E140">
        <f t="shared" si="296"/>
        <v>421611.4177</v>
      </c>
      <c r="F140">
        <f t="shared" si="296"/>
        <v>162136.4714</v>
      </c>
      <c r="G140">
        <f t="shared" si="296"/>
        <v>20530.73064</v>
      </c>
      <c r="H140">
        <f t="shared" si="296"/>
        <v>63116.31344</v>
      </c>
      <c r="I140">
        <f t="shared" si="296"/>
        <v>158049.6226</v>
      </c>
      <c r="J140">
        <f t="shared" si="296"/>
        <v>184082.0054</v>
      </c>
      <c r="K140">
        <f t="shared" si="296"/>
        <v>115461.6668</v>
      </c>
      <c r="L140">
        <f t="shared" si="296"/>
        <v>153807.5853</v>
      </c>
      <c r="M140">
        <f t="shared" si="296"/>
        <v>85611.68774</v>
      </c>
      <c r="N140">
        <f t="shared" si="296"/>
        <v>218744.6891</v>
      </c>
      <c r="O140">
        <f t="shared" si="296"/>
        <v>68209.60573</v>
      </c>
      <c r="P140">
        <f t="shared" si="284"/>
        <v>1755066.886</v>
      </c>
      <c r="AA140" s="146">
        <f>AA139+U139</f>
        <v>153851.9938</v>
      </c>
    </row>
    <row r="141">
      <c r="B141" s="1" t="s">
        <v>5499</v>
      </c>
      <c r="D141">
        <f t="shared" ref="D141:O141" si="297">D139/11</f>
        <v>10370.50903</v>
      </c>
      <c r="E141">
        <f t="shared" si="297"/>
        <v>42161.14177</v>
      </c>
      <c r="F141">
        <f t="shared" si="297"/>
        <v>16213.64714</v>
      </c>
      <c r="G141">
        <f t="shared" si="297"/>
        <v>2053.073064</v>
      </c>
      <c r="H141">
        <f t="shared" si="297"/>
        <v>6311.631344</v>
      </c>
      <c r="I141">
        <f t="shared" si="297"/>
        <v>15804.96226</v>
      </c>
      <c r="J141">
        <f t="shared" si="297"/>
        <v>18408.20054</v>
      </c>
      <c r="K141">
        <f t="shared" si="297"/>
        <v>11546.16668</v>
      </c>
      <c r="L141">
        <f t="shared" si="297"/>
        <v>15380.75853</v>
      </c>
      <c r="M141">
        <f t="shared" si="297"/>
        <v>8561.168774</v>
      </c>
      <c r="N141">
        <f t="shared" si="297"/>
        <v>21874.46891</v>
      </c>
      <c r="O141">
        <f t="shared" si="297"/>
        <v>6820.960573</v>
      </c>
      <c r="P141">
        <f t="shared" si="284"/>
        <v>175506.6886</v>
      </c>
      <c r="AV141" s="1">
        <v>92500.0</v>
      </c>
      <c r="AX141" s="1" t="s">
        <v>5510</v>
      </c>
      <c r="AY141">
        <v>0.04903595669692353</v>
      </c>
      <c r="AZ141">
        <v>0.1757722712481634</v>
      </c>
      <c r="BA141">
        <v>0.07319337654026085</v>
      </c>
      <c r="BB141">
        <v>0.07319337654026085</v>
      </c>
      <c r="BC141">
        <v>0.06715402157942653</v>
      </c>
      <c r="BD141">
        <v>0.0966296793733493</v>
      </c>
      <c r="BE141">
        <v>0.0736440746716664</v>
      </c>
      <c r="BF141">
        <v>0.09762121526244151</v>
      </c>
      <c r="BG141">
        <v>0.06661318382173988</v>
      </c>
      <c r="BH141">
        <v>0.08923823001829834</v>
      </c>
      <c r="BI141">
        <v>0.045511497309332155</v>
      </c>
      <c r="BJ141">
        <v>0.052371122869324584</v>
      </c>
      <c r="BK141">
        <v>0.040021994068812586</v>
      </c>
      <c r="BL141">
        <f t="shared" ref="BL141:BL142" si="300">SUM(AY141:BK141)</f>
        <v>1</v>
      </c>
    </row>
    <row r="142">
      <c r="B142" s="23" t="s">
        <v>5528</v>
      </c>
      <c r="D142" s="18">
        <f t="shared" ref="D142:O142" si="298">SUM(D138,D139)</f>
        <v>1874075.599</v>
      </c>
      <c r="E142" s="18">
        <f t="shared" si="298"/>
        <v>2993772.559</v>
      </c>
      <c r="F142" s="18">
        <f t="shared" si="298"/>
        <v>1938350.119</v>
      </c>
      <c r="G142" s="18">
        <f t="shared" si="298"/>
        <v>2002583.804</v>
      </c>
      <c r="H142" s="18">
        <f t="shared" si="298"/>
        <v>2159427.945</v>
      </c>
      <c r="I142" s="18">
        <f t="shared" si="298"/>
        <v>4023854.585</v>
      </c>
      <c r="J142" s="18">
        <f t="shared" si="298"/>
        <v>2677134.906</v>
      </c>
      <c r="K142" s="18">
        <f t="shared" si="298"/>
        <v>2745007.833</v>
      </c>
      <c r="L142" s="18">
        <f t="shared" si="298"/>
        <v>2151672.144</v>
      </c>
      <c r="M142" s="18">
        <f t="shared" si="298"/>
        <v>1997172.857</v>
      </c>
      <c r="N142" s="18">
        <f t="shared" si="298"/>
        <v>1714619.158</v>
      </c>
      <c r="O142" s="18">
        <f t="shared" si="298"/>
        <v>1395030.566</v>
      </c>
      <c r="P142">
        <f t="shared" si="284"/>
        <v>27672702.07</v>
      </c>
      <c r="T142" s="1" t="s">
        <v>3742</v>
      </c>
      <c r="U142" s="1">
        <v>15548.0</v>
      </c>
      <c r="W142" s="1">
        <v>19175.0</v>
      </c>
      <c r="Y142" s="1">
        <v>53846.0</v>
      </c>
      <c r="AA142" s="1">
        <v>51993.0</v>
      </c>
      <c r="AC142" s="1">
        <v>60718.0</v>
      </c>
      <c r="AE142" s="1">
        <v>88327.0</v>
      </c>
      <c r="AH142" s="1">
        <v>4580.0</v>
      </c>
      <c r="AX142" s="1" t="s">
        <v>5623</v>
      </c>
      <c r="AY142">
        <f t="shared" ref="AY142:BK142" si="299">92500*AY141</f>
        <v>4535.825994</v>
      </c>
      <c r="AZ142" s="144">
        <f t="shared" si="299"/>
        <v>16258.93509</v>
      </c>
      <c r="BA142" s="144">
        <f t="shared" si="299"/>
        <v>6770.38733</v>
      </c>
      <c r="BB142" s="144">
        <f t="shared" si="299"/>
        <v>6770.38733</v>
      </c>
      <c r="BC142" s="144">
        <f t="shared" si="299"/>
        <v>6211.746996</v>
      </c>
      <c r="BD142" s="144">
        <f t="shared" si="299"/>
        <v>8938.245342</v>
      </c>
      <c r="BE142">
        <f t="shared" si="299"/>
        <v>6812.076907</v>
      </c>
      <c r="BF142" s="144">
        <f t="shared" si="299"/>
        <v>9029.962412</v>
      </c>
      <c r="BG142" s="144">
        <f t="shared" si="299"/>
        <v>6161.719504</v>
      </c>
      <c r="BH142" s="144">
        <f t="shared" si="299"/>
        <v>8254.536277</v>
      </c>
      <c r="BI142" s="144">
        <f t="shared" si="299"/>
        <v>4209.813501</v>
      </c>
      <c r="BJ142" s="144">
        <f t="shared" si="299"/>
        <v>4844.328865</v>
      </c>
      <c r="BK142" s="144">
        <f t="shared" si="299"/>
        <v>3702.034451</v>
      </c>
      <c r="BL142">
        <f t="shared" si="300"/>
        <v>92500</v>
      </c>
    </row>
    <row r="143">
      <c r="B143" s="1" t="s">
        <v>5580</v>
      </c>
      <c r="D143">
        <f t="shared" ref="D143:O143" si="301">D136+D140</f>
        <v>1703705.09</v>
      </c>
      <c r="E143">
        <f t="shared" si="301"/>
        <v>2721611.418</v>
      </c>
      <c r="F143">
        <f t="shared" si="301"/>
        <v>1762136.471</v>
      </c>
      <c r="G143">
        <f t="shared" si="301"/>
        <v>1820530.731</v>
      </c>
      <c r="H143">
        <f t="shared" si="301"/>
        <v>1963116.313</v>
      </c>
      <c r="I143">
        <f t="shared" si="301"/>
        <v>3658049.623</v>
      </c>
      <c r="J143">
        <f t="shared" si="301"/>
        <v>2433759.005</v>
      </c>
      <c r="K143">
        <f t="shared" si="301"/>
        <v>2495461.667</v>
      </c>
      <c r="L143">
        <f t="shared" si="301"/>
        <v>1956065.585</v>
      </c>
      <c r="M143">
        <f t="shared" si="301"/>
        <v>1815611.688</v>
      </c>
      <c r="N143">
        <f t="shared" si="301"/>
        <v>1558744.689</v>
      </c>
      <c r="O143">
        <f t="shared" si="301"/>
        <v>1268209.606</v>
      </c>
      <c r="P143">
        <f t="shared" si="284"/>
        <v>25157001.89</v>
      </c>
      <c r="U143" s="1">
        <v>5502.0</v>
      </c>
      <c r="V143" s="1">
        <v>16842.0</v>
      </c>
      <c r="W143" s="1">
        <v>53409.0</v>
      </c>
      <c r="Y143" s="1">
        <v>14078.0</v>
      </c>
      <c r="AA143" s="1">
        <v>10659.0</v>
      </c>
      <c r="AE143" s="1">
        <v>86745.0</v>
      </c>
      <c r="AG143" s="1">
        <v>6953.0</v>
      </c>
      <c r="BE143" s="133">
        <f>BE142+AY142</f>
        <v>11347.9029</v>
      </c>
    </row>
    <row r="144">
      <c r="B144" s="1" t="s">
        <v>5582</v>
      </c>
      <c r="D144">
        <f t="shared" ref="D144:O144" si="302">D137+D141</f>
        <v>170370.509</v>
      </c>
      <c r="E144">
        <f t="shared" si="302"/>
        <v>272161.1418</v>
      </c>
      <c r="F144">
        <f t="shared" si="302"/>
        <v>176213.6471</v>
      </c>
      <c r="G144">
        <f t="shared" si="302"/>
        <v>182053.0731</v>
      </c>
      <c r="H144">
        <f t="shared" si="302"/>
        <v>196311.6313</v>
      </c>
      <c r="I144">
        <f t="shared" si="302"/>
        <v>365804.9623</v>
      </c>
      <c r="J144">
        <f t="shared" si="302"/>
        <v>243375.9005</v>
      </c>
      <c r="K144">
        <f t="shared" si="302"/>
        <v>249546.1667</v>
      </c>
      <c r="L144">
        <f t="shared" si="302"/>
        <v>195606.5585</v>
      </c>
      <c r="M144">
        <f t="shared" si="302"/>
        <v>181561.1688</v>
      </c>
      <c r="N144">
        <f t="shared" si="302"/>
        <v>155874.4689</v>
      </c>
      <c r="O144">
        <f t="shared" si="302"/>
        <v>126820.9606</v>
      </c>
      <c r="P144">
        <f t="shared" si="284"/>
        <v>2515700.189</v>
      </c>
      <c r="U144">
        <f t="shared" ref="U144:U145" si="303">U142-U134</f>
        <v>914</v>
      </c>
      <c r="V144" s="1"/>
      <c r="W144">
        <f>W142-W134</f>
        <v>1076</v>
      </c>
      <c r="Y144">
        <f t="shared" ref="Y144:Y145" si="305">Y142-Y134</f>
        <v>1474</v>
      </c>
      <c r="AA144">
        <f t="shared" ref="AA144:AA145" si="306">AA142-AA134</f>
        <v>2281</v>
      </c>
      <c r="AC144">
        <f>AC142-AC134</f>
        <v>1744</v>
      </c>
      <c r="AE144">
        <f t="shared" ref="AE144:AE145" si="307">AE142-AE134</f>
        <v>868</v>
      </c>
      <c r="AH144">
        <f>AH142-AH134</f>
        <v>154</v>
      </c>
    </row>
    <row r="145">
      <c r="D145" s="1" t="s">
        <v>5583</v>
      </c>
      <c r="E145" s="1" t="s">
        <v>5566</v>
      </c>
      <c r="F145" s="1" t="s">
        <v>5566</v>
      </c>
      <c r="G145" s="1" t="s">
        <v>5566</v>
      </c>
      <c r="H145" s="1" t="s">
        <v>5566</v>
      </c>
      <c r="I145" s="1" t="s">
        <v>5566</v>
      </c>
      <c r="J145" s="1" t="s">
        <v>5566</v>
      </c>
      <c r="K145" s="1" t="s">
        <v>5566</v>
      </c>
      <c r="L145" s="1" t="s">
        <v>5566</v>
      </c>
      <c r="M145" s="1" t="s">
        <v>5566</v>
      </c>
      <c r="N145" s="1" t="s">
        <v>5566</v>
      </c>
      <c r="O145" s="1" t="s">
        <v>5638</v>
      </c>
      <c r="U145" s="147">
        <f t="shared" si="303"/>
        <v>122</v>
      </c>
      <c r="V145" s="147">
        <f t="shared" ref="V145:W145" si="304">V143-V135</f>
        <v>599</v>
      </c>
      <c r="W145" s="147">
        <f t="shared" si="304"/>
        <v>2323</v>
      </c>
      <c r="X145" s="137">
        <f>W144-50</f>
        <v>1026</v>
      </c>
      <c r="Y145" s="147">
        <f t="shared" si="305"/>
        <v>424</v>
      </c>
      <c r="Z145" s="100">
        <f>Y144-Y145-50</f>
        <v>1000</v>
      </c>
      <c r="AA145" s="147">
        <f t="shared" si="306"/>
        <v>1368</v>
      </c>
      <c r="AB145" s="100">
        <f>AA144-AA145-50</f>
        <v>863</v>
      </c>
      <c r="AC145" s="147">
        <f>(AC144)*73.9/(73.9+99)</f>
        <v>745.4112204</v>
      </c>
      <c r="AD145" s="147">
        <f>(AC144)*99/(73.9+99)</f>
        <v>998.5887796</v>
      </c>
      <c r="AE145" s="147">
        <f t="shared" si="307"/>
        <v>562</v>
      </c>
      <c r="AF145" s="137">
        <v>0.0</v>
      </c>
      <c r="AG145" s="147">
        <f>AG143-AG135</f>
        <v>290</v>
      </c>
      <c r="AH145">
        <v>154.0</v>
      </c>
      <c r="AI145" s="18">
        <f t="shared" ref="AI145:AI146" si="310">SUM(U145:AH145)</f>
        <v>10475</v>
      </c>
      <c r="AL145" s="1">
        <v>12611.0</v>
      </c>
      <c r="AV145" s="1">
        <v>211830.0</v>
      </c>
      <c r="AX145" s="1" t="s">
        <v>5510</v>
      </c>
      <c r="AY145">
        <v>0.04903595669692353</v>
      </c>
      <c r="AZ145">
        <v>0.1757722712481634</v>
      </c>
      <c r="BA145">
        <v>0.07319337654026085</v>
      </c>
      <c r="BB145">
        <v>0.07319337654026085</v>
      </c>
      <c r="BC145">
        <v>0.06715402157942653</v>
      </c>
      <c r="BD145">
        <v>0.0966296793733493</v>
      </c>
      <c r="BE145">
        <v>0.0736440746716664</v>
      </c>
      <c r="BF145">
        <v>0.09762121526244151</v>
      </c>
      <c r="BG145">
        <v>0.06661318382173988</v>
      </c>
      <c r="BH145">
        <v>0.08923823001829834</v>
      </c>
      <c r="BI145">
        <v>0.045511497309332155</v>
      </c>
      <c r="BJ145">
        <v>0.052371122869324584</v>
      </c>
      <c r="BK145">
        <v>0.040021994068812586</v>
      </c>
      <c r="BL145">
        <f t="shared" ref="BL145:BL146" si="312">SUM(AY145:BK145)</f>
        <v>1</v>
      </c>
    </row>
    <row r="146">
      <c r="U146">
        <f t="shared" ref="U146:AE146" si="308">U145*1902940/10475</f>
        <v>22163.11981</v>
      </c>
      <c r="V146">
        <f t="shared" si="308"/>
        <v>108817.285</v>
      </c>
      <c r="W146">
        <f t="shared" si="308"/>
        <v>422007.601</v>
      </c>
      <c r="X146">
        <f t="shared" si="308"/>
        <v>186388.2043</v>
      </c>
      <c r="Y146">
        <f t="shared" si="308"/>
        <v>77025.92458</v>
      </c>
      <c r="Z146">
        <f t="shared" si="308"/>
        <v>181664.9165</v>
      </c>
      <c r="AA146">
        <f t="shared" si="308"/>
        <v>248517.6057</v>
      </c>
      <c r="AB146">
        <f t="shared" si="308"/>
        <v>156776.8229</v>
      </c>
      <c r="AC146">
        <f t="shared" si="308"/>
        <v>135415.0671</v>
      </c>
      <c r="AD146">
        <f t="shared" si="308"/>
        <v>181408.5472</v>
      </c>
      <c r="AE146">
        <f t="shared" si="308"/>
        <v>102095.6831</v>
      </c>
      <c r="AF146">
        <f>AF145*989820/5787</f>
        <v>0</v>
      </c>
      <c r="AG146">
        <f t="shared" ref="AG146:AH146" si="309">AG145*1902940/10475</f>
        <v>52682.82578</v>
      </c>
      <c r="AH146">
        <f t="shared" si="309"/>
        <v>27976.39714</v>
      </c>
      <c r="AI146" s="18">
        <f t="shared" si="310"/>
        <v>1902940</v>
      </c>
      <c r="AJ146" s="1">
        <v>1902940.0</v>
      </c>
      <c r="AX146" s="1" t="s">
        <v>5628</v>
      </c>
      <c r="AY146">
        <f t="shared" ref="AY146:BK146" si="311">211830*AY145</f>
        <v>10387.28671</v>
      </c>
      <c r="AZ146" s="136">
        <f t="shared" si="311"/>
        <v>37233.84022</v>
      </c>
      <c r="BA146" s="136">
        <f t="shared" si="311"/>
        <v>15504.55295</v>
      </c>
      <c r="BB146" s="136">
        <f t="shared" si="311"/>
        <v>15504.55295</v>
      </c>
      <c r="BC146" s="136">
        <f t="shared" si="311"/>
        <v>14225.23639</v>
      </c>
      <c r="BD146" s="136">
        <f t="shared" si="311"/>
        <v>20469.06498</v>
      </c>
      <c r="BE146">
        <f t="shared" si="311"/>
        <v>15600.02434</v>
      </c>
      <c r="BF146" s="136">
        <f t="shared" si="311"/>
        <v>20679.10203</v>
      </c>
      <c r="BG146" s="136">
        <f t="shared" si="311"/>
        <v>14110.67073</v>
      </c>
      <c r="BH146" s="136">
        <f t="shared" si="311"/>
        <v>18903.33426</v>
      </c>
      <c r="BI146" s="136">
        <f t="shared" si="311"/>
        <v>9640.700475</v>
      </c>
      <c r="BJ146" s="136">
        <f t="shared" si="311"/>
        <v>11093.77496</v>
      </c>
      <c r="BK146" s="136">
        <f t="shared" si="311"/>
        <v>8477.859004</v>
      </c>
      <c r="BL146">
        <f t="shared" si="312"/>
        <v>211830</v>
      </c>
    </row>
    <row r="147">
      <c r="D147">
        <f>(160*11/30)+(168*19/30)</f>
        <v>165.0666667</v>
      </c>
      <c r="E147" s="1" t="s">
        <v>5639</v>
      </c>
      <c r="U147">
        <v>22163.119809069212</v>
      </c>
      <c r="V147" s="150">
        <v>108817.28496420047</v>
      </c>
      <c r="W147" s="150">
        <v>422007.6009546539</v>
      </c>
      <c r="X147" s="150">
        <v>186388.20429594273</v>
      </c>
      <c r="Y147" s="146">
        <f t="shared" ref="Y147:AE147" si="313">Y146+3497</f>
        <v>80522.92458</v>
      </c>
      <c r="Z147" s="146">
        <f t="shared" si="313"/>
        <v>185161.9165</v>
      </c>
      <c r="AA147" s="145">
        <f t="shared" si="313"/>
        <v>252014.6057</v>
      </c>
      <c r="AB147" s="146">
        <f t="shared" si="313"/>
        <v>160273.8229</v>
      </c>
      <c r="AC147" s="146">
        <f t="shared" si="313"/>
        <v>138912.0671</v>
      </c>
      <c r="AD147" s="146">
        <f t="shared" si="313"/>
        <v>184905.5472</v>
      </c>
      <c r="AE147" s="146">
        <f t="shared" si="313"/>
        <v>105592.6831</v>
      </c>
      <c r="AG147" s="146">
        <f>AG146+3497</f>
        <v>56179.82578</v>
      </c>
      <c r="AH147">
        <f>AH146/8</f>
        <v>3497.049642</v>
      </c>
      <c r="AI147" s="18">
        <f>SUM(U147:AG147)</f>
        <v>1902939.603</v>
      </c>
      <c r="BE147" s="133">
        <f>BE146+AY146</f>
        <v>25987.31104</v>
      </c>
    </row>
    <row r="148">
      <c r="B148" s="1" t="s">
        <v>3741</v>
      </c>
      <c r="D148" s="1">
        <v>1650667.0</v>
      </c>
      <c r="E148" s="1">
        <v>2300000.0</v>
      </c>
      <c r="F148" s="1">
        <v>1600000.0</v>
      </c>
      <c r="G148" s="1">
        <v>1800000.0</v>
      </c>
      <c r="H148" s="1">
        <v>1900000.0</v>
      </c>
      <c r="I148" s="1">
        <v>3500000.0</v>
      </c>
      <c r="J148" s="1">
        <v>2270000.0</v>
      </c>
      <c r="K148" s="1">
        <v>2380000.0</v>
      </c>
      <c r="L148" s="1">
        <v>1810000.0</v>
      </c>
      <c r="M148" s="1">
        <v>1730000.0</v>
      </c>
      <c r="N148" s="1">
        <v>1340000.0</v>
      </c>
      <c r="O148" s="1">
        <v>1200000.0</v>
      </c>
      <c r="P148">
        <f t="shared" ref="P148:P154" si="315">SUM(D148:O148)</f>
        <v>23480667</v>
      </c>
      <c r="AA148" s="146">
        <f>AA147+U147</f>
        <v>274177.7255</v>
      </c>
    </row>
    <row r="149">
      <c r="B149" s="1" t="s">
        <v>5499</v>
      </c>
      <c r="D149" s="1">
        <f t="shared" ref="D149:O149" si="314">D148*0.1</f>
        <v>165066.7</v>
      </c>
      <c r="E149" s="1">
        <f t="shared" si="314"/>
        <v>230000</v>
      </c>
      <c r="F149" s="1">
        <f t="shared" si="314"/>
        <v>160000</v>
      </c>
      <c r="G149" s="1">
        <f t="shared" si="314"/>
        <v>180000</v>
      </c>
      <c r="H149" s="1">
        <f t="shared" si="314"/>
        <v>190000</v>
      </c>
      <c r="I149" s="1">
        <f t="shared" si="314"/>
        <v>350000</v>
      </c>
      <c r="J149" s="1">
        <f t="shared" si="314"/>
        <v>227000</v>
      </c>
      <c r="K149" s="1">
        <f t="shared" si="314"/>
        <v>238000</v>
      </c>
      <c r="L149" s="1">
        <f t="shared" si="314"/>
        <v>181000</v>
      </c>
      <c r="M149" s="1">
        <f t="shared" si="314"/>
        <v>173000</v>
      </c>
      <c r="N149" s="1">
        <f t="shared" si="314"/>
        <v>134000</v>
      </c>
      <c r="O149" s="1">
        <f t="shared" si="314"/>
        <v>120000</v>
      </c>
      <c r="P149">
        <f t="shared" si="315"/>
        <v>2348066.7</v>
      </c>
      <c r="AV149" s="1">
        <v>444160.0</v>
      </c>
      <c r="AX149" s="1" t="s">
        <v>5510</v>
      </c>
      <c r="AY149">
        <v>0.04903595669692353</v>
      </c>
      <c r="AZ149">
        <v>0.1757722712481634</v>
      </c>
      <c r="BA149">
        <v>0.07319337654026085</v>
      </c>
      <c r="BB149">
        <v>0.07319337654026085</v>
      </c>
      <c r="BC149">
        <v>0.06715402157942653</v>
      </c>
      <c r="BD149">
        <v>0.0966296793733493</v>
      </c>
      <c r="BE149">
        <v>0.0736440746716664</v>
      </c>
      <c r="BF149">
        <v>0.09762121526244151</v>
      </c>
      <c r="BG149">
        <v>0.06661318382173988</v>
      </c>
      <c r="BH149">
        <v>0.08923823001829834</v>
      </c>
      <c r="BI149">
        <v>0.045511497309332155</v>
      </c>
      <c r="BJ149">
        <v>0.052371122869324584</v>
      </c>
      <c r="BK149">
        <v>0.040021994068812586</v>
      </c>
      <c r="BL149">
        <f t="shared" ref="BL149:BL150" si="318">SUM(AY149:BK149)</f>
        <v>1</v>
      </c>
    </row>
    <row r="150">
      <c r="B150" s="1" t="s">
        <v>5520</v>
      </c>
      <c r="D150">
        <f t="shared" ref="D150:O150" si="316">D148+D149</f>
        <v>1815733.7</v>
      </c>
      <c r="E150">
        <f t="shared" si="316"/>
        <v>2530000</v>
      </c>
      <c r="F150">
        <f t="shared" si="316"/>
        <v>1760000</v>
      </c>
      <c r="G150">
        <f t="shared" si="316"/>
        <v>1980000</v>
      </c>
      <c r="H150">
        <f t="shared" si="316"/>
        <v>2090000</v>
      </c>
      <c r="I150">
        <f t="shared" si="316"/>
        <v>3850000</v>
      </c>
      <c r="J150">
        <f t="shared" si="316"/>
        <v>2497000</v>
      </c>
      <c r="K150">
        <f t="shared" si="316"/>
        <v>2618000</v>
      </c>
      <c r="L150">
        <f t="shared" si="316"/>
        <v>1991000</v>
      </c>
      <c r="M150">
        <f t="shared" si="316"/>
        <v>1903000</v>
      </c>
      <c r="N150">
        <f t="shared" si="316"/>
        <v>1474000</v>
      </c>
      <c r="O150">
        <f t="shared" si="316"/>
        <v>1320000</v>
      </c>
      <c r="P150">
        <f t="shared" si="315"/>
        <v>25828733.7</v>
      </c>
      <c r="T150" s="1" t="s">
        <v>5640</v>
      </c>
      <c r="U150" s="1">
        <v>16441.0</v>
      </c>
      <c r="W150" s="1">
        <v>20306.0</v>
      </c>
      <c r="Y150" s="1">
        <v>55857.0</v>
      </c>
      <c r="AA150" s="1">
        <v>55214.0</v>
      </c>
      <c r="AC150" s="1">
        <v>62985.0</v>
      </c>
      <c r="AE150" s="1">
        <v>89502.0</v>
      </c>
      <c r="AH150" s="1">
        <v>4742.0</v>
      </c>
      <c r="AX150" s="1" t="s">
        <v>5630</v>
      </c>
      <c r="AY150">
        <f t="shared" ref="AY150:BK150" si="317">444160*AY149</f>
        <v>21779.81053</v>
      </c>
      <c r="AZ150" s="133">
        <f t="shared" si="317"/>
        <v>78071.012</v>
      </c>
      <c r="BA150" s="133">
        <f t="shared" si="317"/>
        <v>32509.57012</v>
      </c>
      <c r="BB150" s="133">
        <f t="shared" si="317"/>
        <v>32509.57012</v>
      </c>
      <c r="BC150" s="133">
        <f t="shared" si="317"/>
        <v>29827.13022</v>
      </c>
      <c r="BD150" s="133">
        <f t="shared" si="317"/>
        <v>42919.03839</v>
      </c>
      <c r="BE150">
        <f t="shared" si="317"/>
        <v>32709.75221</v>
      </c>
      <c r="BF150" s="133">
        <f t="shared" si="317"/>
        <v>43359.43897</v>
      </c>
      <c r="BG150" s="133">
        <f t="shared" si="317"/>
        <v>29586.91173</v>
      </c>
      <c r="BH150" s="133">
        <f t="shared" si="317"/>
        <v>39636.05224</v>
      </c>
      <c r="BI150" s="133">
        <f t="shared" si="317"/>
        <v>20214.38664</v>
      </c>
      <c r="BJ150" s="133">
        <f t="shared" si="317"/>
        <v>23261.15793</v>
      </c>
      <c r="BK150" s="133">
        <f t="shared" si="317"/>
        <v>17776.16889</v>
      </c>
      <c r="BL150">
        <f t="shared" si="318"/>
        <v>444160</v>
      </c>
    </row>
    <row r="151">
      <c r="B151" s="1" t="s">
        <v>5545</v>
      </c>
      <c r="D151">
        <v>90080.84210526316</v>
      </c>
      <c r="E151">
        <v>364743.5789473684</v>
      </c>
      <c r="F151">
        <v>157298.52631578947</v>
      </c>
      <c r="G151">
        <v>18003.105263157893</v>
      </c>
      <c r="H151">
        <v>37513.0</v>
      </c>
      <c r="I151">
        <v>156401.42105263157</v>
      </c>
      <c r="J151">
        <v>132928.57894736843</v>
      </c>
      <c r="K151">
        <v>82044.89540653252</v>
      </c>
      <c r="L151">
        <v>108973.52564609905</v>
      </c>
      <c r="M151">
        <v>58699.52631578947</v>
      </c>
      <c r="N151">
        <v>189019.52631578947</v>
      </c>
      <c r="O151">
        <v>37817.84210526316</v>
      </c>
      <c r="P151">
        <f t="shared" si="315"/>
        <v>1433524.368</v>
      </c>
      <c r="U151" s="1">
        <v>5615.0</v>
      </c>
      <c r="V151" s="1">
        <v>17312.0</v>
      </c>
      <c r="W151" s="1">
        <v>55801.0</v>
      </c>
      <c r="Y151" s="1">
        <v>14982.0</v>
      </c>
      <c r="AA151" s="1">
        <v>12282.0</v>
      </c>
      <c r="AE151" s="1">
        <v>87375.0</v>
      </c>
      <c r="AG151" s="1">
        <v>7501.0</v>
      </c>
      <c r="BE151" s="133">
        <f>BE150+AY150</f>
        <v>54489.56273</v>
      </c>
    </row>
    <row r="152">
      <c r="D152">
        <f t="shared" ref="D152:O152" si="319">D151-D153</f>
        <v>81891.67464</v>
      </c>
      <c r="E152">
        <f t="shared" si="319"/>
        <v>331585.0718</v>
      </c>
      <c r="F152">
        <f t="shared" si="319"/>
        <v>142998.6603</v>
      </c>
      <c r="G152">
        <f t="shared" si="319"/>
        <v>16366.45933</v>
      </c>
      <c r="H152">
        <f t="shared" si="319"/>
        <v>34102.72727</v>
      </c>
      <c r="I152">
        <f t="shared" si="319"/>
        <v>142183.11</v>
      </c>
      <c r="J152">
        <f t="shared" si="319"/>
        <v>120844.1627</v>
      </c>
      <c r="K152">
        <f t="shared" si="319"/>
        <v>74586.26855</v>
      </c>
      <c r="L152">
        <f t="shared" si="319"/>
        <v>99066.8415</v>
      </c>
      <c r="M152">
        <f t="shared" si="319"/>
        <v>53363.20574</v>
      </c>
      <c r="N152">
        <f t="shared" si="319"/>
        <v>171835.933</v>
      </c>
      <c r="O152">
        <f t="shared" si="319"/>
        <v>34379.85646</v>
      </c>
      <c r="P152">
        <f t="shared" si="315"/>
        <v>1303203.971</v>
      </c>
      <c r="U152">
        <f t="shared" ref="U152:U153" si="321">U150-U142</f>
        <v>893</v>
      </c>
      <c r="V152" s="1"/>
      <c r="W152">
        <f>W150-W142</f>
        <v>1131</v>
      </c>
      <c r="Y152">
        <f t="shared" ref="Y152:Y153" si="323">Y150-Y142</f>
        <v>2011</v>
      </c>
      <c r="AA152">
        <f t="shared" ref="AA152:AA153" si="324">AA150-AA142</f>
        <v>3221</v>
      </c>
      <c r="AC152">
        <f>AC150-AC142</f>
        <v>2267</v>
      </c>
      <c r="AE152">
        <f t="shared" ref="AE152:AE153" si="325">AE150-AE142</f>
        <v>1175</v>
      </c>
      <c r="AH152">
        <f>AH150-AH142</f>
        <v>162</v>
      </c>
    </row>
    <row r="153">
      <c r="B153" s="1" t="s">
        <v>5499</v>
      </c>
      <c r="D153">
        <f t="shared" ref="D153:O153" si="320">D151/11</f>
        <v>8189.167464</v>
      </c>
      <c r="E153">
        <f t="shared" si="320"/>
        <v>33158.50718</v>
      </c>
      <c r="F153">
        <f t="shared" si="320"/>
        <v>14299.86603</v>
      </c>
      <c r="G153">
        <f t="shared" si="320"/>
        <v>1636.645933</v>
      </c>
      <c r="H153">
        <f t="shared" si="320"/>
        <v>3410.272727</v>
      </c>
      <c r="I153">
        <f t="shared" si="320"/>
        <v>14218.311</v>
      </c>
      <c r="J153">
        <f t="shared" si="320"/>
        <v>12084.41627</v>
      </c>
      <c r="K153">
        <f t="shared" si="320"/>
        <v>7458.626855</v>
      </c>
      <c r="L153">
        <f t="shared" si="320"/>
        <v>9906.68415</v>
      </c>
      <c r="M153">
        <f t="shared" si="320"/>
        <v>5336.320574</v>
      </c>
      <c r="N153">
        <f t="shared" si="320"/>
        <v>17183.5933</v>
      </c>
      <c r="O153">
        <f t="shared" si="320"/>
        <v>3437.985646</v>
      </c>
      <c r="P153">
        <f t="shared" si="315"/>
        <v>130320.3971</v>
      </c>
      <c r="U153" s="147">
        <f t="shared" si="321"/>
        <v>113</v>
      </c>
      <c r="V153" s="147">
        <f t="shared" ref="V153:W153" si="322">V151-V143</f>
        <v>470</v>
      </c>
      <c r="W153" s="147">
        <f t="shared" si="322"/>
        <v>2392</v>
      </c>
      <c r="X153" s="137">
        <f>W152-50</f>
        <v>1081</v>
      </c>
      <c r="Y153" s="147">
        <f t="shared" si="323"/>
        <v>904</v>
      </c>
      <c r="Z153" s="100">
        <f>Y152-Y153-50</f>
        <v>1057</v>
      </c>
      <c r="AA153" s="147">
        <f t="shared" si="324"/>
        <v>1623</v>
      </c>
      <c r="AB153" s="100">
        <f>AA152-AA153-500</f>
        <v>1098</v>
      </c>
      <c r="AC153" s="147">
        <f>(AC152)*73.9/(73.9+99)</f>
        <v>968.9491035</v>
      </c>
      <c r="AD153" s="147">
        <f>(AC152)*99/(73.9+99)</f>
        <v>1298.050896</v>
      </c>
      <c r="AE153" s="147">
        <f t="shared" si="325"/>
        <v>630</v>
      </c>
      <c r="AF153" s="137">
        <v>0.0</v>
      </c>
      <c r="AG153" s="147">
        <f>AG151-AG143</f>
        <v>548</v>
      </c>
      <c r="AH153">
        <v>162.0</v>
      </c>
      <c r="AI153" s="18">
        <f>SUM(U153:AH153)</f>
        <v>12345</v>
      </c>
      <c r="AL153" s="1">
        <v>15537.0</v>
      </c>
      <c r="AV153" s="1">
        <v>384520.0</v>
      </c>
      <c r="AX153" s="1" t="s">
        <v>5510</v>
      </c>
      <c r="AY153">
        <v>0.04903595669692353</v>
      </c>
      <c r="AZ153">
        <v>0.1757722712481634</v>
      </c>
      <c r="BA153">
        <v>0.07319337654026085</v>
      </c>
      <c r="BB153">
        <v>0.07319337654026085</v>
      </c>
      <c r="BC153">
        <v>0.06715402157942653</v>
      </c>
      <c r="BD153">
        <v>0.0966296793733493</v>
      </c>
      <c r="BE153">
        <v>0.0736440746716664</v>
      </c>
      <c r="BF153">
        <v>0.09762121526244151</v>
      </c>
      <c r="BG153">
        <v>0.06661318382173988</v>
      </c>
      <c r="BH153">
        <v>0.08923823001829834</v>
      </c>
      <c r="BI153">
        <v>0.045511497309332155</v>
      </c>
      <c r="BJ153">
        <v>0.052371122869324584</v>
      </c>
      <c r="BK153">
        <v>0.040021994068812586</v>
      </c>
      <c r="BL153">
        <f t="shared" ref="BL153:BL154" si="328">SUM(AY153:BK153)</f>
        <v>1</v>
      </c>
    </row>
    <row r="154">
      <c r="B154" s="1" t="s">
        <v>5641</v>
      </c>
      <c r="D154">
        <v>57729.647060561954</v>
      </c>
      <c r="E154">
        <v>48078.43426992442</v>
      </c>
      <c r="F154">
        <v>48078.43426992442</v>
      </c>
      <c r="G154">
        <v>22055.68567185572</v>
      </c>
      <c r="H154">
        <v>31736.503409703804</v>
      </c>
      <c r="I154">
        <v>64479.57502456612</v>
      </c>
      <c r="J154">
        <v>32062.15782901979</v>
      </c>
      <c r="K154">
        <v>21878.055988592456</v>
      </c>
      <c r="L154">
        <v>29308.897738439147</v>
      </c>
      <c r="M154">
        <v>14947.537846603966</v>
      </c>
      <c r="N154">
        <v>17200.474329326407</v>
      </c>
      <c r="O154">
        <v>13144.596561481798</v>
      </c>
      <c r="P154">
        <f t="shared" si="315"/>
        <v>400700</v>
      </c>
      <c r="U154">
        <f t="shared" ref="U154:AH154" si="326">U153*2174980/12345</f>
        <v>19908.68692</v>
      </c>
      <c r="V154">
        <f t="shared" si="326"/>
        <v>82806.04293</v>
      </c>
      <c r="W154">
        <f t="shared" si="326"/>
        <v>421429.9036</v>
      </c>
      <c r="X154">
        <f t="shared" si="326"/>
        <v>190453.8987</v>
      </c>
      <c r="Y154">
        <f t="shared" si="326"/>
        <v>159269.4953</v>
      </c>
      <c r="Z154">
        <f t="shared" si="326"/>
        <v>186225.5051</v>
      </c>
      <c r="AA154">
        <f t="shared" si="326"/>
        <v>285945.1227</v>
      </c>
      <c r="AB154">
        <f t="shared" si="326"/>
        <v>193449.0109</v>
      </c>
      <c r="AC154">
        <f t="shared" si="326"/>
        <v>170712.4278</v>
      </c>
      <c r="AD154">
        <f t="shared" si="326"/>
        <v>228694.592</v>
      </c>
      <c r="AE154">
        <f t="shared" si="326"/>
        <v>110995.3341</v>
      </c>
      <c r="AF154">
        <f t="shared" si="326"/>
        <v>0</v>
      </c>
      <c r="AG154">
        <f t="shared" si="326"/>
        <v>96548.3224</v>
      </c>
      <c r="AH154">
        <f t="shared" si="326"/>
        <v>28541.65735</v>
      </c>
      <c r="AI154" s="18"/>
      <c r="AJ154" s="1">
        <v>2174980.0</v>
      </c>
      <c r="AX154" s="1" t="s">
        <v>5631</v>
      </c>
      <c r="AY154">
        <f t="shared" ref="AY154:BK154" si="327">384520*AY153</f>
        <v>18855.30607</v>
      </c>
      <c r="AZ154" s="136">
        <f t="shared" si="327"/>
        <v>67587.95374</v>
      </c>
      <c r="BA154" s="136">
        <f t="shared" si="327"/>
        <v>28144.31715</v>
      </c>
      <c r="BB154" s="136">
        <f t="shared" si="327"/>
        <v>28144.31715</v>
      </c>
      <c r="BC154" s="136">
        <f t="shared" si="327"/>
        <v>25822.06438</v>
      </c>
      <c r="BD154" s="136">
        <f t="shared" si="327"/>
        <v>37156.04431</v>
      </c>
      <c r="BE154">
        <f t="shared" si="327"/>
        <v>28317.61959</v>
      </c>
      <c r="BF154" s="136">
        <f t="shared" si="327"/>
        <v>37537.30969</v>
      </c>
      <c r="BG154" s="136">
        <f t="shared" si="327"/>
        <v>25614.10144</v>
      </c>
      <c r="BH154" s="136">
        <f t="shared" si="327"/>
        <v>34313.88421</v>
      </c>
      <c r="BI154" s="136">
        <f t="shared" si="327"/>
        <v>17500.08095</v>
      </c>
      <c r="BJ154" s="136">
        <f t="shared" si="327"/>
        <v>20137.74417</v>
      </c>
      <c r="BK154" s="136">
        <f t="shared" si="327"/>
        <v>15389.25716</v>
      </c>
      <c r="BL154">
        <f t="shared" si="328"/>
        <v>384520</v>
      </c>
    </row>
    <row r="155">
      <c r="B155" s="23" t="s">
        <v>5598</v>
      </c>
      <c r="D155" s="18">
        <f t="shared" ref="D155:P155" si="329">SUM(D150,D151,D154)</f>
        <v>1963544.189</v>
      </c>
      <c r="E155" s="18">
        <f t="shared" si="329"/>
        <v>2942822.013</v>
      </c>
      <c r="F155" s="18">
        <f t="shared" si="329"/>
        <v>1965376.961</v>
      </c>
      <c r="G155" s="18">
        <f t="shared" si="329"/>
        <v>2020058.791</v>
      </c>
      <c r="H155" s="18">
        <f t="shared" si="329"/>
        <v>2159249.503</v>
      </c>
      <c r="I155" s="18">
        <f t="shared" si="329"/>
        <v>4070880.996</v>
      </c>
      <c r="J155" s="18">
        <f t="shared" si="329"/>
        <v>2661990.737</v>
      </c>
      <c r="K155" s="18">
        <f t="shared" si="329"/>
        <v>2721922.951</v>
      </c>
      <c r="L155" s="18">
        <f t="shared" si="329"/>
        <v>2129282.423</v>
      </c>
      <c r="M155" s="18">
        <f t="shared" si="329"/>
        <v>1976647.064</v>
      </c>
      <c r="N155" s="18">
        <f t="shared" si="329"/>
        <v>1680220.001</v>
      </c>
      <c r="O155" s="18">
        <f t="shared" si="329"/>
        <v>1370962.439</v>
      </c>
      <c r="P155" s="18">
        <f t="shared" si="329"/>
        <v>27662958.07</v>
      </c>
      <c r="U155">
        <v>19908.686917780477</v>
      </c>
      <c r="V155" s="148">
        <v>82806.04293236128</v>
      </c>
      <c r="W155" s="148">
        <v>421429.90360469825</v>
      </c>
      <c r="X155" s="148">
        <v>190453.89874443095</v>
      </c>
      <c r="Y155" s="146">
        <f t="shared" ref="Y155:AE155" si="330">Y154+3568</f>
        <v>162837.4953</v>
      </c>
      <c r="Z155" s="146">
        <f t="shared" si="330"/>
        <v>189793.5051</v>
      </c>
      <c r="AA155" s="145">
        <f t="shared" si="330"/>
        <v>289513.1227</v>
      </c>
      <c r="AB155" s="146">
        <f t="shared" si="330"/>
        <v>197017.0109</v>
      </c>
      <c r="AC155" s="146">
        <f t="shared" si="330"/>
        <v>174280.4278</v>
      </c>
      <c r="AD155" s="146">
        <f t="shared" si="330"/>
        <v>232262.592</v>
      </c>
      <c r="AE155" s="146">
        <f t="shared" si="330"/>
        <v>114563.3341</v>
      </c>
      <c r="AG155" s="146">
        <f>AG154+3568</f>
        <v>100116.3224</v>
      </c>
      <c r="AH155">
        <f>AH154/8</f>
        <v>3567.707169</v>
      </c>
      <c r="AI155" s="18">
        <f>SUM(U155:AG155)</f>
        <v>2174982.343</v>
      </c>
      <c r="BE155" s="133">
        <f>BE154+AY154</f>
        <v>47172.92566</v>
      </c>
    </row>
    <row r="156">
      <c r="B156" s="1" t="s">
        <v>5599</v>
      </c>
      <c r="D156">
        <f t="shared" ref="D156:O156" si="331">SUM(D148,D152,D154)</f>
        <v>1790288.322</v>
      </c>
      <c r="E156">
        <f t="shared" si="331"/>
        <v>2679663.506</v>
      </c>
      <c r="F156">
        <f t="shared" si="331"/>
        <v>1791077.095</v>
      </c>
      <c r="G156">
        <f t="shared" si="331"/>
        <v>1838422.145</v>
      </c>
      <c r="H156">
        <f t="shared" si="331"/>
        <v>1965839.231</v>
      </c>
      <c r="I156">
        <f t="shared" si="331"/>
        <v>3706662.685</v>
      </c>
      <c r="J156">
        <f t="shared" si="331"/>
        <v>2422906.321</v>
      </c>
      <c r="K156">
        <f t="shared" si="331"/>
        <v>2476464.325</v>
      </c>
      <c r="L156">
        <f t="shared" si="331"/>
        <v>1938375.739</v>
      </c>
      <c r="M156">
        <f t="shared" si="331"/>
        <v>1798310.744</v>
      </c>
      <c r="N156">
        <f t="shared" si="331"/>
        <v>1529036.407</v>
      </c>
      <c r="O156">
        <f t="shared" si="331"/>
        <v>1247524.453</v>
      </c>
      <c r="AA156" s="146">
        <f>AA155+U155</f>
        <v>309421.8096</v>
      </c>
    </row>
    <row r="157">
      <c r="B157" s="1" t="s">
        <v>5601</v>
      </c>
      <c r="D157">
        <f t="shared" ref="D157:O157" si="332">SUM(D148,D152)</f>
        <v>1732558.675</v>
      </c>
      <c r="E157">
        <f t="shared" si="332"/>
        <v>2631585.072</v>
      </c>
      <c r="F157">
        <f t="shared" si="332"/>
        <v>1742998.66</v>
      </c>
      <c r="G157">
        <f t="shared" si="332"/>
        <v>1816366.459</v>
      </c>
      <c r="H157">
        <f t="shared" si="332"/>
        <v>1934102.727</v>
      </c>
      <c r="I157">
        <f t="shared" si="332"/>
        <v>3642183.11</v>
      </c>
      <c r="J157">
        <f t="shared" si="332"/>
        <v>2390844.163</v>
      </c>
      <c r="K157">
        <f t="shared" si="332"/>
        <v>2454586.269</v>
      </c>
      <c r="L157">
        <f t="shared" si="332"/>
        <v>1909066.841</v>
      </c>
      <c r="M157">
        <f t="shared" si="332"/>
        <v>1783363.206</v>
      </c>
      <c r="N157">
        <f t="shared" si="332"/>
        <v>1511835.933</v>
      </c>
      <c r="O157">
        <f t="shared" si="332"/>
        <v>1234379.856</v>
      </c>
      <c r="AV157" s="1">
        <v>293640.0</v>
      </c>
      <c r="AX157" s="1" t="s">
        <v>5510</v>
      </c>
      <c r="AY157">
        <v>0.04903595669692353</v>
      </c>
      <c r="AZ157">
        <v>0.1757722712481634</v>
      </c>
      <c r="BA157">
        <v>0.07319337654026085</v>
      </c>
      <c r="BB157">
        <v>0.07319337654026085</v>
      </c>
      <c r="BC157">
        <v>0.06715402157942653</v>
      </c>
      <c r="BD157">
        <v>0.0966296793733493</v>
      </c>
      <c r="BE157">
        <v>0.0736440746716664</v>
      </c>
      <c r="BF157">
        <v>0.09762121526244151</v>
      </c>
      <c r="BG157">
        <v>0.06661318382173988</v>
      </c>
      <c r="BH157">
        <v>0.08923823001829834</v>
      </c>
      <c r="BI157">
        <v>0.045511497309332155</v>
      </c>
      <c r="BJ157">
        <v>0.052371122869324584</v>
      </c>
      <c r="BK157">
        <v>0.040021994068812586</v>
      </c>
      <c r="BL157">
        <f t="shared" ref="BL157:BL158" si="335">SUM(AY157:BK157)</f>
        <v>1</v>
      </c>
    </row>
    <row r="158">
      <c r="B158" s="1" t="s">
        <v>5582</v>
      </c>
      <c r="D158">
        <f t="shared" ref="D158:O158" si="333">SUM(D149,D153)</f>
        <v>173255.8675</v>
      </c>
      <c r="E158">
        <f t="shared" si="333"/>
        <v>263158.5072</v>
      </c>
      <c r="F158">
        <f t="shared" si="333"/>
        <v>174299.866</v>
      </c>
      <c r="G158">
        <f t="shared" si="333"/>
        <v>181636.6459</v>
      </c>
      <c r="H158">
        <f t="shared" si="333"/>
        <v>193410.2727</v>
      </c>
      <c r="I158">
        <f t="shared" si="333"/>
        <v>364218.311</v>
      </c>
      <c r="J158">
        <f t="shared" si="333"/>
        <v>239084.4163</v>
      </c>
      <c r="K158">
        <f t="shared" si="333"/>
        <v>245458.6269</v>
      </c>
      <c r="L158">
        <f t="shared" si="333"/>
        <v>190906.6841</v>
      </c>
      <c r="M158">
        <f t="shared" si="333"/>
        <v>178336.3206</v>
      </c>
      <c r="N158">
        <f t="shared" si="333"/>
        <v>151183.5933</v>
      </c>
      <c r="O158">
        <f t="shared" si="333"/>
        <v>123437.9856</v>
      </c>
      <c r="T158" s="1" t="s">
        <v>3744</v>
      </c>
      <c r="U158" s="1">
        <v>17400.0</v>
      </c>
      <c r="W158" s="1">
        <v>21366.0</v>
      </c>
      <c r="Y158" s="1">
        <v>58037.0</v>
      </c>
      <c r="AA158" s="1">
        <v>58852.0</v>
      </c>
      <c r="AC158" s="1">
        <v>65496.0</v>
      </c>
      <c r="AE158" s="1">
        <v>90705.0</v>
      </c>
      <c r="AH158" s="1">
        <v>4912.0</v>
      </c>
      <c r="AX158" s="1" t="s">
        <v>5634</v>
      </c>
      <c r="AY158">
        <f t="shared" ref="AY158:BK158" si="334">293640*AY157</f>
        <v>14398.91832</v>
      </c>
      <c r="AZ158" s="144">
        <f t="shared" si="334"/>
        <v>51613.76973</v>
      </c>
      <c r="BA158" s="144">
        <f t="shared" si="334"/>
        <v>21492.50309</v>
      </c>
      <c r="BB158" s="144">
        <f t="shared" si="334"/>
        <v>21492.50309</v>
      </c>
      <c r="BC158" s="144">
        <f t="shared" si="334"/>
        <v>19719.1069</v>
      </c>
      <c r="BD158" s="144">
        <f t="shared" si="334"/>
        <v>28374.33905</v>
      </c>
      <c r="BE158">
        <f t="shared" si="334"/>
        <v>21624.84609</v>
      </c>
      <c r="BF158" s="144">
        <f t="shared" si="334"/>
        <v>28665.49365</v>
      </c>
      <c r="BG158" s="144">
        <f t="shared" si="334"/>
        <v>19560.2953</v>
      </c>
      <c r="BH158" s="144">
        <f t="shared" si="334"/>
        <v>26203.91386</v>
      </c>
      <c r="BI158" s="144">
        <f t="shared" si="334"/>
        <v>13363.99607</v>
      </c>
      <c r="BJ158" s="144">
        <f t="shared" si="334"/>
        <v>15378.25652</v>
      </c>
      <c r="BK158" s="144">
        <f t="shared" si="334"/>
        <v>11752.05834</v>
      </c>
      <c r="BL158">
        <f t="shared" si="335"/>
        <v>293640</v>
      </c>
    </row>
    <row r="159">
      <c r="B159" s="1" t="s">
        <v>5602</v>
      </c>
      <c r="D159">
        <f t="shared" ref="D159:O159" si="336">SUM(D157:D158)</f>
        <v>1905814.542</v>
      </c>
      <c r="E159">
        <f t="shared" si="336"/>
        <v>2894743.579</v>
      </c>
      <c r="F159">
        <f t="shared" si="336"/>
        <v>1917298.526</v>
      </c>
      <c r="G159">
        <f t="shared" si="336"/>
        <v>1998003.105</v>
      </c>
      <c r="H159">
        <f t="shared" si="336"/>
        <v>2127513</v>
      </c>
      <c r="I159">
        <f t="shared" si="336"/>
        <v>4006401.421</v>
      </c>
      <c r="J159">
        <f t="shared" si="336"/>
        <v>2629928.579</v>
      </c>
      <c r="K159">
        <f t="shared" si="336"/>
        <v>2700044.895</v>
      </c>
      <c r="L159">
        <f t="shared" si="336"/>
        <v>2099973.526</v>
      </c>
      <c r="M159">
        <f t="shared" si="336"/>
        <v>1961699.526</v>
      </c>
      <c r="N159">
        <f t="shared" si="336"/>
        <v>1663019.526</v>
      </c>
      <c r="O159">
        <f t="shared" si="336"/>
        <v>1357817.842</v>
      </c>
      <c r="U159" s="1">
        <v>5760.0</v>
      </c>
      <c r="V159" s="1">
        <v>17772.0</v>
      </c>
      <c r="W159" s="1">
        <v>58121.0</v>
      </c>
      <c r="Y159" s="1">
        <v>15834.0</v>
      </c>
      <c r="AA159" s="1">
        <v>13973.0</v>
      </c>
      <c r="AE159" s="1">
        <v>88076.0</v>
      </c>
      <c r="AG159" s="1">
        <v>7953.0</v>
      </c>
      <c r="BE159" s="133">
        <f>BE158+AY158</f>
        <v>36023.76441</v>
      </c>
    </row>
    <row r="160">
      <c r="D160" s="1" t="s">
        <v>5583</v>
      </c>
      <c r="E160" s="1" t="s">
        <v>5566</v>
      </c>
      <c r="F160" s="1" t="s">
        <v>5566</v>
      </c>
      <c r="G160" s="1" t="s">
        <v>5566</v>
      </c>
      <c r="H160" s="1" t="s">
        <v>5566</v>
      </c>
      <c r="I160" s="1" t="s">
        <v>5566</v>
      </c>
      <c r="J160" s="1" t="s">
        <v>5566</v>
      </c>
      <c r="K160" s="1" t="s">
        <v>5566</v>
      </c>
      <c r="L160" s="1" t="s">
        <v>5566</v>
      </c>
      <c r="M160" s="1" t="s">
        <v>5566</v>
      </c>
      <c r="N160" s="1" t="s">
        <v>5583</v>
      </c>
      <c r="O160" s="1" t="s">
        <v>5566</v>
      </c>
      <c r="U160">
        <f t="shared" ref="U160:U161" si="337">U158-U150</f>
        <v>959</v>
      </c>
      <c r="V160" s="1"/>
      <c r="W160">
        <f>W158-W150</f>
        <v>1060</v>
      </c>
      <c r="Y160">
        <f t="shared" ref="Y160:Y161" si="339">Y158-Y150</f>
        <v>2180</v>
      </c>
      <c r="AA160">
        <f t="shared" ref="AA160:AA161" si="340">AA158-AA150</f>
        <v>3638</v>
      </c>
      <c r="AC160">
        <f>AC158-AC150</f>
        <v>2511</v>
      </c>
      <c r="AE160">
        <f t="shared" ref="AE160:AE161" si="341">AE158-AE150</f>
        <v>1203</v>
      </c>
      <c r="AH160">
        <f>AH158-AH150</f>
        <v>170</v>
      </c>
    </row>
    <row r="161">
      <c r="U161" s="147">
        <f t="shared" si="337"/>
        <v>145</v>
      </c>
      <c r="V161" s="147">
        <f t="shared" ref="V161:W161" si="338">V159-V151</f>
        <v>460</v>
      </c>
      <c r="W161" s="147">
        <f t="shared" si="338"/>
        <v>2320</v>
      </c>
      <c r="X161" s="137">
        <f>W160-50</f>
        <v>1010</v>
      </c>
      <c r="Y161" s="147">
        <f t="shared" si="339"/>
        <v>852</v>
      </c>
      <c r="Z161" s="100">
        <f>Y160-Y161-50</f>
        <v>1278</v>
      </c>
      <c r="AA161" s="147">
        <f t="shared" si="340"/>
        <v>1691</v>
      </c>
      <c r="AB161" s="100">
        <f>AA160-AA161-500</f>
        <v>1447</v>
      </c>
      <c r="AC161" s="147">
        <f>(AC160)*73.9/(73.9+99)</f>
        <v>1073.238288</v>
      </c>
      <c r="AD161" s="147">
        <f>(AC160)*99/(73.9+99)</f>
        <v>1437.761712</v>
      </c>
      <c r="AE161" s="147">
        <f t="shared" si="341"/>
        <v>701</v>
      </c>
      <c r="AF161" s="137">
        <v>0.0</v>
      </c>
      <c r="AG161" s="147">
        <f>AG159-AG151</f>
        <v>452</v>
      </c>
      <c r="AH161">
        <v>162.0</v>
      </c>
      <c r="AI161" s="18">
        <f>SUM(U161:AH161)</f>
        <v>13029</v>
      </c>
      <c r="AL161" s="1">
        <v>17003.0</v>
      </c>
      <c r="AV161" s="1">
        <v>316360.0</v>
      </c>
      <c r="AX161" s="1" t="s">
        <v>5510</v>
      </c>
      <c r="AY161">
        <v>0.04903595669692353</v>
      </c>
      <c r="AZ161">
        <v>0.1757722712481634</v>
      </c>
      <c r="BA161">
        <v>0.07319337654026085</v>
      </c>
      <c r="BB161">
        <v>0.07319337654026085</v>
      </c>
      <c r="BC161">
        <v>0.06715402157942653</v>
      </c>
      <c r="BD161">
        <v>0.0966296793733493</v>
      </c>
      <c r="BE161">
        <v>0.0736440746716664</v>
      </c>
      <c r="BF161">
        <v>0.09762121526244151</v>
      </c>
      <c r="BG161">
        <v>0.06661318382173988</v>
      </c>
      <c r="BH161">
        <v>0.08923823001829834</v>
      </c>
      <c r="BI161">
        <v>0.045511497309332155</v>
      </c>
      <c r="BJ161">
        <v>0.052371122869324584</v>
      </c>
      <c r="BK161">
        <v>0.040021994068812586</v>
      </c>
      <c r="BL161">
        <f t="shared" ref="BL161:BL162" si="344">SUM(AY161:BK161)</f>
        <v>1</v>
      </c>
    </row>
    <row r="162">
      <c r="U162">
        <f t="shared" ref="U162:AH162" si="342">U161*2426890/13029</f>
        <v>27008.90705</v>
      </c>
      <c r="V162">
        <f t="shared" si="342"/>
        <v>85683.42927</v>
      </c>
      <c r="W162">
        <f t="shared" si="342"/>
        <v>432142.5129</v>
      </c>
      <c r="X162">
        <f t="shared" si="342"/>
        <v>188131.0078</v>
      </c>
      <c r="Y162">
        <f t="shared" si="342"/>
        <v>158700.6125</v>
      </c>
      <c r="Z162">
        <f t="shared" si="342"/>
        <v>238050.9187</v>
      </c>
      <c r="AA162">
        <f t="shared" si="342"/>
        <v>314979.7367</v>
      </c>
      <c r="AB162">
        <f t="shared" si="342"/>
        <v>269530.2656</v>
      </c>
      <c r="AC162">
        <f t="shared" si="342"/>
        <v>199910.2977</v>
      </c>
      <c r="AD162">
        <f t="shared" si="342"/>
        <v>267809.4651</v>
      </c>
      <c r="AE162">
        <f t="shared" si="342"/>
        <v>130574.0955</v>
      </c>
      <c r="AF162">
        <f t="shared" si="342"/>
        <v>0</v>
      </c>
      <c r="AG162">
        <f t="shared" si="342"/>
        <v>84193.28268</v>
      </c>
      <c r="AH162">
        <f t="shared" si="342"/>
        <v>30175.46857</v>
      </c>
      <c r="AJ162" s="1">
        <v>2426890.0</v>
      </c>
      <c r="AX162" s="1" t="s">
        <v>5637</v>
      </c>
      <c r="AY162">
        <f t="shared" ref="AY162:BK162" si="343">316360*AY161</f>
        <v>15513.01526</v>
      </c>
      <c r="AZ162" s="144">
        <f t="shared" si="343"/>
        <v>55607.31573</v>
      </c>
      <c r="BA162" s="144">
        <f t="shared" si="343"/>
        <v>23155.4566</v>
      </c>
      <c r="BB162" s="144">
        <f t="shared" si="343"/>
        <v>23155.4566</v>
      </c>
      <c r="BC162" s="144">
        <f t="shared" si="343"/>
        <v>21244.84627</v>
      </c>
      <c r="BD162" s="144">
        <f t="shared" si="343"/>
        <v>30569.76537</v>
      </c>
      <c r="BE162">
        <f t="shared" si="343"/>
        <v>23298.03946</v>
      </c>
      <c r="BF162" s="144">
        <f t="shared" si="343"/>
        <v>30883.44766</v>
      </c>
      <c r="BG162" s="144">
        <f t="shared" si="343"/>
        <v>21073.74683</v>
      </c>
      <c r="BH162" s="144">
        <f t="shared" si="343"/>
        <v>28231.40645</v>
      </c>
      <c r="BI162" s="144">
        <f t="shared" si="343"/>
        <v>14398.01729</v>
      </c>
      <c r="BJ162" s="144">
        <f t="shared" si="343"/>
        <v>16568.12843</v>
      </c>
      <c r="BK162" s="144">
        <f t="shared" si="343"/>
        <v>12661.35804</v>
      </c>
      <c r="BL162">
        <f t="shared" si="344"/>
        <v>316360</v>
      </c>
    </row>
    <row r="163">
      <c r="B163" s="1" t="s">
        <v>3743</v>
      </c>
      <c r="D163" s="1">
        <v>1680000.0</v>
      </c>
      <c r="E163" s="1">
        <v>2300000.0</v>
      </c>
      <c r="F163" s="1">
        <v>1600000.0</v>
      </c>
      <c r="G163" s="1">
        <v>1800000.0</v>
      </c>
      <c r="H163" s="1">
        <v>1900000.0</v>
      </c>
      <c r="I163" s="1">
        <v>3500000.0</v>
      </c>
      <c r="J163" s="1">
        <v>2270000.0</v>
      </c>
      <c r="K163" s="1">
        <v>2380000.0</v>
      </c>
      <c r="L163" s="1">
        <v>1810000.0</v>
      </c>
      <c r="M163" s="1">
        <v>1730000.0</v>
      </c>
      <c r="N163" s="1">
        <v>1340000.0</v>
      </c>
      <c r="O163" s="1">
        <v>1200000.0</v>
      </c>
      <c r="P163">
        <f t="shared" ref="P163:P171" si="347">SUM(D163:O163)</f>
        <v>23510000</v>
      </c>
      <c r="U163">
        <v>27008.90705349605</v>
      </c>
      <c r="V163" s="148">
        <v>85683.42927315987</v>
      </c>
      <c r="W163" s="148">
        <v>432142.5128559368</v>
      </c>
      <c r="X163" s="148">
        <v>188131.00775193798</v>
      </c>
      <c r="Y163" s="146">
        <f t="shared" ref="Y163:AE163" si="345">Y162+3772</f>
        <v>162472.6125</v>
      </c>
      <c r="Z163" s="146">
        <f t="shared" si="345"/>
        <v>241822.9187</v>
      </c>
      <c r="AA163" s="145">
        <f t="shared" si="345"/>
        <v>318751.7367</v>
      </c>
      <c r="AB163" s="146">
        <f t="shared" si="345"/>
        <v>273302.2656</v>
      </c>
      <c r="AC163" s="146">
        <f t="shared" si="345"/>
        <v>203682.2977</v>
      </c>
      <c r="AD163" s="146">
        <f t="shared" si="345"/>
        <v>271581.4651</v>
      </c>
      <c r="AE163" s="146">
        <f t="shared" si="345"/>
        <v>134346.0955</v>
      </c>
      <c r="AF163" s="146"/>
      <c r="AG163" s="146">
        <f>AG162+3772</f>
        <v>87965.28268</v>
      </c>
      <c r="AH163">
        <f>AH162/8</f>
        <v>3771.933571</v>
      </c>
      <c r="AI163" s="18">
        <f>SUM(U163:AG163)</f>
        <v>2426890.531</v>
      </c>
      <c r="BE163" s="133">
        <f>BE162+AY162</f>
        <v>38811.05472</v>
      </c>
    </row>
    <row r="164">
      <c r="B164" s="1" t="s">
        <v>5499</v>
      </c>
      <c r="D164" s="1">
        <f t="shared" ref="D164:O164" si="346">D163*0.1</f>
        <v>168000</v>
      </c>
      <c r="E164" s="1">
        <f t="shared" si="346"/>
        <v>230000</v>
      </c>
      <c r="F164" s="1">
        <f t="shared" si="346"/>
        <v>160000</v>
      </c>
      <c r="G164" s="1">
        <f t="shared" si="346"/>
        <v>180000</v>
      </c>
      <c r="H164" s="1">
        <f t="shared" si="346"/>
        <v>190000</v>
      </c>
      <c r="I164" s="1">
        <f t="shared" si="346"/>
        <v>350000</v>
      </c>
      <c r="J164" s="1">
        <f t="shared" si="346"/>
        <v>227000</v>
      </c>
      <c r="K164" s="1">
        <f t="shared" si="346"/>
        <v>238000</v>
      </c>
      <c r="L164" s="1">
        <f t="shared" si="346"/>
        <v>181000</v>
      </c>
      <c r="M164" s="1">
        <f t="shared" si="346"/>
        <v>173000</v>
      </c>
      <c r="N164" s="1">
        <f t="shared" si="346"/>
        <v>134000</v>
      </c>
      <c r="O164" s="1">
        <f t="shared" si="346"/>
        <v>120000</v>
      </c>
      <c r="P164">
        <f t="shared" si="347"/>
        <v>2351000</v>
      </c>
      <c r="AA164" s="146">
        <f>AA163+U163</f>
        <v>345760.6438</v>
      </c>
    </row>
    <row r="165">
      <c r="B165" s="1" t="s">
        <v>5520</v>
      </c>
      <c r="D165">
        <f t="shared" ref="D165:O165" si="348">D163+D164</f>
        <v>1848000</v>
      </c>
      <c r="E165">
        <f t="shared" si="348"/>
        <v>2530000</v>
      </c>
      <c r="F165">
        <f t="shared" si="348"/>
        <v>1760000</v>
      </c>
      <c r="G165">
        <f t="shared" si="348"/>
        <v>1980000</v>
      </c>
      <c r="H165">
        <f t="shared" si="348"/>
        <v>2090000</v>
      </c>
      <c r="I165">
        <f t="shared" si="348"/>
        <v>3850000</v>
      </c>
      <c r="J165">
        <f t="shared" si="348"/>
        <v>2497000</v>
      </c>
      <c r="K165">
        <f t="shared" si="348"/>
        <v>2618000</v>
      </c>
      <c r="L165">
        <f t="shared" si="348"/>
        <v>1991000</v>
      </c>
      <c r="M165">
        <f t="shared" si="348"/>
        <v>1903000</v>
      </c>
      <c r="N165">
        <f t="shared" si="348"/>
        <v>1474000</v>
      </c>
      <c r="O165">
        <f t="shared" si="348"/>
        <v>1320000</v>
      </c>
      <c r="P165">
        <f t="shared" si="347"/>
        <v>25861000</v>
      </c>
      <c r="AV165" s="1">
        <v>260800.0</v>
      </c>
      <c r="AX165" s="1" t="s">
        <v>5510</v>
      </c>
      <c r="AY165">
        <v>0.04903595669692353</v>
      </c>
      <c r="AZ165">
        <v>0.1757722712481634</v>
      </c>
      <c r="BA165">
        <v>0.07319337654026085</v>
      </c>
      <c r="BB165">
        <v>0.07319337654026085</v>
      </c>
      <c r="BC165">
        <v>0.06715402157942653</v>
      </c>
      <c r="BD165">
        <v>0.0966296793733493</v>
      </c>
      <c r="BE165">
        <v>0.0736440746716664</v>
      </c>
      <c r="BF165">
        <v>0.09762121526244151</v>
      </c>
      <c r="BG165">
        <v>0.06661318382173988</v>
      </c>
      <c r="BH165">
        <v>0.08923823001829834</v>
      </c>
      <c r="BI165">
        <v>0.045511497309332155</v>
      </c>
      <c r="BJ165">
        <v>0.052371122869324584</v>
      </c>
      <c r="BK165">
        <v>0.040021994068812586</v>
      </c>
      <c r="BL165">
        <f t="shared" ref="BL165:BL166" si="350">SUM(AY165:BK165)</f>
        <v>1</v>
      </c>
    </row>
    <row r="166">
      <c r="B166" s="1" t="s">
        <v>5545</v>
      </c>
      <c r="D166">
        <v>62116.01398601398</v>
      </c>
      <c r="E166">
        <v>285703.14049586776</v>
      </c>
      <c r="F166">
        <v>144377.76223776225</v>
      </c>
      <c r="G166">
        <v>13850.582326764144</v>
      </c>
      <c r="H166">
        <v>26517.975842339478</v>
      </c>
      <c r="I166">
        <v>125567.83598219961</v>
      </c>
      <c r="J166">
        <v>111374.25047679593</v>
      </c>
      <c r="K166">
        <v>46306.304013983805</v>
      </c>
      <c r="L166">
        <v>61062.082508584535</v>
      </c>
      <c r="M166">
        <v>55057.766052129686</v>
      </c>
      <c r="O166">
        <v>28349.406230133503</v>
      </c>
      <c r="P166">
        <f t="shared" si="347"/>
        <v>960283.1202</v>
      </c>
      <c r="T166" s="1" t="s">
        <v>5642</v>
      </c>
      <c r="U166" s="1">
        <v>18159.0</v>
      </c>
      <c r="W166" s="1">
        <v>22180.0</v>
      </c>
      <c r="Y166" s="1">
        <v>59030.0</v>
      </c>
      <c r="AA166" s="1">
        <v>60865.0</v>
      </c>
      <c r="AC166" s="1">
        <v>66881.0</v>
      </c>
      <c r="AE166" s="1">
        <v>91364.0</v>
      </c>
      <c r="AH166" s="1">
        <v>5039.0</v>
      </c>
      <c r="AX166" s="1" t="s">
        <v>5623</v>
      </c>
      <c r="AY166">
        <f t="shared" ref="AY166:BK166" si="349">260800*AY165</f>
        <v>12788.57751</v>
      </c>
      <c r="AZ166" s="144">
        <f t="shared" si="349"/>
        <v>45841.40834</v>
      </c>
      <c r="BA166" s="144">
        <f t="shared" si="349"/>
        <v>19088.8326</v>
      </c>
      <c r="BB166" s="144">
        <f t="shared" si="349"/>
        <v>19088.8326</v>
      </c>
      <c r="BC166" s="144">
        <f t="shared" si="349"/>
        <v>17513.76883</v>
      </c>
      <c r="BD166" s="144">
        <f t="shared" si="349"/>
        <v>25201.02038</v>
      </c>
      <c r="BE166">
        <f t="shared" si="349"/>
        <v>19206.37467</v>
      </c>
      <c r="BF166" s="144">
        <f t="shared" si="349"/>
        <v>25459.61294</v>
      </c>
      <c r="BG166" s="144">
        <f t="shared" si="349"/>
        <v>17372.71834</v>
      </c>
      <c r="BH166" s="144">
        <f t="shared" si="349"/>
        <v>23273.33039</v>
      </c>
      <c r="BI166" s="144">
        <f t="shared" si="349"/>
        <v>11869.3985</v>
      </c>
      <c r="BJ166" s="144">
        <f t="shared" si="349"/>
        <v>13658.38884</v>
      </c>
      <c r="BK166" s="144">
        <f t="shared" si="349"/>
        <v>10437.73605</v>
      </c>
      <c r="BL166">
        <f t="shared" si="350"/>
        <v>260800</v>
      </c>
    </row>
    <row r="167">
      <c r="D167">
        <f t="shared" ref="D167:O167" si="351">D166-D168</f>
        <v>56469.10362</v>
      </c>
      <c r="E167">
        <f t="shared" si="351"/>
        <v>259730.1277</v>
      </c>
      <c r="F167">
        <f t="shared" si="351"/>
        <v>131252.5111</v>
      </c>
      <c r="G167">
        <f t="shared" si="351"/>
        <v>12591.43848</v>
      </c>
      <c r="H167">
        <f t="shared" si="351"/>
        <v>24107.25077</v>
      </c>
      <c r="I167">
        <f t="shared" si="351"/>
        <v>114152.5782</v>
      </c>
      <c r="J167">
        <f t="shared" si="351"/>
        <v>101249.3186</v>
      </c>
      <c r="K167">
        <f t="shared" si="351"/>
        <v>42096.64001</v>
      </c>
      <c r="L167">
        <f t="shared" si="351"/>
        <v>55510.9841</v>
      </c>
      <c r="M167">
        <f t="shared" si="351"/>
        <v>50052.51459</v>
      </c>
      <c r="N167">
        <f t="shared" si="351"/>
        <v>0</v>
      </c>
      <c r="O167">
        <f t="shared" si="351"/>
        <v>25772.18748</v>
      </c>
      <c r="P167">
        <f t="shared" si="347"/>
        <v>872984.6547</v>
      </c>
      <c r="U167" s="1">
        <v>5866.0</v>
      </c>
      <c r="V167" s="1">
        <v>18193.0</v>
      </c>
      <c r="W167" s="1">
        <v>59615.0</v>
      </c>
      <c r="Y167" s="1">
        <v>16201.0</v>
      </c>
      <c r="AA167" s="1">
        <v>14949.0</v>
      </c>
      <c r="AE167" s="1">
        <v>88445.0</v>
      </c>
      <c r="AG167" s="1">
        <v>8225.0</v>
      </c>
      <c r="BE167" s="133">
        <f>BE166+AY166</f>
        <v>31994.95218</v>
      </c>
    </row>
    <row r="168">
      <c r="B168" s="1" t="s">
        <v>5499</v>
      </c>
      <c r="D168">
        <f t="shared" ref="D168:O168" si="352">D166/11</f>
        <v>5646.910362</v>
      </c>
      <c r="E168">
        <f t="shared" si="352"/>
        <v>25973.01277</v>
      </c>
      <c r="F168">
        <f t="shared" si="352"/>
        <v>13125.25111</v>
      </c>
      <c r="G168">
        <f t="shared" si="352"/>
        <v>1259.143848</v>
      </c>
      <c r="H168">
        <f t="shared" si="352"/>
        <v>2410.725077</v>
      </c>
      <c r="I168">
        <f t="shared" si="352"/>
        <v>11415.25782</v>
      </c>
      <c r="J168">
        <f t="shared" si="352"/>
        <v>10124.93186</v>
      </c>
      <c r="K168">
        <f t="shared" si="352"/>
        <v>4209.664001</v>
      </c>
      <c r="L168">
        <f t="shared" si="352"/>
        <v>5551.09841</v>
      </c>
      <c r="M168">
        <f t="shared" si="352"/>
        <v>5005.251459</v>
      </c>
      <c r="N168">
        <f t="shared" si="352"/>
        <v>0</v>
      </c>
      <c r="O168">
        <f t="shared" si="352"/>
        <v>2577.218748</v>
      </c>
      <c r="P168">
        <f t="shared" si="347"/>
        <v>87298.46547</v>
      </c>
      <c r="U168">
        <f t="shared" ref="U168:U169" si="354">U166-U158</f>
        <v>759</v>
      </c>
      <c r="V168" s="1"/>
      <c r="W168">
        <f>W166-W158</f>
        <v>814</v>
      </c>
      <c r="Y168">
        <f t="shared" ref="Y168:Y169" si="356">Y166-Y158</f>
        <v>993</v>
      </c>
      <c r="AA168">
        <f t="shared" ref="AA168:AA169" si="357">AA166-AA158</f>
        <v>2013</v>
      </c>
      <c r="AC168">
        <f>AC166-AC158</f>
        <v>1385</v>
      </c>
      <c r="AE168">
        <f t="shared" ref="AE168:AE169" si="358">AE166-AE158</f>
        <v>659</v>
      </c>
      <c r="AH168">
        <f>AH166-AH158</f>
        <v>127</v>
      </c>
    </row>
    <row r="169">
      <c r="B169" s="23" t="s">
        <v>5528</v>
      </c>
      <c r="D169" s="18">
        <f t="shared" ref="D169:O169" si="353">SUM(D165,D166)</f>
        <v>1910116.014</v>
      </c>
      <c r="E169" s="18">
        <f t="shared" si="353"/>
        <v>2815703.14</v>
      </c>
      <c r="F169" s="18">
        <f t="shared" si="353"/>
        <v>1904377.762</v>
      </c>
      <c r="G169" s="18">
        <f t="shared" si="353"/>
        <v>1993850.582</v>
      </c>
      <c r="H169" s="18">
        <f t="shared" si="353"/>
        <v>2116517.976</v>
      </c>
      <c r="I169" s="18">
        <f t="shared" si="353"/>
        <v>3975567.836</v>
      </c>
      <c r="J169" s="18">
        <f t="shared" si="353"/>
        <v>2608374.25</v>
      </c>
      <c r="K169" s="18">
        <f t="shared" si="353"/>
        <v>2664306.304</v>
      </c>
      <c r="L169" s="18">
        <f t="shared" si="353"/>
        <v>2052062.083</v>
      </c>
      <c r="M169" s="18">
        <f t="shared" si="353"/>
        <v>1958057.766</v>
      </c>
      <c r="N169" s="18">
        <f t="shared" si="353"/>
        <v>1474000</v>
      </c>
      <c r="O169" s="18">
        <f t="shared" si="353"/>
        <v>1348349.406</v>
      </c>
      <c r="P169">
        <f t="shared" si="347"/>
        <v>26821283.12</v>
      </c>
      <c r="U169" s="147">
        <f t="shared" si="354"/>
        <v>106</v>
      </c>
      <c r="V169" s="147">
        <f t="shared" ref="V169:W169" si="355">V167-V159</f>
        <v>421</v>
      </c>
      <c r="W169" s="147">
        <f t="shared" si="355"/>
        <v>1494</v>
      </c>
      <c r="X169" s="137">
        <f>W168-50</f>
        <v>764</v>
      </c>
      <c r="Y169" s="147">
        <f t="shared" si="356"/>
        <v>367</v>
      </c>
      <c r="Z169" s="100">
        <f>Y168-Y169-50</f>
        <v>576</v>
      </c>
      <c r="AA169" s="147">
        <f t="shared" si="357"/>
        <v>976</v>
      </c>
      <c r="AB169" s="100">
        <f>AA168-AA169-50</f>
        <v>987</v>
      </c>
      <c r="AC169" s="147">
        <f>(AC168)*73.9/(73.9+99)</f>
        <v>591.9693464</v>
      </c>
      <c r="AD169" s="147">
        <f>(AC168)*99/(73.9+99)</f>
        <v>793.0306536</v>
      </c>
      <c r="AE169" s="147">
        <f t="shared" si="358"/>
        <v>369</v>
      </c>
      <c r="AF169" s="100">
        <f>(AE168-AE169-AG169)*31/8</f>
        <v>69.75</v>
      </c>
      <c r="AG169" s="147">
        <f>AG167-AG159</f>
        <v>272</v>
      </c>
      <c r="AH169">
        <v>162.0</v>
      </c>
      <c r="AI169" s="18">
        <f>SUM(U169:AH169)</f>
        <v>7948.75</v>
      </c>
      <c r="AL169" s="1">
        <v>10745.0</v>
      </c>
      <c r="AV169" s="1">
        <v>308160.0</v>
      </c>
      <c r="AX169" s="1" t="s">
        <v>5510</v>
      </c>
      <c r="AY169">
        <v>0.04903595669692353</v>
      </c>
      <c r="AZ169">
        <v>0.1757722712481634</v>
      </c>
      <c r="BA169">
        <v>0.07319337654026085</v>
      </c>
      <c r="BB169">
        <v>0.07319337654026085</v>
      </c>
      <c r="BC169">
        <v>0.06715402157942653</v>
      </c>
      <c r="BD169">
        <v>0.0966296793733493</v>
      </c>
      <c r="BE169">
        <v>0.0736440746716664</v>
      </c>
      <c r="BF169">
        <v>0.09762121526244151</v>
      </c>
      <c r="BG169">
        <v>0.06661318382173988</v>
      </c>
      <c r="BH169">
        <v>0.08923823001829834</v>
      </c>
      <c r="BI169">
        <v>0.045511497309332155</v>
      </c>
      <c r="BJ169">
        <v>0.052371122869324584</v>
      </c>
      <c r="BK169">
        <v>0.040021994068812586</v>
      </c>
      <c r="BL169">
        <f t="shared" ref="BL169:BL170" si="362">SUM(AY169:BK169)</f>
        <v>1</v>
      </c>
    </row>
    <row r="170">
      <c r="B170" s="1" t="s">
        <v>5580</v>
      </c>
      <c r="D170">
        <f t="shared" ref="D170:O170" si="359">D163+D167</f>
        <v>1736469.104</v>
      </c>
      <c r="E170">
        <f t="shared" si="359"/>
        <v>2559730.128</v>
      </c>
      <c r="F170">
        <f t="shared" si="359"/>
        <v>1731252.511</v>
      </c>
      <c r="G170">
        <f t="shared" si="359"/>
        <v>1812591.438</v>
      </c>
      <c r="H170">
        <f t="shared" si="359"/>
        <v>1924107.251</v>
      </c>
      <c r="I170">
        <f t="shared" si="359"/>
        <v>3614152.578</v>
      </c>
      <c r="J170">
        <f t="shared" si="359"/>
        <v>2371249.319</v>
      </c>
      <c r="K170">
        <f t="shared" si="359"/>
        <v>2422096.64</v>
      </c>
      <c r="L170">
        <f t="shared" si="359"/>
        <v>1865510.984</v>
      </c>
      <c r="M170">
        <f t="shared" si="359"/>
        <v>1780052.515</v>
      </c>
      <c r="N170">
        <f t="shared" si="359"/>
        <v>1340000</v>
      </c>
      <c r="O170">
        <f t="shared" si="359"/>
        <v>1225772.187</v>
      </c>
      <c r="P170">
        <f t="shared" si="347"/>
        <v>24382984.65</v>
      </c>
      <c r="U170">
        <f t="shared" ref="U170:AH170" si="360">U169*1535030/7948</f>
        <v>20472.21691</v>
      </c>
      <c r="V170">
        <f t="shared" si="360"/>
        <v>81309.46527</v>
      </c>
      <c r="W170">
        <f t="shared" si="360"/>
        <v>288542.378</v>
      </c>
      <c r="X170">
        <f t="shared" si="360"/>
        <v>147554.469</v>
      </c>
      <c r="Y170">
        <f t="shared" si="360"/>
        <v>70880.2227</v>
      </c>
      <c r="Z170">
        <f t="shared" si="360"/>
        <v>111245.2542</v>
      </c>
      <c r="AA170">
        <f t="shared" si="360"/>
        <v>188498.9029</v>
      </c>
      <c r="AB170">
        <f t="shared" si="360"/>
        <v>190623.3782</v>
      </c>
      <c r="AC170">
        <f t="shared" si="360"/>
        <v>114329.4799</v>
      </c>
      <c r="AD170">
        <f t="shared" si="360"/>
        <v>153161.2788</v>
      </c>
      <c r="AE170">
        <f t="shared" si="360"/>
        <v>71266.49094</v>
      </c>
      <c r="AF170">
        <f t="shared" si="360"/>
        <v>13471.10499</v>
      </c>
      <c r="AG170">
        <f t="shared" si="360"/>
        <v>52532.48113</v>
      </c>
      <c r="AH170">
        <f t="shared" si="360"/>
        <v>31287.72773</v>
      </c>
      <c r="AJ170" s="1">
        <v>1535030.0</v>
      </c>
      <c r="AX170" s="1" t="s">
        <v>5628</v>
      </c>
      <c r="AY170">
        <f t="shared" ref="AY170:BK170" si="361">308160*AY169</f>
        <v>15110.92042</v>
      </c>
      <c r="AZ170" s="136">
        <f t="shared" si="361"/>
        <v>54165.98311</v>
      </c>
      <c r="BA170" s="136">
        <f t="shared" si="361"/>
        <v>22555.27091</v>
      </c>
      <c r="BB170" s="136">
        <f t="shared" si="361"/>
        <v>22555.27091</v>
      </c>
      <c r="BC170" s="136">
        <f t="shared" si="361"/>
        <v>20694.18329</v>
      </c>
      <c r="BD170" s="136">
        <f t="shared" si="361"/>
        <v>29777.402</v>
      </c>
      <c r="BE170">
        <f t="shared" si="361"/>
        <v>22694.15805</v>
      </c>
      <c r="BF170" s="136">
        <f t="shared" si="361"/>
        <v>30082.9537</v>
      </c>
      <c r="BG170" s="136">
        <f t="shared" si="361"/>
        <v>20527.51873</v>
      </c>
      <c r="BH170" s="136">
        <f t="shared" si="361"/>
        <v>27499.65296</v>
      </c>
      <c r="BI170" s="136">
        <f t="shared" si="361"/>
        <v>14024.82301</v>
      </c>
      <c r="BJ170" s="136">
        <f t="shared" si="361"/>
        <v>16138.68522</v>
      </c>
      <c r="BK170" s="136">
        <f t="shared" si="361"/>
        <v>12333.17769</v>
      </c>
      <c r="BL170">
        <f t="shared" si="362"/>
        <v>308160</v>
      </c>
    </row>
    <row r="171">
      <c r="B171" s="1" t="s">
        <v>5582</v>
      </c>
      <c r="D171">
        <f t="shared" ref="D171:O171" si="363">D164+D168</f>
        <v>173646.9104</v>
      </c>
      <c r="E171">
        <f t="shared" si="363"/>
        <v>255973.0128</v>
      </c>
      <c r="F171">
        <f t="shared" si="363"/>
        <v>173125.2511</v>
      </c>
      <c r="G171">
        <f t="shared" si="363"/>
        <v>181259.1438</v>
      </c>
      <c r="H171">
        <f t="shared" si="363"/>
        <v>192410.7251</v>
      </c>
      <c r="I171">
        <f t="shared" si="363"/>
        <v>361415.2578</v>
      </c>
      <c r="J171">
        <f t="shared" si="363"/>
        <v>237124.9319</v>
      </c>
      <c r="K171">
        <f t="shared" si="363"/>
        <v>242209.664</v>
      </c>
      <c r="L171">
        <f t="shared" si="363"/>
        <v>186551.0984</v>
      </c>
      <c r="M171">
        <f t="shared" si="363"/>
        <v>178005.2515</v>
      </c>
      <c r="N171">
        <f t="shared" si="363"/>
        <v>134000</v>
      </c>
      <c r="O171">
        <f t="shared" si="363"/>
        <v>122577.2187</v>
      </c>
      <c r="P171">
        <f t="shared" si="347"/>
        <v>2438298.465</v>
      </c>
      <c r="U171">
        <v>20472.216909914445</v>
      </c>
      <c r="V171" s="151">
        <v>81309.46527428283</v>
      </c>
      <c r="W171" s="151">
        <v>288542.3779567187</v>
      </c>
      <c r="X171" s="151">
        <v>147554.46904881732</v>
      </c>
      <c r="Y171" s="146">
        <f t="shared" ref="Y171:AG171" si="364">Y170+3476</f>
        <v>74356.2227</v>
      </c>
      <c r="Z171" s="146">
        <f t="shared" si="364"/>
        <v>114721.2542</v>
      </c>
      <c r="AA171" s="146">
        <f t="shared" si="364"/>
        <v>191974.9029</v>
      </c>
      <c r="AB171" s="146">
        <f t="shared" si="364"/>
        <v>194099.3782</v>
      </c>
      <c r="AC171" s="146">
        <f t="shared" si="364"/>
        <v>117805.4799</v>
      </c>
      <c r="AD171" s="146">
        <f t="shared" si="364"/>
        <v>156637.2788</v>
      </c>
      <c r="AE171" s="146">
        <f t="shared" si="364"/>
        <v>74742.49094</v>
      </c>
      <c r="AF171" s="146">
        <f t="shared" si="364"/>
        <v>16947.10499</v>
      </c>
      <c r="AG171" s="146">
        <f t="shared" si="364"/>
        <v>56008.48113</v>
      </c>
      <c r="AH171">
        <f>AH170/9</f>
        <v>3476.414192</v>
      </c>
      <c r="AI171" s="18">
        <f>SUM(U171:AG171)</f>
        <v>1535171.123</v>
      </c>
      <c r="BE171" s="133">
        <f>BE170+AY170</f>
        <v>37805.07847</v>
      </c>
    </row>
    <row r="172">
      <c r="D172" s="1" t="s">
        <v>5583</v>
      </c>
      <c r="E172" s="1" t="s">
        <v>5566</v>
      </c>
      <c r="F172" s="1" t="s">
        <v>5566</v>
      </c>
      <c r="G172" s="1" t="s">
        <v>5566</v>
      </c>
      <c r="H172" s="1" t="s">
        <v>5566</v>
      </c>
      <c r="I172" s="1" t="s">
        <v>5566</v>
      </c>
      <c r="J172" s="1" t="s">
        <v>5566</v>
      </c>
      <c r="K172" s="1" t="s">
        <v>5566</v>
      </c>
      <c r="L172" s="1" t="s">
        <v>5566</v>
      </c>
      <c r="M172" s="1" t="s">
        <v>5566</v>
      </c>
      <c r="N172" s="1" t="s">
        <v>5583</v>
      </c>
      <c r="O172" s="1" t="s">
        <v>5566</v>
      </c>
      <c r="AA172" s="146">
        <f>AA171+U171</f>
        <v>212447.1198</v>
      </c>
      <c r="AE172" s="29">
        <f>AE171*24/31</f>
        <v>57865.15428</v>
      </c>
    </row>
    <row r="173">
      <c r="AV173" s="1">
        <v>352560.0</v>
      </c>
      <c r="AX173" s="1" t="s">
        <v>5510</v>
      </c>
      <c r="AY173">
        <v>0.04903595669692353</v>
      </c>
      <c r="AZ173">
        <v>0.1757722712481634</v>
      </c>
      <c r="BA173">
        <v>0.07319337654026085</v>
      </c>
      <c r="BB173">
        <v>0.07319337654026085</v>
      </c>
      <c r="BC173">
        <v>0.06715402157942653</v>
      </c>
      <c r="BD173">
        <v>0.0966296793733493</v>
      </c>
      <c r="BE173">
        <v>0.0736440746716664</v>
      </c>
      <c r="BF173">
        <v>0.09762121526244151</v>
      </c>
      <c r="BG173">
        <v>0.06661318382173988</v>
      </c>
      <c r="BH173">
        <v>0.08923823001829834</v>
      </c>
      <c r="BI173">
        <v>0.045511497309332155</v>
      </c>
      <c r="BJ173">
        <v>0.052371122869324584</v>
      </c>
      <c r="BK173">
        <v>0.040021994068812586</v>
      </c>
      <c r="BL173">
        <f t="shared" ref="BL173:BL174" si="366">SUM(AY173:BK173)</f>
        <v>1</v>
      </c>
    </row>
    <row r="174">
      <c r="K174" s="1"/>
      <c r="T174" s="1" t="s">
        <v>5643</v>
      </c>
      <c r="U174" s="1">
        <v>18907.0</v>
      </c>
      <c r="W174" s="1">
        <v>23300.0</v>
      </c>
      <c r="Y174" s="1">
        <v>59662.0</v>
      </c>
      <c r="AA174" s="1">
        <v>62279.0</v>
      </c>
      <c r="AC174" s="1">
        <v>67895.0</v>
      </c>
      <c r="AE174" s="1">
        <v>92024.0</v>
      </c>
      <c r="AH174" s="1">
        <v>5211.0</v>
      </c>
      <c r="AX174" s="1" t="s">
        <v>5630</v>
      </c>
      <c r="AY174">
        <f t="shared" ref="AY174:BK174" si="365">352560*AY173</f>
        <v>17288.11689</v>
      </c>
      <c r="AZ174" s="136">
        <f t="shared" si="365"/>
        <v>61970.27195</v>
      </c>
      <c r="BA174" s="136">
        <f t="shared" si="365"/>
        <v>25805.05683</v>
      </c>
      <c r="BB174" s="136">
        <f t="shared" si="365"/>
        <v>25805.05683</v>
      </c>
      <c r="BC174" s="136">
        <f t="shared" si="365"/>
        <v>23675.82185</v>
      </c>
      <c r="BD174" s="136">
        <f t="shared" si="365"/>
        <v>34067.75976</v>
      </c>
      <c r="BE174">
        <f t="shared" si="365"/>
        <v>25963.95497</v>
      </c>
      <c r="BF174" s="136">
        <f t="shared" si="365"/>
        <v>34417.33565</v>
      </c>
      <c r="BG174" s="136">
        <f t="shared" si="365"/>
        <v>23485.14409</v>
      </c>
      <c r="BH174" s="136">
        <f t="shared" si="365"/>
        <v>31461.83038</v>
      </c>
      <c r="BI174" s="136">
        <f t="shared" si="365"/>
        <v>16045.53349</v>
      </c>
      <c r="BJ174" s="136">
        <f t="shared" si="365"/>
        <v>18463.96308</v>
      </c>
      <c r="BK174" s="136">
        <f t="shared" si="365"/>
        <v>14110.15423</v>
      </c>
      <c r="BL174">
        <f t="shared" si="366"/>
        <v>352560</v>
      </c>
    </row>
    <row r="175">
      <c r="B175" s="1" t="s">
        <v>5644</v>
      </c>
      <c r="D175" s="1">
        <v>1680000.0</v>
      </c>
      <c r="E175" s="1">
        <v>2300000.0</v>
      </c>
      <c r="F175" s="1">
        <v>1600000.0</v>
      </c>
      <c r="G175" s="1">
        <v>1800000.0</v>
      </c>
      <c r="H175" s="1">
        <v>1900000.0</v>
      </c>
      <c r="I175" s="1">
        <v>3500000.0</v>
      </c>
      <c r="J175" s="1">
        <v>2270000.0</v>
      </c>
      <c r="K175" s="1">
        <v>2380000.0</v>
      </c>
      <c r="L175" s="1">
        <v>1810000.0</v>
      </c>
      <c r="M175" s="1">
        <v>1730000.0</v>
      </c>
      <c r="N175" s="1">
        <v>1340000.0</v>
      </c>
      <c r="O175" s="1">
        <v>1200000.0</v>
      </c>
      <c r="P175">
        <f t="shared" ref="P175:P181" si="368">SUM(D175:O175)</f>
        <v>23510000</v>
      </c>
      <c r="U175" s="1">
        <v>5987.0</v>
      </c>
      <c r="V175" s="1">
        <v>18688.0</v>
      </c>
      <c r="W175" s="1">
        <v>61363.0</v>
      </c>
      <c r="Y175" s="1">
        <v>16340.0</v>
      </c>
      <c r="AA175" s="1">
        <v>15930.0</v>
      </c>
      <c r="AE175" s="1">
        <v>88601.0</v>
      </c>
      <c r="AG175" s="1">
        <v>8443.0</v>
      </c>
      <c r="BE175" s="133">
        <f>BE174+AY174</f>
        <v>43252.07186</v>
      </c>
    </row>
    <row r="176">
      <c r="B176" s="1" t="s">
        <v>5499</v>
      </c>
      <c r="D176" s="1">
        <f t="shared" ref="D176:O176" si="367">D175*0.1</f>
        <v>168000</v>
      </c>
      <c r="E176" s="1">
        <f t="shared" si="367"/>
        <v>230000</v>
      </c>
      <c r="F176" s="1">
        <f t="shared" si="367"/>
        <v>160000</v>
      </c>
      <c r="G176" s="1">
        <f t="shared" si="367"/>
        <v>180000</v>
      </c>
      <c r="H176" s="1">
        <f t="shared" si="367"/>
        <v>190000</v>
      </c>
      <c r="I176" s="1">
        <f t="shared" si="367"/>
        <v>350000</v>
      </c>
      <c r="J176" s="1">
        <f t="shared" si="367"/>
        <v>227000</v>
      </c>
      <c r="K176" s="1">
        <f t="shared" si="367"/>
        <v>238000</v>
      </c>
      <c r="L176" s="1">
        <f t="shared" si="367"/>
        <v>181000</v>
      </c>
      <c r="M176" s="1">
        <f t="shared" si="367"/>
        <v>173000</v>
      </c>
      <c r="N176" s="1">
        <f t="shared" si="367"/>
        <v>134000</v>
      </c>
      <c r="O176" s="1">
        <f t="shared" si="367"/>
        <v>120000</v>
      </c>
      <c r="P176">
        <f t="shared" si="368"/>
        <v>2351000</v>
      </c>
      <c r="U176">
        <f t="shared" ref="U176:U177" si="370">U174-U166</f>
        <v>748</v>
      </c>
      <c r="V176" s="1"/>
      <c r="W176">
        <f>W174-W166</f>
        <v>1120</v>
      </c>
      <c r="Y176">
        <f t="shared" ref="Y176:Y177" si="372">Y174-Y166</f>
        <v>632</v>
      </c>
      <c r="AA176">
        <f t="shared" ref="AA176:AA177" si="373">AA174-AA166</f>
        <v>1414</v>
      </c>
      <c r="AC176">
        <f>AC174-AC166</f>
        <v>1014</v>
      </c>
      <c r="AE176">
        <f>AE174-AE166</f>
        <v>660</v>
      </c>
      <c r="AH176">
        <f>AH174-AH166</f>
        <v>172</v>
      </c>
    </row>
    <row r="177">
      <c r="B177" s="1" t="s">
        <v>5520</v>
      </c>
      <c r="D177">
        <f t="shared" ref="D177:O177" si="369">D175+D176</f>
        <v>1848000</v>
      </c>
      <c r="E177">
        <f t="shared" si="369"/>
        <v>2530000</v>
      </c>
      <c r="F177">
        <f t="shared" si="369"/>
        <v>1760000</v>
      </c>
      <c r="G177">
        <f t="shared" si="369"/>
        <v>1980000</v>
      </c>
      <c r="H177">
        <f t="shared" si="369"/>
        <v>2090000</v>
      </c>
      <c r="I177">
        <f t="shared" si="369"/>
        <v>3850000</v>
      </c>
      <c r="J177">
        <f t="shared" si="369"/>
        <v>2497000</v>
      </c>
      <c r="K177">
        <f t="shared" si="369"/>
        <v>2618000</v>
      </c>
      <c r="L177">
        <f t="shared" si="369"/>
        <v>1991000</v>
      </c>
      <c r="M177">
        <f t="shared" si="369"/>
        <v>1903000</v>
      </c>
      <c r="N177">
        <f t="shared" si="369"/>
        <v>1474000</v>
      </c>
      <c r="O177">
        <f t="shared" si="369"/>
        <v>1320000</v>
      </c>
      <c r="P177">
        <f t="shared" si="368"/>
        <v>25861000</v>
      </c>
      <c r="U177" s="147">
        <f t="shared" si="370"/>
        <v>121</v>
      </c>
      <c r="V177" s="147">
        <f t="shared" ref="V177:W177" si="371">V175-V167</f>
        <v>495</v>
      </c>
      <c r="W177" s="147">
        <f t="shared" si="371"/>
        <v>1748</v>
      </c>
      <c r="X177" s="137">
        <f>W176-50</f>
        <v>1070</v>
      </c>
      <c r="Y177" s="147">
        <f t="shared" si="372"/>
        <v>139</v>
      </c>
      <c r="Z177" s="100">
        <f>Y176-Y177-50</f>
        <v>443</v>
      </c>
      <c r="AA177" s="147">
        <f t="shared" si="373"/>
        <v>981</v>
      </c>
      <c r="AB177" s="100">
        <f>(AA176-AA177)*2-50</f>
        <v>816</v>
      </c>
      <c r="AC177" s="147">
        <f>(AC176)*73.9/(73.9+99)</f>
        <v>433.3984962</v>
      </c>
      <c r="AD177" s="147">
        <f>(AC176)*99/(73.9+99)</f>
        <v>580.6015038</v>
      </c>
      <c r="AE177" s="147"/>
      <c r="AF177" s="100">
        <f>AE176-AE177-AG177-50</f>
        <v>392</v>
      </c>
      <c r="AG177" s="147">
        <f>AG175-AG167</f>
        <v>218</v>
      </c>
      <c r="AH177">
        <v>162.0</v>
      </c>
      <c r="AI177" s="18">
        <f>SUM(U177:AH177)</f>
        <v>7599</v>
      </c>
      <c r="AJ177" s="1">
        <v>980300.0</v>
      </c>
      <c r="AL177" s="1">
        <v>7391.0</v>
      </c>
      <c r="AV177" s="1">
        <v>299280.0</v>
      </c>
      <c r="AX177" s="1" t="s">
        <v>5510</v>
      </c>
      <c r="AY177">
        <v>0.04903595669692353</v>
      </c>
      <c r="AZ177">
        <v>0.1757722712481634</v>
      </c>
      <c r="BA177">
        <v>0.07319337654026085</v>
      </c>
      <c r="BB177">
        <v>0.07319337654026085</v>
      </c>
      <c r="BC177">
        <v>0.06715402157942653</v>
      </c>
      <c r="BD177">
        <v>0.0966296793733493</v>
      </c>
      <c r="BE177">
        <v>0.0736440746716664</v>
      </c>
      <c r="BF177">
        <v>0.09762121526244151</v>
      </c>
      <c r="BG177">
        <v>0.06661318382173988</v>
      </c>
      <c r="BH177">
        <v>0.08923823001829834</v>
      </c>
      <c r="BI177">
        <v>0.045511497309332155</v>
      </c>
      <c r="BJ177">
        <v>0.052371122869324584</v>
      </c>
      <c r="BK177">
        <v>0.040021994068812586</v>
      </c>
      <c r="BL177">
        <f t="shared" ref="BL177:BL178" si="376">SUM(AY177:BK177)</f>
        <v>1</v>
      </c>
    </row>
    <row r="178">
      <c r="B178" s="1" t="s">
        <v>5545</v>
      </c>
      <c r="D178">
        <v>86034.12130637636</v>
      </c>
      <c r="E178">
        <v>250234.43234836703</v>
      </c>
      <c r="F178">
        <v>160266.34525660964</v>
      </c>
      <c r="G178">
        <v>12913.393468118196</v>
      </c>
      <c r="H178">
        <v>54647.63919129082</v>
      </c>
      <c r="I178">
        <v>153851.9937791602</v>
      </c>
      <c r="J178">
        <v>95184.59097978227</v>
      </c>
      <c r="K178">
        <v>45711.61023866042</v>
      </c>
      <c r="L178">
        <v>60162.82833054643</v>
      </c>
      <c r="M178">
        <v>36346.14618973561</v>
      </c>
      <c r="O178">
        <v>34464.684292379476</v>
      </c>
      <c r="P178">
        <f t="shared" si="368"/>
        <v>989817.7854</v>
      </c>
      <c r="U178">
        <f t="shared" ref="U178:AH178" si="374">U177*980300/7599</f>
        <v>15609.46177</v>
      </c>
      <c r="V178">
        <f t="shared" si="374"/>
        <v>63856.88906</v>
      </c>
      <c r="W178">
        <f t="shared" si="374"/>
        <v>225498.6709</v>
      </c>
      <c r="X178">
        <f t="shared" si="374"/>
        <v>138034.0834</v>
      </c>
      <c r="Y178">
        <f t="shared" si="374"/>
        <v>17931.53046</v>
      </c>
      <c r="Z178">
        <f t="shared" si="374"/>
        <v>57148.69062</v>
      </c>
      <c r="AA178">
        <f t="shared" si="374"/>
        <v>126552.7438</v>
      </c>
      <c r="AB178">
        <f t="shared" si="374"/>
        <v>105267.1141</v>
      </c>
      <c r="AC178">
        <f t="shared" si="374"/>
        <v>55910.05999</v>
      </c>
      <c r="AD178">
        <f t="shared" si="374"/>
        <v>74899.80973</v>
      </c>
      <c r="AE178">
        <f t="shared" si="374"/>
        <v>0</v>
      </c>
      <c r="AF178">
        <f t="shared" si="374"/>
        <v>50569.49599</v>
      </c>
      <c r="AG178">
        <f t="shared" si="374"/>
        <v>28122.83195</v>
      </c>
      <c r="AH178">
        <f t="shared" si="374"/>
        <v>20898.61824</v>
      </c>
      <c r="AX178" s="1" t="s">
        <v>5631</v>
      </c>
      <c r="AY178">
        <f t="shared" ref="AY178:BK178" si="375">299280*AY177</f>
        <v>14675.48112</v>
      </c>
      <c r="AZ178" s="136">
        <f t="shared" si="375"/>
        <v>52605.12534</v>
      </c>
      <c r="BA178" s="136">
        <f t="shared" si="375"/>
        <v>21905.31373</v>
      </c>
      <c r="BB178" s="136">
        <f t="shared" si="375"/>
        <v>21905.31373</v>
      </c>
      <c r="BC178" s="136">
        <f t="shared" si="375"/>
        <v>20097.85558</v>
      </c>
      <c r="BD178" s="136">
        <f t="shared" si="375"/>
        <v>28919.33044</v>
      </c>
      <c r="BE178">
        <f t="shared" si="375"/>
        <v>22040.19867</v>
      </c>
      <c r="BF178" s="136">
        <f t="shared" si="375"/>
        <v>29216.0773</v>
      </c>
      <c r="BG178" s="136">
        <f t="shared" si="375"/>
        <v>19935.99365</v>
      </c>
      <c r="BH178" s="136">
        <f t="shared" si="375"/>
        <v>26707.21748</v>
      </c>
      <c r="BI178" s="136">
        <f t="shared" si="375"/>
        <v>13620.68091</v>
      </c>
      <c r="BJ178" s="136">
        <f t="shared" si="375"/>
        <v>15673.62965</v>
      </c>
      <c r="BK178" s="136">
        <f t="shared" si="375"/>
        <v>11977.78238</v>
      </c>
      <c r="BL178">
        <f t="shared" si="376"/>
        <v>299280</v>
      </c>
    </row>
    <row r="179">
      <c r="D179">
        <f t="shared" ref="D179:O179" si="377">D178-D180</f>
        <v>78212.83755</v>
      </c>
      <c r="E179">
        <f t="shared" si="377"/>
        <v>227485.8476</v>
      </c>
      <c r="F179">
        <f t="shared" si="377"/>
        <v>145696.6775</v>
      </c>
      <c r="G179">
        <f t="shared" si="377"/>
        <v>11739.44861</v>
      </c>
      <c r="H179">
        <f t="shared" si="377"/>
        <v>49679.67199</v>
      </c>
      <c r="I179">
        <f t="shared" si="377"/>
        <v>139865.4489</v>
      </c>
      <c r="J179">
        <f t="shared" si="377"/>
        <v>86531.44635</v>
      </c>
      <c r="K179">
        <f t="shared" si="377"/>
        <v>41556.00931</v>
      </c>
      <c r="L179">
        <f t="shared" si="377"/>
        <v>54693.4803</v>
      </c>
      <c r="M179">
        <f t="shared" si="377"/>
        <v>33041.95108</v>
      </c>
      <c r="N179">
        <f t="shared" si="377"/>
        <v>0</v>
      </c>
      <c r="O179">
        <f t="shared" si="377"/>
        <v>31331.53117</v>
      </c>
      <c r="P179">
        <f t="shared" si="368"/>
        <v>899834.3503</v>
      </c>
      <c r="U179">
        <v>15609.461771285696</v>
      </c>
      <c r="V179" s="55">
        <v>63856.88906435057</v>
      </c>
      <c r="W179" s="55">
        <v>225498.67087774706</v>
      </c>
      <c r="X179" s="55">
        <v>138034.08343203054</v>
      </c>
      <c r="Y179" s="146">
        <f t="shared" ref="Y179:AD179" si="378">Y178+2612</f>
        <v>20543.53046</v>
      </c>
      <c r="Z179" s="146">
        <f t="shared" si="378"/>
        <v>59760.69062</v>
      </c>
      <c r="AA179" s="146">
        <f t="shared" si="378"/>
        <v>129164.7438</v>
      </c>
      <c r="AB179" s="146">
        <f t="shared" si="378"/>
        <v>107879.1141</v>
      </c>
      <c r="AC179" s="146">
        <f t="shared" si="378"/>
        <v>58522.05999</v>
      </c>
      <c r="AD179" s="146">
        <f t="shared" si="378"/>
        <v>77511.80973</v>
      </c>
      <c r="AE179" s="146"/>
      <c r="AF179" s="146">
        <f t="shared" ref="AF179:AG179" si="379">AF178+2612</f>
        <v>53181.49599</v>
      </c>
      <c r="AG179" s="146">
        <f t="shared" si="379"/>
        <v>30734.83195</v>
      </c>
      <c r="AH179">
        <f>AH178/8</f>
        <v>2612.32728</v>
      </c>
      <c r="AI179" s="18">
        <f>SUM(U179:AG179)</f>
        <v>980297.3818</v>
      </c>
      <c r="BE179" s="133">
        <f>BE178+AY178</f>
        <v>36715.67979</v>
      </c>
    </row>
    <row r="180">
      <c r="B180" s="1" t="s">
        <v>5499</v>
      </c>
      <c r="D180">
        <f t="shared" ref="D180:O180" si="380">D178/11</f>
        <v>7821.283755</v>
      </c>
      <c r="E180">
        <f t="shared" si="380"/>
        <v>22748.58476</v>
      </c>
      <c r="F180">
        <f t="shared" si="380"/>
        <v>14569.66775</v>
      </c>
      <c r="G180">
        <f t="shared" si="380"/>
        <v>1173.944861</v>
      </c>
      <c r="H180">
        <f t="shared" si="380"/>
        <v>4967.967199</v>
      </c>
      <c r="I180">
        <f t="shared" si="380"/>
        <v>13986.54489</v>
      </c>
      <c r="J180">
        <f t="shared" si="380"/>
        <v>8653.144635</v>
      </c>
      <c r="K180">
        <f t="shared" si="380"/>
        <v>4155.600931</v>
      </c>
      <c r="L180">
        <f t="shared" si="380"/>
        <v>5469.34803</v>
      </c>
      <c r="M180">
        <f t="shared" si="380"/>
        <v>3304.195108</v>
      </c>
      <c r="N180">
        <f t="shared" si="380"/>
        <v>0</v>
      </c>
      <c r="O180">
        <f t="shared" si="380"/>
        <v>3133.153117</v>
      </c>
      <c r="P180">
        <f t="shared" si="368"/>
        <v>89983.43503</v>
      </c>
      <c r="AA180" s="146">
        <f>AA179+U179</f>
        <v>144774.2056</v>
      </c>
    </row>
    <row r="181">
      <c r="B181" s="1" t="s">
        <v>5645</v>
      </c>
      <c r="D181">
        <v>54456.551281100976</v>
      </c>
      <c r="E181">
        <v>45352.53296436307</v>
      </c>
      <c r="F181">
        <v>22676.266482181534</v>
      </c>
      <c r="G181">
        <v>20805.195233036015</v>
      </c>
      <c r="H181" s="134">
        <v>29937.139986328333</v>
      </c>
      <c r="I181">
        <v>60823.77881550664</v>
      </c>
      <c r="J181">
        <v>30244.330788426847</v>
      </c>
      <c r="K181">
        <v>20637.63661370955</v>
      </c>
      <c r="L181">
        <v>27647.17218886665</v>
      </c>
      <c r="M181">
        <v>14100.057816321993</v>
      </c>
      <c r="N181">
        <v>0.0</v>
      </c>
      <c r="O181">
        <v>12399.337830158376</v>
      </c>
      <c r="P181">
        <f t="shared" si="368"/>
        <v>339080</v>
      </c>
      <c r="AV181" s="1">
        <v>238680.0</v>
      </c>
      <c r="AX181" s="1" t="s">
        <v>5510</v>
      </c>
      <c r="AY181">
        <v>0.04903595669692353</v>
      </c>
      <c r="AZ181">
        <v>0.1757722712481634</v>
      </c>
      <c r="BA181">
        <v>0.07319337654026085</v>
      </c>
      <c r="BB181">
        <v>0.07319337654026085</v>
      </c>
      <c r="BC181">
        <v>0.06715402157942653</v>
      </c>
      <c r="BD181">
        <v>0.0966296793733493</v>
      </c>
      <c r="BE181">
        <v>0.0736440746716664</v>
      </c>
      <c r="BF181">
        <v>0.09762121526244151</v>
      </c>
      <c r="BG181">
        <v>0.06661318382173988</v>
      </c>
      <c r="BH181">
        <v>0.08923823001829834</v>
      </c>
      <c r="BI181">
        <v>0.045511497309332155</v>
      </c>
      <c r="BJ181">
        <v>0.052371122869324584</v>
      </c>
      <c r="BK181">
        <v>0.040021994068812586</v>
      </c>
      <c r="BL181">
        <f t="shared" ref="BL181:BL182" si="383">SUM(AY181:BK181)</f>
        <v>1</v>
      </c>
    </row>
    <row r="182">
      <c r="B182" s="23" t="s">
        <v>5598</v>
      </c>
      <c r="D182" s="18">
        <f t="shared" ref="D182:P182" si="381">SUM(D177,D178,D181)</f>
        <v>1988490.673</v>
      </c>
      <c r="E182" s="18">
        <f t="shared" si="381"/>
        <v>2825586.965</v>
      </c>
      <c r="F182" s="18">
        <f t="shared" si="381"/>
        <v>1942942.612</v>
      </c>
      <c r="G182" s="18">
        <f t="shared" si="381"/>
        <v>2013718.589</v>
      </c>
      <c r="H182" s="18">
        <f t="shared" si="381"/>
        <v>2174584.779</v>
      </c>
      <c r="I182" s="18">
        <f t="shared" si="381"/>
        <v>4064675.773</v>
      </c>
      <c r="J182" s="18">
        <f t="shared" si="381"/>
        <v>2622428.922</v>
      </c>
      <c r="K182" s="18">
        <f t="shared" si="381"/>
        <v>2684349.247</v>
      </c>
      <c r="L182" s="18">
        <f t="shared" si="381"/>
        <v>2078810.001</v>
      </c>
      <c r="M182" s="18">
        <f t="shared" si="381"/>
        <v>1953446.204</v>
      </c>
      <c r="N182" s="18">
        <f t="shared" si="381"/>
        <v>1474000</v>
      </c>
      <c r="O182" s="18">
        <f t="shared" si="381"/>
        <v>1366864.022</v>
      </c>
      <c r="P182" s="18">
        <f t="shared" si="381"/>
        <v>27189897.79</v>
      </c>
      <c r="T182" s="1" t="s">
        <v>5646</v>
      </c>
      <c r="U182" s="1">
        <v>19522.0</v>
      </c>
      <c r="W182" s="1">
        <v>24292.0</v>
      </c>
      <c r="Y182" s="1">
        <v>60001.0</v>
      </c>
      <c r="AA182" s="1">
        <v>62926.0</v>
      </c>
      <c r="AC182" s="1">
        <v>68575.0</v>
      </c>
      <c r="AE182" s="1">
        <v>92427.0</v>
      </c>
      <c r="AH182" s="1">
        <v>5353.0</v>
      </c>
      <c r="AX182" s="1" t="s">
        <v>5634</v>
      </c>
      <c r="AY182">
        <f t="shared" ref="AY182:BK182" si="382">238680*AY181</f>
        <v>11703.90214</v>
      </c>
      <c r="AZ182" s="136">
        <f t="shared" si="382"/>
        <v>41953.3257</v>
      </c>
      <c r="BA182" s="136">
        <f t="shared" si="382"/>
        <v>17469.79511</v>
      </c>
      <c r="BB182" s="136">
        <f t="shared" si="382"/>
        <v>17469.79511</v>
      </c>
      <c r="BC182" s="136">
        <f t="shared" si="382"/>
        <v>16028.32187</v>
      </c>
      <c r="BD182" s="136">
        <f t="shared" si="382"/>
        <v>23063.57187</v>
      </c>
      <c r="BE182">
        <f t="shared" si="382"/>
        <v>17577.36774</v>
      </c>
      <c r="BF182" s="136">
        <f t="shared" si="382"/>
        <v>23300.23166</v>
      </c>
      <c r="BG182" s="136">
        <f t="shared" si="382"/>
        <v>15899.23471</v>
      </c>
      <c r="BH182">
        <f t="shared" si="382"/>
        <v>21299.38074</v>
      </c>
      <c r="BI182" s="136">
        <f t="shared" si="382"/>
        <v>10862.68418</v>
      </c>
      <c r="BJ182" s="136">
        <f t="shared" si="382"/>
        <v>12499.93961</v>
      </c>
      <c r="BK182" s="136">
        <f t="shared" si="382"/>
        <v>9552.449544</v>
      </c>
      <c r="BL182">
        <f t="shared" si="383"/>
        <v>238680</v>
      </c>
    </row>
    <row r="183">
      <c r="B183" s="1" t="s">
        <v>5599</v>
      </c>
      <c r="D183">
        <f t="shared" ref="D183:O183" si="384">SUM(D175,D179,D181)</f>
        <v>1812669.389</v>
      </c>
      <c r="E183">
        <f t="shared" si="384"/>
        <v>2572838.381</v>
      </c>
      <c r="F183">
        <f t="shared" si="384"/>
        <v>1768372.944</v>
      </c>
      <c r="G183">
        <f t="shared" si="384"/>
        <v>1832544.644</v>
      </c>
      <c r="H183">
        <f t="shared" si="384"/>
        <v>1979616.812</v>
      </c>
      <c r="I183">
        <f t="shared" si="384"/>
        <v>3700689.228</v>
      </c>
      <c r="J183">
        <f t="shared" si="384"/>
        <v>2386775.777</v>
      </c>
      <c r="K183">
        <f t="shared" si="384"/>
        <v>2442193.646</v>
      </c>
      <c r="L183">
        <f t="shared" si="384"/>
        <v>1892340.652</v>
      </c>
      <c r="M183">
        <f t="shared" si="384"/>
        <v>1777142.009</v>
      </c>
      <c r="N183">
        <f t="shared" si="384"/>
        <v>1340000</v>
      </c>
      <c r="O183">
        <f t="shared" si="384"/>
        <v>1243730.869</v>
      </c>
      <c r="U183" s="1">
        <v>6107.0</v>
      </c>
      <c r="V183" s="1">
        <v>19116.0</v>
      </c>
      <c r="W183" s="1">
        <v>62862.0</v>
      </c>
      <c r="Y183" s="1">
        <v>16403.0</v>
      </c>
      <c r="AA183" s="1">
        <v>16602.0</v>
      </c>
      <c r="AE183" s="1">
        <v>88606.0</v>
      </c>
      <c r="AG183" s="1">
        <v>8610.0</v>
      </c>
      <c r="BE183" s="133">
        <f>BE182+AY182</f>
        <v>29281.26989</v>
      </c>
      <c r="BG183" s="1" t="s">
        <v>5647</v>
      </c>
      <c r="BH183" s="136">
        <f>BH182*11/60</f>
        <v>3904.886469</v>
      </c>
    </row>
    <row r="184">
      <c r="B184" s="1" t="s">
        <v>5601</v>
      </c>
      <c r="D184">
        <f t="shared" ref="D184:O184" si="385">SUM(D175,D179)</f>
        <v>1758212.838</v>
      </c>
      <c r="E184">
        <f t="shared" si="385"/>
        <v>2527485.848</v>
      </c>
      <c r="F184">
        <f t="shared" si="385"/>
        <v>1745696.678</v>
      </c>
      <c r="G184">
        <f t="shared" si="385"/>
        <v>1811739.449</v>
      </c>
      <c r="H184">
        <f t="shared" si="385"/>
        <v>1949679.672</v>
      </c>
      <c r="I184">
        <f t="shared" si="385"/>
        <v>3639865.449</v>
      </c>
      <c r="J184">
        <f t="shared" si="385"/>
        <v>2356531.446</v>
      </c>
      <c r="K184">
        <f t="shared" si="385"/>
        <v>2421556.009</v>
      </c>
      <c r="L184">
        <f t="shared" si="385"/>
        <v>1864693.48</v>
      </c>
      <c r="M184">
        <f t="shared" si="385"/>
        <v>1763041.951</v>
      </c>
      <c r="N184">
        <f t="shared" si="385"/>
        <v>1340000</v>
      </c>
      <c r="O184">
        <f t="shared" si="385"/>
        <v>1231331.531</v>
      </c>
      <c r="U184">
        <f t="shared" ref="U184:U185" si="387">U182-U174</f>
        <v>615</v>
      </c>
      <c r="V184" s="1"/>
      <c r="W184">
        <f>W182-W174</f>
        <v>992</v>
      </c>
      <c r="Y184">
        <f t="shared" ref="Y184:Y185" si="389">Y182-Y174</f>
        <v>339</v>
      </c>
      <c r="AA184">
        <f t="shared" ref="AA184:AA185" si="390">AA182-AA174</f>
        <v>647</v>
      </c>
      <c r="AC184">
        <f>AC182-AC174</f>
        <v>680</v>
      </c>
      <c r="AE184">
        <f>AE182-AE174</f>
        <v>403</v>
      </c>
      <c r="AH184">
        <f>AH182-AH174</f>
        <v>142</v>
      </c>
    </row>
    <row r="185">
      <c r="B185" s="1" t="s">
        <v>5582</v>
      </c>
      <c r="D185">
        <f t="shared" ref="D185:O185" si="386">SUM(D176,D180)</f>
        <v>175821.2838</v>
      </c>
      <c r="E185">
        <f t="shared" si="386"/>
        <v>252748.5848</v>
      </c>
      <c r="F185">
        <f t="shared" si="386"/>
        <v>174569.6678</v>
      </c>
      <c r="G185">
        <f t="shared" si="386"/>
        <v>181173.9449</v>
      </c>
      <c r="H185">
        <f t="shared" si="386"/>
        <v>194967.9672</v>
      </c>
      <c r="I185">
        <f t="shared" si="386"/>
        <v>363986.5449</v>
      </c>
      <c r="J185">
        <f t="shared" si="386"/>
        <v>235653.1446</v>
      </c>
      <c r="K185">
        <f t="shared" si="386"/>
        <v>242155.6009</v>
      </c>
      <c r="L185">
        <f t="shared" si="386"/>
        <v>186469.348</v>
      </c>
      <c r="M185">
        <f t="shared" si="386"/>
        <v>176304.1951</v>
      </c>
      <c r="N185">
        <f t="shared" si="386"/>
        <v>134000</v>
      </c>
      <c r="O185">
        <f t="shared" si="386"/>
        <v>123133.1531</v>
      </c>
      <c r="U185" s="147">
        <f t="shared" si="387"/>
        <v>120</v>
      </c>
      <c r="V185" s="147">
        <f t="shared" ref="V185:W185" si="388">V183-V175</f>
        <v>428</v>
      </c>
      <c r="W185" s="147">
        <f t="shared" si="388"/>
        <v>1499</v>
      </c>
      <c r="X185" s="137">
        <f>W184-50</f>
        <v>942</v>
      </c>
      <c r="Y185" s="147">
        <f t="shared" si="389"/>
        <v>63</v>
      </c>
      <c r="Z185" s="100">
        <f>Y184-Y185-50</f>
        <v>226</v>
      </c>
      <c r="AA185" s="147">
        <f t="shared" si="390"/>
        <v>672</v>
      </c>
      <c r="AB185" s="100"/>
      <c r="AC185" s="147">
        <f>(AC184)*73.9/(73.9+99)</f>
        <v>290.6419896</v>
      </c>
      <c r="AD185" s="147">
        <f>(AC184)*99/(73.9+99)</f>
        <v>389.3580104</v>
      </c>
      <c r="AE185" s="147"/>
      <c r="AF185" s="100">
        <f>AE184-AE185-AG185-50</f>
        <v>186</v>
      </c>
      <c r="AG185" s="147">
        <f>AG183-AG175</f>
        <v>167</v>
      </c>
      <c r="AH185" s="1">
        <v>142.0</v>
      </c>
      <c r="AI185" s="18">
        <f>SUM(U185:AH185)</f>
        <v>5125</v>
      </c>
      <c r="AJ185" s="1">
        <v>844170.0</v>
      </c>
      <c r="AL185" s="1">
        <v>5553.0</v>
      </c>
      <c r="AV185" s="1">
        <v>243560.0</v>
      </c>
      <c r="AX185" s="1" t="s">
        <v>5510</v>
      </c>
      <c r="AY185">
        <v>0.04903595669692353</v>
      </c>
      <c r="AZ185">
        <v>0.1757722712481634</v>
      </c>
      <c r="BA185">
        <v>0.07319337654026085</v>
      </c>
      <c r="BB185">
        <v>0.07319337654026085</v>
      </c>
      <c r="BC185">
        <v>0.06715402157942653</v>
      </c>
      <c r="BD185">
        <v>0.0966296793733493</v>
      </c>
      <c r="BE185">
        <v>0.0736440746716664</v>
      </c>
      <c r="BF185">
        <v>0.09762121526244151</v>
      </c>
      <c r="BG185">
        <v>0.06661318382173988</v>
      </c>
      <c r="BH185">
        <v>0.08923823001829834</v>
      </c>
      <c r="BI185">
        <v>0.045511497309332155</v>
      </c>
      <c r="BJ185">
        <v>0.052371122869324584</v>
      </c>
      <c r="BK185">
        <v>0.040021994068812586</v>
      </c>
      <c r="BL185">
        <f t="shared" ref="BL185:BL186" si="394">SUM(AY185:BK185)</f>
        <v>1</v>
      </c>
    </row>
    <row r="186">
      <c r="B186" s="1" t="s">
        <v>5602</v>
      </c>
      <c r="D186">
        <f t="shared" ref="D186:O186" si="391">SUM(D184:D185)</f>
        <v>1934034.121</v>
      </c>
      <c r="E186">
        <f t="shared" si="391"/>
        <v>2780234.432</v>
      </c>
      <c r="F186">
        <f t="shared" si="391"/>
        <v>1920266.345</v>
      </c>
      <c r="G186">
        <f t="shared" si="391"/>
        <v>1992913.393</v>
      </c>
      <c r="H186">
        <f t="shared" si="391"/>
        <v>2144647.639</v>
      </c>
      <c r="I186">
        <f t="shared" si="391"/>
        <v>4003851.994</v>
      </c>
      <c r="J186">
        <f t="shared" si="391"/>
        <v>2592184.591</v>
      </c>
      <c r="K186">
        <f t="shared" si="391"/>
        <v>2663711.61</v>
      </c>
      <c r="L186">
        <f t="shared" si="391"/>
        <v>2051162.828</v>
      </c>
      <c r="M186">
        <f t="shared" si="391"/>
        <v>1939346.146</v>
      </c>
      <c r="N186">
        <f t="shared" si="391"/>
        <v>1474000</v>
      </c>
      <c r="O186">
        <f t="shared" si="391"/>
        <v>1354464.684</v>
      </c>
      <c r="U186">
        <f t="shared" ref="U186:AH186" si="392">U185*844170/5125</f>
        <v>19765.93171</v>
      </c>
      <c r="V186">
        <f t="shared" si="392"/>
        <v>70498.48976</v>
      </c>
      <c r="W186">
        <f t="shared" si="392"/>
        <v>246909.4302</v>
      </c>
      <c r="X186">
        <f t="shared" si="392"/>
        <v>155162.5639</v>
      </c>
      <c r="Y186">
        <f t="shared" si="392"/>
        <v>10377.11415</v>
      </c>
      <c r="Z186">
        <f t="shared" si="392"/>
        <v>37225.83805</v>
      </c>
      <c r="AA186">
        <f t="shared" si="392"/>
        <v>110689.2176</v>
      </c>
      <c r="AB186">
        <f t="shared" si="392"/>
        <v>0</v>
      </c>
      <c r="AC186">
        <f t="shared" si="392"/>
        <v>47873.41431</v>
      </c>
      <c r="AD186">
        <f t="shared" si="392"/>
        <v>64133.53203</v>
      </c>
      <c r="AE186">
        <f t="shared" si="392"/>
        <v>0</v>
      </c>
      <c r="AF186">
        <f t="shared" si="392"/>
        <v>30637.19415</v>
      </c>
      <c r="AG186">
        <f t="shared" si="392"/>
        <v>27507.58829</v>
      </c>
      <c r="AH186">
        <f t="shared" si="392"/>
        <v>23389.68585</v>
      </c>
      <c r="AX186" s="1" t="s">
        <v>5637</v>
      </c>
      <c r="AY186">
        <f t="shared" ref="AY186:BK186" si="393">243560*AY185</f>
        <v>11943.19761</v>
      </c>
      <c r="AZ186" s="136">
        <f t="shared" si="393"/>
        <v>42811.09439</v>
      </c>
      <c r="BA186" s="136">
        <f t="shared" si="393"/>
        <v>17826.97879</v>
      </c>
      <c r="BB186" s="136">
        <f t="shared" si="393"/>
        <v>17826.97879</v>
      </c>
      <c r="BC186" s="136">
        <f t="shared" si="393"/>
        <v>16356.0335</v>
      </c>
      <c r="BD186" s="136">
        <f t="shared" si="393"/>
        <v>23535.12471</v>
      </c>
      <c r="BE186">
        <f t="shared" si="393"/>
        <v>17936.75083</v>
      </c>
      <c r="BF186" s="136">
        <f t="shared" si="393"/>
        <v>23776.62319</v>
      </c>
      <c r="BG186" s="136">
        <f t="shared" si="393"/>
        <v>16224.30705</v>
      </c>
      <c r="BH186" s="136">
        <f t="shared" si="393"/>
        <v>21734.8633</v>
      </c>
      <c r="BI186" s="136">
        <f t="shared" si="393"/>
        <v>11084.78028</v>
      </c>
      <c r="BJ186" s="136">
        <f t="shared" si="393"/>
        <v>12755.51069</v>
      </c>
      <c r="BK186" s="136">
        <f t="shared" si="393"/>
        <v>9747.756875</v>
      </c>
      <c r="BL186">
        <f t="shared" si="394"/>
        <v>243560</v>
      </c>
    </row>
    <row r="187">
      <c r="C187" s="71">
        <f>SUM(C189,C191,C193,C195,C197,C199,C201,C203)</f>
        <v>3200000</v>
      </c>
      <c r="D187" s="1" t="s">
        <v>5583</v>
      </c>
      <c r="E187" s="1" t="s">
        <v>5566</v>
      </c>
      <c r="F187" s="1" t="s">
        <v>5566</v>
      </c>
      <c r="G187" s="1" t="s">
        <v>5566</v>
      </c>
      <c r="H187" s="1" t="s">
        <v>5566</v>
      </c>
      <c r="I187" s="1" t="s">
        <v>5566</v>
      </c>
      <c r="J187" s="1" t="s">
        <v>5566</v>
      </c>
      <c r="K187" s="1" t="s">
        <v>5566</v>
      </c>
      <c r="L187" s="1" t="s">
        <v>5566</v>
      </c>
      <c r="M187" s="1" t="s">
        <v>5566</v>
      </c>
      <c r="N187" s="1" t="s">
        <v>5583</v>
      </c>
      <c r="O187" s="1" t="s">
        <v>5566</v>
      </c>
      <c r="U187">
        <v>19765.93170731707</v>
      </c>
      <c r="V187" s="136">
        <v>70498.48975609757</v>
      </c>
      <c r="W187" s="136">
        <v>246909.43024390243</v>
      </c>
      <c r="X187" s="136">
        <v>155162.56390243903</v>
      </c>
      <c r="Y187" s="146">
        <f t="shared" ref="Y187:AA187" si="395">Y186+3341</f>
        <v>13718.11415</v>
      </c>
      <c r="Z187" s="146">
        <f t="shared" si="395"/>
        <v>40566.83805</v>
      </c>
      <c r="AA187" s="145">
        <f t="shared" si="395"/>
        <v>114030.2176</v>
      </c>
      <c r="AB187" s="146"/>
      <c r="AC187" s="146">
        <f t="shared" ref="AC187:AD187" si="396">AC186+3341</f>
        <v>51214.41431</v>
      </c>
      <c r="AD187" s="146">
        <f t="shared" si="396"/>
        <v>67474.53203</v>
      </c>
      <c r="AE187" s="146"/>
      <c r="AF187" s="146">
        <f t="shared" ref="AF187:AG187" si="397">AF186+3341</f>
        <v>33978.19415</v>
      </c>
      <c r="AG187" s="146">
        <f t="shared" si="397"/>
        <v>30848.58829</v>
      </c>
      <c r="AH187">
        <f>AH186/7</f>
        <v>3341.383693</v>
      </c>
      <c r="AI187" s="18">
        <f>SUM(U187:AG187)</f>
        <v>844167.3141</v>
      </c>
      <c r="BE187" s="133">
        <f>BE186+AY186</f>
        <v>29879.94844</v>
      </c>
    </row>
    <row r="188">
      <c r="C188" s="1" t="s">
        <v>5648</v>
      </c>
      <c r="H188" s="1"/>
      <c r="AA188" s="146">
        <f>AA187+U187</f>
        <v>133796.1493</v>
      </c>
    </row>
    <row r="189">
      <c r="C189" s="1">
        <v>500000.0</v>
      </c>
      <c r="H189" s="1"/>
      <c r="AV189" s="1">
        <v>219160.0</v>
      </c>
      <c r="AX189" s="1" t="s">
        <v>5510</v>
      </c>
      <c r="AY189">
        <v>0.04903595669692353</v>
      </c>
      <c r="AZ189">
        <v>0.1757722712481634</v>
      </c>
      <c r="BA189">
        <v>0.07319337654026085</v>
      </c>
      <c r="BB189">
        <v>0.07319337654026085</v>
      </c>
      <c r="BC189">
        <v>0.06715402157942653</v>
      </c>
      <c r="BD189">
        <v>0.0966296793733493</v>
      </c>
      <c r="BE189">
        <v>0.0736440746716664</v>
      </c>
      <c r="BF189">
        <v>0.09762121526244151</v>
      </c>
      <c r="BG189">
        <v>0.06661318382173988</v>
      </c>
      <c r="BH189">
        <v>0.08923823001829834</v>
      </c>
      <c r="BI189">
        <v>0.045511497309332155</v>
      </c>
      <c r="BJ189">
        <v>0.052371122869324584</v>
      </c>
      <c r="BK189">
        <v>0.040021994068812586</v>
      </c>
      <c r="BL189">
        <f t="shared" ref="BL189:BL190" si="399">SUM(AY189:BK189)</f>
        <v>1</v>
      </c>
    </row>
    <row r="190">
      <c r="B190" s="1" t="s">
        <v>5649</v>
      </c>
      <c r="C190" s="1" t="s">
        <v>5650</v>
      </c>
      <c r="D190" s="1">
        <v>1680000.0</v>
      </c>
      <c r="E190" s="1">
        <v>2300000.0</v>
      </c>
      <c r="F190" s="1">
        <v>1600000.0</v>
      </c>
      <c r="G190" s="1">
        <v>1800000.0</v>
      </c>
      <c r="H190" s="1">
        <v>1960000.0</v>
      </c>
      <c r="I190" s="1">
        <v>3500000.0</v>
      </c>
      <c r="J190" s="1">
        <v>2270000.0</v>
      </c>
      <c r="K190" s="1">
        <v>2380000.0</v>
      </c>
      <c r="L190" s="1">
        <v>1810000.0</v>
      </c>
      <c r="M190" s="1">
        <v>1730000.0</v>
      </c>
      <c r="N190" s="1">
        <v>1340000.0</v>
      </c>
      <c r="O190" s="1">
        <v>1200000.0</v>
      </c>
      <c r="P190">
        <f t="shared" ref="P190:P198" si="401">SUM(D190:O190)</f>
        <v>23570000</v>
      </c>
      <c r="T190" s="1" t="s">
        <v>5651</v>
      </c>
      <c r="U190" s="1">
        <v>20230.0</v>
      </c>
      <c r="W190" s="1">
        <v>25074.0</v>
      </c>
      <c r="Y190" s="1">
        <v>60293.0</v>
      </c>
      <c r="AA190" s="1">
        <v>63592.0</v>
      </c>
      <c r="AC190" s="1">
        <v>69260.0</v>
      </c>
      <c r="AE190" s="1">
        <v>92940.0</v>
      </c>
      <c r="AH190" s="1">
        <v>5482.0</v>
      </c>
      <c r="AX190" s="1" t="s">
        <v>5623</v>
      </c>
      <c r="AY190">
        <f t="shared" ref="AY190:BK190" si="398">219160*AY189</f>
        <v>10746.72027</v>
      </c>
      <c r="AZ190" s="136">
        <f t="shared" si="398"/>
        <v>38522.25097</v>
      </c>
      <c r="BA190" s="136">
        <f t="shared" si="398"/>
        <v>16041.0604</v>
      </c>
      <c r="BB190" s="136">
        <f t="shared" si="398"/>
        <v>16041.0604</v>
      </c>
      <c r="BC190" s="136">
        <f t="shared" si="398"/>
        <v>14717.47537</v>
      </c>
      <c r="BD190" s="136">
        <f t="shared" si="398"/>
        <v>21177.36053</v>
      </c>
      <c r="BE190">
        <f t="shared" si="398"/>
        <v>16139.83541</v>
      </c>
      <c r="BF190" s="136">
        <f t="shared" si="398"/>
        <v>21394.66554</v>
      </c>
      <c r="BG190" s="136">
        <f t="shared" si="398"/>
        <v>14598.94537</v>
      </c>
      <c r="BH190" s="136">
        <f t="shared" si="398"/>
        <v>19557.45049</v>
      </c>
      <c r="BI190" s="136">
        <f t="shared" si="398"/>
        <v>9974.29975</v>
      </c>
      <c r="BJ190" s="136">
        <f t="shared" si="398"/>
        <v>11477.65529</v>
      </c>
      <c r="BK190" s="136">
        <f t="shared" si="398"/>
        <v>8771.22022</v>
      </c>
      <c r="BL190">
        <f t="shared" si="399"/>
        <v>219160</v>
      </c>
    </row>
    <row r="191">
      <c r="B191" s="1" t="s">
        <v>5499</v>
      </c>
      <c r="C191" s="1">
        <v>300000.0</v>
      </c>
      <c r="D191" s="1">
        <f t="shared" ref="D191:O191" si="400">D190*0.1</f>
        <v>168000</v>
      </c>
      <c r="E191" s="1">
        <f t="shared" si="400"/>
        <v>230000</v>
      </c>
      <c r="F191" s="1">
        <f t="shared" si="400"/>
        <v>160000</v>
      </c>
      <c r="G191" s="1">
        <f t="shared" si="400"/>
        <v>180000</v>
      </c>
      <c r="H191" s="1">
        <f t="shared" si="400"/>
        <v>196000</v>
      </c>
      <c r="I191" s="1">
        <f t="shared" si="400"/>
        <v>350000</v>
      </c>
      <c r="J191" s="1">
        <f t="shared" si="400"/>
        <v>227000</v>
      </c>
      <c r="K191" s="1">
        <f t="shared" si="400"/>
        <v>238000</v>
      </c>
      <c r="L191" s="1">
        <f t="shared" si="400"/>
        <v>181000</v>
      </c>
      <c r="M191" s="1">
        <f t="shared" si="400"/>
        <v>173000</v>
      </c>
      <c r="N191" s="1">
        <f t="shared" si="400"/>
        <v>134000</v>
      </c>
      <c r="O191" s="1">
        <f t="shared" si="400"/>
        <v>120000</v>
      </c>
      <c r="P191">
        <f t="shared" si="401"/>
        <v>2357000</v>
      </c>
      <c r="U191" s="1">
        <v>6241.0</v>
      </c>
      <c r="V191" s="1">
        <v>19567.0</v>
      </c>
      <c r="W191" s="1">
        <v>64410.0</v>
      </c>
      <c r="Y191" s="1">
        <v>16527.0</v>
      </c>
      <c r="AA191" s="1">
        <v>17291.0</v>
      </c>
      <c r="AE191" s="1">
        <v>88614.0</v>
      </c>
      <c r="AG191" s="1">
        <v>8847.0</v>
      </c>
      <c r="BE191" s="133">
        <f>BE190+AY190</f>
        <v>26886.55567</v>
      </c>
    </row>
    <row r="192">
      <c r="B192" s="1" t="s">
        <v>5520</v>
      </c>
      <c r="C192" s="1" t="s">
        <v>5652</v>
      </c>
      <c r="D192" s="31">
        <f t="shared" ref="D192:O192" si="402">D190+D191</f>
        <v>1848000</v>
      </c>
      <c r="E192">
        <f t="shared" si="402"/>
        <v>2530000</v>
      </c>
      <c r="F192">
        <f t="shared" si="402"/>
        <v>1760000</v>
      </c>
      <c r="G192">
        <f t="shared" si="402"/>
        <v>1980000</v>
      </c>
      <c r="H192">
        <f t="shared" si="402"/>
        <v>2156000</v>
      </c>
      <c r="I192">
        <f t="shared" si="402"/>
        <v>3850000</v>
      </c>
      <c r="J192">
        <f t="shared" si="402"/>
        <v>2497000</v>
      </c>
      <c r="K192">
        <f t="shared" si="402"/>
        <v>2618000</v>
      </c>
      <c r="L192">
        <f t="shared" si="402"/>
        <v>1991000</v>
      </c>
      <c r="M192">
        <f t="shared" si="402"/>
        <v>1903000</v>
      </c>
      <c r="N192">
        <f t="shared" si="402"/>
        <v>1474000</v>
      </c>
      <c r="O192">
        <f t="shared" si="402"/>
        <v>1320000</v>
      </c>
      <c r="P192">
        <f t="shared" si="401"/>
        <v>25927000</v>
      </c>
      <c r="U192">
        <f t="shared" ref="U192:U193" si="403">U190-U182</f>
        <v>708</v>
      </c>
      <c r="V192" s="1"/>
      <c r="W192">
        <f>W190-W182</f>
        <v>782</v>
      </c>
      <c r="Y192">
        <f t="shared" ref="Y192:Y193" si="405">Y190-Y182</f>
        <v>292</v>
      </c>
      <c r="AA192">
        <f t="shared" ref="AA192:AA193" si="406">AA190-AA182</f>
        <v>666</v>
      </c>
      <c r="AC192">
        <f>AC190-AC182</f>
        <v>685</v>
      </c>
      <c r="AE192">
        <f>AE190-AE182</f>
        <v>513</v>
      </c>
      <c r="AH192">
        <f>AH190-AH182</f>
        <v>129</v>
      </c>
    </row>
    <row r="193">
      <c r="B193" s="1" t="s">
        <v>5545</v>
      </c>
      <c r="C193" s="1">
        <v>200000.0</v>
      </c>
      <c r="D193">
        <v>108817.28496420047</v>
      </c>
      <c r="E193">
        <v>422007.6009546539</v>
      </c>
      <c r="F193">
        <v>186388.20429594273</v>
      </c>
      <c r="G193">
        <v>80522.9245823389</v>
      </c>
      <c r="H193" s="134">
        <v>185161.91646778042</v>
      </c>
      <c r="I193">
        <v>274177.72553699283</v>
      </c>
      <c r="J193">
        <v>160273.8229116945</v>
      </c>
      <c r="K193">
        <v>138912.0670805893</v>
      </c>
      <c r="L193">
        <v>184905.54723921977</v>
      </c>
      <c r="M193">
        <v>105592.68305489261</v>
      </c>
      <c r="O193">
        <v>56179.825775656325</v>
      </c>
      <c r="P193">
        <f t="shared" si="401"/>
        <v>1902939.603</v>
      </c>
      <c r="U193" s="147">
        <f t="shared" si="403"/>
        <v>134</v>
      </c>
      <c r="V193" s="147">
        <f t="shared" ref="V193:W193" si="404">V191-V183</f>
        <v>451</v>
      </c>
      <c r="W193" s="147">
        <f t="shared" si="404"/>
        <v>1548</v>
      </c>
      <c r="X193" s="137">
        <f>W192-50</f>
        <v>732</v>
      </c>
      <c r="Y193" s="147">
        <f t="shared" si="405"/>
        <v>124</v>
      </c>
      <c r="Z193" s="100">
        <f>Y192-Y193-50</f>
        <v>118</v>
      </c>
      <c r="AA193" s="147">
        <f t="shared" si="406"/>
        <v>689</v>
      </c>
      <c r="AB193" s="137">
        <v>0.0</v>
      </c>
      <c r="AC193" s="147">
        <f>(AC192)*73.9/(73.9+99)</f>
        <v>292.779063</v>
      </c>
      <c r="AD193" s="147">
        <f>(AC192)*99/(73.9+99)</f>
        <v>392.220937</v>
      </c>
      <c r="AE193" s="152">
        <v>0.0</v>
      </c>
      <c r="AF193" s="100">
        <f>AE192-AE193-AG193-50</f>
        <v>226</v>
      </c>
      <c r="AG193" s="147">
        <f>AG191-AG183</f>
        <v>237</v>
      </c>
      <c r="AH193" s="1">
        <v>129.0</v>
      </c>
      <c r="AI193" s="18">
        <f>SUM(U193:AH193)</f>
        <v>5073</v>
      </c>
      <c r="AJ193" s="1">
        <v>1001480.0</v>
      </c>
      <c r="AL193" s="1">
        <v>6152.0</v>
      </c>
      <c r="AV193" s="1">
        <v>328880.0</v>
      </c>
      <c r="AX193" s="1" t="s">
        <v>5510</v>
      </c>
      <c r="AY193">
        <v>0.04903595669692353</v>
      </c>
      <c r="AZ193">
        <v>0.1757722712481634</v>
      </c>
      <c r="BA193">
        <v>0.07319337654026085</v>
      </c>
      <c r="BB193">
        <v>0.07319337654026085</v>
      </c>
      <c r="BC193">
        <v>0.06715402157942653</v>
      </c>
      <c r="BD193">
        <v>0.0966296793733493</v>
      </c>
      <c r="BE193">
        <v>0.0736440746716664</v>
      </c>
      <c r="BF193">
        <v>0.09762121526244151</v>
      </c>
      <c r="BG193">
        <v>0.06661318382173988</v>
      </c>
      <c r="BH193">
        <v>0.08923823001829834</v>
      </c>
      <c r="BI193">
        <v>0.045511497309332155</v>
      </c>
      <c r="BJ193">
        <v>0.052371122869324584</v>
      </c>
      <c r="BK193">
        <v>0.040021994068812586</v>
      </c>
      <c r="BL193">
        <f t="shared" ref="BL193:BL194" si="410">SUM(AY193:BK193)</f>
        <v>1</v>
      </c>
    </row>
    <row r="194">
      <c r="C194" s="1" t="s">
        <v>5653</v>
      </c>
      <c r="D194">
        <f t="shared" ref="D194:O194" si="407">D193-D195</f>
        <v>98924.80451</v>
      </c>
      <c r="E194">
        <f t="shared" si="407"/>
        <v>383643.2736</v>
      </c>
      <c r="F194">
        <f t="shared" si="407"/>
        <v>169443.8221</v>
      </c>
      <c r="G194">
        <f t="shared" si="407"/>
        <v>73202.65871</v>
      </c>
      <c r="H194">
        <f t="shared" si="407"/>
        <v>168329.015</v>
      </c>
      <c r="I194">
        <f t="shared" si="407"/>
        <v>249252.4778</v>
      </c>
      <c r="J194">
        <f t="shared" si="407"/>
        <v>145703.4754</v>
      </c>
      <c r="K194">
        <f t="shared" si="407"/>
        <v>126283.6973</v>
      </c>
      <c r="L194">
        <f t="shared" si="407"/>
        <v>168095.952</v>
      </c>
      <c r="M194">
        <f t="shared" si="407"/>
        <v>95993.34823</v>
      </c>
      <c r="N194">
        <f t="shared" si="407"/>
        <v>0</v>
      </c>
      <c r="O194">
        <f t="shared" si="407"/>
        <v>51072.56889</v>
      </c>
      <c r="P194">
        <f t="shared" si="401"/>
        <v>1729945.094</v>
      </c>
      <c r="U194">
        <f t="shared" ref="U194:AH194" si="408">U193*1001480/5073</f>
        <v>26453.44372</v>
      </c>
      <c r="V194">
        <f t="shared" si="408"/>
        <v>89033.60536</v>
      </c>
      <c r="W194">
        <f t="shared" si="408"/>
        <v>305596.4991</v>
      </c>
      <c r="X194">
        <f t="shared" si="408"/>
        <v>144506.8717</v>
      </c>
      <c r="Y194">
        <f t="shared" si="408"/>
        <v>24479.30613</v>
      </c>
      <c r="Z194">
        <f t="shared" si="408"/>
        <v>23294.82358</v>
      </c>
      <c r="AA194">
        <f t="shared" si="408"/>
        <v>136018.08</v>
      </c>
      <c r="AB194">
        <f t="shared" si="408"/>
        <v>0</v>
      </c>
      <c r="AC194">
        <f t="shared" si="408"/>
        <v>57798.61543</v>
      </c>
      <c r="AD194">
        <f t="shared" si="408"/>
        <v>77429.80957</v>
      </c>
      <c r="AE194">
        <f t="shared" si="408"/>
        <v>0</v>
      </c>
      <c r="AF194">
        <f t="shared" si="408"/>
        <v>44615.50956</v>
      </c>
      <c r="AG194">
        <f t="shared" si="408"/>
        <v>46787.06091</v>
      </c>
      <c r="AH194">
        <f t="shared" si="408"/>
        <v>25466.37493</v>
      </c>
      <c r="AX194" s="1" t="s">
        <v>5628</v>
      </c>
      <c r="AY194">
        <f t="shared" ref="AY194:BK194" si="409">328880*AY193</f>
        <v>16126.94544</v>
      </c>
      <c r="AZ194" s="136">
        <f t="shared" si="409"/>
        <v>57807.98457</v>
      </c>
      <c r="BA194" s="136">
        <f t="shared" si="409"/>
        <v>24071.83768</v>
      </c>
      <c r="BB194" s="136">
        <f t="shared" si="409"/>
        <v>24071.83768</v>
      </c>
      <c r="BC194" s="136">
        <f t="shared" si="409"/>
        <v>22085.61462</v>
      </c>
      <c r="BD194" s="136">
        <f t="shared" si="409"/>
        <v>31779.56895</v>
      </c>
      <c r="BE194">
        <f t="shared" si="409"/>
        <v>24220.06328</v>
      </c>
      <c r="BF194" s="136">
        <f t="shared" si="409"/>
        <v>32105.66528</v>
      </c>
      <c r="BG194" s="136">
        <f t="shared" si="409"/>
        <v>21907.7439</v>
      </c>
      <c r="BH194" s="136">
        <f t="shared" si="409"/>
        <v>29348.66909</v>
      </c>
      <c r="BI194" s="136">
        <f t="shared" si="409"/>
        <v>14967.82124</v>
      </c>
      <c r="BJ194" s="136">
        <f t="shared" si="409"/>
        <v>17223.81489</v>
      </c>
      <c r="BK194" s="136">
        <f t="shared" si="409"/>
        <v>13162.43341</v>
      </c>
      <c r="BL194">
        <f t="shared" si="410"/>
        <v>328880</v>
      </c>
    </row>
    <row r="195">
      <c r="B195" s="1" t="s">
        <v>5499</v>
      </c>
      <c r="C195" s="1">
        <v>500000.0</v>
      </c>
      <c r="D195">
        <f t="shared" ref="D195:O195" si="411">D193/11</f>
        <v>9892.480451</v>
      </c>
      <c r="E195">
        <f t="shared" si="411"/>
        <v>38364.32736</v>
      </c>
      <c r="F195">
        <f t="shared" si="411"/>
        <v>16944.38221</v>
      </c>
      <c r="G195">
        <f t="shared" si="411"/>
        <v>7320.265871</v>
      </c>
      <c r="H195">
        <f t="shared" si="411"/>
        <v>16832.9015</v>
      </c>
      <c r="I195">
        <f t="shared" si="411"/>
        <v>24925.24778</v>
      </c>
      <c r="J195">
        <f t="shared" si="411"/>
        <v>14570.34754</v>
      </c>
      <c r="K195">
        <f t="shared" si="411"/>
        <v>12628.36973</v>
      </c>
      <c r="L195">
        <f t="shared" si="411"/>
        <v>16809.5952</v>
      </c>
      <c r="M195">
        <f t="shared" si="411"/>
        <v>9599.334823</v>
      </c>
      <c r="N195">
        <f t="shared" si="411"/>
        <v>0</v>
      </c>
      <c r="O195">
        <f t="shared" si="411"/>
        <v>5107.256889</v>
      </c>
      <c r="P195">
        <f t="shared" si="401"/>
        <v>172994.5094</v>
      </c>
      <c r="U195">
        <v>26453.44372166371</v>
      </c>
      <c r="V195" s="136">
        <v>89033.6053617189</v>
      </c>
      <c r="W195" s="136">
        <v>305596.4991129509</v>
      </c>
      <c r="X195" s="136">
        <v>144506.87167356594</v>
      </c>
      <c r="Y195" s="146">
        <f t="shared" ref="Y195:AA195" si="412">Y194+3638</f>
        <v>28117.30613</v>
      </c>
      <c r="Z195" s="146">
        <f t="shared" si="412"/>
        <v>26932.82358</v>
      </c>
      <c r="AA195" s="145">
        <f t="shared" si="412"/>
        <v>139656.08</v>
      </c>
      <c r="AB195" s="146"/>
      <c r="AC195" s="146">
        <f t="shared" ref="AC195:AD195" si="413">AC194+3638</f>
        <v>61436.61543</v>
      </c>
      <c r="AD195" s="146">
        <f t="shared" si="413"/>
        <v>81067.80957</v>
      </c>
      <c r="AE195" s="146"/>
      <c r="AF195" s="146">
        <f t="shared" ref="AF195:AG195" si="414">AF194+3638</f>
        <v>48253.50956</v>
      </c>
      <c r="AG195" s="146">
        <f t="shared" si="414"/>
        <v>50425.06091</v>
      </c>
      <c r="AH195">
        <f>AH194/7</f>
        <v>3638.053561</v>
      </c>
      <c r="AI195" s="18">
        <f>SUM(U195:AG195)</f>
        <v>1001479.625</v>
      </c>
      <c r="BE195" s="133">
        <f>BE194+AY194</f>
        <v>40347.00872</v>
      </c>
    </row>
    <row r="196">
      <c r="B196" s="23" t="s">
        <v>5528</v>
      </c>
      <c r="C196" s="1" t="s">
        <v>5654</v>
      </c>
      <c r="D196" s="18">
        <f t="shared" ref="D196:O196" si="415">SUM(D192,D193)</f>
        <v>1956817.285</v>
      </c>
      <c r="E196" s="18">
        <f t="shared" si="415"/>
        <v>2952007.601</v>
      </c>
      <c r="F196" s="18">
        <f t="shared" si="415"/>
        <v>1946388.204</v>
      </c>
      <c r="G196" s="18">
        <f t="shared" si="415"/>
        <v>2060522.925</v>
      </c>
      <c r="H196" s="18">
        <f t="shared" si="415"/>
        <v>2341161.916</v>
      </c>
      <c r="I196" s="18">
        <f t="shared" si="415"/>
        <v>4124177.726</v>
      </c>
      <c r="J196" s="18">
        <f t="shared" si="415"/>
        <v>2657273.823</v>
      </c>
      <c r="K196" s="18">
        <f t="shared" si="415"/>
        <v>2756912.067</v>
      </c>
      <c r="L196" s="18">
        <f t="shared" si="415"/>
        <v>2175905.547</v>
      </c>
      <c r="M196" s="18">
        <f t="shared" si="415"/>
        <v>2008592.683</v>
      </c>
      <c r="N196" s="18">
        <f t="shared" si="415"/>
        <v>1474000</v>
      </c>
      <c r="O196" s="18">
        <f t="shared" si="415"/>
        <v>1376179.826</v>
      </c>
      <c r="P196">
        <f t="shared" si="401"/>
        <v>27829939.6</v>
      </c>
      <c r="AA196" s="146">
        <f>AA195+U195</f>
        <v>166109.5238</v>
      </c>
    </row>
    <row r="197">
      <c r="B197" s="1" t="s">
        <v>5580</v>
      </c>
      <c r="C197" s="1">
        <v>500000.0</v>
      </c>
      <c r="D197">
        <f t="shared" ref="D197:O197" si="416">D190+D194</f>
        <v>1778924.805</v>
      </c>
      <c r="E197">
        <f t="shared" si="416"/>
        <v>2683643.274</v>
      </c>
      <c r="F197">
        <f t="shared" si="416"/>
        <v>1769443.822</v>
      </c>
      <c r="G197">
        <f t="shared" si="416"/>
        <v>1873202.659</v>
      </c>
      <c r="H197">
        <f t="shared" si="416"/>
        <v>2128329.015</v>
      </c>
      <c r="I197">
        <f t="shared" si="416"/>
        <v>3749252.478</v>
      </c>
      <c r="J197">
        <f t="shared" si="416"/>
        <v>2415703.475</v>
      </c>
      <c r="K197">
        <f t="shared" si="416"/>
        <v>2506283.697</v>
      </c>
      <c r="L197">
        <f t="shared" si="416"/>
        <v>1978095.952</v>
      </c>
      <c r="M197">
        <f t="shared" si="416"/>
        <v>1825993.348</v>
      </c>
      <c r="N197">
        <f t="shared" si="416"/>
        <v>1340000</v>
      </c>
      <c r="O197">
        <f t="shared" si="416"/>
        <v>1251072.569</v>
      </c>
      <c r="P197">
        <f t="shared" si="401"/>
        <v>25299945.09</v>
      </c>
      <c r="AV197" s="1">
        <v>320000.0</v>
      </c>
      <c r="AX197" s="1" t="s">
        <v>5510</v>
      </c>
      <c r="AY197">
        <v>0.04903595669692353</v>
      </c>
      <c r="AZ197">
        <v>0.1757722712481634</v>
      </c>
      <c r="BA197">
        <v>0.07319337654026085</v>
      </c>
      <c r="BB197">
        <v>0.07319337654026085</v>
      </c>
      <c r="BC197">
        <v>0.06715402157942653</v>
      </c>
      <c r="BD197">
        <v>0.0966296793733493</v>
      </c>
      <c r="BE197">
        <v>0.0736440746716664</v>
      </c>
      <c r="BF197">
        <v>0.09762121526244151</v>
      </c>
      <c r="BG197">
        <v>0.06661318382173988</v>
      </c>
      <c r="BH197">
        <v>0.08923823001829834</v>
      </c>
      <c r="BI197">
        <v>0.045511497309332155</v>
      </c>
      <c r="BJ197">
        <v>0.052371122869324584</v>
      </c>
      <c r="BK197">
        <v>0.040021994068812586</v>
      </c>
      <c r="BL197">
        <f t="shared" ref="BL197:BL198" si="419">SUM(AY197:BK197)</f>
        <v>1</v>
      </c>
    </row>
    <row r="198">
      <c r="B198" s="1" t="s">
        <v>5582</v>
      </c>
      <c r="C198" s="1" t="s">
        <v>5655</v>
      </c>
      <c r="D198">
        <f t="shared" ref="D198:O198" si="417">D191+D195</f>
        <v>177892.4805</v>
      </c>
      <c r="E198">
        <f t="shared" si="417"/>
        <v>268364.3274</v>
      </c>
      <c r="F198">
        <f t="shared" si="417"/>
        <v>176944.3822</v>
      </c>
      <c r="G198">
        <f t="shared" si="417"/>
        <v>187320.2659</v>
      </c>
      <c r="H198">
        <f t="shared" si="417"/>
        <v>212832.9015</v>
      </c>
      <c r="I198">
        <f t="shared" si="417"/>
        <v>374925.2478</v>
      </c>
      <c r="J198">
        <f t="shared" si="417"/>
        <v>241570.3475</v>
      </c>
      <c r="K198">
        <f t="shared" si="417"/>
        <v>250628.3697</v>
      </c>
      <c r="L198">
        <f t="shared" si="417"/>
        <v>197809.5952</v>
      </c>
      <c r="M198">
        <f t="shared" si="417"/>
        <v>182599.3348</v>
      </c>
      <c r="N198">
        <f t="shared" si="417"/>
        <v>134000</v>
      </c>
      <c r="O198">
        <f t="shared" si="417"/>
        <v>125107.2569</v>
      </c>
      <c r="P198">
        <f t="shared" si="401"/>
        <v>2529994.509</v>
      </c>
      <c r="T198" s="1" t="s">
        <v>2224</v>
      </c>
      <c r="U198" s="1">
        <v>20936.0</v>
      </c>
      <c r="W198" s="1">
        <v>25836.0</v>
      </c>
      <c r="Y198" s="1">
        <v>60633.0</v>
      </c>
      <c r="AA198" s="1">
        <v>64284.0</v>
      </c>
      <c r="AC198" s="1">
        <v>70480.0</v>
      </c>
      <c r="AE198" s="1">
        <v>93619.0</v>
      </c>
      <c r="AH198" s="1">
        <v>5620.0</v>
      </c>
      <c r="AX198" s="1" t="s">
        <v>5630</v>
      </c>
      <c r="AY198">
        <f t="shared" ref="AY198:BK198" si="418">320000*AY197</f>
        <v>15691.50614</v>
      </c>
      <c r="AZ198" s="136">
        <f t="shared" si="418"/>
        <v>56247.1268</v>
      </c>
      <c r="BA198" s="136">
        <f t="shared" si="418"/>
        <v>23421.88049</v>
      </c>
      <c r="BB198" s="136">
        <f t="shared" si="418"/>
        <v>23421.88049</v>
      </c>
      <c r="BC198" s="136">
        <f t="shared" si="418"/>
        <v>21489.28691</v>
      </c>
      <c r="BD198" s="136">
        <f t="shared" si="418"/>
        <v>30921.4974</v>
      </c>
      <c r="BE198">
        <f t="shared" si="418"/>
        <v>23566.10389</v>
      </c>
      <c r="BF198" s="136">
        <f t="shared" si="418"/>
        <v>31238.78888</v>
      </c>
      <c r="BG198" s="136">
        <f t="shared" si="418"/>
        <v>21316.21882</v>
      </c>
      <c r="BH198" s="136">
        <f t="shared" si="418"/>
        <v>28556.23361</v>
      </c>
      <c r="BI198" s="136">
        <f t="shared" si="418"/>
        <v>14563.67914</v>
      </c>
      <c r="BJ198" s="136">
        <f t="shared" si="418"/>
        <v>16758.75932</v>
      </c>
      <c r="BK198" s="136">
        <f t="shared" si="418"/>
        <v>12807.0381</v>
      </c>
      <c r="BL198">
        <f t="shared" si="419"/>
        <v>320000</v>
      </c>
    </row>
    <row r="199">
      <c r="C199" s="1">
        <v>500000.0</v>
      </c>
      <c r="D199" s="1" t="s">
        <v>5583</v>
      </c>
      <c r="E199" s="1" t="s">
        <v>5566</v>
      </c>
      <c r="F199" s="1" t="s">
        <v>5566</v>
      </c>
      <c r="G199" s="1" t="s">
        <v>5566</v>
      </c>
      <c r="H199" s="1" t="s">
        <v>5566</v>
      </c>
      <c r="I199" s="1" t="s">
        <v>5566</v>
      </c>
      <c r="J199" s="1" t="s">
        <v>5566</v>
      </c>
      <c r="K199" s="1" t="s">
        <v>5566</v>
      </c>
      <c r="L199" s="1" t="s">
        <v>5566</v>
      </c>
      <c r="M199" s="1" t="s">
        <v>5566</v>
      </c>
      <c r="N199" s="1" t="s">
        <v>5583</v>
      </c>
      <c r="O199" s="1" t="s">
        <v>5566</v>
      </c>
      <c r="U199" s="1">
        <v>6384.0</v>
      </c>
      <c r="V199" s="1">
        <v>20034.0</v>
      </c>
      <c r="W199" s="1">
        <v>66156.0</v>
      </c>
      <c r="Y199" s="1">
        <v>16670.0</v>
      </c>
      <c r="AA199" s="1">
        <v>18005.0</v>
      </c>
      <c r="AE199" s="1">
        <v>88617.0</v>
      </c>
      <c r="AG199" s="1">
        <v>9217.0</v>
      </c>
      <c r="BE199" s="133">
        <f>BE198+AY198</f>
        <v>39257.61004</v>
      </c>
    </row>
    <row r="200">
      <c r="C200" s="1" t="s">
        <v>5656</v>
      </c>
      <c r="H200" s="1"/>
      <c r="U200">
        <f t="shared" ref="U200:U201" si="420">U198-U190</f>
        <v>706</v>
      </c>
      <c r="V200" s="1"/>
      <c r="W200">
        <f>W198-W190</f>
        <v>762</v>
      </c>
      <c r="Y200">
        <f t="shared" ref="Y200:Y201" si="422">Y198-Y190</f>
        <v>340</v>
      </c>
      <c r="AA200">
        <f t="shared" ref="AA200:AA201" si="423">AA198-AA190</f>
        <v>692</v>
      </c>
      <c r="AC200">
        <f>AC198-AC190</f>
        <v>1220</v>
      </c>
      <c r="AE200">
        <f>AE198-AE190</f>
        <v>679</v>
      </c>
      <c r="AH200">
        <f>AH198-AH190</f>
        <v>138</v>
      </c>
    </row>
    <row r="201">
      <c r="C201" s="1">
        <v>500000.0</v>
      </c>
      <c r="H201" s="1"/>
      <c r="U201" s="147">
        <f t="shared" si="420"/>
        <v>143</v>
      </c>
      <c r="V201" s="147">
        <f t="shared" ref="V201:W201" si="421">V199-V191</f>
        <v>467</v>
      </c>
      <c r="W201" s="147">
        <f t="shared" si="421"/>
        <v>1746</v>
      </c>
      <c r="X201" s="137">
        <f>W200-50</f>
        <v>712</v>
      </c>
      <c r="Y201" s="147">
        <f t="shared" si="422"/>
        <v>143</v>
      </c>
      <c r="Z201" s="100">
        <f>Y200-Y201-50</f>
        <v>147</v>
      </c>
      <c r="AA201" s="147">
        <f t="shared" si="423"/>
        <v>714</v>
      </c>
      <c r="AB201" s="137">
        <v>0.0</v>
      </c>
      <c r="AC201" s="147">
        <f>(AC200)*73.9/(73.9+99)</f>
        <v>521.4459225</v>
      </c>
      <c r="AD201" s="147">
        <f>(AC200)*99/(73.9+99)</f>
        <v>698.5540775</v>
      </c>
      <c r="AE201" s="152">
        <v>0.0</v>
      </c>
      <c r="AF201" s="100">
        <f>AE200-AE201-AG201-50</f>
        <v>259</v>
      </c>
      <c r="AG201" s="147">
        <f>AG199-AG191</f>
        <v>370</v>
      </c>
      <c r="AH201" s="1">
        <v>138.0</v>
      </c>
      <c r="AI201" s="18">
        <f>SUM(U201:AH201)</f>
        <v>6059</v>
      </c>
      <c r="AJ201" s="1">
        <v>1247330.0</v>
      </c>
      <c r="AL201" s="1">
        <v>6781.0</v>
      </c>
      <c r="AV201" s="1">
        <v>346640.0</v>
      </c>
      <c r="AX201" s="1" t="s">
        <v>5510</v>
      </c>
      <c r="AY201">
        <v>0.04903595669692353</v>
      </c>
      <c r="AZ201">
        <v>0.1757722712481634</v>
      </c>
      <c r="BA201">
        <v>0.07319337654026085</v>
      </c>
      <c r="BB201">
        <v>0.07319337654026085</v>
      </c>
      <c r="BC201">
        <v>0.06715402157942653</v>
      </c>
      <c r="BD201">
        <v>0.0966296793733493</v>
      </c>
      <c r="BE201">
        <v>0.0736440746716664</v>
      </c>
      <c r="BF201">
        <v>0.09762121526244151</v>
      </c>
      <c r="BG201">
        <v>0.06661318382173988</v>
      </c>
      <c r="BH201">
        <v>0.08923823001829834</v>
      </c>
      <c r="BI201">
        <v>0.045511497309332155</v>
      </c>
      <c r="BJ201">
        <v>0.052371122869324584</v>
      </c>
      <c r="BK201">
        <v>0.040021994068812586</v>
      </c>
      <c r="BL201">
        <f t="shared" ref="BL201:BL202" si="426">SUM(AY201:BK201)</f>
        <v>1</v>
      </c>
    </row>
    <row r="202">
      <c r="B202" s="1" t="s">
        <v>5657</v>
      </c>
      <c r="C202" s="1" t="s">
        <v>5658</v>
      </c>
      <c r="D202" s="1">
        <v>1680000.0</v>
      </c>
      <c r="E202" s="1">
        <v>2300000.0</v>
      </c>
      <c r="F202" s="1">
        <v>1600000.0</v>
      </c>
      <c r="G202" s="1">
        <v>1800000.0</v>
      </c>
      <c r="H202" s="1">
        <v>1960000.0</v>
      </c>
      <c r="I202" s="1">
        <v>3500000.0</v>
      </c>
      <c r="J202" s="1">
        <v>2270000.0</v>
      </c>
      <c r="K202" s="1">
        <v>2380000.0</v>
      </c>
      <c r="L202" s="1">
        <v>1810000.0</v>
      </c>
      <c r="M202" s="1">
        <v>1730000.0</v>
      </c>
      <c r="N202" s="1">
        <v>1340000.0</v>
      </c>
      <c r="O202" s="1">
        <v>1200000.0</v>
      </c>
      <c r="P202">
        <f t="shared" ref="P202:P208" si="428">SUM(D202:O202)</f>
        <v>23570000</v>
      </c>
      <c r="U202">
        <f t="shared" ref="U202:AH202" si="424">U201*1247330/6059</f>
        <v>29438.55257</v>
      </c>
      <c r="V202">
        <f t="shared" si="424"/>
        <v>96138.48985</v>
      </c>
      <c r="W202">
        <f t="shared" si="424"/>
        <v>359438.5509</v>
      </c>
      <c r="X202">
        <f t="shared" si="424"/>
        <v>146575.1708</v>
      </c>
      <c r="Y202">
        <f t="shared" si="424"/>
        <v>29438.55257</v>
      </c>
      <c r="Z202">
        <f t="shared" si="424"/>
        <v>30262.00858</v>
      </c>
      <c r="AA202">
        <f t="shared" si="424"/>
        <v>146986.8988</v>
      </c>
      <c r="AB202">
        <f t="shared" si="424"/>
        <v>0</v>
      </c>
      <c r="AC202">
        <f t="shared" si="424"/>
        <v>107346.9455</v>
      </c>
      <c r="AD202">
        <f t="shared" si="424"/>
        <v>143807.1394</v>
      </c>
      <c r="AE202">
        <f t="shared" si="424"/>
        <v>0</v>
      </c>
      <c r="AF202">
        <f t="shared" si="424"/>
        <v>53318.77703</v>
      </c>
      <c r="AG202">
        <f t="shared" si="424"/>
        <v>76169.68147</v>
      </c>
      <c r="AH202">
        <f t="shared" si="424"/>
        <v>28409.23255</v>
      </c>
      <c r="AX202" s="1" t="s">
        <v>5631</v>
      </c>
      <c r="AY202">
        <f t="shared" ref="AY202:BK202" si="425">346640*AY201</f>
        <v>16997.82403</v>
      </c>
      <c r="AZ202" s="136">
        <f t="shared" si="425"/>
        <v>60929.70011</v>
      </c>
      <c r="BA202" s="136">
        <f t="shared" si="425"/>
        <v>25371.75204</v>
      </c>
      <c r="BB202" s="136">
        <f t="shared" si="425"/>
        <v>25371.75204</v>
      </c>
      <c r="BC202" s="136">
        <f t="shared" si="425"/>
        <v>23278.27004</v>
      </c>
      <c r="BD202" s="136">
        <f t="shared" si="425"/>
        <v>33495.71206</v>
      </c>
      <c r="BE202">
        <f t="shared" si="425"/>
        <v>25527.98204</v>
      </c>
      <c r="BF202" s="136">
        <f t="shared" si="425"/>
        <v>33839.41806</v>
      </c>
      <c r="BG202" s="136">
        <f t="shared" si="425"/>
        <v>23090.79404</v>
      </c>
      <c r="BH202" s="136">
        <f t="shared" si="425"/>
        <v>30933.54005</v>
      </c>
      <c r="BI202" s="136">
        <f t="shared" si="425"/>
        <v>15776.10543</v>
      </c>
      <c r="BJ202" s="136">
        <f t="shared" si="425"/>
        <v>18153.92603</v>
      </c>
      <c r="BK202" s="136">
        <f t="shared" si="425"/>
        <v>13873.22402</v>
      </c>
      <c r="BL202">
        <f t="shared" si="426"/>
        <v>346640</v>
      </c>
    </row>
    <row r="203">
      <c r="B203" s="1" t="s">
        <v>5499</v>
      </c>
      <c r="C203" s="1">
        <v>200000.0</v>
      </c>
      <c r="D203" s="1">
        <f t="shared" ref="D203:O203" si="427">D202*0.1</f>
        <v>168000</v>
      </c>
      <c r="E203" s="1">
        <f t="shared" si="427"/>
        <v>230000</v>
      </c>
      <c r="F203" s="1">
        <f t="shared" si="427"/>
        <v>160000</v>
      </c>
      <c r="G203" s="1">
        <f t="shared" si="427"/>
        <v>180000</v>
      </c>
      <c r="H203" s="1">
        <f t="shared" si="427"/>
        <v>196000</v>
      </c>
      <c r="I203" s="1">
        <f t="shared" si="427"/>
        <v>350000</v>
      </c>
      <c r="J203" s="1">
        <f t="shared" si="427"/>
        <v>227000</v>
      </c>
      <c r="K203" s="1">
        <f t="shared" si="427"/>
        <v>238000</v>
      </c>
      <c r="L203" s="1">
        <f t="shared" si="427"/>
        <v>181000</v>
      </c>
      <c r="M203" s="1">
        <f t="shared" si="427"/>
        <v>173000</v>
      </c>
      <c r="N203" s="1">
        <f t="shared" si="427"/>
        <v>134000</v>
      </c>
      <c r="O203" s="1">
        <f t="shared" si="427"/>
        <v>120000</v>
      </c>
      <c r="P203">
        <f t="shared" si="428"/>
        <v>2357000</v>
      </c>
      <c r="U203">
        <v>29438.552566430102</v>
      </c>
      <c r="V203" s="136">
        <v>96138.4898498102</v>
      </c>
      <c r="W203" s="136">
        <v>359438.55091599276</v>
      </c>
      <c r="X203" s="136">
        <v>146575.17082026738</v>
      </c>
      <c r="Y203" s="146">
        <f t="shared" ref="Y203:AA203" si="429">Y202+4058</f>
        <v>33496.55257</v>
      </c>
      <c r="Z203" s="146">
        <f t="shared" si="429"/>
        <v>34320.00858</v>
      </c>
      <c r="AA203" s="145">
        <f t="shared" si="429"/>
        <v>151044.8988</v>
      </c>
      <c r="AB203" s="146"/>
      <c r="AC203" s="146">
        <f t="shared" ref="AC203:AD203" si="430">AC202+4058</f>
        <v>111404.9455</v>
      </c>
      <c r="AD203" s="146">
        <f t="shared" si="430"/>
        <v>147865.1394</v>
      </c>
      <c r="AE203" s="146"/>
      <c r="AF203" s="146">
        <f t="shared" ref="AF203:AG203" si="431">AF202+4058</f>
        <v>57376.77703</v>
      </c>
      <c r="AG203" s="146">
        <f t="shared" si="431"/>
        <v>80227.68147</v>
      </c>
      <c r="AH203">
        <f>AH202/7</f>
        <v>4058.461792</v>
      </c>
      <c r="AI203" s="18">
        <f>SUM(U203:AG203)</f>
        <v>1247326.767</v>
      </c>
      <c r="BE203" s="133">
        <f>BE202+AY202</f>
        <v>42525.80607</v>
      </c>
    </row>
    <row r="204">
      <c r="B204" s="1" t="s">
        <v>5520</v>
      </c>
      <c r="D204" s="31">
        <f t="shared" ref="D204:O204" si="432">D202+D203</f>
        <v>1848000</v>
      </c>
      <c r="E204">
        <f t="shared" si="432"/>
        <v>2530000</v>
      </c>
      <c r="F204">
        <f t="shared" si="432"/>
        <v>1760000</v>
      </c>
      <c r="G204">
        <f t="shared" si="432"/>
        <v>1980000</v>
      </c>
      <c r="H204">
        <f t="shared" si="432"/>
        <v>2156000</v>
      </c>
      <c r="I204">
        <f t="shared" si="432"/>
        <v>3850000</v>
      </c>
      <c r="J204">
        <f t="shared" si="432"/>
        <v>2497000</v>
      </c>
      <c r="K204">
        <f t="shared" si="432"/>
        <v>2618000</v>
      </c>
      <c r="L204">
        <f t="shared" si="432"/>
        <v>1991000</v>
      </c>
      <c r="M204">
        <f t="shared" si="432"/>
        <v>1903000</v>
      </c>
      <c r="N204">
        <f t="shared" si="432"/>
        <v>1474000</v>
      </c>
      <c r="O204">
        <f t="shared" si="432"/>
        <v>1320000</v>
      </c>
      <c r="P204">
        <f t="shared" si="428"/>
        <v>25927000</v>
      </c>
      <c r="AA204" s="146">
        <f>AA203+U203</f>
        <v>180483.4514</v>
      </c>
    </row>
    <row r="205">
      <c r="B205" s="1" t="s">
        <v>5545</v>
      </c>
      <c r="D205">
        <v>82806.04293236128</v>
      </c>
      <c r="E205">
        <v>421429.90360469825</v>
      </c>
      <c r="F205">
        <v>190453.89874443095</v>
      </c>
      <c r="G205">
        <v>162837.4953422438</v>
      </c>
      <c r="H205" s="134">
        <v>189793.50506277845</v>
      </c>
      <c r="I205">
        <v>309421.8096395302</v>
      </c>
      <c r="J205">
        <v>197017.01093560146</v>
      </c>
      <c r="K205">
        <v>174280.42780003566</v>
      </c>
      <c r="L205">
        <v>232262.59204605588</v>
      </c>
      <c r="M205">
        <v>114563.33414337788</v>
      </c>
      <c r="O205">
        <v>100116.32239773187</v>
      </c>
      <c r="P205">
        <f t="shared" si="428"/>
        <v>2174982.343</v>
      </c>
      <c r="AV205" s="1">
        <v>254880.0</v>
      </c>
      <c r="AX205" s="1" t="s">
        <v>5510</v>
      </c>
      <c r="AY205">
        <v>0.04903595669692353</v>
      </c>
      <c r="AZ205">
        <v>0.1757722712481634</v>
      </c>
      <c r="BA205">
        <v>0.07319337654026085</v>
      </c>
      <c r="BB205">
        <v>0.07319337654026085</v>
      </c>
      <c r="BC205">
        <v>0.06715402157942653</v>
      </c>
      <c r="BD205">
        <v>0.0966296793733493</v>
      </c>
      <c r="BE205">
        <v>0.0736440746716664</v>
      </c>
      <c r="BF205">
        <v>0.09762121526244151</v>
      </c>
      <c r="BG205">
        <v>0.06661318382173988</v>
      </c>
      <c r="BH205">
        <v>0.08923823001829834</v>
      </c>
      <c r="BI205">
        <v>0.045511497309332155</v>
      </c>
      <c r="BJ205">
        <v>0.052371122869324584</v>
      </c>
      <c r="BK205">
        <v>0.040021994068812586</v>
      </c>
      <c r="BL205">
        <f t="shared" ref="BL205:BL206" si="435">SUM(AY205:BK205)</f>
        <v>1</v>
      </c>
    </row>
    <row r="206">
      <c r="D206">
        <f t="shared" ref="D206:O206" si="433">D205-D207</f>
        <v>75278.22085</v>
      </c>
      <c r="E206">
        <f t="shared" si="433"/>
        <v>383118.0942</v>
      </c>
      <c r="F206">
        <f t="shared" si="433"/>
        <v>173139.9079</v>
      </c>
      <c r="G206">
        <f t="shared" si="433"/>
        <v>148034.0867</v>
      </c>
      <c r="H206">
        <f t="shared" si="433"/>
        <v>172539.5501</v>
      </c>
      <c r="I206">
        <f t="shared" si="433"/>
        <v>281292.5542</v>
      </c>
      <c r="J206">
        <f t="shared" si="433"/>
        <v>179106.3736</v>
      </c>
      <c r="K206">
        <f t="shared" si="433"/>
        <v>158436.7525</v>
      </c>
      <c r="L206">
        <f t="shared" si="433"/>
        <v>211147.811</v>
      </c>
      <c r="M206">
        <f t="shared" si="433"/>
        <v>104148.4856</v>
      </c>
      <c r="N206">
        <f t="shared" si="433"/>
        <v>0</v>
      </c>
      <c r="O206">
        <f t="shared" si="433"/>
        <v>91014.83854</v>
      </c>
      <c r="P206">
        <f t="shared" si="428"/>
        <v>1977256.675</v>
      </c>
      <c r="T206" s="1" t="s">
        <v>5659</v>
      </c>
      <c r="U206" s="1">
        <v>21950.0</v>
      </c>
      <c r="W206" s="1">
        <v>26655.0</v>
      </c>
      <c r="Y206" s="1">
        <v>61728.0</v>
      </c>
      <c r="AA206" s="1">
        <v>65285.0</v>
      </c>
      <c r="AC206" s="1">
        <v>72864.0</v>
      </c>
      <c r="AE206" s="1">
        <v>94696.0</v>
      </c>
      <c r="AH206" s="1">
        <v>5757.0</v>
      </c>
      <c r="AX206" s="1" t="s">
        <v>5634</v>
      </c>
      <c r="AY206">
        <f t="shared" ref="AY206:BK206" si="434">254880*AY205</f>
        <v>12498.28464</v>
      </c>
      <c r="AZ206" s="144">
        <f t="shared" si="434"/>
        <v>44800.8365</v>
      </c>
      <c r="BA206" s="144">
        <f t="shared" si="434"/>
        <v>18655.52781</v>
      </c>
      <c r="BB206" s="144">
        <f t="shared" si="434"/>
        <v>18655.52781</v>
      </c>
      <c r="BC206" s="144">
        <f t="shared" si="434"/>
        <v>17116.21702</v>
      </c>
      <c r="BD206" s="144">
        <f t="shared" si="434"/>
        <v>24628.97268</v>
      </c>
      <c r="BE206">
        <f t="shared" si="434"/>
        <v>18770.40175</v>
      </c>
      <c r="BF206" s="144">
        <f t="shared" si="434"/>
        <v>24881.69535</v>
      </c>
      <c r="BG206" s="144">
        <f t="shared" si="434"/>
        <v>16978.36829</v>
      </c>
      <c r="BH206" s="144">
        <f t="shared" si="434"/>
        <v>22745.04007</v>
      </c>
      <c r="BI206" s="144">
        <f t="shared" si="434"/>
        <v>11599.97043</v>
      </c>
      <c r="BJ206" s="144">
        <f t="shared" si="434"/>
        <v>13348.3518</v>
      </c>
      <c r="BK206" s="144">
        <f t="shared" si="434"/>
        <v>10200.80585</v>
      </c>
      <c r="BL206">
        <f t="shared" si="435"/>
        <v>254880</v>
      </c>
    </row>
    <row r="207">
      <c r="B207" s="1" t="s">
        <v>5499</v>
      </c>
      <c r="D207">
        <f t="shared" ref="D207:O207" si="436">D205/11</f>
        <v>7527.822085</v>
      </c>
      <c r="E207">
        <f t="shared" si="436"/>
        <v>38311.80942</v>
      </c>
      <c r="F207">
        <f t="shared" si="436"/>
        <v>17313.99079</v>
      </c>
      <c r="G207">
        <f t="shared" si="436"/>
        <v>14803.40867</v>
      </c>
      <c r="H207">
        <f t="shared" si="436"/>
        <v>17253.95501</v>
      </c>
      <c r="I207">
        <f t="shared" si="436"/>
        <v>28129.25542</v>
      </c>
      <c r="J207">
        <f t="shared" si="436"/>
        <v>17910.63736</v>
      </c>
      <c r="K207">
        <f t="shared" si="436"/>
        <v>15843.67525</v>
      </c>
      <c r="L207">
        <f t="shared" si="436"/>
        <v>21114.7811</v>
      </c>
      <c r="M207">
        <f t="shared" si="436"/>
        <v>10414.84856</v>
      </c>
      <c r="N207">
        <f t="shared" si="436"/>
        <v>0</v>
      </c>
      <c r="O207">
        <f t="shared" si="436"/>
        <v>9101.483854</v>
      </c>
      <c r="P207">
        <f t="shared" si="428"/>
        <v>197725.6675</v>
      </c>
      <c r="U207" s="1">
        <v>6567.0</v>
      </c>
      <c r="V207" s="1">
        <v>20526.0</v>
      </c>
      <c r="W207" s="1">
        <v>68450.0</v>
      </c>
      <c r="Y207" s="1">
        <v>17075.0</v>
      </c>
      <c r="AA207" s="1">
        <v>19031.0</v>
      </c>
      <c r="AE207" s="1">
        <v>88617.0</v>
      </c>
      <c r="AG207" s="1">
        <v>9991.0</v>
      </c>
      <c r="BE207" s="133">
        <f>BE206+AY206</f>
        <v>31268.6864</v>
      </c>
    </row>
    <row r="208">
      <c r="B208" s="1" t="s">
        <v>5660</v>
      </c>
      <c r="D208">
        <v>47985.941244780464</v>
      </c>
      <c r="E208">
        <v>39963.67619565307</v>
      </c>
      <c r="F208">
        <v>19981.838097826534</v>
      </c>
      <c r="G208">
        <v>18333.09037300587</v>
      </c>
      <c r="H208" s="134">
        <v>26379.963597130598</v>
      </c>
      <c r="I208">
        <v>53596.605144170186</v>
      </c>
      <c r="J208">
        <v>26650.65352210115</v>
      </c>
      <c r="K208">
        <v>18185.441323021932</v>
      </c>
      <c r="L208">
        <v>24362.093247350087</v>
      </c>
      <c r="M208">
        <v>12424.667556148543</v>
      </c>
      <c r="N208">
        <v>0.0</v>
      </c>
      <c r="O208">
        <v>10926.029698811553</v>
      </c>
      <c r="P208">
        <f t="shared" si="428"/>
        <v>298790</v>
      </c>
      <c r="U208">
        <f t="shared" ref="U208:U209" si="438">U206-U198</f>
        <v>1014</v>
      </c>
      <c r="V208" s="1"/>
      <c r="W208">
        <f>W206-W198</f>
        <v>819</v>
      </c>
      <c r="Y208">
        <f t="shared" ref="Y208:Y209" si="440">Y206-Y198</f>
        <v>1095</v>
      </c>
      <c r="AA208">
        <f t="shared" ref="AA208:AA209" si="441">AA206-AA198</f>
        <v>1001</v>
      </c>
      <c r="AC208">
        <f>AC206-AC198</f>
        <v>2384</v>
      </c>
      <c r="AE208">
        <f>AE206-AE198</f>
        <v>1077</v>
      </c>
      <c r="AH208">
        <f>AH206-AH198</f>
        <v>137</v>
      </c>
    </row>
    <row r="209">
      <c r="B209" s="23" t="s">
        <v>5598</v>
      </c>
      <c r="D209" s="18">
        <f t="shared" ref="D209:P209" si="437">SUM(D204,D205,D208)</f>
        <v>1978791.984</v>
      </c>
      <c r="E209" s="18">
        <f t="shared" si="437"/>
        <v>2991393.58</v>
      </c>
      <c r="F209" s="18">
        <f t="shared" si="437"/>
        <v>1970435.737</v>
      </c>
      <c r="G209" s="18">
        <f t="shared" si="437"/>
        <v>2161170.586</v>
      </c>
      <c r="H209" s="18">
        <f t="shared" si="437"/>
        <v>2372173.469</v>
      </c>
      <c r="I209" s="18">
        <f t="shared" si="437"/>
        <v>4213018.415</v>
      </c>
      <c r="J209" s="18">
        <f t="shared" si="437"/>
        <v>2720667.664</v>
      </c>
      <c r="K209" s="18">
        <f t="shared" si="437"/>
        <v>2810465.869</v>
      </c>
      <c r="L209" s="18">
        <f t="shared" si="437"/>
        <v>2247624.685</v>
      </c>
      <c r="M209" s="18">
        <f t="shared" si="437"/>
        <v>2029988.002</v>
      </c>
      <c r="N209" s="18">
        <f t="shared" si="437"/>
        <v>1474000</v>
      </c>
      <c r="O209" s="18">
        <f t="shared" si="437"/>
        <v>1431042.352</v>
      </c>
      <c r="P209" s="18">
        <f t="shared" si="437"/>
        <v>28400772.34</v>
      </c>
      <c r="U209" s="147">
        <f t="shared" si="438"/>
        <v>183</v>
      </c>
      <c r="V209" s="147">
        <f t="shared" ref="V209:W209" si="439">V207-V199</f>
        <v>492</v>
      </c>
      <c r="W209" s="147">
        <f t="shared" si="439"/>
        <v>2294</v>
      </c>
      <c r="X209" s="137">
        <f>W208-50</f>
        <v>769</v>
      </c>
      <c r="Y209" s="147">
        <f t="shared" si="440"/>
        <v>405</v>
      </c>
      <c r="Z209" s="100">
        <f>Y208-Y209-50</f>
        <v>640</v>
      </c>
      <c r="AA209" s="147">
        <f t="shared" si="441"/>
        <v>1026</v>
      </c>
      <c r="AB209" s="137">
        <v>0.0</v>
      </c>
      <c r="AC209" s="147">
        <f>(AC208)*73.9/(73.9+99)</f>
        <v>1018.956622</v>
      </c>
      <c r="AD209" s="147">
        <f>(AC208)*99/(73.9+99)</f>
        <v>1365.043378</v>
      </c>
      <c r="AE209" s="152">
        <v>0.0</v>
      </c>
      <c r="AF209" s="100">
        <f>AE208-AE209-AG209-50</f>
        <v>253</v>
      </c>
      <c r="AG209" s="147">
        <f>AG207-AG199</f>
        <v>774</v>
      </c>
      <c r="AH209" s="1">
        <v>137.0</v>
      </c>
      <c r="AI209" s="18">
        <f t="shared" ref="AI209:AI210" si="444">SUM(U209:AH209)</f>
        <v>9357</v>
      </c>
      <c r="AJ209" s="1">
        <v>1640680.0</v>
      </c>
      <c r="AL209" s="1">
        <v>10054.0</v>
      </c>
      <c r="AV209" s="1">
        <v>246000.0</v>
      </c>
      <c r="AX209" s="1" t="s">
        <v>5510</v>
      </c>
      <c r="AY209">
        <v>0.04903595669692353</v>
      </c>
      <c r="AZ209">
        <v>0.1757722712481634</v>
      </c>
      <c r="BA209">
        <v>0.07319337654026085</v>
      </c>
      <c r="BB209">
        <v>0.07319337654026085</v>
      </c>
      <c r="BC209">
        <v>0.06715402157942653</v>
      </c>
      <c r="BD209">
        <v>0.0966296793733493</v>
      </c>
      <c r="BE209">
        <v>0.0736440746716664</v>
      </c>
      <c r="BF209">
        <v>0.09762121526244151</v>
      </c>
      <c r="BG209">
        <v>0.06661318382173988</v>
      </c>
      <c r="BH209">
        <v>0.08923823001829834</v>
      </c>
      <c r="BI209">
        <v>0.045511497309332155</v>
      </c>
      <c r="BJ209">
        <v>0.052371122869324584</v>
      </c>
      <c r="BK209">
        <v>0.040021994068812586</v>
      </c>
      <c r="BL209">
        <f t="shared" ref="BL209:BL210" si="446">SUM(AY209:BK209)</f>
        <v>1</v>
      </c>
    </row>
    <row r="210">
      <c r="B210" s="1" t="s">
        <v>5599</v>
      </c>
      <c r="D210">
        <f t="shared" ref="D210:O210" si="442">SUM(D202,D206,D208)</f>
        <v>1803264.162</v>
      </c>
      <c r="E210">
        <f t="shared" si="442"/>
        <v>2723081.77</v>
      </c>
      <c r="F210">
        <f t="shared" si="442"/>
        <v>1793121.746</v>
      </c>
      <c r="G210">
        <f t="shared" si="442"/>
        <v>1966367.177</v>
      </c>
      <c r="H210">
        <f t="shared" si="442"/>
        <v>2158919.514</v>
      </c>
      <c r="I210">
        <f t="shared" si="442"/>
        <v>3834889.159</v>
      </c>
      <c r="J210">
        <f t="shared" si="442"/>
        <v>2475757.027</v>
      </c>
      <c r="K210">
        <f t="shared" si="442"/>
        <v>2556622.194</v>
      </c>
      <c r="L210">
        <f t="shared" si="442"/>
        <v>2045509.904</v>
      </c>
      <c r="M210">
        <f t="shared" si="442"/>
        <v>1846573.153</v>
      </c>
      <c r="N210">
        <f t="shared" si="442"/>
        <v>1340000</v>
      </c>
      <c r="O210">
        <f t="shared" si="442"/>
        <v>1301940.868</v>
      </c>
      <c r="U210">
        <f t="shared" ref="U210:AH210" si="443">U209*1640680/9357</f>
        <v>32087.68195</v>
      </c>
      <c r="V210">
        <f t="shared" si="443"/>
        <v>86268.52196</v>
      </c>
      <c r="W210">
        <f t="shared" si="443"/>
        <v>402235.7508</v>
      </c>
      <c r="X210">
        <f t="shared" si="443"/>
        <v>134838.4012</v>
      </c>
      <c r="Y210">
        <f t="shared" si="443"/>
        <v>71013.72235</v>
      </c>
      <c r="Z210">
        <f t="shared" si="443"/>
        <v>112219.2156</v>
      </c>
      <c r="AA210">
        <f t="shared" si="443"/>
        <v>179901.4299</v>
      </c>
      <c r="AB210">
        <f t="shared" si="443"/>
        <v>0</v>
      </c>
      <c r="AC210">
        <f t="shared" si="443"/>
        <v>178666.4263</v>
      </c>
      <c r="AD210">
        <f t="shared" si="443"/>
        <v>239350.1516</v>
      </c>
      <c r="AE210">
        <f t="shared" si="443"/>
        <v>0</v>
      </c>
      <c r="AF210">
        <f t="shared" si="443"/>
        <v>44361.65865</v>
      </c>
      <c r="AG210">
        <f t="shared" si="443"/>
        <v>135715.1138</v>
      </c>
      <c r="AH210">
        <f t="shared" si="443"/>
        <v>24021.92583</v>
      </c>
      <c r="AI210" s="18">
        <f t="shared" si="444"/>
        <v>1640680</v>
      </c>
      <c r="AX210" s="1" t="s">
        <v>5637</v>
      </c>
      <c r="AY210">
        <f t="shared" ref="AY210:BK210" si="445">246000*AY209</f>
        <v>12062.84535</v>
      </c>
      <c r="AZ210" s="136">
        <f t="shared" si="445"/>
        <v>43239.97873</v>
      </c>
      <c r="BA210" s="136">
        <f t="shared" si="445"/>
        <v>18005.57063</v>
      </c>
      <c r="BB210" s="136">
        <f t="shared" si="445"/>
        <v>18005.57063</v>
      </c>
      <c r="BC210" s="136">
        <f t="shared" si="445"/>
        <v>16519.88931</v>
      </c>
      <c r="BD210" s="136">
        <f t="shared" si="445"/>
        <v>23770.90113</v>
      </c>
      <c r="BE210">
        <f t="shared" si="445"/>
        <v>18116.44237</v>
      </c>
      <c r="BF210" s="151">
        <f t="shared" si="445"/>
        <v>24014.81895</v>
      </c>
      <c r="BG210" s="151">
        <f t="shared" si="445"/>
        <v>16386.84322</v>
      </c>
      <c r="BH210" s="151">
        <f t="shared" si="445"/>
        <v>21952.60458</v>
      </c>
      <c r="BI210" s="151">
        <f t="shared" si="445"/>
        <v>11195.82834</v>
      </c>
      <c r="BJ210" s="151">
        <f t="shared" si="445"/>
        <v>12883.29623</v>
      </c>
      <c r="BK210" s="151">
        <f t="shared" si="445"/>
        <v>9845.410541</v>
      </c>
      <c r="BL210">
        <f t="shared" si="446"/>
        <v>246000</v>
      </c>
    </row>
    <row r="211">
      <c r="B211" s="1" t="s">
        <v>5601</v>
      </c>
      <c r="D211">
        <f t="shared" ref="D211:O211" si="447">SUM(D202,D206)</f>
        <v>1755278.221</v>
      </c>
      <c r="E211">
        <f t="shared" si="447"/>
        <v>2683118.094</v>
      </c>
      <c r="F211">
        <f t="shared" si="447"/>
        <v>1773139.908</v>
      </c>
      <c r="G211">
        <f t="shared" si="447"/>
        <v>1948034.087</v>
      </c>
      <c r="H211">
        <f t="shared" si="447"/>
        <v>2132539.55</v>
      </c>
      <c r="I211">
        <f t="shared" si="447"/>
        <v>3781292.554</v>
      </c>
      <c r="J211">
        <f t="shared" si="447"/>
        <v>2449106.374</v>
      </c>
      <c r="K211">
        <f t="shared" si="447"/>
        <v>2538436.753</v>
      </c>
      <c r="L211">
        <f t="shared" si="447"/>
        <v>2021147.811</v>
      </c>
      <c r="M211">
        <f t="shared" si="447"/>
        <v>1834148.486</v>
      </c>
      <c r="N211">
        <f t="shared" si="447"/>
        <v>1340000</v>
      </c>
      <c r="O211">
        <f t="shared" si="447"/>
        <v>1291014.839</v>
      </c>
      <c r="U211">
        <v>32087.68194934274</v>
      </c>
      <c r="V211" s="136">
        <v>86268.52196216736</v>
      </c>
      <c r="W211" s="136">
        <v>402235.750774821</v>
      </c>
      <c r="X211" s="136">
        <v>134838.40119696484</v>
      </c>
      <c r="Y211" s="146">
        <f t="shared" ref="Y211:AA211" si="448">Y210+3431</f>
        <v>74444.72235</v>
      </c>
      <c r="Z211" s="146">
        <f t="shared" si="448"/>
        <v>115650.2156</v>
      </c>
      <c r="AA211" s="145">
        <f t="shared" si="448"/>
        <v>183332.4299</v>
      </c>
      <c r="AB211" s="146"/>
      <c r="AC211" s="146">
        <f t="shared" ref="AC211:AD211" si="449">AC210+3431</f>
        <v>182097.4263</v>
      </c>
      <c r="AD211" s="146">
        <f t="shared" si="449"/>
        <v>242781.1516</v>
      </c>
      <c r="AE211" s="146"/>
      <c r="AF211" s="146">
        <f t="shared" ref="AF211:AG211" si="450">AF210+3431</f>
        <v>47792.65865</v>
      </c>
      <c r="AG211" s="146">
        <f t="shared" si="450"/>
        <v>139146.1138</v>
      </c>
      <c r="AH211">
        <f>AH210/7</f>
        <v>3431.70369</v>
      </c>
      <c r="AI211" s="18">
        <f>SUM(U211:AG211)</f>
        <v>1640675.074</v>
      </c>
      <c r="BE211" s="133">
        <f>BE210+AY210</f>
        <v>30179.28772</v>
      </c>
    </row>
    <row r="212">
      <c r="B212" s="1" t="s">
        <v>5582</v>
      </c>
      <c r="D212">
        <f t="shared" ref="D212:O212" si="451">SUM(D203,D207)</f>
        <v>175527.8221</v>
      </c>
      <c r="E212">
        <f t="shared" si="451"/>
        <v>268311.8094</v>
      </c>
      <c r="F212">
        <f t="shared" si="451"/>
        <v>177313.9908</v>
      </c>
      <c r="G212">
        <f t="shared" si="451"/>
        <v>194803.4087</v>
      </c>
      <c r="H212">
        <f t="shared" si="451"/>
        <v>213253.955</v>
      </c>
      <c r="I212">
        <f t="shared" si="451"/>
        <v>378129.2554</v>
      </c>
      <c r="J212">
        <f t="shared" si="451"/>
        <v>244910.6374</v>
      </c>
      <c r="K212">
        <f t="shared" si="451"/>
        <v>253843.6753</v>
      </c>
      <c r="L212">
        <f t="shared" si="451"/>
        <v>202114.7811</v>
      </c>
      <c r="M212">
        <f t="shared" si="451"/>
        <v>183414.8486</v>
      </c>
      <c r="N212">
        <f t="shared" si="451"/>
        <v>134000</v>
      </c>
      <c r="O212">
        <f t="shared" si="451"/>
        <v>129101.4839</v>
      </c>
      <c r="AA212" s="146">
        <f>AA211+U211</f>
        <v>215420.1119</v>
      </c>
    </row>
    <row r="213">
      <c r="B213" s="1" t="s">
        <v>5602</v>
      </c>
      <c r="D213">
        <f t="shared" ref="D213:O213" si="452">SUM(D211:D212)</f>
        <v>1930806.043</v>
      </c>
      <c r="E213">
        <f t="shared" si="452"/>
        <v>2951429.904</v>
      </c>
      <c r="F213">
        <f t="shared" si="452"/>
        <v>1950453.899</v>
      </c>
      <c r="G213">
        <f t="shared" si="452"/>
        <v>2142837.495</v>
      </c>
      <c r="H213">
        <f t="shared" si="452"/>
        <v>2345793.505</v>
      </c>
      <c r="I213">
        <f t="shared" si="452"/>
        <v>4159421.81</v>
      </c>
      <c r="J213">
        <f t="shared" si="452"/>
        <v>2694017.011</v>
      </c>
      <c r="K213">
        <f t="shared" si="452"/>
        <v>2792280.428</v>
      </c>
      <c r="L213">
        <f t="shared" si="452"/>
        <v>2223262.592</v>
      </c>
      <c r="M213">
        <f t="shared" si="452"/>
        <v>2017563.334</v>
      </c>
      <c r="N213">
        <f t="shared" si="452"/>
        <v>1474000</v>
      </c>
      <c r="O213">
        <f t="shared" si="452"/>
        <v>1420116.322</v>
      </c>
      <c r="AV213" s="1">
        <v>182560.0</v>
      </c>
      <c r="AX213" s="1" t="s">
        <v>5510</v>
      </c>
      <c r="AY213">
        <v>0.04903595669692353</v>
      </c>
      <c r="AZ213">
        <v>0.1757722712481634</v>
      </c>
      <c r="BA213">
        <v>0.07319337654026085</v>
      </c>
      <c r="BB213">
        <v>0.07319337654026085</v>
      </c>
      <c r="BC213">
        <v>0.06715402157942653</v>
      </c>
      <c r="BD213">
        <v>0.0966296793733493</v>
      </c>
      <c r="BE213">
        <v>0.0736440746716664</v>
      </c>
      <c r="BF213">
        <v>0.09762121526244151</v>
      </c>
      <c r="BG213">
        <v>0.06661318382173988</v>
      </c>
      <c r="BH213">
        <v>0.08923823001829834</v>
      </c>
      <c r="BI213">
        <v>0.045511497309332155</v>
      </c>
      <c r="BJ213">
        <v>0.052371122869324584</v>
      </c>
      <c r="BK213">
        <v>0.040021994068812586</v>
      </c>
      <c r="BL213">
        <f t="shared" ref="BL213:BL214" si="454">SUM(AY213:BK213)</f>
        <v>1</v>
      </c>
    </row>
    <row r="214">
      <c r="D214" s="1" t="s">
        <v>5583</v>
      </c>
      <c r="E214" s="1" t="s">
        <v>5566</v>
      </c>
      <c r="F214" s="1" t="s">
        <v>5566</v>
      </c>
      <c r="G214" s="1" t="s">
        <v>5566</v>
      </c>
      <c r="H214" s="1" t="s">
        <v>5566</v>
      </c>
      <c r="I214" s="1" t="s">
        <v>5566</v>
      </c>
      <c r="J214" s="1" t="s">
        <v>5566</v>
      </c>
      <c r="K214" s="1" t="s">
        <v>5566</v>
      </c>
      <c r="L214" s="1" t="s">
        <v>5566</v>
      </c>
      <c r="M214" s="1" t="s">
        <v>5566</v>
      </c>
      <c r="N214" s="1" t="s">
        <v>5583</v>
      </c>
      <c r="O214" s="1" t="s">
        <v>5566</v>
      </c>
      <c r="T214" s="1" t="s">
        <v>5661</v>
      </c>
      <c r="U214" s="1">
        <v>22294.0</v>
      </c>
      <c r="W214" s="1">
        <v>27430.0</v>
      </c>
      <c r="Y214" s="1">
        <v>62478.0</v>
      </c>
      <c r="AA214" s="1">
        <v>66114.0</v>
      </c>
      <c r="AC214" s="1">
        <v>74408.0</v>
      </c>
      <c r="AE214" s="1">
        <v>95404.0</v>
      </c>
      <c r="AH214" s="1">
        <v>5891.0</v>
      </c>
      <c r="AX214" s="1" t="s">
        <v>5623</v>
      </c>
      <c r="AY214">
        <f t="shared" ref="AY214:BK214" si="453">182560*AY213</f>
        <v>8952.004255</v>
      </c>
      <c r="AZ214" s="136">
        <f t="shared" si="453"/>
        <v>32088.98584</v>
      </c>
      <c r="BA214" s="136">
        <f t="shared" si="453"/>
        <v>13362.18282</v>
      </c>
      <c r="BB214" s="136">
        <f t="shared" si="453"/>
        <v>13362.18282</v>
      </c>
      <c r="BC214" s="136">
        <f t="shared" si="453"/>
        <v>12259.63818</v>
      </c>
      <c r="BD214" s="136">
        <f t="shared" si="453"/>
        <v>17640.71427</v>
      </c>
      <c r="BE214">
        <f t="shared" si="453"/>
        <v>13444.46227</v>
      </c>
      <c r="BF214" s="136">
        <f t="shared" si="453"/>
        <v>17821.72906</v>
      </c>
      <c r="BG214" s="136">
        <f t="shared" si="453"/>
        <v>12160.90284</v>
      </c>
      <c r="BH214" s="136">
        <f t="shared" si="453"/>
        <v>16291.33127</v>
      </c>
      <c r="BI214" s="136">
        <f t="shared" si="453"/>
        <v>8308.578949</v>
      </c>
      <c r="BJ214" s="136">
        <f t="shared" si="453"/>
        <v>9560.872191</v>
      </c>
      <c r="BK214" s="136">
        <f t="shared" si="453"/>
        <v>7306.415237</v>
      </c>
      <c r="BL214">
        <f t="shared" si="454"/>
        <v>182560</v>
      </c>
    </row>
    <row r="215">
      <c r="H215" s="1"/>
      <c r="U215" s="1">
        <v>6726.0</v>
      </c>
      <c r="V215" s="1">
        <v>20981.0</v>
      </c>
      <c r="W215" s="1">
        <v>70344.0</v>
      </c>
      <c r="Y215" s="1">
        <v>17422.0</v>
      </c>
      <c r="AA215" s="1">
        <v>19894.0</v>
      </c>
      <c r="AE215" s="1">
        <v>88676.0</v>
      </c>
      <c r="AG215" s="1">
        <v>10386.0</v>
      </c>
      <c r="BE215" s="133">
        <f>BE214+AY214</f>
        <v>22396.46653</v>
      </c>
    </row>
    <row r="216">
      <c r="H216" s="1"/>
      <c r="U216">
        <f t="shared" ref="U216:U217" si="455">U214-U206</f>
        <v>344</v>
      </c>
      <c r="V216" s="1"/>
      <c r="W216">
        <f t="shared" ref="W216:W217" si="456">W214-W206</f>
        <v>775</v>
      </c>
      <c r="Y216">
        <f t="shared" ref="Y216:Y217" si="457">Y214-Y206</f>
        <v>750</v>
      </c>
      <c r="AA216">
        <f t="shared" ref="AA216:AA217" si="458">AA214-AA206</f>
        <v>829</v>
      </c>
      <c r="AC216">
        <f>AC214-AC206</f>
        <v>1544</v>
      </c>
      <c r="AE216">
        <f t="shared" ref="AE216:AE217" si="459">AE214-AE206</f>
        <v>708</v>
      </c>
      <c r="AH216">
        <f>AH214-AH206</f>
        <v>134</v>
      </c>
    </row>
    <row r="217">
      <c r="B217" s="1" t="s">
        <v>5662</v>
      </c>
      <c r="D217" s="1">
        <v>1680000.0</v>
      </c>
      <c r="E217" s="1">
        <v>2300000.0</v>
      </c>
      <c r="F217" s="1">
        <v>1600000.0</v>
      </c>
      <c r="G217" s="1">
        <v>1800000.0</v>
      </c>
      <c r="H217" s="1">
        <v>1960000.0</v>
      </c>
      <c r="I217" s="1">
        <v>3500000.0</v>
      </c>
      <c r="J217" s="1">
        <v>2270000.0</v>
      </c>
      <c r="K217" s="1">
        <v>2380000.0</v>
      </c>
      <c r="L217" s="1">
        <v>1810000.0</v>
      </c>
      <c r="M217" s="1">
        <v>1730000.0</v>
      </c>
      <c r="N217" s="1">
        <v>1340000.0</v>
      </c>
      <c r="O217" s="1">
        <v>1200000.0</v>
      </c>
      <c r="P217">
        <f t="shared" ref="P217:P225" si="461">SUM(D217:O217)</f>
        <v>23570000</v>
      </c>
      <c r="U217" s="147">
        <f t="shared" si="455"/>
        <v>159</v>
      </c>
      <c r="V217" s="147">
        <f>(V215-V207)*14/61</f>
        <v>104.4262295</v>
      </c>
      <c r="W217" s="147">
        <f t="shared" si="456"/>
        <v>1894</v>
      </c>
      <c r="X217" s="137">
        <f>W216-50</f>
        <v>725</v>
      </c>
      <c r="Y217" s="147">
        <f t="shared" si="457"/>
        <v>347</v>
      </c>
      <c r="Z217" s="100">
        <f>Y216-Y217-50</f>
        <v>353</v>
      </c>
      <c r="AA217" s="147">
        <f t="shared" si="458"/>
        <v>863</v>
      </c>
      <c r="AB217" s="137">
        <v>0.0</v>
      </c>
      <c r="AC217" s="147">
        <f>(AC216)*73.9/(73.9+99)</f>
        <v>659.9282822</v>
      </c>
      <c r="AD217" s="147">
        <f>(AC216)*99/(73.9+99)</f>
        <v>884.0717178</v>
      </c>
      <c r="AE217" s="147">
        <f t="shared" si="459"/>
        <v>59</v>
      </c>
      <c r="AF217" s="100">
        <f>AE216-AE217-AG217-50</f>
        <v>204</v>
      </c>
      <c r="AG217" s="147">
        <f>AG215-AG207</f>
        <v>395</v>
      </c>
      <c r="AH217" s="1">
        <v>134.0</v>
      </c>
      <c r="AI217" s="18">
        <f t="shared" ref="AI217:AI218" si="463">SUM(U217:AH217)</f>
        <v>6781.42623</v>
      </c>
      <c r="AJ217" s="1">
        <v>1255020.0</v>
      </c>
      <c r="AL217" s="1">
        <v>7922.0</v>
      </c>
      <c r="AV217" s="1">
        <v>237680.0</v>
      </c>
      <c r="AX217" s="1" t="s">
        <v>5510</v>
      </c>
      <c r="AY217">
        <v>0.04903595669692353</v>
      </c>
      <c r="AZ217">
        <v>0.1757722712481634</v>
      </c>
      <c r="BA217">
        <v>0.07319337654026085</v>
      </c>
      <c r="BB217">
        <v>0.07319337654026085</v>
      </c>
      <c r="BC217">
        <v>0.06715402157942653</v>
      </c>
      <c r="BD217">
        <v>0.0966296793733493</v>
      </c>
      <c r="BE217">
        <v>0.0736440746716664</v>
      </c>
      <c r="BF217">
        <v>0.09762121526244151</v>
      </c>
      <c r="BG217">
        <v>0.06661318382173988</v>
      </c>
      <c r="BH217">
        <v>0.08923823001829834</v>
      </c>
      <c r="BI217">
        <v>0.045511497309332155</v>
      </c>
      <c r="BJ217">
        <v>0.052371122869324584</v>
      </c>
      <c r="BK217">
        <v>0.040021994068812586</v>
      </c>
      <c r="BL217">
        <f t="shared" ref="BL217:BL218" si="465">SUM(AY217:BK217)</f>
        <v>1</v>
      </c>
    </row>
    <row r="218">
      <c r="B218" s="1" t="s">
        <v>5499</v>
      </c>
      <c r="D218" s="1">
        <f t="shared" ref="D218:O218" si="460">D217*0.1</f>
        <v>168000</v>
      </c>
      <c r="E218" s="1">
        <f t="shared" si="460"/>
        <v>230000</v>
      </c>
      <c r="F218" s="1">
        <f t="shared" si="460"/>
        <v>160000</v>
      </c>
      <c r="G218" s="1">
        <f t="shared" si="460"/>
        <v>180000</v>
      </c>
      <c r="H218" s="1">
        <f t="shared" si="460"/>
        <v>196000</v>
      </c>
      <c r="I218" s="1">
        <f t="shared" si="460"/>
        <v>350000</v>
      </c>
      <c r="J218" s="1">
        <f t="shared" si="460"/>
        <v>227000</v>
      </c>
      <c r="K218" s="1">
        <f t="shared" si="460"/>
        <v>238000</v>
      </c>
      <c r="L218" s="1">
        <f t="shared" si="460"/>
        <v>181000</v>
      </c>
      <c r="M218" s="1">
        <f t="shared" si="460"/>
        <v>173000</v>
      </c>
      <c r="N218" s="1">
        <f t="shared" si="460"/>
        <v>134000</v>
      </c>
      <c r="O218" s="1">
        <f t="shared" si="460"/>
        <v>120000</v>
      </c>
      <c r="P218">
        <f t="shared" si="461"/>
        <v>2357000</v>
      </c>
      <c r="U218">
        <f t="shared" ref="U218:AH218" si="462">U217*1255020/6781.4</f>
        <v>29425.80883</v>
      </c>
      <c r="V218">
        <f t="shared" si="462"/>
        <v>19325.95136</v>
      </c>
      <c r="W218">
        <f t="shared" si="462"/>
        <v>350518.7542</v>
      </c>
      <c r="X218">
        <f t="shared" si="462"/>
        <v>134174.2855</v>
      </c>
      <c r="Y218">
        <f t="shared" si="462"/>
        <v>64218.58908</v>
      </c>
      <c r="Z218">
        <f t="shared" si="462"/>
        <v>65328.99696</v>
      </c>
      <c r="AA218">
        <f t="shared" si="462"/>
        <v>159713.6668</v>
      </c>
      <c r="AB218">
        <f t="shared" si="462"/>
        <v>0</v>
      </c>
      <c r="AC218">
        <f t="shared" si="462"/>
        <v>122131.5942</v>
      </c>
      <c r="AD218">
        <f t="shared" si="462"/>
        <v>163613.367</v>
      </c>
      <c r="AE218">
        <f t="shared" si="462"/>
        <v>10919.01082</v>
      </c>
      <c r="AF218">
        <f t="shared" si="462"/>
        <v>37753.86793</v>
      </c>
      <c r="AG218">
        <f t="shared" si="462"/>
        <v>73101.85212</v>
      </c>
      <c r="AH218">
        <f t="shared" si="462"/>
        <v>24799.10933</v>
      </c>
      <c r="AI218" s="18">
        <f t="shared" si="463"/>
        <v>1255024.854</v>
      </c>
      <c r="AX218" s="1" t="s">
        <v>5628</v>
      </c>
      <c r="AY218">
        <f t="shared" ref="AY218:BK218" si="464">237680*AY217</f>
        <v>11654.86619</v>
      </c>
      <c r="AZ218" s="136">
        <f t="shared" si="464"/>
        <v>41777.55343</v>
      </c>
      <c r="BA218" s="136">
        <f t="shared" si="464"/>
        <v>17396.60174</v>
      </c>
      <c r="BB218" s="136">
        <f t="shared" si="464"/>
        <v>17396.60174</v>
      </c>
      <c r="BC218" s="136">
        <f t="shared" si="464"/>
        <v>15961.16785</v>
      </c>
      <c r="BD218" s="136">
        <f t="shared" si="464"/>
        <v>22966.94219</v>
      </c>
      <c r="BE218">
        <f t="shared" si="464"/>
        <v>17503.72367</v>
      </c>
      <c r="BF218" s="136">
        <f t="shared" si="464"/>
        <v>23202.61044</v>
      </c>
      <c r="BG218" s="136">
        <f t="shared" si="464"/>
        <v>15832.62153</v>
      </c>
      <c r="BH218" s="136">
        <f t="shared" si="464"/>
        <v>21210.14251</v>
      </c>
      <c r="BI218" s="136">
        <f t="shared" si="464"/>
        <v>10817.17268</v>
      </c>
      <c r="BJ218" s="136">
        <f t="shared" si="464"/>
        <v>12447.56848</v>
      </c>
      <c r="BK218" s="136">
        <f t="shared" si="464"/>
        <v>9512.42755</v>
      </c>
      <c r="BL218">
        <f t="shared" si="465"/>
        <v>237680</v>
      </c>
    </row>
    <row r="219">
      <c r="B219" s="1" t="s">
        <v>5520</v>
      </c>
      <c r="D219">
        <f t="shared" ref="D219:O219" si="466">D217+D218</f>
        <v>1848000</v>
      </c>
      <c r="E219">
        <f t="shared" si="466"/>
        <v>2530000</v>
      </c>
      <c r="F219">
        <f t="shared" si="466"/>
        <v>1760000</v>
      </c>
      <c r="G219">
        <f t="shared" si="466"/>
        <v>1980000</v>
      </c>
      <c r="H219">
        <f t="shared" si="466"/>
        <v>2156000</v>
      </c>
      <c r="I219">
        <f t="shared" si="466"/>
        <v>3850000</v>
      </c>
      <c r="J219">
        <f t="shared" si="466"/>
        <v>2497000</v>
      </c>
      <c r="K219">
        <f t="shared" si="466"/>
        <v>2618000</v>
      </c>
      <c r="L219">
        <f t="shared" si="466"/>
        <v>1991000</v>
      </c>
      <c r="M219">
        <f t="shared" si="466"/>
        <v>1903000</v>
      </c>
      <c r="N219">
        <f t="shared" si="466"/>
        <v>1474000</v>
      </c>
      <c r="O219">
        <f t="shared" si="466"/>
        <v>1320000</v>
      </c>
      <c r="P219">
        <f t="shared" si="461"/>
        <v>25927000</v>
      </c>
      <c r="U219">
        <v>29425.808830035097</v>
      </c>
      <c r="V219" s="153">
        <v>19325.9513606891</v>
      </c>
      <c r="W219" s="55">
        <v>350518.7542395376</v>
      </c>
      <c r="X219" s="55">
        <v>134174.2855457575</v>
      </c>
      <c r="Y219" s="146">
        <f t="shared" ref="Y219:AA219" si="467">Y218+3100</f>
        <v>67318.58908</v>
      </c>
      <c r="Z219" s="146">
        <f t="shared" si="467"/>
        <v>68428.99696</v>
      </c>
      <c r="AA219" s="146">
        <f t="shared" si="467"/>
        <v>162813.6668</v>
      </c>
      <c r="AB219" s="146"/>
      <c r="AC219" s="146">
        <f t="shared" ref="AC219:AG219" si="468">AC218+3100</f>
        <v>125231.5942</v>
      </c>
      <c r="AD219" s="146">
        <f t="shared" si="468"/>
        <v>166713.367</v>
      </c>
      <c r="AE219" s="146">
        <f t="shared" si="468"/>
        <v>14019.01082</v>
      </c>
      <c r="AF219" s="146">
        <f t="shared" si="468"/>
        <v>40853.86793</v>
      </c>
      <c r="AG219" s="146">
        <f t="shared" si="468"/>
        <v>76201.85212</v>
      </c>
      <c r="AH219">
        <f>AH218/8</f>
        <v>3099.888666</v>
      </c>
      <c r="AI219" s="18">
        <f>SUM(U219:AG219)</f>
        <v>1255025.745</v>
      </c>
      <c r="BE219" s="133">
        <f>BE218+AY218</f>
        <v>29158.58986</v>
      </c>
    </row>
    <row r="220">
      <c r="D220">
        <v>85683.42927315987</v>
      </c>
      <c r="E220">
        <v>432142.5128559368</v>
      </c>
      <c r="F220">
        <v>188131.00775193798</v>
      </c>
      <c r="G220">
        <v>162472.61247985263</v>
      </c>
      <c r="H220" s="134">
        <v>241822.91871977894</v>
      </c>
      <c r="I220">
        <v>345760.643794612</v>
      </c>
      <c r="J220">
        <v>273302.26556143985</v>
      </c>
      <c r="K220">
        <v>203682.297707552</v>
      </c>
      <c r="L220">
        <v>271581.4651291968</v>
      </c>
      <c r="M220">
        <v>134346.09547931538</v>
      </c>
      <c r="O220">
        <v>87965.28267710491</v>
      </c>
      <c r="P220">
        <f t="shared" si="461"/>
        <v>2426890.531</v>
      </c>
      <c r="AA220" s="146">
        <f>AA219+U219</f>
        <v>192239.4756</v>
      </c>
    </row>
    <row r="221">
      <c r="D221">
        <f t="shared" ref="D221:O221" si="469">D220-D222</f>
        <v>77894.02661</v>
      </c>
      <c r="E221">
        <f t="shared" si="469"/>
        <v>392856.8299</v>
      </c>
      <c r="F221">
        <f t="shared" si="469"/>
        <v>171028.1889</v>
      </c>
      <c r="G221">
        <f t="shared" si="469"/>
        <v>147702.375</v>
      </c>
      <c r="H221">
        <f t="shared" si="469"/>
        <v>219839.017</v>
      </c>
      <c r="I221">
        <f t="shared" si="469"/>
        <v>314327.858</v>
      </c>
      <c r="J221">
        <f t="shared" si="469"/>
        <v>248456.6051</v>
      </c>
      <c r="K221">
        <f t="shared" si="469"/>
        <v>185165.7252</v>
      </c>
      <c r="L221">
        <f t="shared" si="469"/>
        <v>246892.241</v>
      </c>
      <c r="M221">
        <f t="shared" si="469"/>
        <v>122132.8141</v>
      </c>
      <c r="N221">
        <f t="shared" si="469"/>
        <v>0</v>
      </c>
      <c r="O221">
        <f t="shared" si="469"/>
        <v>79968.4388</v>
      </c>
      <c r="P221">
        <f t="shared" si="461"/>
        <v>2206264.119</v>
      </c>
      <c r="AV221" s="1">
        <v>271640.0</v>
      </c>
      <c r="AX221" s="1" t="s">
        <v>5510</v>
      </c>
      <c r="AY221">
        <v>0.04903595669692353</v>
      </c>
      <c r="AZ221">
        <v>0.1757722712481634</v>
      </c>
      <c r="BA221">
        <v>0.07319337654026085</v>
      </c>
      <c r="BB221">
        <v>0.07319337654026085</v>
      </c>
      <c r="BC221">
        <v>0.06715402157942653</v>
      </c>
      <c r="BD221">
        <v>0.0966296793733493</v>
      </c>
      <c r="BE221">
        <v>0.0736440746716664</v>
      </c>
      <c r="BF221">
        <v>0.09762121526244151</v>
      </c>
      <c r="BG221">
        <v>0.06661318382173988</v>
      </c>
      <c r="BH221">
        <v>0.08923823001829834</v>
      </c>
      <c r="BI221">
        <v>0.045511497309332155</v>
      </c>
      <c r="BJ221">
        <v>0.052371122869324584</v>
      </c>
      <c r="BK221">
        <v>0.040021994068812586</v>
      </c>
      <c r="BL221">
        <f t="shared" ref="BL221:BL222" si="472">SUM(AY221:BK221)</f>
        <v>1</v>
      </c>
    </row>
    <row r="222">
      <c r="B222" s="1" t="s">
        <v>5499</v>
      </c>
      <c r="D222">
        <f t="shared" ref="D222:O222" si="470">D220/11</f>
        <v>7789.402661</v>
      </c>
      <c r="E222">
        <f t="shared" si="470"/>
        <v>39285.68299</v>
      </c>
      <c r="F222">
        <f t="shared" si="470"/>
        <v>17102.81889</v>
      </c>
      <c r="G222">
        <f t="shared" si="470"/>
        <v>14770.2375</v>
      </c>
      <c r="H222">
        <f t="shared" si="470"/>
        <v>21983.9017</v>
      </c>
      <c r="I222">
        <f t="shared" si="470"/>
        <v>31432.7858</v>
      </c>
      <c r="J222">
        <f t="shared" si="470"/>
        <v>24845.66051</v>
      </c>
      <c r="K222">
        <f t="shared" si="470"/>
        <v>18516.57252</v>
      </c>
      <c r="L222">
        <f t="shared" si="470"/>
        <v>24689.2241</v>
      </c>
      <c r="M222">
        <f t="shared" si="470"/>
        <v>12213.28141</v>
      </c>
      <c r="N222">
        <f t="shared" si="470"/>
        <v>0</v>
      </c>
      <c r="O222">
        <f t="shared" si="470"/>
        <v>7996.84388</v>
      </c>
      <c r="P222">
        <f t="shared" si="461"/>
        <v>220626.4119</v>
      </c>
      <c r="T222" s="1" t="s">
        <v>2262</v>
      </c>
      <c r="U222" s="1">
        <v>22566.0</v>
      </c>
      <c r="W222" s="1">
        <v>28131.0</v>
      </c>
      <c r="Y222" s="1">
        <v>62843.0</v>
      </c>
      <c r="AA222" s="1">
        <v>66654.0</v>
      </c>
      <c r="AC222" s="1">
        <v>74973.0</v>
      </c>
      <c r="AE222" s="1">
        <v>96182.0</v>
      </c>
      <c r="AH222" s="1">
        <v>6012.0</v>
      </c>
      <c r="AX222" s="1" t="s">
        <v>5630</v>
      </c>
      <c r="AY222">
        <f t="shared" ref="AY222:BK222" si="471">271640*AY221</f>
        <v>13320.12728</v>
      </c>
      <c r="AZ222" s="136">
        <f t="shared" si="471"/>
        <v>47746.77976</v>
      </c>
      <c r="BA222" s="136">
        <f t="shared" si="471"/>
        <v>19882.2488</v>
      </c>
      <c r="BB222" s="136">
        <f t="shared" si="471"/>
        <v>19882.2488</v>
      </c>
      <c r="BC222" s="136">
        <f t="shared" si="471"/>
        <v>18241.71842</v>
      </c>
      <c r="BD222" s="136">
        <f t="shared" si="471"/>
        <v>26248.4861</v>
      </c>
      <c r="BE222">
        <f t="shared" si="471"/>
        <v>20004.67644</v>
      </c>
      <c r="BF222" s="136">
        <f t="shared" si="471"/>
        <v>26517.82691</v>
      </c>
      <c r="BG222" s="136">
        <f t="shared" si="471"/>
        <v>18094.80525</v>
      </c>
      <c r="BH222" s="136">
        <f t="shared" si="471"/>
        <v>24240.6728</v>
      </c>
      <c r="BI222" s="136">
        <f t="shared" si="471"/>
        <v>12362.74313</v>
      </c>
      <c r="BJ222" s="136">
        <f t="shared" si="471"/>
        <v>14226.09182</v>
      </c>
      <c r="BK222" s="136">
        <f t="shared" si="471"/>
        <v>10871.57447</v>
      </c>
      <c r="BL222">
        <f t="shared" si="472"/>
        <v>271640</v>
      </c>
    </row>
    <row r="223">
      <c r="B223" s="23" t="s">
        <v>5528</v>
      </c>
      <c r="D223" s="154">
        <f t="shared" ref="D223:O223" si="473">SUM(D219,D220)</f>
        <v>1933683.429</v>
      </c>
      <c r="E223" s="18">
        <f t="shared" si="473"/>
        <v>2962142.513</v>
      </c>
      <c r="F223" s="18">
        <f t="shared" si="473"/>
        <v>1948131.008</v>
      </c>
      <c r="G223" s="18">
        <f t="shared" si="473"/>
        <v>2142472.612</v>
      </c>
      <c r="H223" s="18">
        <f t="shared" si="473"/>
        <v>2397822.919</v>
      </c>
      <c r="I223" s="18">
        <f t="shared" si="473"/>
        <v>4195760.644</v>
      </c>
      <c r="J223" s="18">
        <f t="shared" si="473"/>
        <v>2770302.266</v>
      </c>
      <c r="K223" s="18">
        <f t="shared" si="473"/>
        <v>2821682.298</v>
      </c>
      <c r="L223" s="18">
        <f t="shared" si="473"/>
        <v>2262581.465</v>
      </c>
      <c r="M223" s="18">
        <f t="shared" si="473"/>
        <v>2037346.095</v>
      </c>
      <c r="N223" s="18">
        <f t="shared" si="473"/>
        <v>1474000</v>
      </c>
      <c r="O223" s="18">
        <f t="shared" si="473"/>
        <v>1407965.283</v>
      </c>
      <c r="P223">
        <f t="shared" si="461"/>
        <v>28353890.53</v>
      </c>
      <c r="U223" s="1">
        <v>6861.0</v>
      </c>
      <c r="V223" s="1">
        <v>21090.0</v>
      </c>
      <c r="W223" s="1">
        <v>71544.0</v>
      </c>
      <c r="Y223" s="23">
        <v>17609.0</v>
      </c>
      <c r="AA223" s="1">
        <v>20470.0</v>
      </c>
      <c r="AE223" s="1">
        <v>89132.0</v>
      </c>
      <c r="AG223" s="23">
        <v>10491.0</v>
      </c>
      <c r="BE223" s="133">
        <f>BE222+AY222</f>
        <v>33324.80372</v>
      </c>
    </row>
    <row r="224">
      <c r="B224" s="1" t="s">
        <v>5580</v>
      </c>
      <c r="D224">
        <f t="shared" ref="D224:O224" si="474">D217+D221</f>
        <v>1757894.027</v>
      </c>
      <c r="E224">
        <f t="shared" si="474"/>
        <v>2692856.83</v>
      </c>
      <c r="F224">
        <f t="shared" si="474"/>
        <v>1771028.189</v>
      </c>
      <c r="G224">
        <f t="shared" si="474"/>
        <v>1947702.375</v>
      </c>
      <c r="H224">
        <f t="shared" si="474"/>
        <v>2179839.017</v>
      </c>
      <c r="I224">
        <f t="shared" si="474"/>
        <v>3814327.858</v>
      </c>
      <c r="J224">
        <f t="shared" si="474"/>
        <v>2518456.605</v>
      </c>
      <c r="K224">
        <f t="shared" si="474"/>
        <v>2565165.725</v>
      </c>
      <c r="L224">
        <f t="shared" si="474"/>
        <v>2056892.241</v>
      </c>
      <c r="M224">
        <f t="shared" si="474"/>
        <v>1852132.814</v>
      </c>
      <c r="N224">
        <f t="shared" si="474"/>
        <v>1340000</v>
      </c>
      <c r="O224">
        <f t="shared" si="474"/>
        <v>1279968.439</v>
      </c>
      <c r="P224">
        <f t="shared" si="461"/>
        <v>25776264.12</v>
      </c>
      <c r="U224">
        <f t="shared" ref="U224:U225" si="476">U222-U214</f>
        <v>272</v>
      </c>
      <c r="V224" s="1"/>
      <c r="W224">
        <f t="shared" ref="W224:W225" si="477">W222-W214</f>
        <v>701</v>
      </c>
      <c r="Y224">
        <f t="shared" ref="Y224:Y225" si="478">Y222-Y214</f>
        <v>365</v>
      </c>
      <c r="AA224">
        <f t="shared" ref="AA224:AA225" si="479">AA222-AA214</f>
        <v>540</v>
      </c>
      <c r="AC224">
        <f>AC222-AC214</f>
        <v>565</v>
      </c>
      <c r="AE224">
        <f t="shared" ref="AE224:AE225" si="480">AE222-AE214</f>
        <v>778</v>
      </c>
      <c r="AH224">
        <f>AH222-AH214</f>
        <v>121</v>
      </c>
    </row>
    <row r="225">
      <c r="B225" s="1" t="s">
        <v>5582</v>
      </c>
      <c r="D225">
        <f t="shared" ref="D225:O225" si="475">D218+D222</f>
        <v>175789.4027</v>
      </c>
      <c r="E225">
        <f t="shared" si="475"/>
        <v>269285.683</v>
      </c>
      <c r="F225">
        <f t="shared" si="475"/>
        <v>177102.8189</v>
      </c>
      <c r="G225">
        <f t="shared" si="475"/>
        <v>194770.2375</v>
      </c>
      <c r="H225">
        <f t="shared" si="475"/>
        <v>217983.9017</v>
      </c>
      <c r="I225">
        <f t="shared" si="475"/>
        <v>381432.7858</v>
      </c>
      <c r="J225">
        <f t="shared" si="475"/>
        <v>251845.6605</v>
      </c>
      <c r="K225">
        <f t="shared" si="475"/>
        <v>256516.5725</v>
      </c>
      <c r="L225">
        <f t="shared" si="475"/>
        <v>205689.2241</v>
      </c>
      <c r="M225">
        <f t="shared" si="475"/>
        <v>185213.2814</v>
      </c>
      <c r="N225">
        <f t="shared" si="475"/>
        <v>134000</v>
      </c>
      <c r="O225">
        <f t="shared" si="475"/>
        <v>127996.8439</v>
      </c>
      <c r="P225">
        <f t="shared" si="461"/>
        <v>2577626.412</v>
      </c>
      <c r="U225" s="147">
        <f t="shared" si="476"/>
        <v>135</v>
      </c>
      <c r="V225" s="147">
        <f>(V223-V215)</f>
        <v>109</v>
      </c>
      <c r="W225" s="147">
        <f t="shared" si="477"/>
        <v>1200</v>
      </c>
      <c r="X225" s="137">
        <f>W224-50</f>
        <v>651</v>
      </c>
      <c r="Y225" s="147">
        <f t="shared" si="478"/>
        <v>187</v>
      </c>
      <c r="Z225" s="100">
        <f>Y224-Y225-50</f>
        <v>128</v>
      </c>
      <c r="AA225" s="147">
        <f t="shared" si="479"/>
        <v>576</v>
      </c>
      <c r="AB225" s="137">
        <v>0.0</v>
      </c>
      <c r="AC225" s="147">
        <f>(AC224)*73.9/(73.9+99)</f>
        <v>241.4893002</v>
      </c>
      <c r="AD225" s="147">
        <f>(AC224)*99/(73.9+99)</f>
        <v>323.5106998</v>
      </c>
      <c r="AE225" s="147">
        <f t="shared" si="480"/>
        <v>456</v>
      </c>
      <c r="AF225" s="100">
        <f>AE224-AE225-AG225-50</f>
        <v>167</v>
      </c>
      <c r="AG225" s="147">
        <f>AG223-AG215</f>
        <v>105</v>
      </c>
      <c r="AH225" s="1">
        <v>121.0</v>
      </c>
      <c r="AI225" s="18">
        <f t="shared" ref="AI225:AI226" si="482">SUM(U225:AH225)</f>
        <v>4400</v>
      </c>
      <c r="AJ225" s="1">
        <v>800090.0</v>
      </c>
      <c r="AL225" s="1">
        <v>4960.0</v>
      </c>
    </row>
    <row r="226">
      <c r="D226" s="1" t="s">
        <v>5583</v>
      </c>
      <c r="E226" s="1" t="s">
        <v>5566</v>
      </c>
      <c r="F226" s="1" t="s">
        <v>5566</v>
      </c>
      <c r="G226" s="1" t="s">
        <v>5566</v>
      </c>
      <c r="H226" s="1" t="s">
        <v>5566</v>
      </c>
      <c r="I226" s="1" t="s">
        <v>5566</v>
      </c>
      <c r="J226" s="1" t="s">
        <v>5566</v>
      </c>
      <c r="K226" s="1" t="s">
        <v>5566</v>
      </c>
      <c r="L226" s="1" t="s">
        <v>5566</v>
      </c>
      <c r="M226" s="1" t="s">
        <v>5566</v>
      </c>
      <c r="N226" s="1" t="s">
        <v>5583</v>
      </c>
      <c r="O226" s="1" t="s">
        <v>5566</v>
      </c>
      <c r="U226">
        <f t="shared" ref="U226:AH226" si="481">U225*800090/4400</f>
        <v>24548.21591</v>
      </c>
      <c r="V226">
        <f t="shared" si="481"/>
        <v>19820.41136</v>
      </c>
      <c r="W226">
        <f t="shared" si="481"/>
        <v>218206.3636</v>
      </c>
      <c r="X226">
        <f t="shared" si="481"/>
        <v>118376.9523</v>
      </c>
      <c r="Y226">
        <f t="shared" si="481"/>
        <v>34003.825</v>
      </c>
      <c r="Z226">
        <f t="shared" si="481"/>
        <v>23275.34545</v>
      </c>
      <c r="AA226">
        <f t="shared" si="481"/>
        <v>104739.0545</v>
      </c>
      <c r="AB226">
        <f t="shared" si="481"/>
        <v>0</v>
      </c>
      <c r="AC226">
        <f t="shared" si="481"/>
        <v>43912.08504</v>
      </c>
      <c r="AD226">
        <f t="shared" si="481"/>
        <v>58826.74451</v>
      </c>
      <c r="AE226">
        <f t="shared" si="481"/>
        <v>82918.41818</v>
      </c>
      <c r="AF226">
        <f t="shared" si="481"/>
        <v>30367.05227</v>
      </c>
      <c r="AG226">
        <f t="shared" si="481"/>
        <v>19093.05682</v>
      </c>
      <c r="AH226">
        <f t="shared" si="481"/>
        <v>22002.475</v>
      </c>
      <c r="AI226" s="18">
        <f t="shared" si="482"/>
        <v>800090</v>
      </c>
    </row>
    <row r="227">
      <c r="H227" s="1"/>
      <c r="U227">
        <v>24548.215909090908</v>
      </c>
      <c r="V227" s="55">
        <v>19820.411363636365</v>
      </c>
      <c r="W227" s="55">
        <v>218206.36363636365</v>
      </c>
      <c r="X227" s="55">
        <v>118376.95227272727</v>
      </c>
      <c r="Y227" s="146">
        <f t="shared" ref="Y227:AA227" si="483">Y226+2750</f>
        <v>36753.825</v>
      </c>
      <c r="Z227" s="146">
        <f t="shared" si="483"/>
        <v>26025.34545</v>
      </c>
      <c r="AA227" s="145">
        <f t="shared" si="483"/>
        <v>107489.0545</v>
      </c>
      <c r="AB227" s="146"/>
      <c r="AC227" s="146">
        <f t="shared" ref="AC227:AG227" si="484">AC226+2750</f>
        <v>46662.08504</v>
      </c>
      <c r="AD227" s="146">
        <f t="shared" si="484"/>
        <v>61576.74451</v>
      </c>
      <c r="AE227" s="146">
        <f t="shared" si="484"/>
        <v>85668.41818</v>
      </c>
      <c r="AF227" s="146">
        <f t="shared" si="484"/>
        <v>33117.05227</v>
      </c>
      <c r="AG227" s="146">
        <f t="shared" si="484"/>
        <v>21843.05682</v>
      </c>
      <c r="AH227">
        <f>AH226/8</f>
        <v>2750.309375</v>
      </c>
      <c r="AI227" s="18">
        <f>SUM(U227:AG227)</f>
        <v>800087.525</v>
      </c>
    </row>
    <row r="228">
      <c r="H228" s="1"/>
      <c r="M228" s="1" t="s">
        <v>5663</v>
      </c>
      <c r="N228" s="1" t="s">
        <v>5664</v>
      </c>
      <c r="AA228" s="146">
        <f>AA227+U227</f>
        <v>132037.2705</v>
      </c>
    </row>
    <row r="229">
      <c r="B229" s="1" t="s">
        <v>5665</v>
      </c>
      <c r="D229" s="1">
        <v>1680000.0</v>
      </c>
      <c r="E229" s="2">
        <f>2300000*17/31 + 2370000*14/31</f>
        <v>2331612.903</v>
      </c>
      <c r="F229" s="1">
        <v>1600000.0</v>
      </c>
      <c r="G229" s="1">
        <v>1800000.0</v>
      </c>
      <c r="H229" s="1">
        <v>1960000.0</v>
      </c>
      <c r="I229" s="1">
        <v>3500000.0</v>
      </c>
      <c r="J229" s="1">
        <v>2270000.0</v>
      </c>
      <c r="K229" s="1">
        <v>2380000.0</v>
      </c>
      <c r="L229" s="1">
        <v>1810000.0</v>
      </c>
      <c r="M229" s="2">
        <f>1730000*29/31</f>
        <v>1618387.097</v>
      </c>
      <c r="N229" s="2">
        <f>1260000*30/31</f>
        <v>1219354.839</v>
      </c>
      <c r="O229" s="1">
        <v>1200000.0</v>
      </c>
      <c r="P229">
        <f t="shared" ref="P229:P235" si="486">SUM(D229:O229)</f>
        <v>23369354.84</v>
      </c>
    </row>
    <row r="230">
      <c r="B230" s="1" t="s">
        <v>5499</v>
      </c>
      <c r="D230" s="1">
        <f t="shared" ref="D230:O230" si="485">D229*0.1</f>
        <v>168000</v>
      </c>
      <c r="E230" s="1">
        <f t="shared" si="485"/>
        <v>233161.2903</v>
      </c>
      <c r="F230" s="1">
        <f t="shared" si="485"/>
        <v>160000</v>
      </c>
      <c r="G230" s="1">
        <f t="shared" si="485"/>
        <v>180000</v>
      </c>
      <c r="H230" s="1">
        <f t="shared" si="485"/>
        <v>196000</v>
      </c>
      <c r="I230" s="1">
        <f t="shared" si="485"/>
        <v>350000</v>
      </c>
      <c r="J230" s="1">
        <f t="shared" si="485"/>
        <v>227000</v>
      </c>
      <c r="K230" s="1">
        <f t="shared" si="485"/>
        <v>238000</v>
      </c>
      <c r="L230" s="1">
        <f t="shared" si="485"/>
        <v>181000</v>
      </c>
      <c r="M230" s="1">
        <f t="shared" si="485"/>
        <v>161838.7097</v>
      </c>
      <c r="N230" s="1">
        <f t="shared" si="485"/>
        <v>121935.4839</v>
      </c>
      <c r="O230" s="1">
        <f t="shared" si="485"/>
        <v>120000</v>
      </c>
      <c r="P230">
        <f t="shared" si="486"/>
        <v>2336935.484</v>
      </c>
      <c r="T230" s="1" t="s">
        <v>2282</v>
      </c>
      <c r="U230" s="1">
        <v>23335.0</v>
      </c>
      <c r="W230" s="1">
        <v>28858.0</v>
      </c>
      <c r="Y230" s="1">
        <v>63355.0</v>
      </c>
      <c r="AA230" s="1">
        <v>67372.0</v>
      </c>
      <c r="AC230" s="1">
        <v>75703.0</v>
      </c>
      <c r="AE230" s="1">
        <v>97069.0</v>
      </c>
      <c r="AH230" s="1">
        <v>6143.0</v>
      </c>
    </row>
    <row r="231">
      <c r="B231" s="1" t="s">
        <v>5520</v>
      </c>
      <c r="D231">
        <f t="shared" ref="D231:O231" si="487">D229+D230</f>
        <v>1848000</v>
      </c>
      <c r="E231">
        <f t="shared" si="487"/>
        <v>2564774.194</v>
      </c>
      <c r="F231">
        <f t="shared" si="487"/>
        <v>1760000</v>
      </c>
      <c r="G231">
        <f t="shared" si="487"/>
        <v>1980000</v>
      </c>
      <c r="H231">
        <f t="shared" si="487"/>
        <v>2156000</v>
      </c>
      <c r="I231">
        <f t="shared" si="487"/>
        <v>3850000</v>
      </c>
      <c r="J231">
        <f t="shared" si="487"/>
        <v>2497000</v>
      </c>
      <c r="K231">
        <f t="shared" si="487"/>
        <v>2618000</v>
      </c>
      <c r="L231">
        <f t="shared" si="487"/>
        <v>1991000</v>
      </c>
      <c r="M231">
        <f t="shared" si="487"/>
        <v>1780225.806</v>
      </c>
      <c r="N231">
        <f t="shared" si="487"/>
        <v>1341290.323</v>
      </c>
      <c r="O231">
        <f t="shared" si="487"/>
        <v>1320000</v>
      </c>
      <c r="P231">
        <f t="shared" si="486"/>
        <v>25706290.32</v>
      </c>
      <c r="U231" s="1">
        <v>7003.0</v>
      </c>
      <c r="V231" s="1">
        <v>21683.0</v>
      </c>
      <c r="W231" s="1">
        <v>72848.0</v>
      </c>
      <c r="Y231" s="1">
        <v>17849.0</v>
      </c>
      <c r="AA231" s="1">
        <v>21232.0</v>
      </c>
      <c r="AE231" s="1">
        <v>89724.0</v>
      </c>
      <c r="AG231" s="1">
        <v>10616.0</v>
      </c>
      <c r="AY231" s="30">
        <v>54.4</v>
      </c>
      <c r="AZ231" s="30">
        <v>195.0</v>
      </c>
      <c r="BA231" s="30">
        <v>81.2</v>
      </c>
      <c r="BB231" s="30">
        <v>81.2</v>
      </c>
      <c r="BC231" s="30">
        <v>74.5</v>
      </c>
      <c r="BD231" s="30">
        <v>107.2</v>
      </c>
      <c r="BE231" s="30">
        <v>81.7</v>
      </c>
      <c r="BF231" s="30">
        <v>108.3</v>
      </c>
      <c r="BG231" s="30">
        <v>73.9</v>
      </c>
      <c r="BH231" s="30">
        <v>99.0</v>
      </c>
      <c r="BI231" s="30">
        <v>50.49</v>
      </c>
      <c r="BJ231" s="30">
        <v>58.1</v>
      </c>
      <c r="BK231" s="30">
        <v>44.4</v>
      </c>
      <c r="BL231" s="31"/>
      <c r="BM231" s="31">
        <f>SUM(AY231:BL231)</f>
        <v>1109.39</v>
      </c>
    </row>
    <row r="232">
      <c r="B232" s="1" t="s">
        <v>5545</v>
      </c>
      <c r="D232">
        <v>81309.46527428283</v>
      </c>
      <c r="E232">
        <v>288542.3779567187</v>
      </c>
      <c r="F232">
        <v>147554.46904881732</v>
      </c>
      <c r="G232">
        <v>74356.22269753397</v>
      </c>
      <c r="H232" s="134">
        <v>114721.25415198792</v>
      </c>
      <c r="I232">
        <v>212447.11977856065</v>
      </c>
      <c r="J232">
        <v>194099.3782083543</v>
      </c>
      <c r="K232">
        <v>117805.47985284921</v>
      </c>
      <c r="L232">
        <v>156637.2788285801</v>
      </c>
      <c r="M232">
        <v>57865.154276994006</v>
      </c>
      <c r="N232">
        <v>16947.10499496729</v>
      </c>
      <c r="O232">
        <v>56008.48112732763</v>
      </c>
      <c r="P232">
        <f t="shared" si="486"/>
        <v>1518293.786</v>
      </c>
      <c r="U232">
        <f t="shared" ref="U232:U233" si="489">U230-U222</f>
        <v>769</v>
      </c>
      <c r="V232" s="1"/>
      <c r="W232">
        <f t="shared" ref="W232:W233" si="490">W230-W222</f>
        <v>727</v>
      </c>
      <c r="Y232">
        <f t="shared" ref="Y232:Y233" si="491">Y230-Y222</f>
        <v>512</v>
      </c>
      <c r="AA232">
        <f t="shared" ref="AA232:AA233" si="492">AA230-AA222</f>
        <v>718</v>
      </c>
      <c r="AC232">
        <f>AC230-AC222</f>
        <v>730</v>
      </c>
      <c r="AE232">
        <f t="shared" ref="AE232:AE233" si="493">AE230-AE222</f>
        <v>887</v>
      </c>
      <c r="AH232">
        <f>AH230-AH222</f>
        <v>131</v>
      </c>
      <c r="AY232" s="23" t="s">
        <v>5463</v>
      </c>
      <c r="AZ232" s="23" t="s">
        <v>5464</v>
      </c>
      <c r="BA232" s="23">
        <v>101.0</v>
      </c>
      <c r="BB232" s="23">
        <v>102.0</v>
      </c>
      <c r="BC232" s="23">
        <v>201.0</v>
      </c>
      <c r="BD232" s="23">
        <v>202.0</v>
      </c>
      <c r="BE232" s="23">
        <v>301.0</v>
      </c>
      <c r="BF232" s="23">
        <v>302.0</v>
      </c>
      <c r="BG232" s="23">
        <v>401.0</v>
      </c>
      <c r="BH232" s="23">
        <v>402.0</v>
      </c>
      <c r="BI232" s="23">
        <v>501.0</v>
      </c>
      <c r="BJ232" s="23">
        <v>502.0</v>
      </c>
      <c r="BK232" s="23">
        <v>503.0</v>
      </c>
    </row>
    <row r="233">
      <c r="D233">
        <f t="shared" ref="D233:O233" si="488">D232-D234</f>
        <v>73917.6957</v>
      </c>
      <c r="E233">
        <f t="shared" si="488"/>
        <v>262311.2527</v>
      </c>
      <c r="F233">
        <f t="shared" si="488"/>
        <v>134140.4264</v>
      </c>
      <c r="G233">
        <f t="shared" si="488"/>
        <v>67596.56609</v>
      </c>
      <c r="H233">
        <f t="shared" si="488"/>
        <v>104292.0492</v>
      </c>
      <c r="I233">
        <f t="shared" si="488"/>
        <v>193133.7453</v>
      </c>
      <c r="J233">
        <f t="shared" si="488"/>
        <v>176453.9802</v>
      </c>
      <c r="K233">
        <f t="shared" si="488"/>
        <v>107095.8908</v>
      </c>
      <c r="L233">
        <f t="shared" si="488"/>
        <v>142397.5262</v>
      </c>
      <c r="M233">
        <f t="shared" si="488"/>
        <v>52604.68571</v>
      </c>
      <c r="N233">
        <f t="shared" si="488"/>
        <v>15406.45909</v>
      </c>
      <c r="O233">
        <f t="shared" si="488"/>
        <v>50916.80102</v>
      </c>
      <c r="P233">
        <f t="shared" si="486"/>
        <v>1380267.078</v>
      </c>
      <c r="U233" s="147">
        <f t="shared" si="489"/>
        <v>142</v>
      </c>
      <c r="V233" s="147">
        <f>(V231-V223)</f>
        <v>593</v>
      </c>
      <c r="W233" s="147">
        <f t="shared" si="490"/>
        <v>1304</v>
      </c>
      <c r="X233" s="137">
        <f>W232-50</f>
        <v>677</v>
      </c>
      <c r="Y233" s="147">
        <f t="shared" si="491"/>
        <v>240</v>
      </c>
      <c r="Z233" s="100">
        <f>Y232-Y233-50</f>
        <v>222</v>
      </c>
      <c r="AA233" s="147">
        <f t="shared" si="492"/>
        <v>762</v>
      </c>
      <c r="AB233" s="137">
        <v>0.0</v>
      </c>
      <c r="AC233" s="147">
        <f>(AC232)*73.9/(73.9+99)</f>
        <v>312.0127241</v>
      </c>
      <c r="AD233" s="147">
        <f>(AC232)*99/(73.9+99)</f>
        <v>417.9872759</v>
      </c>
      <c r="AE233" s="147">
        <f t="shared" si="493"/>
        <v>592</v>
      </c>
      <c r="AF233" s="100">
        <f>AE232-AE233-AG233-50</f>
        <v>120</v>
      </c>
      <c r="AG233" s="147">
        <f>AG231-AG223</f>
        <v>125</v>
      </c>
      <c r="AH233" s="1">
        <v>131.0</v>
      </c>
      <c r="AI233" s="18">
        <f t="shared" ref="AI233:AI234" si="496">SUM(U233:AH233)</f>
        <v>5638</v>
      </c>
      <c r="AJ233" s="1">
        <v>948140.0</v>
      </c>
      <c r="AL233" s="1">
        <v>6063.0</v>
      </c>
      <c r="AY233" s="1" t="s">
        <v>5321</v>
      </c>
      <c r="AZ233" s="1" t="s">
        <v>5584</v>
      </c>
      <c r="BA233" s="1" t="s">
        <v>5585</v>
      </c>
      <c r="BB233" s="1" t="s">
        <v>5478</v>
      </c>
      <c r="BC233" s="1" t="s">
        <v>5666</v>
      </c>
      <c r="BD233" s="1" t="s">
        <v>5667</v>
      </c>
      <c r="BE233" s="1" t="s">
        <v>5497</v>
      </c>
      <c r="BF233" s="1" t="s">
        <v>5487</v>
      </c>
      <c r="BG233" s="155" t="s">
        <v>5668</v>
      </c>
      <c r="BH233" s="1" t="s">
        <v>5588</v>
      </c>
      <c r="BI233" s="1" t="s">
        <v>5589</v>
      </c>
      <c r="BJ233" s="1" t="s">
        <v>5669</v>
      </c>
      <c r="BK233" s="1" t="s">
        <v>5670</v>
      </c>
    </row>
    <row r="234">
      <c r="B234" s="1" t="s">
        <v>5499</v>
      </c>
      <c r="D234">
        <f t="shared" ref="D234:O234" si="494">D232/11</f>
        <v>7391.76957</v>
      </c>
      <c r="E234">
        <f t="shared" si="494"/>
        <v>26231.12527</v>
      </c>
      <c r="F234">
        <f t="shared" si="494"/>
        <v>13414.04264</v>
      </c>
      <c r="G234">
        <f t="shared" si="494"/>
        <v>6759.656609</v>
      </c>
      <c r="H234">
        <f t="shared" si="494"/>
        <v>10429.20492</v>
      </c>
      <c r="I234">
        <f t="shared" si="494"/>
        <v>19313.37453</v>
      </c>
      <c r="J234">
        <f t="shared" si="494"/>
        <v>17645.39802</v>
      </c>
      <c r="K234">
        <f t="shared" si="494"/>
        <v>10709.58908</v>
      </c>
      <c r="L234">
        <f t="shared" si="494"/>
        <v>14239.75262</v>
      </c>
      <c r="M234">
        <f t="shared" si="494"/>
        <v>5260.468571</v>
      </c>
      <c r="N234">
        <f t="shared" si="494"/>
        <v>1540.645909</v>
      </c>
      <c r="O234">
        <f t="shared" si="494"/>
        <v>5091.680102</v>
      </c>
      <c r="P234">
        <f t="shared" si="486"/>
        <v>138026.7078</v>
      </c>
      <c r="U234">
        <f t="shared" ref="U234:AH234" si="495">U233*948140/5638</f>
        <v>23880.07804</v>
      </c>
      <c r="V234">
        <f t="shared" si="495"/>
        <v>99724.55126</v>
      </c>
      <c r="W234">
        <f t="shared" si="495"/>
        <v>219293.111</v>
      </c>
      <c r="X234">
        <f t="shared" si="495"/>
        <v>113850.7946</v>
      </c>
      <c r="Y234">
        <f t="shared" si="495"/>
        <v>40360.69528</v>
      </c>
      <c r="Z234">
        <f t="shared" si="495"/>
        <v>37333.64314</v>
      </c>
      <c r="AA234">
        <f t="shared" si="495"/>
        <v>128145.2075</v>
      </c>
      <c r="AB234">
        <f t="shared" si="495"/>
        <v>0</v>
      </c>
      <c r="AC234">
        <f t="shared" si="495"/>
        <v>52471.04368</v>
      </c>
      <c r="AD234">
        <f t="shared" si="495"/>
        <v>70292.73781</v>
      </c>
      <c r="AE234">
        <f t="shared" si="495"/>
        <v>99556.3817</v>
      </c>
      <c r="AF234">
        <f t="shared" si="495"/>
        <v>20180.34764</v>
      </c>
      <c r="AG234">
        <f t="shared" si="495"/>
        <v>21021.19546</v>
      </c>
      <c r="AH234">
        <f t="shared" si="495"/>
        <v>22030.21284</v>
      </c>
      <c r="AI234" s="18">
        <f t="shared" si="496"/>
        <v>948140</v>
      </c>
    </row>
    <row r="235">
      <c r="B235" s="1" t="s">
        <v>5597</v>
      </c>
      <c r="D235">
        <v>39542.87151514199</v>
      </c>
      <c r="E235">
        <v>32932.1145336362</v>
      </c>
      <c r="F235">
        <v>16466.0572668181</v>
      </c>
      <c r="G235">
        <v>15107.40475834912</v>
      </c>
      <c r="H235" s="134">
        <v>21738.440135503697</v>
      </c>
      <c r="I235">
        <v>44166.34572306629</v>
      </c>
      <c r="J235">
        <v>21961.502487640395</v>
      </c>
      <c r="K235">
        <v>14985.734384456377</v>
      </c>
      <c r="L235">
        <v>20075.611692302857</v>
      </c>
      <c r="M235" s="29">
        <v>9023.817323387657</v>
      </c>
      <c r="N235" s="29">
        <v>5890.873935973717</v>
      </c>
      <c r="O235">
        <v>9003.6076680631</v>
      </c>
      <c r="P235">
        <f t="shared" si="486"/>
        <v>250894.3814</v>
      </c>
      <c r="U235">
        <v>23880.078041858815</v>
      </c>
      <c r="V235" s="136">
        <v>99724.55125931182</v>
      </c>
      <c r="W235" s="136">
        <v>219293.11103228095</v>
      </c>
      <c r="X235" s="136">
        <v>113850.79460801702</v>
      </c>
      <c r="Y235" s="146">
        <f t="shared" ref="Y235:AA235" si="497">Y234+2754</f>
        <v>43114.69528</v>
      </c>
      <c r="Z235" s="146">
        <f t="shared" si="497"/>
        <v>40087.64314</v>
      </c>
      <c r="AA235" s="145">
        <f t="shared" si="497"/>
        <v>130899.2075</v>
      </c>
      <c r="AB235" s="146"/>
      <c r="AC235" s="146">
        <f t="shared" ref="AC235:AG235" si="498">AC234+2754</f>
        <v>55225.04368</v>
      </c>
      <c r="AD235" s="146">
        <f t="shared" si="498"/>
        <v>73046.73781</v>
      </c>
      <c r="AE235" s="146">
        <f t="shared" si="498"/>
        <v>102310.3817</v>
      </c>
      <c r="AF235" s="146">
        <f t="shared" si="498"/>
        <v>22934.34764</v>
      </c>
      <c r="AG235" s="146">
        <f t="shared" si="498"/>
        <v>23775.19546</v>
      </c>
      <c r="AH235">
        <f>AH234/8</f>
        <v>2753.776605</v>
      </c>
      <c r="AI235" s="18">
        <f>SUM(U235:AG235)</f>
        <v>948141.7872</v>
      </c>
    </row>
    <row r="236">
      <c r="B236" s="23" t="s">
        <v>5598</v>
      </c>
      <c r="D236" s="154">
        <f t="shared" ref="D236:P236" si="499">SUM(D231,D232,D235)</f>
        <v>1968852.337</v>
      </c>
      <c r="E236" s="18">
        <f t="shared" si="499"/>
        <v>2886248.686</v>
      </c>
      <c r="F236" s="18">
        <f t="shared" si="499"/>
        <v>1924020.526</v>
      </c>
      <c r="G236" s="18">
        <f t="shared" si="499"/>
        <v>2069463.627</v>
      </c>
      <c r="H236" s="18">
        <f t="shared" si="499"/>
        <v>2292459.694</v>
      </c>
      <c r="I236" s="18">
        <f t="shared" si="499"/>
        <v>4106613.466</v>
      </c>
      <c r="J236" s="18">
        <f t="shared" si="499"/>
        <v>2713060.881</v>
      </c>
      <c r="K236" s="18">
        <f t="shared" si="499"/>
        <v>2750791.214</v>
      </c>
      <c r="L236" s="18">
        <f t="shared" si="499"/>
        <v>2167712.891</v>
      </c>
      <c r="M236" s="18">
        <f t="shared" si="499"/>
        <v>1847114.778</v>
      </c>
      <c r="N236" s="18">
        <f t="shared" si="499"/>
        <v>1364128.302</v>
      </c>
      <c r="O236" s="18">
        <f t="shared" si="499"/>
        <v>1385012.089</v>
      </c>
      <c r="P236" s="18">
        <f t="shared" si="499"/>
        <v>27475478.49</v>
      </c>
      <c r="AA236" s="146">
        <f>AA235+U235</f>
        <v>154779.2856</v>
      </c>
    </row>
    <row r="237">
      <c r="B237" s="1" t="s">
        <v>5599</v>
      </c>
      <c r="D237">
        <f t="shared" ref="D237:O237" si="500">SUM(D229,D233,D235)</f>
        <v>1793460.567</v>
      </c>
      <c r="E237">
        <f t="shared" si="500"/>
        <v>2626856.27</v>
      </c>
      <c r="F237">
        <f t="shared" si="500"/>
        <v>1750606.484</v>
      </c>
      <c r="G237">
        <f t="shared" si="500"/>
        <v>1882703.971</v>
      </c>
      <c r="H237">
        <f t="shared" si="500"/>
        <v>2086030.489</v>
      </c>
      <c r="I237">
        <f t="shared" si="500"/>
        <v>3737300.091</v>
      </c>
      <c r="J237">
        <f t="shared" si="500"/>
        <v>2468415.483</v>
      </c>
      <c r="K237">
        <f t="shared" si="500"/>
        <v>2502081.625</v>
      </c>
      <c r="L237">
        <f t="shared" si="500"/>
        <v>1972473.138</v>
      </c>
      <c r="M237">
        <f t="shared" si="500"/>
        <v>1680015.6</v>
      </c>
      <c r="N237">
        <f t="shared" si="500"/>
        <v>1240652.172</v>
      </c>
      <c r="O237">
        <f t="shared" si="500"/>
        <v>1259920.409</v>
      </c>
    </row>
    <row r="238">
      <c r="B238" s="1" t="s">
        <v>5601</v>
      </c>
      <c r="D238">
        <f t="shared" ref="D238:O238" si="501">SUM(D229,D233)</f>
        <v>1753917.696</v>
      </c>
      <c r="E238">
        <f t="shared" si="501"/>
        <v>2593924.156</v>
      </c>
      <c r="F238">
        <f t="shared" si="501"/>
        <v>1734140.426</v>
      </c>
      <c r="G238">
        <f t="shared" si="501"/>
        <v>1867596.566</v>
      </c>
      <c r="H238">
        <f t="shared" si="501"/>
        <v>2064292.049</v>
      </c>
      <c r="I238">
        <f t="shared" si="501"/>
        <v>3693133.745</v>
      </c>
      <c r="J238">
        <f t="shared" si="501"/>
        <v>2446453.98</v>
      </c>
      <c r="K238">
        <f t="shared" si="501"/>
        <v>2487095.891</v>
      </c>
      <c r="L238">
        <f t="shared" si="501"/>
        <v>1952397.526</v>
      </c>
      <c r="M238">
        <f t="shared" si="501"/>
        <v>1670991.782</v>
      </c>
      <c r="N238">
        <f t="shared" si="501"/>
        <v>1234761.298</v>
      </c>
      <c r="O238">
        <f t="shared" si="501"/>
        <v>1250916.801</v>
      </c>
      <c r="T238" s="1" t="s">
        <v>5671</v>
      </c>
      <c r="U238" s="1">
        <v>25162.0</v>
      </c>
      <c r="W238" s="1">
        <v>29500.0</v>
      </c>
      <c r="Y238" s="1">
        <v>64738.0</v>
      </c>
      <c r="AA238" s="1">
        <v>68462.0</v>
      </c>
      <c r="AC238" s="1">
        <v>76740.0</v>
      </c>
      <c r="AE238" s="1">
        <v>98185.0</v>
      </c>
      <c r="AH238" s="1">
        <v>6285.0</v>
      </c>
    </row>
    <row r="239">
      <c r="B239" s="1" t="s">
        <v>5582</v>
      </c>
      <c r="D239">
        <f t="shared" ref="D239:O239" si="502">SUM(D230,D234)</f>
        <v>175391.7696</v>
      </c>
      <c r="E239">
        <f t="shared" si="502"/>
        <v>259392.4156</v>
      </c>
      <c r="F239">
        <f t="shared" si="502"/>
        <v>173414.0426</v>
      </c>
      <c r="G239">
        <f t="shared" si="502"/>
        <v>186759.6566</v>
      </c>
      <c r="H239">
        <f t="shared" si="502"/>
        <v>206429.2049</v>
      </c>
      <c r="I239">
        <f t="shared" si="502"/>
        <v>369313.3745</v>
      </c>
      <c r="J239">
        <f t="shared" si="502"/>
        <v>244645.398</v>
      </c>
      <c r="K239">
        <f t="shared" si="502"/>
        <v>248709.5891</v>
      </c>
      <c r="L239">
        <f t="shared" si="502"/>
        <v>195239.7526</v>
      </c>
      <c r="M239">
        <f t="shared" si="502"/>
        <v>167099.1782</v>
      </c>
      <c r="N239">
        <f t="shared" si="502"/>
        <v>123476.1298</v>
      </c>
      <c r="O239">
        <f t="shared" si="502"/>
        <v>125091.6801</v>
      </c>
      <c r="U239" s="1">
        <v>7153.0</v>
      </c>
      <c r="V239" s="1">
        <v>23317.0</v>
      </c>
      <c r="W239" s="1">
        <v>74421.0</v>
      </c>
      <c r="Y239" s="1">
        <v>18477.0</v>
      </c>
      <c r="AA239" s="1">
        <v>22363.0</v>
      </c>
      <c r="AE239" s="1">
        <v>90403.0</v>
      </c>
      <c r="AG239" s="1">
        <v>10834.0</v>
      </c>
    </row>
    <row r="240">
      <c r="B240" s="1" t="s">
        <v>5602</v>
      </c>
      <c r="D240">
        <f t="shared" ref="D240:O240" si="503">SUM(D238:D239)</f>
        <v>1929309.465</v>
      </c>
      <c r="E240">
        <f t="shared" si="503"/>
        <v>2853316.572</v>
      </c>
      <c r="F240">
        <f t="shared" si="503"/>
        <v>1907554.469</v>
      </c>
      <c r="G240">
        <f t="shared" si="503"/>
        <v>2054356.223</v>
      </c>
      <c r="H240">
        <f t="shared" si="503"/>
        <v>2270721.254</v>
      </c>
      <c r="I240">
        <f t="shared" si="503"/>
        <v>4062447.12</v>
      </c>
      <c r="J240">
        <f t="shared" si="503"/>
        <v>2691099.378</v>
      </c>
      <c r="K240" s="156">
        <f t="shared" si="503"/>
        <v>2735805.48</v>
      </c>
      <c r="L240">
        <f t="shared" si="503"/>
        <v>2147637.279</v>
      </c>
      <c r="M240">
        <f t="shared" si="503"/>
        <v>1838090.961</v>
      </c>
      <c r="N240">
        <f t="shared" si="503"/>
        <v>1358237.428</v>
      </c>
      <c r="O240">
        <f t="shared" si="503"/>
        <v>1376008.481</v>
      </c>
      <c r="U240">
        <f t="shared" ref="U240:U241" si="504">U238-U230</f>
        <v>1827</v>
      </c>
      <c r="V240" s="1"/>
      <c r="W240">
        <f t="shared" ref="W240:W241" si="505">W238-W230</f>
        <v>642</v>
      </c>
      <c r="Y240">
        <f t="shared" ref="Y240:Y241" si="506">Y238-Y230</f>
        <v>1383</v>
      </c>
      <c r="AA240">
        <f t="shared" ref="AA240:AA241" si="507">AA238-AA230</f>
        <v>1090</v>
      </c>
      <c r="AC240">
        <f>AC238-AC230</f>
        <v>1037</v>
      </c>
      <c r="AE240">
        <f t="shared" ref="AE240:AE241" si="508">AE238-AE230</f>
        <v>1116</v>
      </c>
      <c r="AH240">
        <f>AH238-AH230</f>
        <v>142</v>
      </c>
    </row>
    <row r="241">
      <c r="E241" s="1" t="s">
        <v>5566</v>
      </c>
      <c r="F241" s="1" t="s">
        <v>5566</v>
      </c>
      <c r="G241" s="1" t="s">
        <v>5566</v>
      </c>
      <c r="H241" s="1" t="s">
        <v>5566</v>
      </c>
      <c r="I241" s="1" t="s">
        <v>5566</v>
      </c>
      <c r="J241" s="1" t="s">
        <v>5566</v>
      </c>
      <c r="K241" s="1" t="s">
        <v>5566</v>
      </c>
      <c r="L241" s="1" t="s">
        <v>5566</v>
      </c>
      <c r="M241" s="1" t="s">
        <v>5566</v>
      </c>
      <c r="N241" s="1" t="s">
        <v>5566</v>
      </c>
      <c r="O241" s="1" t="s">
        <v>5566</v>
      </c>
      <c r="U241" s="147">
        <f t="shared" si="504"/>
        <v>150</v>
      </c>
      <c r="V241" s="147">
        <f>(V239-V231)</f>
        <v>1634</v>
      </c>
      <c r="W241" s="147">
        <f t="shared" si="505"/>
        <v>1573</v>
      </c>
      <c r="X241" s="137">
        <f>W240-50</f>
        <v>592</v>
      </c>
      <c r="Y241" s="147">
        <f t="shared" si="506"/>
        <v>628</v>
      </c>
      <c r="Z241" s="100">
        <f>Y240-Y241-50</f>
        <v>705</v>
      </c>
      <c r="AA241" s="147">
        <f t="shared" si="507"/>
        <v>1131</v>
      </c>
      <c r="AB241" s="137">
        <v>0.0</v>
      </c>
      <c r="AC241" s="147">
        <f>(AC240)*73.9/(73.9+99)</f>
        <v>443.2290341</v>
      </c>
      <c r="AD241" s="147">
        <f>(AC240)*99/(73.9+99)</f>
        <v>593.7709659</v>
      </c>
      <c r="AE241" s="147">
        <f t="shared" si="508"/>
        <v>679</v>
      </c>
      <c r="AF241" s="100">
        <f>AE240-AE241-AG241-50</f>
        <v>169</v>
      </c>
      <c r="AG241" s="147">
        <f>AG239-AG231</f>
        <v>218</v>
      </c>
      <c r="AH241" s="1">
        <v>142.0</v>
      </c>
      <c r="AI241" s="18">
        <f t="shared" ref="AI241:AI242" si="510">SUM(U241:AH241)</f>
        <v>8658</v>
      </c>
      <c r="AJ241" s="1">
        <v>1470810.0</v>
      </c>
    </row>
    <row r="242">
      <c r="H242" s="1"/>
      <c r="U242">
        <f t="shared" ref="U242:AH242" si="509">U241*1470810/8658</f>
        <v>25481.80873</v>
      </c>
      <c r="V242">
        <f t="shared" si="509"/>
        <v>277581.8365</v>
      </c>
      <c r="W242">
        <f t="shared" si="509"/>
        <v>267219.2342</v>
      </c>
      <c r="X242">
        <f t="shared" si="509"/>
        <v>100568.2051</v>
      </c>
      <c r="Y242">
        <f t="shared" si="509"/>
        <v>106683.8392</v>
      </c>
      <c r="Z242">
        <f t="shared" si="509"/>
        <v>119764.501</v>
      </c>
      <c r="AA242">
        <f t="shared" si="509"/>
        <v>192132.8378</v>
      </c>
      <c r="AB242">
        <f t="shared" si="509"/>
        <v>0</v>
      </c>
      <c r="AC242">
        <f t="shared" si="509"/>
        <v>75295.18315</v>
      </c>
      <c r="AD242">
        <f t="shared" si="509"/>
        <v>100869.0546</v>
      </c>
      <c r="AE242">
        <f t="shared" si="509"/>
        <v>115347.6542</v>
      </c>
      <c r="AF242">
        <f t="shared" si="509"/>
        <v>28709.5045</v>
      </c>
      <c r="AG242">
        <f t="shared" si="509"/>
        <v>37033.56202</v>
      </c>
      <c r="AH242">
        <f t="shared" si="509"/>
        <v>24122.77893</v>
      </c>
      <c r="AI242" s="18">
        <f t="shared" si="510"/>
        <v>1470810</v>
      </c>
    </row>
    <row r="243">
      <c r="H243" s="1"/>
      <c r="J243" s="1" t="s">
        <v>5672</v>
      </c>
      <c r="U243">
        <v>25481.80873180873</v>
      </c>
      <c r="V243" s="136">
        <v>277581.83645183645</v>
      </c>
      <c r="W243" s="136">
        <v>267219.23423423426</v>
      </c>
      <c r="X243" s="136">
        <v>100568.20512820513</v>
      </c>
      <c r="Y243" s="146">
        <f t="shared" ref="Y243:AA243" si="511">Y242+3015</f>
        <v>109698.8392</v>
      </c>
      <c r="Z243" s="146">
        <f t="shared" si="511"/>
        <v>122779.501</v>
      </c>
      <c r="AA243" s="145">
        <f t="shared" si="511"/>
        <v>195147.8378</v>
      </c>
      <c r="AB243" s="146"/>
      <c r="AC243" s="146">
        <f t="shared" ref="AC243:AG243" si="512">AC242+3015</f>
        <v>78310.18315</v>
      </c>
      <c r="AD243" s="146">
        <f t="shared" si="512"/>
        <v>103884.0546</v>
      </c>
      <c r="AE243" s="146">
        <f t="shared" si="512"/>
        <v>118362.6542</v>
      </c>
      <c r="AF243" s="146">
        <f t="shared" si="512"/>
        <v>31724.5045</v>
      </c>
      <c r="AG243" s="146">
        <f t="shared" si="512"/>
        <v>40048.56202</v>
      </c>
      <c r="AH243">
        <f>AH242/8</f>
        <v>3015.347367</v>
      </c>
      <c r="AI243" s="18">
        <f>SUM(U243:AG243)</f>
        <v>1470807.221</v>
      </c>
    </row>
    <row r="244">
      <c r="B244" s="1" t="s">
        <v>5673</v>
      </c>
      <c r="D244" s="1">
        <v>1680000.0</v>
      </c>
      <c r="E244" s="2">
        <v>2370000.0</v>
      </c>
      <c r="F244" s="1">
        <v>1600000.0</v>
      </c>
      <c r="G244" s="1">
        <v>1800000.0</v>
      </c>
      <c r="H244" s="1">
        <v>1960000.0</v>
      </c>
      <c r="I244" s="1">
        <v>3500000.0</v>
      </c>
      <c r="J244" s="1">
        <v>2270000.0</v>
      </c>
      <c r="K244" s="1">
        <v>2380000.0</v>
      </c>
      <c r="L244" s="1">
        <v>1900000.0</v>
      </c>
      <c r="M244" s="33"/>
      <c r="N244" s="2">
        <v>1260000.0</v>
      </c>
      <c r="O244" s="1">
        <v>1200000.0</v>
      </c>
      <c r="P244">
        <f t="shared" ref="P244:P252" si="515">SUM(D244:O244)</f>
        <v>21920000</v>
      </c>
      <c r="AA244" s="146">
        <f>AA243+U243</f>
        <v>220629.6466</v>
      </c>
    </row>
    <row r="245">
      <c r="B245" s="1" t="s">
        <v>5499</v>
      </c>
      <c r="D245" s="1">
        <f t="shared" ref="D245:L245" si="513">D244*0.1</f>
        <v>168000</v>
      </c>
      <c r="E245" s="1">
        <f t="shared" si="513"/>
        <v>237000</v>
      </c>
      <c r="F245" s="1">
        <f t="shared" si="513"/>
        <v>160000</v>
      </c>
      <c r="G245" s="1">
        <f t="shared" si="513"/>
        <v>180000</v>
      </c>
      <c r="H245" s="1">
        <f t="shared" si="513"/>
        <v>196000</v>
      </c>
      <c r="I245" s="1">
        <f t="shared" si="513"/>
        <v>350000</v>
      </c>
      <c r="J245" s="1">
        <f t="shared" si="513"/>
        <v>227000</v>
      </c>
      <c r="K245" s="1">
        <f t="shared" si="513"/>
        <v>238000</v>
      </c>
      <c r="L245" s="1">
        <f t="shared" si="513"/>
        <v>190000</v>
      </c>
      <c r="M245" s="1"/>
      <c r="N245" s="1">
        <f t="shared" ref="N245:O245" si="514">N244*0.1</f>
        <v>126000</v>
      </c>
      <c r="O245" s="1">
        <f t="shared" si="514"/>
        <v>120000</v>
      </c>
      <c r="P245">
        <f t="shared" si="515"/>
        <v>2192000</v>
      </c>
    </row>
    <row r="246">
      <c r="B246" s="1" t="s">
        <v>5520</v>
      </c>
      <c r="D246">
        <f t="shared" ref="D246:L246" si="516">D244+D245</f>
        <v>1848000</v>
      </c>
      <c r="E246">
        <f t="shared" si="516"/>
        <v>2607000</v>
      </c>
      <c r="F246">
        <f t="shared" si="516"/>
        <v>1760000</v>
      </c>
      <c r="G246">
        <f t="shared" si="516"/>
        <v>1980000</v>
      </c>
      <c r="H246">
        <f t="shared" si="516"/>
        <v>2156000</v>
      </c>
      <c r="I246">
        <f t="shared" si="516"/>
        <v>3850000</v>
      </c>
      <c r="J246">
        <f t="shared" si="516"/>
        <v>2497000</v>
      </c>
      <c r="K246">
        <f t="shared" si="516"/>
        <v>2618000</v>
      </c>
      <c r="L246">
        <f t="shared" si="516"/>
        <v>2090000</v>
      </c>
      <c r="N246">
        <f t="shared" ref="N246:O246" si="517">N244+N245</f>
        <v>1386000</v>
      </c>
      <c r="O246">
        <f t="shared" si="517"/>
        <v>1320000</v>
      </c>
      <c r="P246">
        <f t="shared" si="515"/>
        <v>24112000</v>
      </c>
      <c r="T246" s="1" t="s">
        <v>5674</v>
      </c>
      <c r="U246" s="1">
        <v>27869.0</v>
      </c>
      <c r="W246" s="1">
        <v>30132.0</v>
      </c>
      <c r="Y246" s="1">
        <v>66725.0</v>
      </c>
      <c r="AA246" s="1">
        <v>69826.0</v>
      </c>
      <c r="AC246" s="1">
        <v>78293.0</v>
      </c>
      <c r="AE246" s="1">
        <v>99900.0</v>
      </c>
      <c r="AH246" s="1">
        <v>6435.0</v>
      </c>
    </row>
    <row r="247">
      <c r="B247" s="1" t="s">
        <v>5545</v>
      </c>
      <c r="D247">
        <v>63856.88906435057</v>
      </c>
      <c r="E247">
        <v>225498.67087774706</v>
      </c>
      <c r="F247">
        <v>138034.08343203054</v>
      </c>
      <c r="G247">
        <v>20543.530464534808</v>
      </c>
      <c r="H247" s="134">
        <v>59760.69061718647</v>
      </c>
      <c r="I247">
        <v>144774.2055533623</v>
      </c>
      <c r="J247" s="31">
        <v>107879.11409395972</v>
      </c>
      <c r="K247">
        <v>58522.059990085756</v>
      </c>
      <c r="L247">
        <v>77511.8097296142</v>
      </c>
      <c r="N247">
        <v>53181.49598631399</v>
      </c>
      <c r="O247">
        <v>30734.831951572574</v>
      </c>
      <c r="P247">
        <f t="shared" si="515"/>
        <v>980297.3818</v>
      </c>
      <c r="U247" s="1">
        <v>7261.0</v>
      </c>
      <c r="V247" s="1">
        <v>25678.0</v>
      </c>
      <c r="W247" s="1">
        <v>76351.0</v>
      </c>
      <c r="Y247" s="1">
        <v>19292.0</v>
      </c>
      <c r="AA247" s="1">
        <v>23766.0</v>
      </c>
      <c r="AE247" s="1">
        <v>91240.0</v>
      </c>
      <c r="AG247" s="1">
        <v>11384.0</v>
      </c>
    </row>
    <row r="248">
      <c r="D248">
        <f t="shared" ref="D248:L248" si="518">D247-D249</f>
        <v>58051.71733</v>
      </c>
      <c r="E248">
        <f t="shared" si="518"/>
        <v>204998.7917</v>
      </c>
      <c r="F248">
        <f t="shared" si="518"/>
        <v>125485.5304</v>
      </c>
      <c r="G248">
        <f t="shared" si="518"/>
        <v>18675.93679</v>
      </c>
      <c r="H248">
        <f t="shared" si="518"/>
        <v>54327.90056</v>
      </c>
      <c r="I248">
        <f t="shared" si="518"/>
        <v>131612.9141</v>
      </c>
      <c r="J248" s="31">
        <f t="shared" si="518"/>
        <v>98071.9219</v>
      </c>
      <c r="K248">
        <f t="shared" si="518"/>
        <v>53201.87272</v>
      </c>
      <c r="L248">
        <f t="shared" si="518"/>
        <v>70465.28157</v>
      </c>
      <c r="N248">
        <f t="shared" ref="N248:O248" si="519">N247-N249</f>
        <v>48346.81453</v>
      </c>
      <c r="O248">
        <f t="shared" si="519"/>
        <v>27940.75632</v>
      </c>
      <c r="P248">
        <f t="shared" si="515"/>
        <v>891179.438</v>
      </c>
      <c r="U248">
        <f t="shared" ref="U248:U249" si="522">U246-U238</f>
        <v>2707</v>
      </c>
      <c r="V248" s="1"/>
      <c r="W248">
        <f t="shared" ref="W248:W249" si="523">W246-W238</f>
        <v>632</v>
      </c>
      <c r="Y248">
        <f t="shared" ref="Y248:Y249" si="524">Y246-Y238</f>
        <v>1987</v>
      </c>
      <c r="AA248">
        <f t="shared" ref="AA248:AA249" si="525">AA246-AA238</f>
        <v>1364</v>
      </c>
      <c r="AC248">
        <f>AC246-AC238</f>
        <v>1553</v>
      </c>
      <c r="AE248">
        <f t="shared" ref="AE248:AE249" si="526">AE246-AE238</f>
        <v>1715</v>
      </c>
      <c r="AH248">
        <f>AH246-AH238</f>
        <v>150</v>
      </c>
    </row>
    <row r="249">
      <c r="B249" s="1" t="s">
        <v>5499</v>
      </c>
      <c r="D249">
        <f t="shared" ref="D249:L249" si="520">D247/11</f>
        <v>5805.171733</v>
      </c>
      <c r="E249">
        <f t="shared" si="520"/>
        <v>20499.87917</v>
      </c>
      <c r="F249">
        <f t="shared" si="520"/>
        <v>12548.55304</v>
      </c>
      <c r="G249">
        <f t="shared" si="520"/>
        <v>1867.593679</v>
      </c>
      <c r="H249">
        <f t="shared" si="520"/>
        <v>5432.790056</v>
      </c>
      <c r="I249">
        <f t="shared" si="520"/>
        <v>13161.29141</v>
      </c>
      <c r="J249" s="31">
        <f t="shared" si="520"/>
        <v>9807.19219</v>
      </c>
      <c r="K249">
        <f t="shared" si="520"/>
        <v>5320.187272</v>
      </c>
      <c r="L249">
        <f t="shared" si="520"/>
        <v>7046.528157</v>
      </c>
      <c r="N249">
        <f t="shared" ref="N249:O249" si="521">N247/11</f>
        <v>4834.681453</v>
      </c>
      <c r="O249">
        <f t="shared" si="521"/>
        <v>2794.075632</v>
      </c>
      <c r="P249">
        <f t="shared" si="515"/>
        <v>89117.9438</v>
      </c>
      <c r="U249" s="147">
        <f t="shared" si="522"/>
        <v>108</v>
      </c>
      <c r="V249" s="147">
        <f>(V247-V239)</f>
        <v>2361</v>
      </c>
      <c r="W249" s="147">
        <f t="shared" si="523"/>
        <v>1930</v>
      </c>
      <c r="X249" s="137">
        <f>W248-50</f>
        <v>582</v>
      </c>
      <c r="Y249" s="147">
        <f t="shared" si="524"/>
        <v>815</v>
      </c>
      <c r="Z249" s="100">
        <f>Y248-Y249-50</f>
        <v>1122</v>
      </c>
      <c r="AA249" s="147">
        <f t="shared" si="525"/>
        <v>1403</v>
      </c>
      <c r="AB249" s="137">
        <v>0.0</v>
      </c>
      <c r="AC249" s="147">
        <f>(AC248)*73.9/(73.9+99)</f>
        <v>663.7750145</v>
      </c>
      <c r="AD249" s="147">
        <f>(AC248)*99/(73.9+99)</f>
        <v>889.2249855</v>
      </c>
      <c r="AE249" s="147">
        <f t="shared" si="526"/>
        <v>837</v>
      </c>
      <c r="AF249" s="100">
        <f>AE248-AE249-AG249-50</f>
        <v>278</v>
      </c>
      <c r="AG249" s="147">
        <f>AG247-AG239</f>
        <v>550</v>
      </c>
      <c r="AH249" s="1">
        <v>150.0</v>
      </c>
      <c r="AI249" s="18">
        <f t="shared" ref="AI249:AI250" si="529">SUM(U249:AH249)</f>
        <v>11689</v>
      </c>
      <c r="AJ249" s="1">
        <v>1995810.0</v>
      </c>
      <c r="AL249" s="1">
        <v>14397.0</v>
      </c>
    </row>
    <row r="250">
      <c r="B250" s="23" t="s">
        <v>5528</v>
      </c>
      <c r="D250" s="154">
        <f t="shared" ref="D250:O250" si="527">SUM(D246,D247)</f>
        <v>1911856.889</v>
      </c>
      <c r="E250" s="18">
        <f t="shared" si="527"/>
        <v>2832498.671</v>
      </c>
      <c r="F250" s="18">
        <f t="shared" si="527"/>
        <v>1898034.083</v>
      </c>
      <c r="G250" s="18">
        <f t="shared" si="527"/>
        <v>2000543.53</v>
      </c>
      <c r="H250" s="18">
        <f t="shared" si="527"/>
        <v>2215760.691</v>
      </c>
      <c r="I250" s="18">
        <f t="shared" si="527"/>
        <v>3994774.206</v>
      </c>
      <c r="J250" s="18">
        <f t="shared" si="527"/>
        <v>2604879.114</v>
      </c>
      <c r="K250" s="18">
        <f t="shared" si="527"/>
        <v>2676522.06</v>
      </c>
      <c r="L250" s="18">
        <f t="shared" si="527"/>
        <v>2167511.81</v>
      </c>
      <c r="M250" s="18">
        <f t="shared" si="527"/>
        <v>0</v>
      </c>
      <c r="N250" s="18">
        <f t="shared" si="527"/>
        <v>1439181.496</v>
      </c>
      <c r="O250" s="18">
        <f t="shared" si="527"/>
        <v>1350734.832</v>
      </c>
      <c r="P250">
        <f t="shared" si="515"/>
        <v>25092297.38</v>
      </c>
      <c r="U250">
        <f t="shared" ref="U250:AH250" si="528">U249*1995810/11689</f>
        <v>18440.19848</v>
      </c>
      <c r="V250">
        <f t="shared" si="528"/>
        <v>403123.2278</v>
      </c>
      <c r="W250">
        <f t="shared" si="528"/>
        <v>329533.1765</v>
      </c>
      <c r="X250">
        <f t="shared" si="528"/>
        <v>99372.18068</v>
      </c>
      <c r="Y250">
        <f t="shared" si="528"/>
        <v>139155.2015</v>
      </c>
      <c r="Z250">
        <f t="shared" si="528"/>
        <v>191573.1731</v>
      </c>
      <c r="AA250">
        <f t="shared" si="528"/>
        <v>239551.8376</v>
      </c>
      <c r="AB250">
        <f t="shared" si="528"/>
        <v>0</v>
      </c>
      <c r="AC250">
        <f t="shared" si="528"/>
        <v>113334.6575</v>
      </c>
      <c r="AD250">
        <f t="shared" si="528"/>
        <v>151828.5669</v>
      </c>
      <c r="AE250">
        <f t="shared" si="528"/>
        <v>142911.5382</v>
      </c>
      <c r="AF250">
        <f t="shared" si="528"/>
        <v>47466.43682</v>
      </c>
      <c r="AG250">
        <f t="shared" si="528"/>
        <v>93908.41817</v>
      </c>
      <c r="AH250">
        <f t="shared" si="528"/>
        <v>25611.38677</v>
      </c>
      <c r="AI250" s="18">
        <f t="shared" si="529"/>
        <v>1995810</v>
      </c>
    </row>
    <row r="251">
      <c r="B251" s="1" t="s">
        <v>5580</v>
      </c>
      <c r="D251">
        <f t="shared" ref="D251:O251" si="530">D244+D248</f>
        <v>1738051.717</v>
      </c>
      <c r="E251">
        <f t="shared" si="530"/>
        <v>2574998.792</v>
      </c>
      <c r="F251">
        <f t="shared" si="530"/>
        <v>1725485.53</v>
      </c>
      <c r="G251">
        <f t="shared" si="530"/>
        <v>1818675.937</v>
      </c>
      <c r="H251">
        <f t="shared" si="530"/>
        <v>2014327.901</v>
      </c>
      <c r="I251">
        <f t="shared" si="530"/>
        <v>3631612.914</v>
      </c>
      <c r="J251">
        <f t="shared" si="530"/>
        <v>2368071.922</v>
      </c>
      <c r="K251">
        <f t="shared" si="530"/>
        <v>2433201.873</v>
      </c>
      <c r="L251">
        <f t="shared" si="530"/>
        <v>1970465.282</v>
      </c>
      <c r="M251">
        <f t="shared" si="530"/>
        <v>0</v>
      </c>
      <c r="N251">
        <f t="shared" si="530"/>
        <v>1308346.815</v>
      </c>
      <c r="O251">
        <f t="shared" si="530"/>
        <v>1227940.756</v>
      </c>
      <c r="P251">
        <f t="shared" si="515"/>
        <v>22811179.44</v>
      </c>
      <c r="U251">
        <v>18440.198477200785</v>
      </c>
      <c r="V251" s="136">
        <v>403123.2278210283</v>
      </c>
      <c r="W251" s="136">
        <v>329533.17649071774</v>
      </c>
      <c r="X251" s="136">
        <v>99372.18068269313</v>
      </c>
      <c r="Y251" s="146">
        <f t="shared" ref="Y251:AA251" si="531">Y250+3201</f>
        <v>142356.2015</v>
      </c>
      <c r="Z251" s="146">
        <f t="shared" si="531"/>
        <v>194774.1731</v>
      </c>
      <c r="AA251" s="145">
        <f t="shared" si="531"/>
        <v>242752.8376</v>
      </c>
      <c r="AB251" s="145"/>
      <c r="AC251" s="146">
        <f t="shared" ref="AC251:AG251" si="532">AC250+3201</f>
        <v>116535.6575</v>
      </c>
      <c r="AD251" s="146">
        <f t="shared" si="532"/>
        <v>155029.5669</v>
      </c>
      <c r="AE251" s="146">
        <f t="shared" si="532"/>
        <v>146112.5382</v>
      </c>
      <c r="AF251" s="146">
        <f t="shared" si="532"/>
        <v>50667.43682</v>
      </c>
      <c r="AG251" s="146">
        <f t="shared" si="532"/>
        <v>97109.41817</v>
      </c>
      <c r="AH251">
        <f>AH250/8</f>
        <v>3201.423347</v>
      </c>
      <c r="AI251" s="18">
        <f>SUM(U251:AG251)</f>
        <v>1995806.613</v>
      </c>
    </row>
    <row r="252">
      <c r="B252" s="1" t="s">
        <v>5582</v>
      </c>
      <c r="D252">
        <f t="shared" ref="D252:O252" si="533">D245+D249</f>
        <v>173805.1717</v>
      </c>
      <c r="E252">
        <f t="shared" si="533"/>
        <v>257499.8792</v>
      </c>
      <c r="F252">
        <f t="shared" si="533"/>
        <v>172548.553</v>
      </c>
      <c r="G252">
        <f t="shared" si="533"/>
        <v>181867.5937</v>
      </c>
      <c r="H252">
        <f t="shared" si="533"/>
        <v>201432.7901</v>
      </c>
      <c r="I252">
        <f t="shared" si="533"/>
        <v>363161.2914</v>
      </c>
      <c r="J252">
        <f t="shared" si="533"/>
        <v>236807.1922</v>
      </c>
      <c r="K252">
        <f t="shared" si="533"/>
        <v>243320.1873</v>
      </c>
      <c r="L252">
        <f t="shared" si="533"/>
        <v>197046.5282</v>
      </c>
      <c r="M252">
        <f t="shared" si="533"/>
        <v>0</v>
      </c>
      <c r="N252">
        <f t="shared" si="533"/>
        <v>130834.6815</v>
      </c>
      <c r="O252">
        <f t="shared" si="533"/>
        <v>122794.0756</v>
      </c>
      <c r="P252">
        <f t="shared" si="515"/>
        <v>2281117.944</v>
      </c>
      <c r="AA252" s="146">
        <f>AA251+U251</f>
        <v>261193.0361</v>
      </c>
    </row>
    <row r="253">
      <c r="E253" s="1" t="s">
        <v>5566</v>
      </c>
      <c r="F253" s="1" t="s">
        <v>5566</v>
      </c>
      <c r="G253" s="1" t="s">
        <v>5566</v>
      </c>
      <c r="H253" s="1" t="s">
        <v>5566</v>
      </c>
      <c r="I253" s="1" t="s">
        <v>5566</v>
      </c>
      <c r="J253" s="1" t="s">
        <v>5566</v>
      </c>
      <c r="K253" s="1" t="s">
        <v>5566</v>
      </c>
      <c r="L253" s="1" t="s">
        <v>5566</v>
      </c>
      <c r="N253" s="1" t="s">
        <v>5566</v>
      </c>
      <c r="O253" s="1" t="s">
        <v>5566</v>
      </c>
    </row>
    <row r="254">
      <c r="H254" s="1"/>
      <c r="T254" s="1" t="s">
        <v>5675</v>
      </c>
      <c r="U254" s="1">
        <v>30738.0</v>
      </c>
      <c r="W254" s="1">
        <v>30811.0</v>
      </c>
      <c r="Y254" s="1">
        <v>68390.0</v>
      </c>
      <c r="AA254" s="1">
        <v>71257.0</v>
      </c>
      <c r="AC254" s="1">
        <v>79413.0</v>
      </c>
      <c r="AE254" s="1">
        <v>101543.0</v>
      </c>
      <c r="AH254" s="1">
        <v>6583.0</v>
      </c>
    </row>
    <row r="255">
      <c r="H255" s="1"/>
      <c r="U255" s="1">
        <v>7367.0</v>
      </c>
      <c r="V255" s="1">
        <v>28309.0</v>
      </c>
      <c r="W255" s="1">
        <v>78384.0</v>
      </c>
      <c r="Y255" s="1">
        <v>19745.0</v>
      </c>
      <c r="AA255" s="1">
        <v>25223.0</v>
      </c>
      <c r="AE255" s="1">
        <v>92057.0</v>
      </c>
      <c r="AG255" s="1">
        <v>11908.0</v>
      </c>
    </row>
    <row r="256">
      <c r="B256" s="1" t="s">
        <v>5676</v>
      </c>
      <c r="D256" s="1">
        <v>1680000.0</v>
      </c>
      <c r="E256" s="2">
        <v>2370000.0</v>
      </c>
      <c r="F256" s="1">
        <v>1600000.0</v>
      </c>
      <c r="G256" s="1">
        <v>1800000.0</v>
      </c>
      <c r="H256" s="1">
        <v>1960000.0</v>
      </c>
      <c r="I256" s="1">
        <v>3500000.0</v>
      </c>
      <c r="J256" s="1">
        <v>2270000.0</v>
      </c>
      <c r="K256" s="1">
        <v>2380000.0</v>
      </c>
      <c r="L256" s="1">
        <v>1900000.0</v>
      </c>
      <c r="M256" s="33"/>
      <c r="N256" s="2">
        <v>1260000.0</v>
      </c>
      <c r="O256" s="1">
        <v>1200000.0</v>
      </c>
      <c r="P256">
        <f t="shared" ref="P256:P262" si="536">SUM(D256:O256)</f>
        <v>21920000</v>
      </c>
      <c r="U256">
        <f t="shared" ref="U256:U257" si="537">U254-U246</f>
        <v>2869</v>
      </c>
      <c r="V256" s="1"/>
      <c r="W256">
        <f t="shared" ref="W256:W257" si="538">W254-W246</f>
        <v>679</v>
      </c>
      <c r="Y256">
        <f t="shared" ref="Y256:Y257" si="539">Y254-Y246</f>
        <v>1665</v>
      </c>
      <c r="AA256">
        <f t="shared" ref="AA256:AA257" si="540">AA254-AA246</f>
        <v>1431</v>
      </c>
      <c r="AC256">
        <f>AC254-AC246</f>
        <v>1120</v>
      </c>
      <c r="AE256">
        <f t="shared" ref="AE256:AE257" si="541">AE254-AE246</f>
        <v>1643</v>
      </c>
      <c r="AH256">
        <f>AH254-AH246</f>
        <v>148</v>
      </c>
    </row>
    <row r="257">
      <c r="B257" s="1" t="s">
        <v>5499</v>
      </c>
      <c r="D257" s="1">
        <f t="shared" ref="D257:L257" si="534">D256*0.1</f>
        <v>168000</v>
      </c>
      <c r="E257" s="1">
        <f t="shared" si="534"/>
        <v>237000</v>
      </c>
      <c r="F257" s="1">
        <f t="shared" si="534"/>
        <v>160000</v>
      </c>
      <c r="G257" s="1">
        <f t="shared" si="534"/>
        <v>180000</v>
      </c>
      <c r="H257" s="1">
        <f t="shared" si="534"/>
        <v>196000</v>
      </c>
      <c r="I257" s="1">
        <f t="shared" si="534"/>
        <v>350000</v>
      </c>
      <c r="J257" s="1">
        <f t="shared" si="534"/>
        <v>227000</v>
      </c>
      <c r="K257" s="1">
        <f t="shared" si="534"/>
        <v>238000</v>
      </c>
      <c r="L257" s="1">
        <f t="shared" si="534"/>
        <v>190000</v>
      </c>
      <c r="M257" s="1"/>
      <c r="N257" s="1">
        <f t="shared" ref="N257:O257" si="535">N256*0.1</f>
        <v>126000</v>
      </c>
      <c r="O257" s="1">
        <f t="shared" si="535"/>
        <v>120000</v>
      </c>
      <c r="P257">
        <f t="shared" si="536"/>
        <v>2192000</v>
      </c>
      <c r="U257" s="147">
        <f t="shared" si="537"/>
        <v>106</v>
      </c>
      <c r="V257" s="147">
        <f>(V255-V247)</f>
        <v>2631</v>
      </c>
      <c r="W257" s="147">
        <f t="shared" si="538"/>
        <v>2033</v>
      </c>
      <c r="X257" s="137">
        <f>W256-50</f>
        <v>629</v>
      </c>
      <c r="Y257" s="147">
        <f t="shared" si="539"/>
        <v>453</v>
      </c>
      <c r="Z257" s="100">
        <f>Y256-Y257-50</f>
        <v>1162</v>
      </c>
      <c r="AA257" s="147">
        <f t="shared" si="540"/>
        <v>1457</v>
      </c>
      <c r="AB257" s="137">
        <v>0.0</v>
      </c>
      <c r="AC257" s="147">
        <f>(AC256)*73.9/(73.9+99)</f>
        <v>478.7044534</v>
      </c>
      <c r="AD257" s="147">
        <f>(AC256)*99/(73.9+99)</f>
        <v>641.2955466</v>
      </c>
      <c r="AE257" s="147">
        <f t="shared" si="541"/>
        <v>817</v>
      </c>
      <c r="AF257" s="100">
        <f>AE256-AE257-AG257-50</f>
        <v>252</v>
      </c>
      <c r="AG257" s="147">
        <f>AG255-AG247</f>
        <v>524</v>
      </c>
      <c r="AH257" s="1">
        <v>148.0</v>
      </c>
      <c r="AI257" s="18">
        <f t="shared" ref="AI257:AI258" si="545">SUM(U257:AH257)</f>
        <v>11332</v>
      </c>
      <c r="AJ257" s="1">
        <v>1697610.0</v>
      </c>
      <c r="AL257" s="1">
        <v>12056.0</v>
      </c>
    </row>
    <row r="258">
      <c r="B258" s="1" t="s">
        <v>5520</v>
      </c>
      <c r="D258">
        <f t="shared" ref="D258:L258" si="542">D256+D257</f>
        <v>1848000</v>
      </c>
      <c r="E258">
        <f t="shared" si="542"/>
        <v>2607000</v>
      </c>
      <c r="F258">
        <f t="shared" si="542"/>
        <v>1760000</v>
      </c>
      <c r="G258">
        <f t="shared" si="542"/>
        <v>1980000</v>
      </c>
      <c r="H258">
        <f t="shared" si="542"/>
        <v>2156000</v>
      </c>
      <c r="I258">
        <f t="shared" si="542"/>
        <v>3850000</v>
      </c>
      <c r="J258">
        <f t="shared" si="542"/>
        <v>2497000</v>
      </c>
      <c r="K258">
        <f t="shared" si="542"/>
        <v>2618000</v>
      </c>
      <c r="L258">
        <f t="shared" si="542"/>
        <v>2090000</v>
      </c>
      <c r="N258">
        <f t="shared" ref="N258:O258" si="543">N256+N257</f>
        <v>1386000</v>
      </c>
      <c r="O258">
        <f t="shared" si="543"/>
        <v>1320000</v>
      </c>
      <c r="P258">
        <f t="shared" si="536"/>
        <v>24112000</v>
      </c>
      <c r="U258">
        <f t="shared" ref="U258:AH258" si="544">U257*1697610/11332</f>
        <v>15879.51465</v>
      </c>
      <c r="V258">
        <f t="shared" si="544"/>
        <v>394141.5381</v>
      </c>
      <c r="W258">
        <f t="shared" si="544"/>
        <v>304557.1064</v>
      </c>
      <c r="X258">
        <f t="shared" si="544"/>
        <v>94228.4407</v>
      </c>
      <c r="Y258">
        <f t="shared" si="544"/>
        <v>67862.45411</v>
      </c>
      <c r="Z258">
        <f t="shared" si="544"/>
        <v>174075.4342</v>
      </c>
      <c r="AA258">
        <f t="shared" si="544"/>
        <v>218268.423</v>
      </c>
      <c r="AB258">
        <f t="shared" si="544"/>
        <v>0</v>
      </c>
      <c r="AC258">
        <f t="shared" si="544"/>
        <v>71713.15454</v>
      </c>
      <c r="AD258">
        <f t="shared" si="544"/>
        <v>96070.39647</v>
      </c>
      <c r="AE258">
        <f t="shared" si="544"/>
        <v>122392.1082</v>
      </c>
      <c r="AF258">
        <f t="shared" si="544"/>
        <v>37751.29898</v>
      </c>
      <c r="AG258">
        <f t="shared" si="544"/>
        <v>78498.73279</v>
      </c>
      <c r="AH258">
        <f t="shared" si="544"/>
        <v>22171.39781</v>
      </c>
      <c r="AI258" s="18">
        <f t="shared" si="545"/>
        <v>1697610</v>
      </c>
    </row>
    <row r="259">
      <c r="B259" s="1" t="s">
        <v>5545</v>
      </c>
      <c r="D259">
        <v>70498.48975609757</v>
      </c>
      <c r="E259">
        <v>246909.43024390243</v>
      </c>
      <c r="F259">
        <v>155162.56390243903</v>
      </c>
      <c r="G259">
        <v>13718.114146341464</v>
      </c>
      <c r="H259" s="134">
        <v>40566.83804878049</v>
      </c>
      <c r="I259">
        <v>133796.14926829268</v>
      </c>
      <c r="J259" s="31"/>
      <c r="K259">
        <v>51214.41431251676</v>
      </c>
      <c r="L259">
        <v>67474.53202894665</v>
      </c>
      <c r="N259">
        <v>33978.19414634146</v>
      </c>
      <c r="O259">
        <v>30848.588292682925</v>
      </c>
      <c r="P259">
        <f t="shared" si="536"/>
        <v>844167.3141</v>
      </c>
      <c r="U259">
        <v>15879.51464878221</v>
      </c>
      <c r="V259" s="136">
        <v>394141.538122132</v>
      </c>
      <c r="W259" s="136">
        <v>304557.1064242852</v>
      </c>
      <c r="X259" s="136">
        <v>94228.44069890576</v>
      </c>
      <c r="Y259" s="145">
        <f t="shared" ref="Y259:AA259" si="546">Y258+2771</f>
        <v>70633.45411</v>
      </c>
      <c r="Z259" s="146">
        <f t="shared" si="546"/>
        <v>176846.4342</v>
      </c>
      <c r="AA259" s="145">
        <f t="shared" si="546"/>
        <v>221039.423</v>
      </c>
      <c r="AB259" s="145"/>
      <c r="AC259" s="146">
        <f t="shared" ref="AC259:AG259" si="547">AC258+2771</f>
        <v>74484.15454</v>
      </c>
      <c r="AD259" s="146">
        <f t="shared" si="547"/>
        <v>98841.39647</v>
      </c>
      <c r="AE259" s="146">
        <f t="shared" si="547"/>
        <v>125163.1082</v>
      </c>
      <c r="AF259" s="146">
        <f t="shared" si="547"/>
        <v>40522.29898</v>
      </c>
      <c r="AG259" s="146">
        <f t="shared" si="547"/>
        <v>81269.73279</v>
      </c>
      <c r="AH259">
        <f>AH258/8</f>
        <v>2771.424726</v>
      </c>
      <c r="AI259" s="18">
        <f>SUM(U259:AG259)</f>
        <v>1697606.602</v>
      </c>
    </row>
    <row r="260">
      <c r="D260">
        <f t="shared" ref="D260:L260" si="548">D259-D261</f>
        <v>64089.53614</v>
      </c>
      <c r="E260">
        <f t="shared" si="548"/>
        <v>224463.1184</v>
      </c>
      <c r="F260">
        <f t="shared" si="548"/>
        <v>141056.8763</v>
      </c>
      <c r="G260">
        <f t="shared" si="548"/>
        <v>12471.01286</v>
      </c>
      <c r="H260">
        <f t="shared" si="548"/>
        <v>36878.94368</v>
      </c>
      <c r="I260">
        <f t="shared" si="548"/>
        <v>121632.863</v>
      </c>
      <c r="J260" s="31">
        <f t="shared" si="548"/>
        <v>0</v>
      </c>
      <c r="K260">
        <f t="shared" si="548"/>
        <v>46558.55847</v>
      </c>
      <c r="L260">
        <f t="shared" si="548"/>
        <v>61340.48366</v>
      </c>
      <c r="N260">
        <f t="shared" ref="N260:O260" si="549">N259-N261</f>
        <v>30889.26741</v>
      </c>
      <c r="O260">
        <f t="shared" si="549"/>
        <v>28044.17118</v>
      </c>
      <c r="P260">
        <f t="shared" si="536"/>
        <v>767424.831</v>
      </c>
      <c r="Y260" s="136">
        <f>Y259*12/28</f>
        <v>30271.48033</v>
      </c>
      <c r="AA260" s="146">
        <f>AA259+U259</f>
        <v>236918.9377</v>
      </c>
      <c r="AB260" s="136">
        <f>Y259*16/28</f>
        <v>40361.97378</v>
      </c>
    </row>
    <row r="261">
      <c r="B261" s="1" t="s">
        <v>5499</v>
      </c>
      <c r="D261">
        <f t="shared" ref="D261:L261" si="550">D259/11</f>
        <v>6408.953614</v>
      </c>
      <c r="E261">
        <f t="shared" si="550"/>
        <v>22446.31184</v>
      </c>
      <c r="F261">
        <f t="shared" si="550"/>
        <v>14105.68763</v>
      </c>
      <c r="G261">
        <f t="shared" si="550"/>
        <v>1247.101286</v>
      </c>
      <c r="H261">
        <f t="shared" si="550"/>
        <v>3687.894368</v>
      </c>
      <c r="I261">
        <f t="shared" si="550"/>
        <v>12163.2863</v>
      </c>
      <c r="J261" s="31">
        <f t="shared" si="550"/>
        <v>0</v>
      </c>
      <c r="K261">
        <f t="shared" si="550"/>
        <v>4655.855847</v>
      </c>
      <c r="L261">
        <f t="shared" si="550"/>
        <v>6134.048366</v>
      </c>
      <c r="N261">
        <f t="shared" ref="N261:O261" si="551">N259/11</f>
        <v>3088.926741</v>
      </c>
      <c r="O261">
        <f t="shared" si="551"/>
        <v>2804.417118</v>
      </c>
      <c r="P261">
        <f t="shared" si="536"/>
        <v>76742.4831</v>
      </c>
    </row>
    <row r="262">
      <c r="B262" s="1" t="s">
        <v>5613</v>
      </c>
      <c r="D262">
        <v>50435.56353839246</v>
      </c>
      <c r="E262">
        <v>42003.771890435564</v>
      </c>
      <c r="F262">
        <v>21001.885945217782</v>
      </c>
      <c r="G262">
        <v>19268.971710821734</v>
      </c>
      <c r="H262" s="134">
        <v>27726.627750336775</v>
      </c>
      <c r="I262">
        <v>56332.64481365065</v>
      </c>
      <c r="J262">
        <v>0.0</v>
      </c>
      <c r="K262">
        <v>19113.785361472837</v>
      </c>
      <c r="L262">
        <v>25605.747642568476</v>
      </c>
      <c r="M262">
        <v>0.0</v>
      </c>
      <c r="N262">
        <v>15027.211495285137</v>
      </c>
      <c r="O262">
        <v>11483.78985181859</v>
      </c>
      <c r="P262">
        <f t="shared" si="536"/>
        <v>288000</v>
      </c>
      <c r="T262" s="1" t="s">
        <v>5677</v>
      </c>
      <c r="U262" s="1">
        <v>32695.0</v>
      </c>
      <c r="W262" s="1">
        <v>31380.0</v>
      </c>
      <c r="Y262" s="1">
        <v>68941.0</v>
      </c>
      <c r="AA262" s="1">
        <v>72772.0</v>
      </c>
      <c r="AC262" s="1">
        <v>80238.0</v>
      </c>
      <c r="AE262" s="1">
        <v>102678.0</v>
      </c>
      <c r="AH262" s="1">
        <v>6718.0</v>
      </c>
    </row>
    <row r="263">
      <c r="B263" s="23" t="s">
        <v>5598</v>
      </c>
      <c r="D263" s="154">
        <f t="shared" ref="D263:P263" si="552">SUM(D258,D259,D262)</f>
        <v>1968934.053</v>
      </c>
      <c r="E263" s="18">
        <f t="shared" si="552"/>
        <v>2895913.202</v>
      </c>
      <c r="F263" s="18">
        <f t="shared" si="552"/>
        <v>1936164.45</v>
      </c>
      <c r="G263" s="18">
        <f t="shared" si="552"/>
        <v>2012987.086</v>
      </c>
      <c r="H263" s="18">
        <f t="shared" si="552"/>
        <v>2224293.466</v>
      </c>
      <c r="I263" s="18">
        <f t="shared" si="552"/>
        <v>4040128.794</v>
      </c>
      <c r="J263" s="18">
        <f t="shared" si="552"/>
        <v>2497000</v>
      </c>
      <c r="K263" s="18">
        <f t="shared" si="552"/>
        <v>2688328.2</v>
      </c>
      <c r="L263" s="18">
        <f t="shared" si="552"/>
        <v>2183080.28</v>
      </c>
      <c r="M263" s="18">
        <f t="shared" si="552"/>
        <v>0</v>
      </c>
      <c r="N263" s="18">
        <f t="shared" si="552"/>
        <v>1435005.406</v>
      </c>
      <c r="O263" s="18">
        <f t="shared" si="552"/>
        <v>1362332.378</v>
      </c>
      <c r="P263" s="18">
        <f t="shared" si="552"/>
        <v>25244167.31</v>
      </c>
      <c r="U263" s="1">
        <v>7459.0</v>
      </c>
      <c r="V263" s="1">
        <v>30104.0</v>
      </c>
      <c r="W263" s="1">
        <v>79933.0</v>
      </c>
      <c r="Y263" s="1">
        <v>19757.0</v>
      </c>
      <c r="AA263" s="1">
        <v>26322.0</v>
      </c>
      <c r="AE263" s="1">
        <v>92767.0</v>
      </c>
      <c r="AG263" s="1">
        <v>12178.0</v>
      </c>
    </row>
    <row r="264">
      <c r="B264" s="1" t="s">
        <v>5599</v>
      </c>
      <c r="D264">
        <f t="shared" ref="D264:O264" si="553">SUM(D256,D260,D262)</f>
        <v>1794525.1</v>
      </c>
      <c r="E264">
        <f t="shared" si="553"/>
        <v>2636466.89</v>
      </c>
      <c r="F264">
        <f t="shared" si="553"/>
        <v>1762058.762</v>
      </c>
      <c r="G264">
        <f t="shared" si="553"/>
        <v>1831739.985</v>
      </c>
      <c r="H264">
        <f t="shared" si="553"/>
        <v>2024605.571</v>
      </c>
      <c r="I264">
        <f t="shared" si="553"/>
        <v>3677965.508</v>
      </c>
      <c r="J264">
        <f t="shared" si="553"/>
        <v>2270000</v>
      </c>
      <c r="K264">
        <f t="shared" si="553"/>
        <v>2445672.344</v>
      </c>
      <c r="L264">
        <f t="shared" si="553"/>
        <v>1986946.231</v>
      </c>
      <c r="M264">
        <f t="shared" si="553"/>
        <v>0</v>
      </c>
      <c r="N264">
        <f t="shared" si="553"/>
        <v>1305916.479</v>
      </c>
      <c r="O264">
        <f t="shared" si="553"/>
        <v>1239527.961</v>
      </c>
      <c r="U264">
        <f t="shared" ref="U264:U265" si="555">U262-U254</f>
        <v>1957</v>
      </c>
      <c r="V264" s="1"/>
      <c r="W264">
        <f t="shared" ref="W264:W265" si="556">W262-W254</f>
        <v>569</v>
      </c>
      <c r="Y264">
        <f>Y262-Y254</f>
        <v>551</v>
      </c>
      <c r="AA264">
        <f t="shared" ref="AA264:AA265" si="557">AA262-AA254</f>
        <v>1515</v>
      </c>
      <c r="AC264">
        <f>AC262-AC254</f>
        <v>825</v>
      </c>
      <c r="AE264">
        <f t="shared" ref="AE264:AE265" si="558">AE262-AE254</f>
        <v>1135</v>
      </c>
      <c r="AH264">
        <f>AH262-AH254</f>
        <v>135</v>
      </c>
    </row>
    <row r="265">
      <c r="B265" s="1" t="s">
        <v>5601</v>
      </c>
      <c r="D265">
        <f t="shared" ref="D265:O265" si="554">SUM(D256,D260)</f>
        <v>1744089.536</v>
      </c>
      <c r="E265">
        <f t="shared" si="554"/>
        <v>2594463.118</v>
      </c>
      <c r="F265">
        <f t="shared" si="554"/>
        <v>1741056.876</v>
      </c>
      <c r="G265">
        <f t="shared" si="554"/>
        <v>1812471.013</v>
      </c>
      <c r="H265">
        <f t="shared" si="554"/>
        <v>1996878.944</v>
      </c>
      <c r="I265">
        <f t="shared" si="554"/>
        <v>3621632.863</v>
      </c>
      <c r="J265">
        <f t="shared" si="554"/>
        <v>2270000</v>
      </c>
      <c r="K265">
        <f t="shared" si="554"/>
        <v>2426558.558</v>
      </c>
      <c r="L265">
        <f t="shared" si="554"/>
        <v>1961340.484</v>
      </c>
      <c r="M265">
        <f t="shared" si="554"/>
        <v>0</v>
      </c>
      <c r="N265">
        <f t="shared" si="554"/>
        <v>1290889.267</v>
      </c>
      <c r="O265">
        <f t="shared" si="554"/>
        <v>1228044.171</v>
      </c>
      <c r="U265" s="147">
        <f t="shared" si="555"/>
        <v>92</v>
      </c>
      <c r="V265" s="147">
        <f>(V263-V255)</f>
        <v>1795</v>
      </c>
      <c r="W265" s="147">
        <f t="shared" si="556"/>
        <v>1549</v>
      </c>
      <c r="X265" s="137">
        <f>W264-50</f>
        <v>519</v>
      </c>
      <c r="Y265" s="152">
        <v>0.0</v>
      </c>
      <c r="Z265" s="100">
        <f>Y264-Y265-50</f>
        <v>501</v>
      </c>
      <c r="AA265" s="147">
        <f t="shared" si="557"/>
        <v>1099</v>
      </c>
      <c r="AB265" s="100">
        <f>(AA264-AA265)*2-50</f>
        <v>782</v>
      </c>
      <c r="AC265" s="147">
        <f>(AC264)*73.9/(73.9+99)</f>
        <v>352.6171197</v>
      </c>
      <c r="AD265" s="147">
        <f>(AC264)*99/(73.9+99)</f>
        <v>472.3828803</v>
      </c>
      <c r="AE265" s="147">
        <f t="shared" si="558"/>
        <v>710</v>
      </c>
      <c r="AF265" s="100">
        <f>AE264-AE265-AG265-50</f>
        <v>105</v>
      </c>
      <c r="AG265" s="147">
        <f>AG263-AG255</f>
        <v>270</v>
      </c>
      <c r="AH265" s="1">
        <v>135.0</v>
      </c>
      <c r="AI265" s="18">
        <f t="shared" ref="AI265:AI266" si="561">SUM(U265:AH265)</f>
        <v>8382</v>
      </c>
      <c r="AJ265" s="1">
        <v>1317440.0</v>
      </c>
      <c r="AL265" s="1">
        <v>9533.0</v>
      </c>
    </row>
    <row r="266">
      <c r="B266" s="1" t="s">
        <v>5582</v>
      </c>
      <c r="D266">
        <f t="shared" ref="D266:O266" si="559">SUM(D257,D261)</f>
        <v>174408.9536</v>
      </c>
      <c r="E266">
        <f t="shared" si="559"/>
        <v>259446.3118</v>
      </c>
      <c r="F266">
        <f t="shared" si="559"/>
        <v>174105.6876</v>
      </c>
      <c r="G266">
        <f t="shared" si="559"/>
        <v>181247.1013</v>
      </c>
      <c r="H266">
        <f t="shared" si="559"/>
        <v>199687.8944</v>
      </c>
      <c r="I266">
        <f t="shared" si="559"/>
        <v>362163.2863</v>
      </c>
      <c r="J266">
        <f t="shared" si="559"/>
        <v>227000</v>
      </c>
      <c r="K266">
        <f t="shared" si="559"/>
        <v>242655.8558</v>
      </c>
      <c r="L266">
        <f t="shared" si="559"/>
        <v>196134.0484</v>
      </c>
      <c r="M266">
        <f t="shared" si="559"/>
        <v>0</v>
      </c>
      <c r="N266">
        <f t="shared" si="559"/>
        <v>129088.9267</v>
      </c>
      <c r="O266">
        <f t="shared" si="559"/>
        <v>122804.4171</v>
      </c>
      <c r="U266">
        <f t="shared" ref="U266:AH266" si="560">U265*1317440/8382</f>
        <v>14460.09067</v>
      </c>
      <c r="V266">
        <f t="shared" si="560"/>
        <v>282128.943</v>
      </c>
      <c r="W266">
        <f t="shared" si="560"/>
        <v>243463.9179</v>
      </c>
      <c r="X266">
        <f t="shared" si="560"/>
        <v>81573.77237</v>
      </c>
      <c r="Y266">
        <f t="shared" si="560"/>
        <v>0</v>
      </c>
      <c r="Z266">
        <f t="shared" si="560"/>
        <v>78744.62419</v>
      </c>
      <c r="AA266">
        <f t="shared" si="560"/>
        <v>172735.2136</v>
      </c>
      <c r="AB266">
        <f t="shared" si="560"/>
        <v>122910.7707</v>
      </c>
      <c r="AC266">
        <f t="shared" si="560"/>
        <v>55422.56003</v>
      </c>
      <c r="AD266">
        <f t="shared" si="560"/>
        <v>74246.7313</v>
      </c>
      <c r="AE266">
        <f t="shared" si="560"/>
        <v>111594.178</v>
      </c>
      <c r="AF266">
        <f t="shared" si="560"/>
        <v>16503.36435</v>
      </c>
      <c r="AG266">
        <f t="shared" si="560"/>
        <v>42437.22262</v>
      </c>
      <c r="AH266">
        <f t="shared" si="560"/>
        <v>21218.61131</v>
      </c>
      <c r="AI266" s="18">
        <f t="shared" si="561"/>
        <v>1317440</v>
      </c>
    </row>
    <row r="267">
      <c r="B267" s="1" t="s">
        <v>5602</v>
      </c>
      <c r="D267">
        <f t="shared" ref="D267:O267" si="562">SUM(D265:D266)</f>
        <v>1918498.49</v>
      </c>
      <c r="E267">
        <f t="shared" si="562"/>
        <v>2853909.43</v>
      </c>
      <c r="F267">
        <f t="shared" si="562"/>
        <v>1915162.564</v>
      </c>
      <c r="G267">
        <f t="shared" si="562"/>
        <v>1993718.114</v>
      </c>
      <c r="H267">
        <f t="shared" si="562"/>
        <v>2196566.838</v>
      </c>
      <c r="I267">
        <f t="shared" si="562"/>
        <v>3983796.149</v>
      </c>
      <c r="J267">
        <f t="shared" si="562"/>
        <v>2497000</v>
      </c>
      <c r="K267">
        <f t="shared" si="562"/>
        <v>2669214.414</v>
      </c>
      <c r="L267">
        <f t="shared" si="562"/>
        <v>2157474.532</v>
      </c>
      <c r="M267">
        <f t="shared" si="562"/>
        <v>0</v>
      </c>
      <c r="N267">
        <f t="shared" si="562"/>
        <v>1419978.194</v>
      </c>
      <c r="O267">
        <f t="shared" si="562"/>
        <v>1350848.588</v>
      </c>
      <c r="U267">
        <v>14460.090670484371</v>
      </c>
      <c r="V267" s="136">
        <v>282128.9429730375</v>
      </c>
      <c r="W267" s="136">
        <v>243463.917919351</v>
      </c>
      <c r="X267" s="136">
        <v>81573.77236936292</v>
      </c>
      <c r="Z267" s="146">
        <f t="shared" ref="Z267:AG267" si="563">Z266+2652</f>
        <v>81396.62419</v>
      </c>
      <c r="AA267" s="145">
        <f t="shared" si="563"/>
        <v>175387.2136</v>
      </c>
      <c r="AB267" s="146">
        <f t="shared" si="563"/>
        <v>125562.7707</v>
      </c>
      <c r="AC267" s="146">
        <f t="shared" si="563"/>
        <v>58074.56003</v>
      </c>
      <c r="AD267" s="146">
        <f t="shared" si="563"/>
        <v>76898.7313</v>
      </c>
      <c r="AE267" s="146">
        <f t="shared" si="563"/>
        <v>114246.178</v>
      </c>
      <c r="AF267" s="146">
        <f t="shared" si="563"/>
        <v>19155.36435</v>
      </c>
      <c r="AG267" s="146">
        <f t="shared" si="563"/>
        <v>45089.22262</v>
      </c>
      <c r="AH267">
        <f>AH266/8</f>
        <v>2652.326414</v>
      </c>
      <c r="AI267" s="18">
        <f>SUM(U267:AG267)</f>
        <v>1317437.389</v>
      </c>
    </row>
    <row r="268">
      <c r="E268" s="1" t="s">
        <v>5566</v>
      </c>
      <c r="F268" s="1" t="s">
        <v>5566</v>
      </c>
      <c r="G268" s="1" t="s">
        <v>5566</v>
      </c>
      <c r="H268" s="1" t="s">
        <v>5566</v>
      </c>
      <c r="I268" s="1" t="s">
        <v>5566</v>
      </c>
      <c r="J268" s="1" t="s">
        <v>5566</v>
      </c>
      <c r="K268" s="1" t="s">
        <v>5566</v>
      </c>
      <c r="L268" s="1" t="s">
        <v>5566</v>
      </c>
      <c r="M268" s="1"/>
      <c r="N268" s="33" t="s">
        <v>5566</v>
      </c>
      <c r="O268" s="1" t="s">
        <v>5566</v>
      </c>
      <c r="AA268" s="146">
        <f>AA267+U267</f>
        <v>189847.3042</v>
      </c>
    </row>
    <row r="269">
      <c r="H269" s="1"/>
      <c r="M269" s="1"/>
      <c r="N269" s="33"/>
    </row>
    <row r="270">
      <c r="G270" s="157" t="s">
        <v>5678</v>
      </c>
      <c r="H270" s="1"/>
      <c r="M270" s="1"/>
      <c r="N270" s="33"/>
      <c r="T270" s="1" t="s">
        <v>5679</v>
      </c>
      <c r="U270" s="1">
        <v>34505.0</v>
      </c>
      <c r="W270" s="1">
        <v>32085.0</v>
      </c>
      <c r="Y270" s="1">
        <v>69351.0</v>
      </c>
      <c r="AA270" s="1">
        <v>74351.0</v>
      </c>
      <c r="AC270" s="1">
        <v>81122.0</v>
      </c>
      <c r="AE270" s="1">
        <v>103953.0</v>
      </c>
      <c r="AH270" s="1">
        <v>6872.0</v>
      </c>
    </row>
    <row r="271">
      <c r="B271" s="1" t="s">
        <v>5680</v>
      </c>
      <c r="D271" s="1">
        <v>1680000.0</v>
      </c>
      <c r="E271" s="2">
        <v>2370000.0</v>
      </c>
      <c r="F271" s="1">
        <v>1600000.0</v>
      </c>
      <c r="G271" s="1">
        <v>1800000.0</v>
      </c>
      <c r="H271" s="1">
        <v>1960000.0</v>
      </c>
      <c r="I271" s="1">
        <v>3500000.0</v>
      </c>
      <c r="J271" s="1">
        <v>2270000.0</v>
      </c>
      <c r="K271" s="1">
        <v>2380000.0</v>
      </c>
      <c r="L271" s="1">
        <v>1900000.0</v>
      </c>
      <c r="M271" s="33"/>
      <c r="N271" s="2">
        <v>1260000.0</v>
      </c>
      <c r="O271" s="1">
        <v>1240000.0</v>
      </c>
      <c r="P271">
        <f t="shared" ref="P271:P279" si="566">SUM(D271:O271)</f>
        <v>21960000</v>
      </c>
      <c r="U271" s="1">
        <v>7577.0</v>
      </c>
      <c r="V271" s="1">
        <v>31740.0</v>
      </c>
      <c r="W271" s="1">
        <v>81504.0</v>
      </c>
      <c r="AA271" s="1">
        <v>27418.0</v>
      </c>
      <c r="AE271" s="1">
        <v>93570.0</v>
      </c>
      <c r="AG271" s="1">
        <v>12480.0</v>
      </c>
    </row>
    <row r="272">
      <c r="B272" s="1" t="s">
        <v>5499</v>
      </c>
      <c r="D272" s="1">
        <f t="shared" ref="D272:L272" si="564">D271*0.1</f>
        <v>168000</v>
      </c>
      <c r="E272" s="1">
        <f t="shared" si="564"/>
        <v>237000</v>
      </c>
      <c r="F272" s="1">
        <f t="shared" si="564"/>
        <v>160000</v>
      </c>
      <c r="G272" s="1">
        <f t="shared" si="564"/>
        <v>180000</v>
      </c>
      <c r="H272" s="1">
        <f t="shared" si="564"/>
        <v>196000</v>
      </c>
      <c r="I272" s="1">
        <f t="shared" si="564"/>
        <v>350000</v>
      </c>
      <c r="J272" s="1">
        <f t="shared" si="564"/>
        <v>227000</v>
      </c>
      <c r="K272" s="1">
        <f t="shared" si="564"/>
        <v>238000</v>
      </c>
      <c r="L272" s="1">
        <f t="shared" si="564"/>
        <v>190000</v>
      </c>
      <c r="M272" s="1"/>
      <c r="N272" s="1">
        <f t="shared" ref="N272:O272" si="565">N271*0.1</f>
        <v>126000</v>
      </c>
      <c r="O272" s="1">
        <f t="shared" si="565"/>
        <v>124000</v>
      </c>
      <c r="P272">
        <f t="shared" si="566"/>
        <v>2196000</v>
      </c>
      <c r="U272">
        <f t="shared" ref="U272:U273" si="569">U270-U262</f>
        <v>1810</v>
      </c>
      <c r="V272" s="1"/>
      <c r="W272">
        <f>W270-W262</f>
        <v>705</v>
      </c>
      <c r="Y272">
        <f>Y270-Y262</f>
        <v>410</v>
      </c>
      <c r="AA272">
        <f t="shared" ref="AA272:AA273" si="570">AA270-AA262</f>
        <v>1579</v>
      </c>
      <c r="AC272">
        <f>AC270-AC262</f>
        <v>884</v>
      </c>
      <c r="AE272">
        <f t="shared" ref="AE272:AE273" si="571">AE270-AE262</f>
        <v>1275</v>
      </c>
      <c r="AH272">
        <f>AH270-AH262</f>
        <v>154</v>
      </c>
    </row>
    <row r="273">
      <c r="B273" s="1" t="s">
        <v>5520</v>
      </c>
      <c r="D273">
        <f t="shared" ref="D273:L273" si="567">D271+D272</f>
        <v>1848000</v>
      </c>
      <c r="E273">
        <f t="shared" si="567"/>
        <v>2607000</v>
      </c>
      <c r="F273">
        <f t="shared" si="567"/>
        <v>1760000</v>
      </c>
      <c r="G273">
        <f t="shared" si="567"/>
        <v>1980000</v>
      </c>
      <c r="H273">
        <f t="shared" si="567"/>
        <v>2156000</v>
      </c>
      <c r="I273">
        <f t="shared" si="567"/>
        <v>3850000</v>
      </c>
      <c r="J273">
        <f t="shared" si="567"/>
        <v>2497000</v>
      </c>
      <c r="K273">
        <f t="shared" si="567"/>
        <v>2618000</v>
      </c>
      <c r="L273">
        <f t="shared" si="567"/>
        <v>2090000</v>
      </c>
      <c r="N273">
        <f t="shared" ref="N273:O273" si="568">N271+N272</f>
        <v>1386000</v>
      </c>
      <c r="O273">
        <f t="shared" si="568"/>
        <v>1364000</v>
      </c>
      <c r="P273">
        <f t="shared" si="566"/>
        <v>24156000</v>
      </c>
      <c r="U273" s="147">
        <f t="shared" si="569"/>
        <v>118</v>
      </c>
      <c r="V273" s="147">
        <f>(V271-V263)</f>
        <v>1636</v>
      </c>
      <c r="W273" s="147">
        <f>(W271-W263)*0.25</f>
        <v>392.75</v>
      </c>
      <c r="X273" s="137">
        <f>W272-50</f>
        <v>655</v>
      </c>
      <c r="Y273" s="152">
        <v>0.0</v>
      </c>
      <c r="Z273" s="100">
        <f>Y272-Y273-50</f>
        <v>360</v>
      </c>
      <c r="AA273" s="147">
        <f t="shared" si="570"/>
        <v>1096</v>
      </c>
      <c r="AB273" s="100">
        <f>(AA272-AA273)*2-50</f>
        <v>916</v>
      </c>
      <c r="AC273" s="147">
        <f>(AC272)*73.9/(73.9+99)</f>
        <v>377.8345865</v>
      </c>
      <c r="AD273" s="147">
        <f>(AC272)*99/(73.9+99)</f>
        <v>506.1654135</v>
      </c>
      <c r="AE273" s="147">
        <f t="shared" si="571"/>
        <v>803</v>
      </c>
      <c r="AF273" s="100">
        <f>AE272-AE273-AG273-50</f>
        <v>120</v>
      </c>
      <c r="AG273" s="147">
        <f>AG271-AG263</f>
        <v>302</v>
      </c>
      <c r="AH273" s="1">
        <v>154.0</v>
      </c>
      <c r="AI273" s="18">
        <f t="shared" ref="AI273:AI274" si="573">SUM(U273:AH273)</f>
        <v>7436.75</v>
      </c>
      <c r="AJ273" s="1">
        <v>1089800.0</v>
      </c>
    </row>
    <row r="274">
      <c r="B274" s="1" t="s">
        <v>5545</v>
      </c>
      <c r="D274">
        <v>89033.6053617189</v>
      </c>
      <c r="E274">
        <v>305596.4991129509</v>
      </c>
      <c r="F274">
        <v>144506.87167356594</v>
      </c>
      <c r="G274">
        <v>28117.306130494777</v>
      </c>
      <c r="H274" s="134">
        <v>26932.823575793416</v>
      </c>
      <c r="I274">
        <v>166109.52375320322</v>
      </c>
      <c r="J274" s="31"/>
      <c r="K274">
        <v>61436.61542588675</v>
      </c>
      <c r="L274">
        <v>81067.8095691852</v>
      </c>
      <c r="N274">
        <v>48253.5095604179</v>
      </c>
      <c r="O274">
        <v>50425.06091070372</v>
      </c>
      <c r="P274">
        <f t="shared" si="566"/>
        <v>1001479.625</v>
      </c>
      <c r="U274">
        <f t="shared" ref="U274:AH274" si="572">U273*1089800/7436.75</f>
        <v>17292.016</v>
      </c>
      <c r="V274">
        <f t="shared" si="572"/>
        <v>239743.5439</v>
      </c>
      <c r="W274">
        <f t="shared" si="572"/>
        <v>57554.57021</v>
      </c>
      <c r="X274">
        <f t="shared" si="572"/>
        <v>95985.34306</v>
      </c>
      <c r="Y274">
        <f t="shared" si="572"/>
        <v>0</v>
      </c>
      <c r="Z274">
        <f t="shared" si="572"/>
        <v>52755.30306</v>
      </c>
      <c r="AA274">
        <f t="shared" si="572"/>
        <v>160610.5893</v>
      </c>
      <c r="AB274">
        <f t="shared" si="572"/>
        <v>134232.9378</v>
      </c>
      <c r="AC274">
        <f t="shared" si="572"/>
        <v>55368.82809</v>
      </c>
      <c r="AD274">
        <f t="shared" si="572"/>
        <v>74174.74941</v>
      </c>
      <c r="AE274">
        <f t="shared" si="572"/>
        <v>117673.6343</v>
      </c>
      <c r="AF274">
        <f t="shared" si="572"/>
        <v>17585.10102</v>
      </c>
      <c r="AG274">
        <f t="shared" si="572"/>
        <v>44255.83756</v>
      </c>
      <c r="AH274">
        <f t="shared" si="572"/>
        <v>22567.54631</v>
      </c>
      <c r="AI274" s="18">
        <f t="shared" si="573"/>
        <v>1089800</v>
      </c>
    </row>
    <row r="275">
      <c r="D275">
        <f t="shared" ref="D275:L275" si="574">D274-D276</f>
        <v>80939.64124</v>
      </c>
      <c r="E275">
        <f t="shared" si="574"/>
        <v>277814.9992</v>
      </c>
      <c r="F275">
        <f t="shared" si="574"/>
        <v>131369.8833</v>
      </c>
      <c r="G275">
        <f t="shared" si="574"/>
        <v>25561.18739</v>
      </c>
      <c r="H275">
        <f t="shared" si="574"/>
        <v>24484.38507</v>
      </c>
      <c r="I275">
        <f t="shared" si="574"/>
        <v>151008.658</v>
      </c>
      <c r="J275" s="31">
        <f t="shared" si="574"/>
        <v>0</v>
      </c>
      <c r="K275">
        <f t="shared" si="574"/>
        <v>55851.46857</v>
      </c>
      <c r="L275">
        <f t="shared" si="574"/>
        <v>73698.0087</v>
      </c>
      <c r="N275">
        <f t="shared" ref="N275:O275" si="575">N274-N276</f>
        <v>43866.82687</v>
      </c>
      <c r="O275">
        <f t="shared" si="575"/>
        <v>45840.96446</v>
      </c>
      <c r="P275">
        <f t="shared" si="566"/>
        <v>910436.0228</v>
      </c>
      <c r="U275">
        <v>17292.016001613607</v>
      </c>
      <c r="V275" s="136">
        <v>239743.5438867785</v>
      </c>
      <c r="W275" s="136">
        <v>57554.570208760546</v>
      </c>
      <c r="X275" s="136">
        <v>95985.34305980435</v>
      </c>
      <c r="Z275" s="146">
        <f t="shared" ref="Z275:AG275" si="576">Z274+2821</f>
        <v>55576.30306</v>
      </c>
      <c r="AA275" s="145">
        <f t="shared" si="576"/>
        <v>163431.5893</v>
      </c>
      <c r="AB275" s="146">
        <f t="shared" si="576"/>
        <v>137053.9378</v>
      </c>
      <c r="AC275" s="146">
        <f t="shared" si="576"/>
        <v>58189.82809</v>
      </c>
      <c r="AD275" s="146">
        <f t="shared" si="576"/>
        <v>76995.74941</v>
      </c>
      <c r="AE275" s="146">
        <f t="shared" si="576"/>
        <v>120494.6343</v>
      </c>
      <c r="AF275" s="146">
        <f t="shared" si="576"/>
        <v>20406.10102</v>
      </c>
      <c r="AG275" s="146">
        <f t="shared" si="576"/>
        <v>47076.83756</v>
      </c>
      <c r="AH275">
        <f>AH274/8</f>
        <v>2820.943288</v>
      </c>
      <c r="AI275" s="18">
        <f>SUM(U275:AG275)</f>
        <v>1089800.454</v>
      </c>
    </row>
    <row r="276">
      <c r="B276" s="1" t="s">
        <v>5499</v>
      </c>
      <c r="D276">
        <f t="shared" ref="D276:L276" si="577">D274/11</f>
        <v>8093.964124</v>
      </c>
      <c r="E276">
        <f t="shared" si="577"/>
        <v>27781.49992</v>
      </c>
      <c r="F276">
        <f t="shared" si="577"/>
        <v>13136.98833</v>
      </c>
      <c r="G276">
        <f t="shared" si="577"/>
        <v>2556.118739</v>
      </c>
      <c r="H276">
        <f t="shared" si="577"/>
        <v>2448.438507</v>
      </c>
      <c r="I276">
        <f t="shared" si="577"/>
        <v>15100.8658</v>
      </c>
      <c r="J276" s="31">
        <f t="shared" si="577"/>
        <v>0</v>
      </c>
      <c r="K276">
        <f t="shared" si="577"/>
        <v>5585.146857</v>
      </c>
      <c r="L276">
        <f t="shared" si="577"/>
        <v>7369.80087</v>
      </c>
      <c r="N276">
        <f t="shared" ref="N276:O276" si="578">N274/11</f>
        <v>4386.682687</v>
      </c>
      <c r="O276">
        <f t="shared" si="578"/>
        <v>4584.096446</v>
      </c>
      <c r="P276">
        <f t="shared" si="566"/>
        <v>91043.60228</v>
      </c>
      <c r="AA276" s="146">
        <f>AA275+U275</f>
        <v>180723.6053</v>
      </c>
    </row>
    <row r="277">
      <c r="B277" s="23" t="s">
        <v>5528</v>
      </c>
      <c r="D277" s="154">
        <f t="shared" ref="D277:O277" si="579">SUM(D273,D274)</f>
        <v>1937033.605</v>
      </c>
      <c r="E277" s="18">
        <f t="shared" si="579"/>
        <v>2912596.499</v>
      </c>
      <c r="F277" s="18">
        <f t="shared" si="579"/>
        <v>1904506.872</v>
      </c>
      <c r="G277" s="18">
        <f t="shared" si="579"/>
        <v>2008117.306</v>
      </c>
      <c r="H277" s="18">
        <f t="shared" si="579"/>
        <v>2182932.824</v>
      </c>
      <c r="I277" s="18">
        <f t="shared" si="579"/>
        <v>4016109.524</v>
      </c>
      <c r="J277" s="18">
        <f t="shared" si="579"/>
        <v>2497000</v>
      </c>
      <c r="K277" s="18">
        <f t="shared" si="579"/>
        <v>2679436.615</v>
      </c>
      <c r="L277" s="18">
        <f t="shared" si="579"/>
        <v>2171067.81</v>
      </c>
      <c r="M277" s="18">
        <f t="shared" si="579"/>
        <v>0</v>
      </c>
      <c r="N277" s="18">
        <f t="shared" si="579"/>
        <v>1434253.51</v>
      </c>
      <c r="O277" s="18">
        <f t="shared" si="579"/>
        <v>1414425.061</v>
      </c>
      <c r="P277">
        <f t="shared" si="566"/>
        <v>25157479.63</v>
      </c>
    </row>
    <row r="278">
      <c r="B278" s="1" t="s">
        <v>5580</v>
      </c>
      <c r="D278">
        <f t="shared" ref="D278:O278" si="580">D271+D275</f>
        <v>1760939.641</v>
      </c>
      <c r="E278">
        <f t="shared" si="580"/>
        <v>2647814.999</v>
      </c>
      <c r="F278">
        <f t="shared" si="580"/>
        <v>1731369.883</v>
      </c>
      <c r="G278">
        <f t="shared" si="580"/>
        <v>1825561.187</v>
      </c>
      <c r="H278">
        <f t="shared" si="580"/>
        <v>1984484.385</v>
      </c>
      <c r="I278">
        <f t="shared" si="580"/>
        <v>3651008.658</v>
      </c>
      <c r="J278">
        <f t="shared" si="580"/>
        <v>2270000</v>
      </c>
      <c r="K278">
        <f t="shared" si="580"/>
        <v>2435851.469</v>
      </c>
      <c r="L278">
        <f t="shared" si="580"/>
        <v>1973698.009</v>
      </c>
      <c r="M278">
        <f t="shared" si="580"/>
        <v>0</v>
      </c>
      <c r="N278">
        <f t="shared" si="580"/>
        <v>1303866.827</v>
      </c>
      <c r="O278">
        <f t="shared" si="580"/>
        <v>1285840.964</v>
      </c>
      <c r="P278">
        <f t="shared" si="566"/>
        <v>22870436.02</v>
      </c>
      <c r="T278" s="1" t="s">
        <v>5681</v>
      </c>
      <c r="U278" s="1">
        <v>35862.0</v>
      </c>
      <c r="W278" s="1">
        <v>32216.0</v>
      </c>
      <c r="Y278" s="1">
        <v>69578.0</v>
      </c>
      <c r="AA278" s="1">
        <v>75153.0</v>
      </c>
      <c r="AC278" s="1">
        <v>81726.0</v>
      </c>
      <c r="AE278" s="1">
        <v>104816.0</v>
      </c>
      <c r="AH278" s="1">
        <v>7014.0</v>
      </c>
    </row>
    <row r="279">
      <c r="B279" s="1" t="s">
        <v>5582</v>
      </c>
      <c r="D279">
        <f t="shared" ref="D279:O279" si="581">D272+D276</f>
        <v>176093.9641</v>
      </c>
      <c r="E279">
        <f t="shared" si="581"/>
        <v>264781.4999</v>
      </c>
      <c r="F279">
        <f t="shared" si="581"/>
        <v>173136.9883</v>
      </c>
      <c r="G279">
        <f t="shared" si="581"/>
        <v>182556.1187</v>
      </c>
      <c r="H279">
        <f t="shared" si="581"/>
        <v>198448.4385</v>
      </c>
      <c r="I279">
        <f t="shared" si="581"/>
        <v>365100.8658</v>
      </c>
      <c r="J279">
        <f t="shared" si="581"/>
        <v>227000</v>
      </c>
      <c r="K279">
        <f t="shared" si="581"/>
        <v>243585.1469</v>
      </c>
      <c r="L279">
        <f t="shared" si="581"/>
        <v>197369.8009</v>
      </c>
      <c r="M279">
        <f t="shared" si="581"/>
        <v>0</v>
      </c>
      <c r="N279">
        <f t="shared" si="581"/>
        <v>130386.6827</v>
      </c>
      <c r="O279">
        <f t="shared" si="581"/>
        <v>128584.0964</v>
      </c>
      <c r="P279">
        <f t="shared" si="566"/>
        <v>2287043.602</v>
      </c>
      <c r="U279" s="1">
        <v>7704.0</v>
      </c>
      <c r="V279" s="1">
        <v>32923.0</v>
      </c>
      <c r="W279" s="1">
        <v>81625.0</v>
      </c>
      <c r="AA279" s="1">
        <v>27920.0</v>
      </c>
      <c r="AE279" s="1">
        <v>93991.0</v>
      </c>
      <c r="AG279" s="1">
        <v>12709.0</v>
      </c>
    </row>
    <row r="280">
      <c r="E280" s="1" t="s">
        <v>5566</v>
      </c>
      <c r="F280" s="1" t="s">
        <v>5566</v>
      </c>
      <c r="G280" s="1" t="s">
        <v>5566</v>
      </c>
      <c r="H280" s="1" t="s">
        <v>5566</v>
      </c>
      <c r="I280" s="1" t="s">
        <v>5566</v>
      </c>
      <c r="J280" s="1" t="s">
        <v>5566</v>
      </c>
      <c r="K280" s="1" t="s">
        <v>5566</v>
      </c>
      <c r="L280" s="1" t="s">
        <v>5566</v>
      </c>
      <c r="M280" s="1"/>
      <c r="N280" s="33" t="s">
        <v>5566</v>
      </c>
      <c r="O280" s="1" t="s">
        <v>5566</v>
      </c>
      <c r="U280">
        <f t="shared" ref="U280:U281" si="582">U278-U270</f>
        <v>1357</v>
      </c>
      <c r="W280">
        <f t="shared" ref="W280:W281" si="583">W278-W270</f>
        <v>131</v>
      </c>
      <c r="Y280">
        <f>Y278-Y270</f>
        <v>227</v>
      </c>
      <c r="AA280">
        <f t="shared" ref="AA280:AA281" si="584">AA278-AA270</f>
        <v>802</v>
      </c>
      <c r="AC280">
        <f>AC278-AC270</f>
        <v>604</v>
      </c>
      <c r="AE280">
        <f t="shared" ref="AE280:AE281" si="585">AE278-AE270</f>
        <v>863</v>
      </c>
      <c r="AH280">
        <f>AH278-AH270</f>
        <v>142</v>
      </c>
    </row>
    <row r="281">
      <c r="H281" s="1"/>
      <c r="M281" s="1"/>
      <c r="N281" s="33"/>
      <c r="U281" s="147">
        <f t="shared" si="582"/>
        <v>127</v>
      </c>
      <c r="V281" s="147">
        <f>(V279-V271)</f>
        <v>1183</v>
      </c>
      <c r="W281" s="147">
        <f t="shared" si="583"/>
        <v>121</v>
      </c>
      <c r="X281" s="137">
        <f>W280</f>
        <v>131</v>
      </c>
      <c r="Y281" s="152">
        <v>0.0</v>
      </c>
      <c r="Z281" s="100">
        <f>Y280-Y281</f>
        <v>227</v>
      </c>
      <c r="AA281" s="147">
        <f t="shared" si="584"/>
        <v>502</v>
      </c>
      <c r="AB281" s="100">
        <f>(AA280-AA281)</f>
        <v>300</v>
      </c>
      <c r="AC281" s="147">
        <f>(AC280)*73.9/(73.9+99)</f>
        <v>258.1584731</v>
      </c>
      <c r="AD281" s="147">
        <f>(AC280)*99/(73.9+99)</f>
        <v>345.8415269</v>
      </c>
      <c r="AE281" s="147">
        <f t="shared" si="585"/>
        <v>421</v>
      </c>
      <c r="AF281" s="100">
        <f>AE280-AE281-AG281-50</f>
        <v>163</v>
      </c>
      <c r="AG281" s="147">
        <f>AG279-AG271</f>
        <v>229</v>
      </c>
      <c r="AH281" s="1">
        <v>142.0</v>
      </c>
      <c r="AI281" s="18">
        <f t="shared" ref="AI281:AI282" si="587">SUM(U281:AH281)</f>
        <v>4150</v>
      </c>
      <c r="AJ281" s="1">
        <v>811870.0</v>
      </c>
      <c r="AL281" s="1">
        <v>5119.0</v>
      </c>
    </row>
    <row r="282">
      <c r="H282" s="1"/>
      <c r="M282" s="1"/>
      <c r="N282" s="33"/>
      <c r="U282" s="158">
        <f t="shared" ref="U282:AH282" si="586">U281*811870/4150</f>
        <v>24845.17831</v>
      </c>
      <c r="V282" s="158">
        <f t="shared" si="586"/>
        <v>231431.8578</v>
      </c>
      <c r="W282" s="158">
        <f t="shared" si="586"/>
        <v>23671.39036</v>
      </c>
      <c r="X282" s="158">
        <f t="shared" si="586"/>
        <v>25627.70361</v>
      </c>
      <c r="Y282" s="158">
        <f t="shared" si="586"/>
        <v>0</v>
      </c>
      <c r="Z282" s="158">
        <f t="shared" si="586"/>
        <v>44408.31084</v>
      </c>
      <c r="AA282" s="158">
        <f t="shared" si="586"/>
        <v>98206.9253</v>
      </c>
      <c r="AB282" s="158">
        <f t="shared" si="586"/>
        <v>58689.39759</v>
      </c>
      <c r="AC282" s="158">
        <f t="shared" si="586"/>
        <v>50503.88423</v>
      </c>
      <c r="AD282" s="158">
        <f t="shared" si="586"/>
        <v>67657.43625</v>
      </c>
      <c r="AE282" s="158">
        <f t="shared" si="586"/>
        <v>82360.78795</v>
      </c>
      <c r="AF282" s="158">
        <f t="shared" si="586"/>
        <v>31887.90602</v>
      </c>
      <c r="AG282" s="158">
        <f t="shared" si="586"/>
        <v>44799.57349</v>
      </c>
      <c r="AH282" s="158">
        <f t="shared" si="586"/>
        <v>27779.64819</v>
      </c>
      <c r="AI282" s="18">
        <f t="shared" si="587"/>
        <v>811870</v>
      </c>
    </row>
    <row r="283">
      <c r="B283" s="1" t="s">
        <v>5682</v>
      </c>
      <c r="D283" s="1">
        <v>1680000.0</v>
      </c>
      <c r="E283" s="2">
        <v>2370000.0</v>
      </c>
      <c r="F283" s="1">
        <v>1600000.0</v>
      </c>
      <c r="G283" s="1">
        <v>1860000.0</v>
      </c>
      <c r="H283" s="1">
        <v>1960000.0</v>
      </c>
      <c r="I283" s="1">
        <v>3500000.0</v>
      </c>
      <c r="J283" s="1">
        <v>2270000.0</v>
      </c>
      <c r="K283" s="1">
        <v>2380000.0</v>
      </c>
      <c r="L283" s="1">
        <v>1900000.0</v>
      </c>
      <c r="M283" s="33"/>
      <c r="N283" s="2">
        <v>1260000.0</v>
      </c>
      <c r="O283" s="1">
        <v>1240000.0</v>
      </c>
      <c r="P283">
        <f t="shared" ref="P283:P289" si="591">SUM(D283:O283)</f>
        <v>22020000</v>
      </c>
      <c r="U283">
        <v>24845.17831325301</v>
      </c>
      <c r="V283" s="136">
        <v>231431.8578313253</v>
      </c>
      <c r="W283" s="136">
        <v>23671.390361445785</v>
      </c>
      <c r="X283" s="136">
        <v>25627.70361445783</v>
      </c>
      <c r="Z283" s="146">
        <f t="shared" ref="Z283:AG283" si="588">Z282+3472</f>
        <v>47880.31084</v>
      </c>
      <c r="AA283" s="145">
        <f t="shared" si="588"/>
        <v>101678.9253</v>
      </c>
      <c r="AB283" s="146">
        <f t="shared" si="588"/>
        <v>62161.39759</v>
      </c>
      <c r="AC283" s="146">
        <f t="shared" si="588"/>
        <v>53975.88423</v>
      </c>
      <c r="AD283" s="146">
        <f t="shared" si="588"/>
        <v>71129.43625</v>
      </c>
      <c r="AE283" s="146">
        <f t="shared" si="588"/>
        <v>85832.78795</v>
      </c>
      <c r="AF283" s="146">
        <f t="shared" si="588"/>
        <v>35359.90602</v>
      </c>
      <c r="AG283" s="146">
        <f t="shared" si="588"/>
        <v>48271.57349</v>
      </c>
      <c r="AH283">
        <f>AH282/8</f>
        <v>3472.456024</v>
      </c>
      <c r="AI283" s="18">
        <f>SUM(U283:AG283)</f>
        <v>811866.3518</v>
      </c>
    </row>
    <row r="284">
      <c r="B284" s="1" t="s">
        <v>5499</v>
      </c>
      <c r="D284" s="1">
        <f t="shared" ref="D284:L284" si="589">D283*0.1</f>
        <v>168000</v>
      </c>
      <c r="E284" s="1">
        <f t="shared" si="589"/>
        <v>237000</v>
      </c>
      <c r="F284" s="1">
        <f t="shared" si="589"/>
        <v>160000</v>
      </c>
      <c r="G284" s="1">
        <f t="shared" si="589"/>
        <v>186000</v>
      </c>
      <c r="H284" s="1">
        <f t="shared" si="589"/>
        <v>196000</v>
      </c>
      <c r="I284" s="1">
        <f t="shared" si="589"/>
        <v>350000</v>
      </c>
      <c r="J284" s="1">
        <f t="shared" si="589"/>
        <v>227000</v>
      </c>
      <c r="K284" s="1">
        <f t="shared" si="589"/>
        <v>238000</v>
      </c>
      <c r="L284" s="1">
        <f t="shared" si="589"/>
        <v>190000</v>
      </c>
      <c r="M284" s="1"/>
      <c r="N284" s="1">
        <f t="shared" ref="N284:O284" si="590">N283*0.1</f>
        <v>126000</v>
      </c>
      <c r="O284" s="1">
        <f t="shared" si="590"/>
        <v>124000</v>
      </c>
      <c r="P284">
        <f t="shared" si="591"/>
        <v>2202000</v>
      </c>
      <c r="AA284" s="146">
        <f>AA283+U283</f>
        <v>126524.1036</v>
      </c>
    </row>
    <row r="285">
      <c r="B285" s="1" t="s">
        <v>5520</v>
      </c>
      <c r="D285">
        <f t="shared" ref="D285:L285" si="592">D283+D284</f>
        <v>1848000</v>
      </c>
      <c r="E285">
        <f t="shared" si="592"/>
        <v>2607000</v>
      </c>
      <c r="F285">
        <f t="shared" si="592"/>
        <v>1760000</v>
      </c>
      <c r="G285">
        <f t="shared" si="592"/>
        <v>2046000</v>
      </c>
      <c r="H285">
        <f t="shared" si="592"/>
        <v>2156000</v>
      </c>
      <c r="I285">
        <f t="shared" si="592"/>
        <v>3850000</v>
      </c>
      <c r="J285">
        <f t="shared" si="592"/>
        <v>2497000</v>
      </c>
      <c r="K285">
        <f t="shared" si="592"/>
        <v>2618000</v>
      </c>
      <c r="L285">
        <f t="shared" si="592"/>
        <v>2090000</v>
      </c>
      <c r="N285">
        <f t="shared" ref="N285:O285" si="593">N283+N284</f>
        <v>1386000</v>
      </c>
      <c r="O285">
        <f t="shared" si="593"/>
        <v>1364000</v>
      </c>
      <c r="P285">
        <f t="shared" si="591"/>
        <v>24222000</v>
      </c>
    </row>
    <row r="286">
      <c r="B286" s="1" t="s">
        <v>5545</v>
      </c>
      <c r="D286">
        <v>96138.4898498102</v>
      </c>
      <c r="E286">
        <v>359438.55091599276</v>
      </c>
      <c r="F286">
        <v>146575.17082026738</v>
      </c>
      <c r="G286">
        <v>33496.5525664301</v>
      </c>
      <c r="H286" s="134">
        <v>34320.0085822743</v>
      </c>
      <c r="I286">
        <v>180483.45139461957</v>
      </c>
      <c r="J286" s="31"/>
      <c r="K286">
        <v>111404.94545471555</v>
      </c>
      <c r="L286">
        <v>147865.13937776507</v>
      </c>
      <c r="N286">
        <v>57376.77702591187</v>
      </c>
      <c r="O286">
        <v>80227.68146558838</v>
      </c>
      <c r="P286">
        <f t="shared" si="591"/>
        <v>1247326.767</v>
      </c>
      <c r="T286" s="1" t="s">
        <v>5683</v>
      </c>
      <c r="U286" s="1">
        <v>36945.0</v>
      </c>
      <c r="W286" s="1">
        <v>32391.0</v>
      </c>
      <c r="Y286" s="1">
        <v>69712.0</v>
      </c>
      <c r="AA286" s="1">
        <v>76110.0</v>
      </c>
      <c r="AC286" s="1">
        <v>82352.0</v>
      </c>
      <c r="AE286" s="1">
        <v>105833.0</v>
      </c>
      <c r="AH286" s="1">
        <v>7152.0</v>
      </c>
    </row>
    <row r="287">
      <c r="D287">
        <f t="shared" ref="D287:L287" si="594">D286-D288</f>
        <v>87398.62714</v>
      </c>
      <c r="E287">
        <f t="shared" si="594"/>
        <v>326762.319</v>
      </c>
      <c r="F287">
        <f t="shared" si="594"/>
        <v>133250.1553</v>
      </c>
      <c r="G287">
        <f t="shared" si="594"/>
        <v>30451.41142</v>
      </c>
      <c r="H287">
        <f t="shared" si="594"/>
        <v>31200.0078</v>
      </c>
      <c r="I287">
        <f t="shared" si="594"/>
        <v>164075.8649</v>
      </c>
      <c r="J287" s="31">
        <f t="shared" si="594"/>
        <v>0</v>
      </c>
      <c r="K287">
        <f t="shared" si="594"/>
        <v>101277.2231</v>
      </c>
      <c r="L287">
        <f t="shared" si="594"/>
        <v>134422.854</v>
      </c>
      <c r="N287">
        <f t="shared" ref="N287:O287" si="595">N286-N288</f>
        <v>52160.70639</v>
      </c>
      <c r="O287">
        <f t="shared" si="595"/>
        <v>72934.25588</v>
      </c>
      <c r="P287">
        <f t="shared" si="591"/>
        <v>1133933.425</v>
      </c>
      <c r="U287" s="1">
        <v>7837.0</v>
      </c>
      <c r="V287" s="1">
        <v>33827.0</v>
      </c>
      <c r="W287" s="1">
        <v>81999.0</v>
      </c>
      <c r="AA287" s="1">
        <v>28653.0</v>
      </c>
      <c r="AE287" s="1">
        <v>94472.0</v>
      </c>
      <c r="AG287" s="1">
        <v>13064.0</v>
      </c>
    </row>
    <row r="288">
      <c r="B288" s="1" t="s">
        <v>5499</v>
      </c>
      <c r="D288">
        <f t="shared" ref="D288:L288" si="596">D286/11</f>
        <v>8739.862714</v>
      </c>
      <c r="E288">
        <f t="shared" si="596"/>
        <v>32676.2319</v>
      </c>
      <c r="F288">
        <f t="shared" si="596"/>
        <v>13325.01553</v>
      </c>
      <c r="G288">
        <f t="shared" si="596"/>
        <v>3045.141142</v>
      </c>
      <c r="H288">
        <f t="shared" si="596"/>
        <v>3120.00078</v>
      </c>
      <c r="I288">
        <f t="shared" si="596"/>
        <v>16407.58649</v>
      </c>
      <c r="J288" s="31">
        <f t="shared" si="596"/>
        <v>0</v>
      </c>
      <c r="K288">
        <f t="shared" si="596"/>
        <v>10127.72231</v>
      </c>
      <c r="L288">
        <f t="shared" si="596"/>
        <v>13442.2854</v>
      </c>
      <c r="N288">
        <f t="shared" ref="N288:O288" si="597">N286/11</f>
        <v>5216.070639</v>
      </c>
      <c r="O288">
        <f t="shared" si="597"/>
        <v>7293.425588</v>
      </c>
      <c r="P288">
        <f t="shared" si="591"/>
        <v>113393.3425</v>
      </c>
      <c r="U288">
        <f t="shared" ref="U288:U289" si="598">U286-U278</f>
        <v>1083</v>
      </c>
      <c r="W288">
        <f t="shared" ref="W288:W289" si="599">W286-W278</f>
        <v>175</v>
      </c>
      <c r="Y288">
        <f>Y286-Y278</f>
        <v>134</v>
      </c>
      <c r="AA288">
        <f t="shared" ref="AA288:AA289" si="600">AA286-AA278</f>
        <v>957</v>
      </c>
      <c r="AC288">
        <f>AC286-AC278</f>
        <v>626</v>
      </c>
      <c r="AE288">
        <f t="shared" ref="AE288:AE289" si="601">AE286-AE278</f>
        <v>1017</v>
      </c>
      <c r="AH288">
        <f>AH286-AH278</f>
        <v>138</v>
      </c>
    </row>
    <row r="289">
      <c r="B289" s="1" t="s">
        <v>5684</v>
      </c>
      <c r="D289">
        <v>50435.56353839246</v>
      </c>
      <c r="E289">
        <v>42003.771890435564</v>
      </c>
      <c r="F289">
        <v>21001.885945217782</v>
      </c>
      <c r="G289">
        <v>19268.971710821734</v>
      </c>
      <c r="H289" s="134">
        <v>27726.627750336775</v>
      </c>
      <c r="I289">
        <v>56332.64481365065</v>
      </c>
      <c r="J289">
        <v>0.0</v>
      </c>
      <c r="K289">
        <v>19113.785361472837</v>
      </c>
      <c r="L289">
        <v>25605.747642568476</v>
      </c>
      <c r="M289" s="134">
        <v>0.0</v>
      </c>
      <c r="N289" s="159">
        <v>15027.211495285137</v>
      </c>
      <c r="O289">
        <v>11483.78985181859</v>
      </c>
      <c r="P289">
        <f t="shared" si="591"/>
        <v>288000</v>
      </c>
      <c r="U289" s="147">
        <f t="shared" si="598"/>
        <v>133</v>
      </c>
      <c r="V289" s="147">
        <f>(V287-V279)</f>
        <v>904</v>
      </c>
      <c r="W289" s="147">
        <f t="shared" si="599"/>
        <v>374</v>
      </c>
      <c r="X289" s="137">
        <f>W288</f>
        <v>175</v>
      </c>
      <c r="Y289" s="152">
        <v>0.0</v>
      </c>
      <c r="Z289" s="100">
        <f>Y288-Y289</f>
        <v>134</v>
      </c>
      <c r="AA289" s="147">
        <f t="shared" si="600"/>
        <v>733</v>
      </c>
      <c r="AB289" s="100">
        <f>(AA288-AA289)</f>
        <v>224</v>
      </c>
      <c r="AC289" s="147">
        <f>(AC288)*73.9/(73.9+99)</f>
        <v>267.5615963</v>
      </c>
      <c r="AD289" s="147">
        <f>(AC288)*99/(73.9+99)</f>
        <v>358.4384037</v>
      </c>
      <c r="AE289" s="147">
        <f t="shared" si="601"/>
        <v>481</v>
      </c>
      <c r="AF289" s="100">
        <f>AE288-AE289-AG289-50</f>
        <v>131</v>
      </c>
      <c r="AG289" s="147">
        <f>AG287-AG279</f>
        <v>355</v>
      </c>
      <c r="AH289" s="1">
        <v>138.0</v>
      </c>
      <c r="AI289" s="18">
        <f t="shared" ref="AI289:AI290" si="604">SUM(U289:AH289)</f>
        <v>4408</v>
      </c>
      <c r="AJ289" s="1">
        <v>947250.0</v>
      </c>
      <c r="AL289" s="1">
        <v>5691.0</v>
      </c>
    </row>
    <row r="290">
      <c r="B290" s="23" t="s">
        <v>5598</v>
      </c>
      <c r="D290" s="154">
        <f t="shared" ref="D290:P290" si="602">SUM(D285,D286,D289)</f>
        <v>1994574.053</v>
      </c>
      <c r="E290" s="18">
        <f t="shared" si="602"/>
        <v>3008442.323</v>
      </c>
      <c r="F290" s="18">
        <f t="shared" si="602"/>
        <v>1927577.057</v>
      </c>
      <c r="G290" s="18">
        <f t="shared" si="602"/>
        <v>2098765.524</v>
      </c>
      <c r="H290" s="18">
        <f t="shared" si="602"/>
        <v>2218046.636</v>
      </c>
      <c r="I290" s="18">
        <f t="shared" si="602"/>
        <v>4086816.096</v>
      </c>
      <c r="J290" s="18">
        <f t="shared" si="602"/>
        <v>2497000</v>
      </c>
      <c r="K290" s="18">
        <f t="shared" si="602"/>
        <v>2748518.731</v>
      </c>
      <c r="L290" s="18">
        <f t="shared" si="602"/>
        <v>2263470.887</v>
      </c>
      <c r="M290" s="18">
        <f t="shared" si="602"/>
        <v>0</v>
      </c>
      <c r="N290" s="18">
        <f t="shared" si="602"/>
        <v>1458403.989</v>
      </c>
      <c r="O290" s="18">
        <f t="shared" si="602"/>
        <v>1455711.471</v>
      </c>
      <c r="P290" s="18">
        <f t="shared" si="602"/>
        <v>25757326.77</v>
      </c>
      <c r="U290" s="158">
        <f t="shared" ref="U290:AH290" si="603">U289*947250/4408</f>
        <v>28580.81897</v>
      </c>
      <c r="V290" s="158">
        <f t="shared" si="603"/>
        <v>194263.6116</v>
      </c>
      <c r="W290" s="158">
        <f t="shared" si="603"/>
        <v>80370.1225</v>
      </c>
      <c r="X290" s="158">
        <f t="shared" si="603"/>
        <v>37606.34074</v>
      </c>
      <c r="Y290" s="158">
        <f t="shared" si="603"/>
        <v>0</v>
      </c>
      <c r="Z290" s="158">
        <f t="shared" si="603"/>
        <v>28795.71234</v>
      </c>
      <c r="AA290" s="158">
        <f t="shared" si="603"/>
        <v>157516.8444</v>
      </c>
      <c r="AB290" s="158">
        <f t="shared" si="603"/>
        <v>48136.11615</v>
      </c>
      <c r="AC290" s="158">
        <f t="shared" si="603"/>
        <v>57497.21463</v>
      </c>
      <c r="AD290" s="158">
        <f t="shared" si="603"/>
        <v>77026.03854</v>
      </c>
      <c r="AE290" s="158">
        <f t="shared" si="603"/>
        <v>103363.7137</v>
      </c>
      <c r="AF290" s="158">
        <f t="shared" si="603"/>
        <v>28151.03221</v>
      </c>
      <c r="AG290" s="158">
        <f t="shared" si="603"/>
        <v>76287.14837</v>
      </c>
      <c r="AH290" s="158">
        <f t="shared" si="603"/>
        <v>29655.28584</v>
      </c>
      <c r="AI290" s="18">
        <f t="shared" si="604"/>
        <v>947250</v>
      </c>
    </row>
    <row r="291">
      <c r="B291" s="1" t="s">
        <v>5599</v>
      </c>
      <c r="D291">
        <f t="shared" ref="D291:O291" si="605">SUM(D283,D287,D289)</f>
        <v>1817834.191</v>
      </c>
      <c r="E291">
        <f t="shared" si="605"/>
        <v>2738766.091</v>
      </c>
      <c r="F291">
        <f t="shared" si="605"/>
        <v>1754252.041</v>
      </c>
      <c r="G291">
        <f t="shared" si="605"/>
        <v>1909720.383</v>
      </c>
      <c r="H291">
        <f t="shared" si="605"/>
        <v>2018926.636</v>
      </c>
      <c r="I291">
        <f t="shared" si="605"/>
        <v>3720408.51</v>
      </c>
      <c r="J291">
        <f t="shared" si="605"/>
        <v>2270000</v>
      </c>
      <c r="K291">
        <f t="shared" si="605"/>
        <v>2500391.009</v>
      </c>
      <c r="L291">
        <f t="shared" si="605"/>
        <v>2060028.602</v>
      </c>
      <c r="M291">
        <f t="shared" si="605"/>
        <v>0</v>
      </c>
      <c r="N291">
        <f t="shared" si="605"/>
        <v>1327187.918</v>
      </c>
      <c r="O291">
        <f t="shared" si="605"/>
        <v>1324418.046</v>
      </c>
      <c r="U291">
        <v>28580.818965517243</v>
      </c>
      <c r="V291" s="55">
        <v>194263.611615245</v>
      </c>
      <c r="W291" s="55">
        <v>80370.12250453721</v>
      </c>
      <c r="X291" s="55">
        <v>37606.34074410163</v>
      </c>
      <c r="Z291" s="146">
        <f t="shared" ref="Z291:AG291" si="606">Z290+3707</f>
        <v>32502.71234</v>
      </c>
      <c r="AA291" s="145">
        <f t="shared" si="606"/>
        <v>161223.8444</v>
      </c>
      <c r="AB291" s="146">
        <f t="shared" si="606"/>
        <v>51843.11615</v>
      </c>
      <c r="AC291" s="146">
        <f t="shared" si="606"/>
        <v>61204.21463</v>
      </c>
      <c r="AD291" s="146">
        <f t="shared" si="606"/>
        <v>80733.03854</v>
      </c>
      <c r="AE291" s="146">
        <f t="shared" si="606"/>
        <v>107070.7137</v>
      </c>
      <c r="AF291" s="146">
        <f t="shared" si="606"/>
        <v>31858.03221</v>
      </c>
      <c r="AG291" s="146">
        <f t="shared" si="606"/>
        <v>79994.14837</v>
      </c>
      <c r="AH291">
        <f>AH290/8</f>
        <v>3706.91073</v>
      </c>
      <c r="AI291" s="18">
        <f>SUM(U291:AG291)</f>
        <v>947250.7142</v>
      </c>
    </row>
    <row r="292">
      <c r="B292" s="1" t="s">
        <v>5601</v>
      </c>
      <c r="D292">
        <f t="shared" ref="D292:O292" si="607">SUM(D283,D287)</f>
        <v>1767398.627</v>
      </c>
      <c r="E292">
        <f t="shared" si="607"/>
        <v>2696762.319</v>
      </c>
      <c r="F292">
        <f t="shared" si="607"/>
        <v>1733250.155</v>
      </c>
      <c r="G292">
        <f t="shared" si="607"/>
        <v>1890451.411</v>
      </c>
      <c r="H292">
        <f t="shared" si="607"/>
        <v>1991200.008</v>
      </c>
      <c r="I292">
        <f t="shared" si="607"/>
        <v>3664075.865</v>
      </c>
      <c r="J292">
        <f t="shared" si="607"/>
        <v>2270000</v>
      </c>
      <c r="K292">
        <f t="shared" si="607"/>
        <v>2481277.223</v>
      </c>
      <c r="L292">
        <f t="shared" si="607"/>
        <v>2034422.854</v>
      </c>
      <c r="M292">
        <f t="shared" si="607"/>
        <v>0</v>
      </c>
      <c r="N292">
        <f t="shared" si="607"/>
        <v>1312160.706</v>
      </c>
      <c r="O292">
        <f t="shared" si="607"/>
        <v>1312934.256</v>
      </c>
      <c r="AA292" s="146">
        <f>AA291+U291</f>
        <v>189804.6633</v>
      </c>
    </row>
    <row r="293">
      <c r="B293" s="1" t="s">
        <v>5582</v>
      </c>
      <c r="D293">
        <f t="shared" ref="D293:O293" si="608">SUM(D284,D288)</f>
        <v>176739.8627</v>
      </c>
      <c r="E293">
        <f t="shared" si="608"/>
        <v>269676.2319</v>
      </c>
      <c r="F293">
        <f t="shared" si="608"/>
        <v>173325.0155</v>
      </c>
      <c r="G293">
        <f t="shared" si="608"/>
        <v>189045.1411</v>
      </c>
      <c r="H293">
        <f t="shared" si="608"/>
        <v>199120.0008</v>
      </c>
      <c r="I293">
        <f t="shared" si="608"/>
        <v>366407.5865</v>
      </c>
      <c r="J293">
        <f t="shared" si="608"/>
        <v>227000</v>
      </c>
      <c r="K293">
        <f t="shared" si="608"/>
        <v>248127.7223</v>
      </c>
      <c r="L293">
        <f t="shared" si="608"/>
        <v>203442.2854</v>
      </c>
      <c r="M293">
        <f t="shared" si="608"/>
        <v>0</v>
      </c>
      <c r="N293">
        <f t="shared" si="608"/>
        <v>131216.0706</v>
      </c>
      <c r="O293">
        <f t="shared" si="608"/>
        <v>131293.4256</v>
      </c>
    </row>
    <row r="294">
      <c r="B294" s="1" t="s">
        <v>5602</v>
      </c>
      <c r="D294">
        <f t="shared" ref="D294:O294" si="609">SUM(D292:D293)</f>
        <v>1944138.49</v>
      </c>
      <c r="E294">
        <f t="shared" si="609"/>
        <v>2966438.551</v>
      </c>
      <c r="F294">
        <f t="shared" si="609"/>
        <v>1906575.171</v>
      </c>
      <c r="G294">
        <f t="shared" si="609"/>
        <v>2079496.553</v>
      </c>
      <c r="H294">
        <f t="shared" si="609"/>
        <v>2190320.009</v>
      </c>
      <c r="I294">
        <f t="shared" si="609"/>
        <v>4030483.451</v>
      </c>
      <c r="J294">
        <f t="shared" si="609"/>
        <v>2497000</v>
      </c>
      <c r="K294">
        <f t="shared" si="609"/>
        <v>2729404.945</v>
      </c>
      <c r="L294">
        <f t="shared" si="609"/>
        <v>2237865.139</v>
      </c>
      <c r="M294">
        <f t="shared" si="609"/>
        <v>0</v>
      </c>
      <c r="N294">
        <f t="shared" si="609"/>
        <v>1443376.777</v>
      </c>
      <c r="O294">
        <f t="shared" si="609"/>
        <v>1444227.681</v>
      </c>
      <c r="T294" s="1" t="s">
        <v>5685</v>
      </c>
      <c r="U294" s="1">
        <v>38016.0</v>
      </c>
      <c r="W294" s="1">
        <v>32549.0</v>
      </c>
      <c r="Y294" s="1">
        <v>69871.0</v>
      </c>
      <c r="AA294" s="1">
        <v>77338.0</v>
      </c>
      <c r="AC294" s="1">
        <v>83223.0</v>
      </c>
      <c r="AE294" s="1">
        <v>107303.0</v>
      </c>
      <c r="AH294" s="1">
        <v>7303.0</v>
      </c>
    </row>
    <row r="295">
      <c r="E295" s="1" t="s">
        <v>5566</v>
      </c>
      <c r="F295" s="1" t="s">
        <v>5566</v>
      </c>
      <c r="G295" s="1" t="s">
        <v>5566</v>
      </c>
      <c r="H295" s="1" t="s">
        <v>5566</v>
      </c>
      <c r="I295" s="1" t="s">
        <v>5566</v>
      </c>
      <c r="J295" s="1" t="s">
        <v>5566</v>
      </c>
      <c r="K295" s="1" t="s">
        <v>5566</v>
      </c>
      <c r="L295" s="1" t="s">
        <v>5566</v>
      </c>
      <c r="M295" s="1"/>
      <c r="N295" s="33" t="s">
        <v>5566</v>
      </c>
      <c r="O295" s="1" t="s">
        <v>5566</v>
      </c>
      <c r="U295" s="1">
        <v>7974.0</v>
      </c>
      <c r="V295" s="1">
        <v>34712.0</v>
      </c>
      <c r="W295" s="1">
        <v>82482.0</v>
      </c>
      <c r="AA295" s="1">
        <v>29486.0</v>
      </c>
      <c r="AE295" s="1">
        <v>95183.0</v>
      </c>
      <c r="AG295" s="1">
        <v>13536.0</v>
      </c>
    </row>
    <row r="296">
      <c r="H296" s="1" t="s">
        <v>5686</v>
      </c>
      <c r="M296" s="1"/>
      <c r="N296" s="33"/>
      <c r="Q296" s="77" t="s">
        <v>5687</v>
      </c>
      <c r="R296" s="154">
        <f>SUM(R297:R312)</f>
        <v>2121472</v>
      </c>
      <c r="U296">
        <f t="shared" ref="U296:U297" si="610">U294-U286</f>
        <v>1071</v>
      </c>
      <c r="W296">
        <f t="shared" ref="W296:W297" si="611">W294-W286</f>
        <v>158</v>
      </c>
      <c r="Y296">
        <f>Y294-Y286</f>
        <v>159</v>
      </c>
      <c r="AA296">
        <f t="shared" ref="AA296:AA297" si="612">AA294-AA286</f>
        <v>1228</v>
      </c>
      <c r="AC296">
        <f>AC294-AC286</f>
        <v>871</v>
      </c>
      <c r="AE296">
        <f t="shared" ref="AE296:AE297" si="613">AE294-AE286</f>
        <v>1470</v>
      </c>
      <c r="AH296">
        <f>AH294-AH286</f>
        <v>151</v>
      </c>
    </row>
    <row r="297">
      <c r="H297" s="1"/>
      <c r="J297" s="1" t="s">
        <v>5688</v>
      </c>
      <c r="M297" s="1"/>
      <c r="N297" s="33"/>
      <c r="Q297" s="1" t="s">
        <v>5689</v>
      </c>
      <c r="R297" s="1">
        <v>2121472.0</v>
      </c>
      <c r="U297" s="147">
        <f t="shared" si="610"/>
        <v>137</v>
      </c>
      <c r="V297" s="147">
        <f>(V295-V287)</f>
        <v>885</v>
      </c>
      <c r="W297" s="147">
        <f t="shared" si="611"/>
        <v>483</v>
      </c>
      <c r="X297" s="137">
        <f>W296</f>
        <v>158</v>
      </c>
      <c r="Y297" s="152">
        <v>0.0</v>
      </c>
      <c r="Z297" s="100">
        <f>Y296-Y297</f>
        <v>159</v>
      </c>
      <c r="AA297" s="147">
        <f t="shared" si="612"/>
        <v>833</v>
      </c>
      <c r="AB297" s="100">
        <f>(AA296-AA297)</f>
        <v>395</v>
      </c>
      <c r="AC297" s="147">
        <f>(AC296)*73.9/(73.9+99)</f>
        <v>372.2781955</v>
      </c>
      <c r="AD297" s="147">
        <f>(AC296)*99/(73.9+99)</f>
        <v>498.7218045</v>
      </c>
      <c r="AE297" s="147">
        <f t="shared" si="613"/>
        <v>711</v>
      </c>
      <c r="AF297" s="100">
        <f>AE296-AE297-AG297-50</f>
        <v>237</v>
      </c>
      <c r="AG297" s="147">
        <f>AG295-AG287</f>
        <v>472</v>
      </c>
      <c r="AH297" s="134">
        <v>151.0</v>
      </c>
      <c r="AI297" s="18">
        <f t="shared" ref="AI297:AI298" si="615">SUM(U297:AH297)</f>
        <v>5492</v>
      </c>
      <c r="AJ297" s="1">
        <v>1233750.0</v>
      </c>
      <c r="AL297" s="1">
        <v>6668.0</v>
      </c>
    </row>
    <row r="298">
      <c r="B298" s="1" t="s">
        <v>5690</v>
      </c>
      <c r="D298" s="1">
        <v>1680000.0</v>
      </c>
      <c r="E298" s="2">
        <v>2370000.0</v>
      </c>
      <c r="F298" s="1">
        <v>1600000.0</v>
      </c>
      <c r="G298" s="1">
        <v>1860000.0</v>
      </c>
      <c r="H298" s="1">
        <v>1960000.0</v>
      </c>
      <c r="I298" s="1">
        <v>3500000.0</v>
      </c>
      <c r="J298" s="1">
        <f>2270000*9/31</f>
        <v>659032.2581</v>
      </c>
      <c r="K298" s="1">
        <v>2380000.0</v>
      </c>
      <c r="L298" s="1">
        <v>1900000.0</v>
      </c>
      <c r="M298" s="33"/>
      <c r="N298" s="2">
        <v>1260000.0</v>
      </c>
      <c r="O298" s="1">
        <v>1240000.0</v>
      </c>
      <c r="P298">
        <f t="shared" ref="P298:P306" si="618">SUM(D298:O298)</f>
        <v>20409032.26</v>
      </c>
      <c r="Q298" s="1" t="s">
        <v>2293</v>
      </c>
      <c r="U298" s="158">
        <f t="shared" ref="U298:AH298" si="614">U297*1233750/5492</f>
        <v>30776.35652</v>
      </c>
      <c r="V298" s="158">
        <f t="shared" si="614"/>
        <v>198810.7702</v>
      </c>
      <c r="W298" s="158">
        <f t="shared" si="614"/>
        <v>108503.5051</v>
      </c>
      <c r="X298" s="158">
        <f t="shared" si="614"/>
        <v>35493.90022</v>
      </c>
      <c r="Y298" s="158">
        <f t="shared" si="614"/>
        <v>0</v>
      </c>
      <c r="Z298" s="158">
        <f t="shared" si="614"/>
        <v>35718.54516</v>
      </c>
      <c r="AA298" s="158">
        <f t="shared" si="614"/>
        <v>187129.2334</v>
      </c>
      <c r="AB298" s="158">
        <f t="shared" si="614"/>
        <v>88734.75055</v>
      </c>
      <c r="AC298" s="158">
        <f t="shared" si="614"/>
        <v>83630.41218</v>
      </c>
      <c r="AD298" s="158">
        <f t="shared" si="614"/>
        <v>112035.3289</v>
      </c>
      <c r="AE298" s="158">
        <f t="shared" si="614"/>
        <v>159722.551</v>
      </c>
      <c r="AF298" s="158">
        <f t="shared" si="614"/>
        <v>53240.85033</v>
      </c>
      <c r="AG298" s="158">
        <f t="shared" si="614"/>
        <v>106032.4108</v>
      </c>
      <c r="AH298" s="158">
        <f t="shared" si="614"/>
        <v>33921.38565</v>
      </c>
      <c r="AI298" s="18">
        <f t="shared" si="615"/>
        <v>1233750</v>
      </c>
    </row>
    <row r="299">
      <c r="B299" s="1" t="s">
        <v>5499</v>
      </c>
      <c r="D299" s="1">
        <f t="shared" ref="D299:L299" si="616">D298*0.1</f>
        <v>168000</v>
      </c>
      <c r="E299" s="1">
        <f t="shared" si="616"/>
        <v>237000</v>
      </c>
      <c r="F299" s="1">
        <f t="shared" si="616"/>
        <v>160000</v>
      </c>
      <c r="G299" s="1">
        <f t="shared" si="616"/>
        <v>186000</v>
      </c>
      <c r="H299" s="1">
        <f t="shared" si="616"/>
        <v>196000</v>
      </c>
      <c r="I299" s="1">
        <f t="shared" si="616"/>
        <v>350000</v>
      </c>
      <c r="J299" s="1">
        <f t="shared" si="616"/>
        <v>65903.22581</v>
      </c>
      <c r="K299" s="1">
        <f t="shared" si="616"/>
        <v>238000</v>
      </c>
      <c r="L299" s="1">
        <f t="shared" si="616"/>
        <v>190000</v>
      </c>
      <c r="M299" s="1"/>
      <c r="N299" s="1">
        <f t="shared" ref="N299:O299" si="617">N298*0.1</f>
        <v>126000</v>
      </c>
      <c r="O299" s="1">
        <f t="shared" si="617"/>
        <v>124000</v>
      </c>
      <c r="P299">
        <f t="shared" si="618"/>
        <v>2040903.226</v>
      </c>
      <c r="U299">
        <v>30776.35651857247</v>
      </c>
      <c r="V299" s="151">
        <v>198810.77021121632</v>
      </c>
      <c r="W299" s="151">
        <v>108503.50509832484</v>
      </c>
      <c r="X299" s="151">
        <v>35493.900218499635</v>
      </c>
      <c r="Z299" s="146">
        <f t="shared" ref="Z299:AG299" si="619">Z298+4240</f>
        <v>39958.54516</v>
      </c>
      <c r="AA299" s="145">
        <f t="shared" si="619"/>
        <v>191369.2334</v>
      </c>
      <c r="AB299" s="146">
        <f t="shared" si="619"/>
        <v>92974.75055</v>
      </c>
      <c r="AC299" s="146">
        <f t="shared" si="619"/>
        <v>87870.41218</v>
      </c>
      <c r="AD299" s="146">
        <f t="shared" si="619"/>
        <v>116275.3289</v>
      </c>
      <c r="AE299" s="146">
        <f t="shared" si="619"/>
        <v>163962.551</v>
      </c>
      <c r="AF299" s="146">
        <f t="shared" si="619"/>
        <v>57480.85033</v>
      </c>
      <c r="AG299" s="146">
        <f t="shared" si="619"/>
        <v>110272.4108</v>
      </c>
      <c r="AH299">
        <f>AH298/8</f>
        <v>4240.173206</v>
      </c>
      <c r="AI299" s="18">
        <f>SUM(U299:AG299)</f>
        <v>1233748.614</v>
      </c>
    </row>
    <row r="300">
      <c r="B300" s="1" t="s">
        <v>5520</v>
      </c>
      <c r="D300">
        <f t="shared" ref="D300:L300" si="620">D298+D299</f>
        <v>1848000</v>
      </c>
      <c r="E300">
        <f t="shared" si="620"/>
        <v>2607000</v>
      </c>
      <c r="F300">
        <f t="shared" si="620"/>
        <v>1760000</v>
      </c>
      <c r="G300">
        <f t="shared" si="620"/>
        <v>2046000</v>
      </c>
      <c r="H300">
        <f t="shared" si="620"/>
        <v>2156000</v>
      </c>
      <c r="I300">
        <f t="shared" si="620"/>
        <v>3850000</v>
      </c>
      <c r="J300">
        <f t="shared" si="620"/>
        <v>724935.4839</v>
      </c>
      <c r="K300">
        <f t="shared" si="620"/>
        <v>2618000</v>
      </c>
      <c r="L300">
        <f t="shared" si="620"/>
        <v>2090000</v>
      </c>
      <c r="N300">
        <f t="shared" ref="N300:O300" si="621">N298+N299</f>
        <v>1386000</v>
      </c>
      <c r="O300">
        <f t="shared" si="621"/>
        <v>1364000</v>
      </c>
      <c r="P300">
        <f t="shared" si="618"/>
        <v>22449935.48</v>
      </c>
      <c r="AA300" s="146">
        <f>AA299+U299</f>
        <v>222145.5899</v>
      </c>
    </row>
    <row r="301">
      <c r="B301" s="1" t="s">
        <v>5545</v>
      </c>
      <c r="D301">
        <v>86268.52196216736</v>
      </c>
      <c r="E301">
        <v>402235.750774821</v>
      </c>
      <c r="F301">
        <v>134838.40119696484</v>
      </c>
      <c r="G301">
        <v>74444.72234690606</v>
      </c>
      <c r="H301" s="134">
        <v>115650.21556054291</v>
      </c>
      <c r="I301">
        <v>215420.1118948381</v>
      </c>
      <c r="J301" s="31"/>
      <c r="K301">
        <v>182097.42632427617</v>
      </c>
      <c r="L301">
        <v>242781.15163874617</v>
      </c>
      <c r="N301">
        <v>47792.65865127712</v>
      </c>
      <c r="O301">
        <v>139146.1138185316</v>
      </c>
      <c r="P301">
        <f t="shared" si="618"/>
        <v>1640675.074</v>
      </c>
    </row>
    <row r="302">
      <c r="D302">
        <f t="shared" ref="D302:L302" si="622">D301-D303</f>
        <v>78425.92906</v>
      </c>
      <c r="E302">
        <f t="shared" si="622"/>
        <v>365668.8643</v>
      </c>
      <c r="F302">
        <f t="shared" si="622"/>
        <v>122580.3647</v>
      </c>
      <c r="G302">
        <f t="shared" si="622"/>
        <v>67677.02032</v>
      </c>
      <c r="H302">
        <f t="shared" si="622"/>
        <v>105136.5596</v>
      </c>
      <c r="I302">
        <f t="shared" si="622"/>
        <v>195836.4654</v>
      </c>
      <c r="J302" s="31">
        <f t="shared" si="622"/>
        <v>0</v>
      </c>
      <c r="K302">
        <f t="shared" si="622"/>
        <v>165543.1148</v>
      </c>
      <c r="L302">
        <f t="shared" si="622"/>
        <v>220710.1379</v>
      </c>
      <c r="N302">
        <f t="shared" ref="N302:O302" si="623">N301-N303</f>
        <v>43447.8715</v>
      </c>
      <c r="O302">
        <f t="shared" si="623"/>
        <v>126496.4671</v>
      </c>
      <c r="P302">
        <f t="shared" si="618"/>
        <v>1491522.795</v>
      </c>
      <c r="T302" s="1" t="s">
        <v>5691</v>
      </c>
      <c r="U302" s="1">
        <v>39306.0</v>
      </c>
      <c r="W302" s="1">
        <v>32706.0</v>
      </c>
      <c r="Y302" s="1">
        <v>70134.0</v>
      </c>
      <c r="AA302" s="1">
        <v>78831.0</v>
      </c>
      <c r="AC302" s="1">
        <v>84569.0</v>
      </c>
      <c r="AE302" s="1">
        <v>108810.0</v>
      </c>
      <c r="AH302" s="1">
        <v>7453.0</v>
      </c>
    </row>
    <row r="303">
      <c r="B303" s="1" t="s">
        <v>5499</v>
      </c>
      <c r="D303">
        <f t="shared" ref="D303:L303" si="624">D301/11</f>
        <v>7842.592906</v>
      </c>
      <c r="E303">
        <f t="shared" si="624"/>
        <v>36566.88643</v>
      </c>
      <c r="F303">
        <f t="shared" si="624"/>
        <v>12258.03647</v>
      </c>
      <c r="G303">
        <f t="shared" si="624"/>
        <v>6767.702032</v>
      </c>
      <c r="H303">
        <f t="shared" si="624"/>
        <v>10513.65596</v>
      </c>
      <c r="I303">
        <f t="shared" si="624"/>
        <v>19583.64654</v>
      </c>
      <c r="J303" s="31">
        <f t="shared" si="624"/>
        <v>0</v>
      </c>
      <c r="K303">
        <f t="shared" si="624"/>
        <v>16554.31148</v>
      </c>
      <c r="L303">
        <f t="shared" si="624"/>
        <v>22071.01379</v>
      </c>
      <c r="N303">
        <f t="shared" ref="N303:O303" si="625">N301/11</f>
        <v>4344.78715</v>
      </c>
      <c r="O303">
        <f t="shared" si="625"/>
        <v>12649.64671</v>
      </c>
      <c r="P303">
        <f t="shared" si="618"/>
        <v>149152.2795</v>
      </c>
      <c r="U303" s="1">
        <v>8128.0</v>
      </c>
      <c r="V303" s="1">
        <v>35793.0</v>
      </c>
      <c r="W303" s="1">
        <v>83051.0</v>
      </c>
      <c r="AA303" s="1">
        <v>30315.0</v>
      </c>
      <c r="AE303" s="1">
        <v>95904.0</v>
      </c>
      <c r="AG303" s="1">
        <v>14031.0</v>
      </c>
    </row>
    <row r="304">
      <c r="B304" s="23" t="s">
        <v>5528</v>
      </c>
      <c r="D304" s="154">
        <f t="shared" ref="D304:O304" si="626">SUM(D300,D301)</f>
        <v>1934268.522</v>
      </c>
      <c r="E304" s="18">
        <f t="shared" si="626"/>
        <v>3009235.751</v>
      </c>
      <c r="F304" s="18">
        <f t="shared" si="626"/>
        <v>1894838.401</v>
      </c>
      <c r="G304" s="18">
        <f t="shared" si="626"/>
        <v>2120444.722</v>
      </c>
      <c r="H304" s="18">
        <f t="shared" si="626"/>
        <v>2271650.216</v>
      </c>
      <c r="I304" s="18">
        <f t="shared" si="626"/>
        <v>4065420.112</v>
      </c>
      <c r="J304" s="18">
        <f t="shared" si="626"/>
        <v>724935.4839</v>
      </c>
      <c r="K304" s="18">
        <f t="shared" si="626"/>
        <v>2800097.426</v>
      </c>
      <c r="L304" s="18">
        <f t="shared" si="626"/>
        <v>2332781.152</v>
      </c>
      <c r="M304" s="18">
        <f t="shared" si="626"/>
        <v>0</v>
      </c>
      <c r="N304" s="18">
        <f t="shared" si="626"/>
        <v>1433792.659</v>
      </c>
      <c r="O304" s="18">
        <f t="shared" si="626"/>
        <v>1503146.114</v>
      </c>
      <c r="P304">
        <f t="shared" si="618"/>
        <v>24090610.56</v>
      </c>
      <c r="U304">
        <f t="shared" ref="U304:U305" si="628">U302-U294</f>
        <v>1290</v>
      </c>
      <c r="W304">
        <f t="shared" ref="W304:W305" si="629">W302-W294</f>
        <v>157</v>
      </c>
      <c r="Y304">
        <f>Y302-Y294</f>
        <v>263</v>
      </c>
      <c r="AA304">
        <f t="shared" ref="AA304:AA305" si="630">AA302-AA294</f>
        <v>1493</v>
      </c>
      <c r="AC304">
        <f>AC302-AC294</f>
        <v>1346</v>
      </c>
      <c r="AE304">
        <f t="shared" ref="AE304:AE305" si="631">AE302-AE294</f>
        <v>1507</v>
      </c>
      <c r="AH304">
        <f>AH302-AH294</f>
        <v>150</v>
      </c>
    </row>
    <row r="305">
      <c r="B305" s="1" t="s">
        <v>5580</v>
      </c>
      <c r="D305">
        <f t="shared" ref="D305:O305" si="627">D298+D302</f>
        <v>1758425.929</v>
      </c>
      <c r="E305">
        <f t="shared" si="627"/>
        <v>2735668.864</v>
      </c>
      <c r="F305">
        <f t="shared" si="627"/>
        <v>1722580.365</v>
      </c>
      <c r="G305">
        <f t="shared" si="627"/>
        <v>1927677.02</v>
      </c>
      <c r="H305">
        <f t="shared" si="627"/>
        <v>2065136.56</v>
      </c>
      <c r="I305">
        <f t="shared" si="627"/>
        <v>3695836.465</v>
      </c>
      <c r="J305">
        <f t="shared" si="627"/>
        <v>659032.2581</v>
      </c>
      <c r="K305">
        <f t="shared" si="627"/>
        <v>2545543.115</v>
      </c>
      <c r="L305">
        <f t="shared" si="627"/>
        <v>2120710.138</v>
      </c>
      <c r="M305">
        <f t="shared" si="627"/>
        <v>0</v>
      </c>
      <c r="N305">
        <f t="shared" si="627"/>
        <v>1303447.872</v>
      </c>
      <c r="O305">
        <f t="shared" si="627"/>
        <v>1366496.467</v>
      </c>
      <c r="P305">
        <f t="shared" si="618"/>
        <v>21900555.05</v>
      </c>
      <c r="U305" s="147">
        <f t="shared" si="628"/>
        <v>154</v>
      </c>
      <c r="V305" s="147">
        <f>(V303-V295)</f>
        <v>1081</v>
      </c>
      <c r="W305" s="147">
        <f t="shared" si="629"/>
        <v>569</v>
      </c>
      <c r="X305" s="137">
        <f>W304</f>
        <v>157</v>
      </c>
      <c r="Y305" s="152">
        <v>0.0</v>
      </c>
      <c r="Z305" s="100">
        <f>Y304-Y305</f>
        <v>263</v>
      </c>
      <c r="AA305" s="147">
        <f t="shared" si="630"/>
        <v>829</v>
      </c>
      <c r="AB305" s="100">
        <f>(AA304-AA305)</f>
        <v>664</v>
      </c>
      <c r="AC305" s="147">
        <f>(AC304)*73.9/(73.9+99)</f>
        <v>575.3001735</v>
      </c>
      <c r="AD305" s="147">
        <f>(AC304)*99/(73.9+99)</f>
        <v>770.6998265</v>
      </c>
      <c r="AE305" s="147">
        <f t="shared" si="631"/>
        <v>721</v>
      </c>
      <c r="AF305" s="100">
        <f>AE304-AE305-AG305-50</f>
        <v>241</v>
      </c>
      <c r="AG305" s="147">
        <f>AG303-AG295</f>
        <v>495</v>
      </c>
      <c r="AH305" s="1">
        <v>150.0</v>
      </c>
      <c r="AI305" s="18">
        <f t="shared" ref="AI305:AI306" si="634">SUM(U305:AH305)</f>
        <v>6670</v>
      </c>
      <c r="AJ305" s="1">
        <v>1353100.0</v>
      </c>
    </row>
    <row r="306">
      <c r="B306" s="1" t="s">
        <v>5582</v>
      </c>
      <c r="D306">
        <f t="shared" ref="D306:O306" si="632">D299+D303</f>
        <v>175842.5929</v>
      </c>
      <c r="E306">
        <f t="shared" si="632"/>
        <v>273566.8864</v>
      </c>
      <c r="F306">
        <f t="shared" si="632"/>
        <v>172258.0365</v>
      </c>
      <c r="G306">
        <f t="shared" si="632"/>
        <v>192767.702</v>
      </c>
      <c r="H306">
        <f t="shared" si="632"/>
        <v>206513.656</v>
      </c>
      <c r="I306">
        <f t="shared" si="632"/>
        <v>369583.6465</v>
      </c>
      <c r="J306">
        <f t="shared" si="632"/>
        <v>65903.22581</v>
      </c>
      <c r="K306">
        <f t="shared" si="632"/>
        <v>254554.3115</v>
      </c>
      <c r="L306">
        <f t="shared" si="632"/>
        <v>212071.0138</v>
      </c>
      <c r="M306">
        <f t="shared" si="632"/>
        <v>0</v>
      </c>
      <c r="N306">
        <f t="shared" si="632"/>
        <v>130344.7872</v>
      </c>
      <c r="O306">
        <f t="shared" si="632"/>
        <v>136649.6467</v>
      </c>
      <c r="P306">
        <f t="shared" si="618"/>
        <v>2190055.505</v>
      </c>
      <c r="U306" s="158">
        <f t="shared" ref="U306:AH306" si="633">U305*1353100/6670</f>
        <v>31240.98951</v>
      </c>
      <c r="V306" s="158">
        <f t="shared" si="633"/>
        <v>219295.5172</v>
      </c>
      <c r="W306" s="158">
        <f t="shared" si="633"/>
        <v>115429.3703</v>
      </c>
      <c r="X306" s="158">
        <f t="shared" si="633"/>
        <v>31849.58021</v>
      </c>
      <c r="Y306" s="158">
        <f t="shared" si="633"/>
        <v>0</v>
      </c>
      <c r="Z306" s="158">
        <f t="shared" si="633"/>
        <v>53353.11844</v>
      </c>
      <c r="AA306" s="158">
        <f t="shared" si="633"/>
        <v>168173.8981</v>
      </c>
      <c r="AB306" s="158">
        <f t="shared" si="633"/>
        <v>134701.4093</v>
      </c>
      <c r="AC306" s="158">
        <f t="shared" si="633"/>
        <v>116707.446</v>
      </c>
      <c r="AD306" s="158">
        <f t="shared" si="633"/>
        <v>156346.9168</v>
      </c>
      <c r="AE306" s="158">
        <f t="shared" si="633"/>
        <v>146264.6327</v>
      </c>
      <c r="AF306" s="158">
        <f t="shared" si="633"/>
        <v>48890.11994</v>
      </c>
      <c r="AG306" s="158">
        <f t="shared" si="633"/>
        <v>100417.4663</v>
      </c>
      <c r="AH306" s="158">
        <f t="shared" si="633"/>
        <v>30429.53523</v>
      </c>
      <c r="AI306" s="18">
        <f t="shared" si="634"/>
        <v>1353100</v>
      </c>
    </row>
    <row r="307">
      <c r="E307" s="1" t="s">
        <v>5566</v>
      </c>
      <c r="F307" s="1" t="s">
        <v>5566</v>
      </c>
      <c r="G307" s="1" t="s">
        <v>5566</v>
      </c>
      <c r="H307" s="1" t="s">
        <v>5566</v>
      </c>
      <c r="I307" s="1" t="s">
        <v>5566</v>
      </c>
      <c r="K307" s="1" t="s">
        <v>5566</v>
      </c>
      <c r="L307" s="1" t="s">
        <v>5566</v>
      </c>
      <c r="M307" s="1"/>
      <c r="N307" s="33" t="s">
        <v>5692</v>
      </c>
      <c r="O307" s="1" t="s">
        <v>5566</v>
      </c>
      <c r="U307">
        <v>31240.989505247377</v>
      </c>
      <c r="V307" s="136">
        <v>219295.5172413793</v>
      </c>
      <c r="W307" s="136">
        <v>115429.37031484258</v>
      </c>
      <c r="X307" s="136">
        <v>31849.58020989505</v>
      </c>
      <c r="Z307" s="146">
        <f t="shared" ref="Z307:AG307" si="635">Z306+3803</f>
        <v>57156.11844</v>
      </c>
      <c r="AA307" s="145">
        <f t="shared" si="635"/>
        <v>171976.8981</v>
      </c>
      <c r="AB307" s="146">
        <f t="shared" si="635"/>
        <v>138504.4093</v>
      </c>
      <c r="AC307" s="146">
        <f t="shared" si="635"/>
        <v>120510.446</v>
      </c>
      <c r="AD307" s="146">
        <f t="shared" si="635"/>
        <v>160149.9168</v>
      </c>
      <c r="AE307" s="146">
        <f t="shared" si="635"/>
        <v>150067.6327</v>
      </c>
      <c r="AF307" s="146">
        <f t="shared" si="635"/>
        <v>52693.11994</v>
      </c>
      <c r="AG307" s="146">
        <f t="shared" si="635"/>
        <v>104220.4663</v>
      </c>
      <c r="AH307">
        <f>AH306/8</f>
        <v>3803.691904</v>
      </c>
      <c r="AI307" s="18">
        <f>SUM(U307:AG307)</f>
        <v>1353094.465</v>
      </c>
    </row>
    <row r="308">
      <c r="H308" s="1"/>
      <c r="M308" s="1" t="s">
        <v>5693</v>
      </c>
      <c r="N308" s="33"/>
      <c r="AA308" s="146">
        <f>AA307+U307</f>
        <v>203217.8876</v>
      </c>
    </row>
    <row r="309">
      <c r="D309" s="1" t="s">
        <v>5694</v>
      </c>
      <c r="H309" s="1"/>
      <c r="M309" s="1" t="s">
        <v>5695</v>
      </c>
      <c r="N309" s="33"/>
    </row>
    <row r="310">
      <c r="B310" s="1" t="s">
        <v>5696</v>
      </c>
      <c r="D310" s="1">
        <f>200000*11/30</f>
        <v>73333.33333</v>
      </c>
      <c r="E310" s="33">
        <v>2370000.0</v>
      </c>
      <c r="F310" s="1">
        <v>1600000.0</v>
      </c>
      <c r="G310" s="1">
        <v>1860000.0</v>
      </c>
      <c r="H310" s="1">
        <v>1960000.0</v>
      </c>
      <c r="I310" s="1">
        <v>3500000.0</v>
      </c>
      <c r="K310" s="1">
        <v>2380000.0</v>
      </c>
      <c r="L310" s="1">
        <v>1900000.0</v>
      </c>
      <c r="M310" s="1">
        <f>1500000*24/30 -800000</f>
        <v>400000</v>
      </c>
      <c r="N310" s="33">
        <v>1260000.0</v>
      </c>
      <c r="O310" s="1">
        <v>1240000.0</v>
      </c>
      <c r="P310">
        <f t="shared" ref="P310:P321" si="638">SUM(D310:O310)</f>
        <v>18543333.33</v>
      </c>
      <c r="T310" s="1" t="s">
        <v>5697</v>
      </c>
      <c r="U310" s="1">
        <v>40402.0</v>
      </c>
      <c r="W310" s="1">
        <v>32868.0</v>
      </c>
      <c r="Y310" s="1">
        <v>70387.0</v>
      </c>
      <c r="AA310" s="1">
        <v>80267.0</v>
      </c>
      <c r="AC310" s="1">
        <v>85465.0</v>
      </c>
      <c r="AE310" s="1">
        <v>110136.0</v>
      </c>
      <c r="AH310" s="1">
        <v>7589.0</v>
      </c>
    </row>
    <row r="311">
      <c r="B311" s="1" t="s">
        <v>5499</v>
      </c>
      <c r="D311" s="1">
        <f t="shared" ref="D311:I311" si="636">D310*0.1</f>
        <v>7333.333333</v>
      </c>
      <c r="E311" s="1">
        <f t="shared" si="636"/>
        <v>237000</v>
      </c>
      <c r="F311" s="1">
        <f t="shared" si="636"/>
        <v>160000</v>
      </c>
      <c r="G311" s="1">
        <f t="shared" si="636"/>
        <v>186000</v>
      </c>
      <c r="H311" s="1">
        <f t="shared" si="636"/>
        <v>196000</v>
      </c>
      <c r="I311" s="1">
        <f t="shared" si="636"/>
        <v>350000</v>
      </c>
      <c r="K311" s="1">
        <f t="shared" ref="K311:O311" si="637">K310*0.1</f>
        <v>238000</v>
      </c>
      <c r="L311" s="1">
        <f t="shared" si="637"/>
        <v>190000</v>
      </c>
      <c r="M311" s="1">
        <f t="shared" si="637"/>
        <v>40000</v>
      </c>
      <c r="N311" s="1">
        <f t="shared" si="637"/>
        <v>126000</v>
      </c>
      <c r="O311" s="1">
        <f t="shared" si="637"/>
        <v>124000</v>
      </c>
      <c r="P311">
        <f t="shared" si="638"/>
        <v>1854333.333</v>
      </c>
      <c r="U311" s="1">
        <v>8270.0</v>
      </c>
      <c r="V311" s="1">
        <v>36701.0</v>
      </c>
      <c r="W311" s="1">
        <v>83567.0</v>
      </c>
      <c r="AA311" s="1">
        <v>31171.0</v>
      </c>
      <c r="AE311" s="1">
        <v>96597.0</v>
      </c>
      <c r="AG311" s="1">
        <v>14402.0</v>
      </c>
    </row>
    <row r="312">
      <c r="B312" s="1" t="s">
        <v>5520</v>
      </c>
      <c r="D312">
        <f t="shared" ref="D312:I312" si="639">D310+D311</f>
        <v>80666.66667</v>
      </c>
      <c r="E312">
        <f t="shared" si="639"/>
        <v>2607000</v>
      </c>
      <c r="F312">
        <f t="shared" si="639"/>
        <v>1760000</v>
      </c>
      <c r="G312">
        <f t="shared" si="639"/>
        <v>2046000</v>
      </c>
      <c r="H312">
        <f t="shared" si="639"/>
        <v>2156000</v>
      </c>
      <c r="I312">
        <f t="shared" si="639"/>
        <v>3850000</v>
      </c>
      <c r="K312">
        <f t="shared" ref="K312:O312" si="640">K310+K311</f>
        <v>2618000</v>
      </c>
      <c r="L312">
        <f t="shared" si="640"/>
        <v>2090000</v>
      </c>
      <c r="M312">
        <f t="shared" si="640"/>
        <v>440000</v>
      </c>
      <c r="N312">
        <f t="shared" si="640"/>
        <v>1386000</v>
      </c>
      <c r="O312">
        <f t="shared" si="640"/>
        <v>1364000</v>
      </c>
      <c r="P312">
        <f t="shared" si="638"/>
        <v>20397666.67</v>
      </c>
      <c r="U312">
        <f t="shared" ref="U312:U313" si="641">U310-U302</f>
        <v>1096</v>
      </c>
      <c r="W312">
        <f t="shared" ref="W312:W313" si="642">W310-W302</f>
        <v>162</v>
      </c>
      <c r="Y312">
        <f>Y310-Y302</f>
        <v>253</v>
      </c>
      <c r="AA312">
        <f t="shared" ref="AA312:AA313" si="643">AA310-AA302</f>
        <v>1436</v>
      </c>
      <c r="AC312">
        <f>AC310-AC302</f>
        <v>896</v>
      </c>
      <c r="AE312">
        <f t="shared" ref="AE312:AE313" si="644">AE310-AE302</f>
        <v>1326</v>
      </c>
      <c r="AH312">
        <f>AH310-AH302</f>
        <v>136</v>
      </c>
    </row>
    <row r="313">
      <c r="B313" s="1" t="s">
        <v>5545</v>
      </c>
      <c r="D313">
        <v>19325.9513606891</v>
      </c>
      <c r="E313">
        <v>350518.7542395376</v>
      </c>
      <c r="F313">
        <v>134174.2855457575</v>
      </c>
      <c r="G313">
        <v>67318.58908190049</v>
      </c>
      <c r="H313" s="134">
        <v>68428.99696227917</v>
      </c>
      <c r="I313">
        <v>192239.47562450232</v>
      </c>
      <c r="K313">
        <v>125231.59418143082</v>
      </c>
      <c r="L313">
        <v>166713.36703601692</v>
      </c>
      <c r="M313" s="134">
        <v>14019.010823723715</v>
      </c>
      <c r="N313" s="159">
        <v>40853.86793287522</v>
      </c>
      <c r="O313">
        <v>76201.85212492997</v>
      </c>
      <c r="P313">
        <f t="shared" si="638"/>
        <v>1255025.745</v>
      </c>
      <c r="U313" s="147">
        <f t="shared" si="641"/>
        <v>142</v>
      </c>
      <c r="V313" s="147">
        <f>(V311-V303)</f>
        <v>908</v>
      </c>
      <c r="W313" s="147">
        <f t="shared" si="642"/>
        <v>516</v>
      </c>
      <c r="X313" s="137">
        <f>W312</f>
        <v>162</v>
      </c>
      <c r="Y313" s="152">
        <v>0.0</v>
      </c>
      <c r="Z313" s="100">
        <f>Y312-Y313</f>
        <v>253</v>
      </c>
      <c r="AA313" s="147">
        <f t="shared" si="643"/>
        <v>856</v>
      </c>
      <c r="AB313" s="100">
        <f>(AA312-AA313)</f>
        <v>580</v>
      </c>
      <c r="AC313" s="147">
        <f>(AC312)*73.9/(73.9+99)</f>
        <v>382.9635628</v>
      </c>
      <c r="AD313" s="147">
        <f>(AC312)*99/(73.9+99)</f>
        <v>513.0364372</v>
      </c>
      <c r="AE313" s="147">
        <f t="shared" si="644"/>
        <v>693</v>
      </c>
      <c r="AF313" s="100">
        <f>AE312-AE313-AG313-50</f>
        <v>212</v>
      </c>
      <c r="AG313" s="147">
        <f>AG311-AG303</f>
        <v>371</v>
      </c>
      <c r="AH313" s="1">
        <v>136.0</v>
      </c>
      <c r="AI313" s="18">
        <f t="shared" ref="AI313:AI314" si="647">SUM(U313:AH313)</f>
        <v>5725</v>
      </c>
      <c r="AJ313" s="1">
        <v>1185970.0</v>
      </c>
      <c r="AL313" s="1">
        <v>7257.0</v>
      </c>
    </row>
    <row r="314">
      <c r="D314">
        <f t="shared" ref="D314:O314" si="645">D313-D315</f>
        <v>17569.04669</v>
      </c>
      <c r="E314">
        <f t="shared" si="645"/>
        <v>318653.4129</v>
      </c>
      <c r="F314">
        <f t="shared" si="645"/>
        <v>121976.6232</v>
      </c>
      <c r="G314">
        <f t="shared" si="645"/>
        <v>61198.71735</v>
      </c>
      <c r="H314">
        <f t="shared" si="645"/>
        <v>62208.17906</v>
      </c>
      <c r="I314">
        <f t="shared" si="645"/>
        <v>174763.1597</v>
      </c>
      <c r="J314">
        <f t="shared" si="645"/>
        <v>0</v>
      </c>
      <c r="K314">
        <f t="shared" si="645"/>
        <v>113846.9038</v>
      </c>
      <c r="L314">
        <f t="shared" si="645"/>
        <v>151557.6064</v>
      </c>
      <c r="M314">
        <f t="shared" si="645"/>
        <v>12744.55529</v>
      </c>
      <c r="N314">
        <f t="shared" si="645"/>
        <v>37139.87994</v>
      </c>
      <c r="O314">
        <f t="shared" si="645"/>
        <v>69274.41102</v>
      </c>
      <c r="P314">
        <f t="shared" si="638"/>
        <v>1140932.495</v>
      </c>
      <c r="U314" s="158">
        <f t="shared" ref="U314:AH314" si="646">U313*1185970/5725</f>
        <v>29416.19913</v>
      </c>
      <c r="V314" s="158">
        <f t="shared" si="646"/>
        <v>188097.9493</v>
      </c>
      <c r="W314" s="158">
        <f t="shared" si="646"/>
        <v>106892.6672</v>
      </c>
      <c r="X314" s="158">
        <f t="shared" si="646"/>
        <v>33559.32576</v>
      </c>
      <c r="Y314" s="158">
        <f t="shared" si="646"/>
        <v>0</v>
      </c>
      <c r="Z314" s="158">
        <f t="shared" si="646"/>
        <v>52410.55197</v>
      </c>
      <c r="AA314" s="158">
        <f t="shared" si="646"/>
        <v>177325.8201</v>
      </c>
      <c r="AB314" s="158">
        <f t="shared" si="646"/>
        <v>120150.6725</v>
      </c>
      <c r="AC314" s="158">
        <f t="shared" si="646"/>
        <v>79333.3269</v>
      </c>
      <c r="AD314" s="158">
        <f t="shared" si="646"/>
        <v>106278.7465</v>
      </c>
      <c r="AE314" s="158">
        <f t="shared" si="646"/>
        <v>143559.338</v>
      </c>
      <c r="AF314" s="158">
        <f t="shared" si="646"/>
        <v>43917.14236</v>
      </c>
      <c r="AG314" s="158">
        <f t="shared" si="646"/>
        <v>76854.99913</v>
      </c>
      <c r="AH314" s="158">
        <f t="shared" si="646"/>
        <v>28173.26114</v>
      </c>
      <c r="AI314" s="18">
        <f t="shared" si="647"/>
        <v>1185970</v>
      </c>
    </row>
    <row r="315">
      <c r="B315" s="1" t="s">
        <v>5499</v>
      </c>
      <c r="D315">
        <f t="shared" ref="D315:O315" si="648">D313/11</f>
        <v>1756.904669</v>
      </c>
      <c r="E315">
        <f t="shared" si="648"/>
        <v>31865.34129</v>
      </c>
      <c r="F315">
        <f t="shared" si="648"/>
        <v>12197.66232</v>
      </c>
      <c r="G315">
        <f t="shared" si="648"/>
        <v>6119.871735</v>
      </c>
      <c r="H315">
        <f t="shared" si="648"/>
        <v>6220.817906</v>
      </c>
      <c r="I315">
        <f t="shared" si="648"/>
        <v>17476.31597</v>
      </c>
      <c r="J315">
        <f t="shared" si="648"/>
        <v>0</v>
      </c>
      <c r="K315">
        <f t="shared" si="648"/>
        <v>11384.69038</v>
      </c>
      <c r="L315">
        <f t="shared" si="648"/>
        <v>15155.76064</v>
      </c>
      <c r="M315">
        <f t="shared" si="648"/>
        <v>1274.455529</v>
      </c>
      <c r="N315">
        <f t="shared" si="648"/>
        <v>3713.987994</v>
      </c>
      <c r="O315">
        <f t="shared" si="648"/>
        <v>6927.441102</v>
      </c>
      <c r="P315">
        <f t="shared" si="638"/>
        <v>114093.2495</v>
      </c>
      <c r="U315">
        <v>29416.199126637555</v>
      </c>
      <c r="V315" s="136">
        <v>188097.94934497817</v>
      </c>
      <c r="W315" s="136">
        <v>106892.6672489083</v>
      </c>
      <c r="X315" s="136">
        <v>33559.32576419214</v>
      </c>
      <c r="Z315" s="146">
        <f t="shared" ref="Z315:AG315" si="649">Z314+3521</f>
        <v>55931.55197</v>
      </c>
      <c r="AA315" s="145">
        <f t="shared" si="649"/>
        <v>180846.8201</v>
      </c>
      <c r="AB315" s="146">
        <f t="shared" si="649"/>
        <v>123671.6725</v>
      </c>
      <c r="AC315" s="146">
        <f t="shared" si="649"/>
        <v>82854.3269</v>
      </c>
      <c r="AD315" s="146">
        <f t="shared" si="649"/>
        <v>109799.7465</v>
      </c>
      <c r="AE315" s="146">
        <f t="shared" si="649"/>
        <v>147080.338</v>
      </c>
      <c r="AF315" s="146">
        <f t="shared" si="649"/>
        <v>47438.14236</v>
      </c>
      <c r="AG315" s="146">
        <f t="shared" si="649"/>
        <v>80375.99913</v>
      </c>
      <c r="AH315">
        <f>AH314/8</f>
        <v>3521.657642</v>
      </c>
      <c r="AI315" s="18">
        <f>SUM(U315:AG315)</f>
        <v>1185964.739</v>
      </c>
    </row>
    <row r="316">
      <c r="B316" s="1" t="s">
        <v>5641</v>
      </c>
      <c r="D316">
        <v>14574.26058536766</v>
      </c>
      <c r="E316">
        <v>52885.88097541619</v>
      </c>
      <c r="F316">
        <v>26442.940487708096</v>
      </c>
      <c r="G316">
        <v>24261.072245495725</v>
      </c>
      <c r="H316" s="134">
        <v>34909.89187539787</v>
      </c>
      <c r="I316">
        <v>70927.00047072442</v>
      </c>
      <c r="J316">
        <v>0.0</v>
      </c>
      <c r="K316">
        <v>24065.681059625964</v>
      </c>
      <c r="L316">
        <v>32239.545668511102</v>
      </c>
      <c r="M316" s="134">
        <v>6738.5935618609265</v>
      </c>
      <c r="N316" s="159">
        <v>18920.37983172217</v>
      </c>
      <c r="O316">
        <v>14458.947754362553</v>
      </c>
      <c r="P316">
        <f t="shared" si="638"/>
        <v>320424.1945</v>
      </c>
      <c r="AA316" s="146">
        <f>AA315+U315</f>
        <v>210263.0192</v>
      </c>
    </row>
    <row r="317">
      <c r="B317" s="23" t="s">
        <v>5598</v>
      </c>
      <c r="D317" s="18">
        <f t="shared" ref="D317:O317" si="650">SUM(D312,D313,D316)</f>
        <v>114566.8786</v>
      </c>
      <c r="E317" s="18">
        <f t="shared" si="650"/>
        <v>3010404.635</v>
      </c>
      <c r="F317" s="18">
        <f t="shared" si="650"/>
        <v>1920617.226</v>
      </c>
      <c r="G317" s="18">
        <f t="shared" si="650"/>
        <v>2137579.661</v>
      </c>
      <c r="H317" s="18">
        <f t="shared" si="650"/>
        <v>2259338.889</v>
      </c>
      <c r="I317" s="18">
        <f t="shared" si="650"/>
        <v>4113166.476</v>
      </c>
      <c r="J317" s="18">
        <f t="shared" si="650"/>
        <v>0</v>
      </c>
      <c r="K317" s="18">
        <f t="shared" si="650"/>
        <v>2767297.275</v>
      </c>
      <c r="L317" s="18">
        <f t="shared" si="650"/>
        <v>2288952.913</v>
      </c>
      <c r="M317" s="18">
        <f t="shared" si="650"/>
        <v>460757.6044</v>
      </c>
      <c r="N317" s="18">
        <f t="shared" si="650"/>
        <v>1445774.248</v>
      </c>
      <c r="O317" s="18">
        <f t="shared" si="650"/>
        <v>1454660.8</v>
      </c>
      <c r="P317">
        <f t="shared" si="638"/>
        <v>21973116.61</v>
      </c>
    </row>
    <row r="318">
      <c r="B318" s="1" t="s">
        <v>5599</v>
      </c>
      <c r="D318">
        <f t="shared" ref="D318:O318" si="651">SUM(D310,D314,D316)</f>
        <v>105476.6406</v>
      </c>
      <c r="E318">
        <f t="shared" si="651"/>
        <v>2741539.294</v>
      </c>
      <c r="F318">
        <f t="shared" si="651"/>
        <v>1748419.564</v>
      </c>
      <c r="G318">
        <f t="shared" si="651"/>
        <v>1945459.79</v>
      </c>
      <c r="H318">
        <f t="shared" si="651"/>
        <v>2057118.071</v>
      </c>
      <c r="I318">
        <f t="shared" si="651"/>
        <v>3745690.16</v>
      </c>
      <c r="J318">
        <f t="shared" si="651"/>
        <v>0</v>
      </c>
      <c r="K318">
        <f t="shared" si="651"/>
        <v>2517912.585</v>
      </c>
      <c r="L318">
        <f t="shared" si="651"/>
        <v>2083797.152</v>
      </c>
      <c r="M318">
        <f t="shared" si="651"/>
        <v>419483.1489</v>
      </c>
      <c r="N318">
        <f t="shared" si="651"/>
        <v>1316060.26</v>
      </c>
      <c r="O318">
        <f t="shared" si="651"/>
        <v>1323733.359</v>
      </c>
      <c r="P318">
        <f t="shared" si="638"/>
        <v>20004690.02</v>
      </c>
      <c r="T318" s="1" t="s">
        <v>5698</v>
      </c>
      <c r="U318" s="1">
        <v>41342.0</v>
      </c>
      <c r="W318" s="1">
        <v>33021.0</v>
      </c>
      <c r="Y318" s="1">
        <v>70524.0</v>
      </c>
      <c r="AA318" s="1">
        <v>81320.0</v>
      </c>
      <c r="AC318" s="1">
        <v>86080.0</v>
      </c>
      <c r="AE318" s="1">
        <v>110931.0</v>
      </c>
      <c r="AH318" s="1">
        <v>7724.0</v>
      </c>
    </row>
    <row r="319">
      <c r="B319" s="1" t="s">
        <v>5601</v>
      </c>
      <c r="D319">
        <f t="shared" ref="D319:O319" si="652">SUM(D310,D314)</f>
        <v>90902.38002</v>
      </c>
      <c r="E319">
        <f t="shared" si="652"/>
        <v>2688653.413</v>
      </c>
      <c r="F319">
        <f t="shared" si="652"/>
        <v>1721976.623</v>
      </c>
      <c r="G319">
        <f t="shared" si="652"/>
        <v>1921198.717</v>
      </c>
      <c r="H319">
        <f t="shared" si="652"/>
        <v>2022208.179</v>
      </c>
      <c r="I319">
        <f t="shared" si="652"/>
        <v>3674763.16</v>
      </c>
      <c r="J319">
        <f t="shared" si="652"/>
        <v>0</v>
      </c>
      <c r="K319">
        <f t="shared" si="652"/>
        <v>2493846.904</v>
      </c>
      <c r="L319">
        <f t="shared" si="652"/>
        <v>2051557.606</v>
      </c>
      <c r="M319">
        <f t="shared" si="652"/>
        <v>412744.5553</v>
      </c>
      <c r="N319">
        <f t="shared" si="652"/>
        <v>1297139.88</v>
      </c>
      <c r="O319">
        <f t="shared" si="652"/>
        <v>1309274.411</v>
      </c>
      <c r="P319">
        <f t="shared" si="638"/>
        <v>19684265.83</v>
      </c>
      <c r="U319" s="1">
        <v>8416.0</v>
      </c>
      <c r="V319" s="1">
        <v>37450.0</v>
      </c>
      <c r="W319" s="1">
        <v>83978.0</v>
      </c>
      <c r="AA319" s="1">
        <v>31845.0</v>
      </c>
      <c r="AE319" s="1">
        <v>96996.0</v>
      </c>
      <c r="AG319" s="1">
        <v>14521.0</v>
      </c>
    </row>
    <row r="320">
      <c r="B320" s="1" t="s">
        <v>5582</v>
      </c>
      <c r="D320">
        <f t="shared" ref="D320:O320" si="653">SUM(D311,D315)</f>
        <v>9090.238002</v>
      </c>
      <c r="E320">
        <f t="shared" si="653"/>
        <v>268865.3413</v>
      </c>
      <c r="F320">
        <f t="shared" si="653"/>
        <v>172197.6623</v>
      </c>
      <c r="G320">
        <f t="shared" si="653"/>
        <v>192119.8717</v>
      </c>
      <c r="H320">
        <f t="shared" si="653"/>
        <v>202220.8179</v>
      </c>
      <c r="I320">
        <f t="shared" si="653"/>
        <v>367476.316</v>
      </c>
      <c r="J320">
        <f t="shared" si="653"/>
        <v>0</v>
      </c>
      <c r="K320">
        <f t="shared" si="653"/>
        <v>249384.6904</v>
      </c>
      <c r="L320">
        <f t="shared" si="653"/>
        <v>205155.7606</v>
      </c>
      <c r="M320">
        <f t="shared" si="653"/>
        <v>41274.45553</v>
      </c>
      <c r="N320">
        <f t="shared" si="653"/>
        <v>129713.988</v>
      </c>
      <c r="O320">
        <f t="shared" si="653"/>
        <v>130927.4411</v>
      </c>
      <c r="P320">
        <f t="shared" si="638"/>
        <v>1968426.583</v>
      </c>
      <c r="U320">
        <f t="shared" ref="U320:U321" si="655">U318-U310</f>
        <v>940</v>
      </c>
      <c r="W320">
        <f t="shared" ref="W320:W321" si="656">W318-W310</f>
        <v>153</v>
      </c>
      <c r="Y320">
        <f>Y318-Y310</f>
        <v>137</v>
      </c>
      <c r="AA320">
        <f t="shared" ref="AA320:AA321" si="657">AA318-AA310</f>
        <v>1053</v>
      </c>
      <c r="AC320">
        <f>AC318-AC310</f>
        <v>615</v>
      </c>
      <c r="AE320">
        <f t="shared" ref="AE320:AE321" si="658">AE318-AE310</f>
        <v>795</v>
      </c>
      <c r="AH320">
        <f>AH318-AH310</f>
        <v>135</v>
      </c>
    </row>
    <row r="321">
      <c r="B321" s="1" t="s">
        <v>5602</v>
      </c>
      <c r="D321">
        <f t="shared" ref="D321:O321" si="654">SUM(D319:D320)</f>
        <v>99992.61803</v>
      </c>
      <c r="E321">
        <f t="shared" si="654"/>
        <v>2957518.754</v>
      </c>
      <c r="F321">
        <f t="shared" si="654"/>
        <v>1894174.286</v>
      </c>
      <c r="G321">
        <f t="shared" si="654"/>
        <v>2113318.589</v>
      </c>
      <c r="H321">
        <f t="shared" si="654"/>
        <v>2224428.997</v>
      </c>
      <c r="I321">
        <f t="shared" si="654"/>
        <v>4042239.476</v>
      </c>
      <c r="J321">
        <f t="shared" si="654"/>
        <v>0</v>
      </c>
      <c r="K321">
        <f t="shared" si="654"/>
        <v>2743231.594</v>
      </c>
      <c r="L321">
        <f t="shared" si="654"/>
        <v>2256713.367</v>
      </c>
      <c r="M321">
        <f t="shared" si="654"/>
        <v>454019.0108</v>
      </c>
      <c r="N321">
        <f t="shared" si="654"/>
        <v>1426853.868</v>
      </c>
      <c r="O321">
        <f t="shared" si="654"/>
        <v>1440201.852</v>
      </c>
      <c r="P321">
        <f t="shared" si="638"/>
        <v>21652692.41</v>
      </c>
      <c r="U321" s="147">
        <f t="shared" si="655"/>
        <v>146</v>
      </c>
      <c r="V321" s="147">
        <f>(V319-V311)</f>
        <v>749</v>
      </c>
      <c r="W321" s="147">
        <f t="shared" si="656"/>
        <v>411</v>
      </c>
      <c r="X321" s="137">
        <f>W320</f>
        <v>153</v>
      </c>
      <c r="Y321" s="152">
        <v>0.0</v>
      </c>
      <c r="Z321" s="100">
        <f>Y320-Y321</f>
        <v>137</v>
      </c>
      <c r="AA321" s="147">
        <f t="shared" si="657"/>
        <v>674</v>
      </c>
      <c r="AB321" s="100">
        <f>(AA320-AA321)</f>
        <v>379</v>
      </c>
      <c r="AC321" s="147">
        <f>(AC320)*73.9/(73.9+99)</f>
        <v>262.8600347</v>
      </c>
      <c r="AD321" s="147">
        <f>(AC320)*99/(73.9+99)</f>
        <v>352.1399653</v>
      </c>
      <c r="AE321" s="147">
        <f t="shared" si="658"/>
        <v>399</v>
      </c>
      <c r="AF321" s="100">
        <f>AE320-AE321-AG321-50</f>
        <v>227</v>
      </c>
      <c r="AG321" s="147">
        <f>AG319-AG311</f>
        <v>119</v>
      </c>
      <c r="AH321" s="1">
        <v>135.0</v>
      </c>
      <c r="AI321" s="18">
        <f t="shared" ref="AI321:AI322" si="660">SUM(U321:AH321)</f>
        <v>4144</v>
      </c>
      <c r="AJ321" s="1">
        <v>791780.0</v>
      </c>
      <c r="AL321" s="1">
        <v>4848.0</v>
      </c>
    </row>
    <row r="322">
      <c r="D322" s="1" t="s">
        <v>5566</v>
      </c>
      <c r="E322" s="1" t="s">
        <v>5566</v>
      </c>
      <c r="F322" s="1" t="s">
        <v>5566</v>
      </c>
      <c r="G322" s="1" t="s">
        <v>5566</v>
      </c>
      <c r="H322" s="1" t="s">
        <v>5566</v>
      </c>
      <c r="I322" s="1" t="s">
        <v>5566</v>
      </c>
      <c r="K322" s="1" t="s">
        <v>5566</v>
      </c>
      <c r="L322" s="1" t="s">
        <v>5566</v>
      </c>
      <c r="M322" s="1" t="s">
        <v>5566</v>
      </c>
      <c r="N322" s="33" t="s">
        <v>5566</v>
      </c>
      <c r="O322" s="1" t="s">
        <v>5699</v>
      </c>
      <c r="U322" s="158">
        <f t="shared" ref="U322:AH322" si="659">U321*791780/4144</f>
        <v>27895.72394</v>
      </c>
      <c r="V322" s="158">
        <f t="shared" si="659"/>
        <v>143108.8851</v>
      </c>
      <c r="W322" s="158">
        <f t="shared" si="659"/>
        <v>78528.37355</v>
      </c>
      <c r="X322" s="158">
        <f t="shared" si="659"/>
        <v>29233.19015</v>
      </c>
      <c r="Y322" s="158">
        <f t="shared" si="659"/>
        <v>0</v>
      </c>
      <c r="Z322" s="158">
        <f t="shared" si="659"/>
        <v>26176.12452</v>
      </c>
      <c r="AA322" s="158">
        <f t="shared" si="659"/>
        <v>128778.89</v>
      </c>
      <c r="AB322" s="158">
        <f t="shared" si="659"/>
        <v>72414.24228</v>
      </c>
      <c r="AC322" s="158">
        <f t="shared" si="659"/>
        <v>50223.77372</v>
      </c>
      <c r="AD322" s="158">
        <f t="shared" si="659"/>
        <v>67282.18671</v>
      </c>
      <c r="AE322" s="158">
        <f t="shared" si="659"/>
        <v>76235.57432</v>
      </c>
      <c r="AF322" s="158">
        <f t="shared" si="659"/>
        <v>43372.11873</v>
      </c>
      <c r="AG322" s="158">
        <f t="shared" si="659"/>
        <v>22736.92568</v>
      </c>
      <c r="AH322" s="158">
        <f t="shared" si="659"/>
        <v>25793.99131</v>
      </c>
      <c r="AI322" s="18">
        <f t="shared" si="660"/>
        <v>791780</v>
      </c>
    </row>
    <row r="323">
      <c r="D323" s="160" t="s">
        <v>5700</v>
      </c>
      <c r="H323" s="1"/>
      <c r="M323" s="1"/>
      <c r="N323" s="33"/>
      <c r="U323">
        <v>27895.72393822394</v>
      </c>
      <c r="V323" s="55">
        <v>143108.88513513515</v>
      </c>
      <c r="W323" s="55">
        <v>78528.37355212355</v>
      </c>
      <c r="X323" s="55">
        <v>29233.190154440155</v>
      </c>
      <c r="Z323" s="146">
        <f t="shared" ref="Z323:AG323" si="661">Z322+3224</f>
        <v>29400.12452</v>
      </c>
      <c r="AA323" s="145">
        <f t="shared" si="661"/>
        <v>132002.89</v>
      </c>
      <c r="AB323" s="146">
        <f t="shared" si="661"/>
        <v>75638.24228</v>
      </c>
      <c r="AC323" s="146">
        <f t="shared" si="661"/>
        <v>53447.77372</v>
      </c>
      <c r="AD323" s="146">
        <f t="shared" si="661"/>
        <v>70506.18671</v>
      </c>
      <c r="AE323" s="146">
        <f t="shared" si="661"/>
        <v>79459.57432</v>
      </c>
      <c r="AF323" s="146">
        <f t="shared" si="661"/>
        <v>46596.11873</v>
      </c>
      <c r="AG323" s="146">
        <f t="shared" si="661"/>
        <v>25960.92568</v>
      </c>
      <c r="AH323">
        <f>AH322/8</f>
        <v>3224.248914</v>
      </c>
      <c r="AI323" s="18">
        <f>SUM(U323:AG323)</f>
        <v>791778.0087</v>
      </c>
    </row>
    <row r="324">
      <c r="D324" s="160" t="s">
        <v>5701</v>
      </c>
      <c r="H324" s="1"/>
      <c r="M324" s="1"/>
      <c r="N324" s="33"/>
      <c r="AA324" s="146">
        <f>AA323+U323</f>
        <v>159898.6139</v>
      </c>
    </row>
    <row r="325">
      <c r="B325" s="1" t="s">
        <v>5702</v>
      </c>
      <c r="D325">
        <f>200000+1700000*13/31</f>
        <v>912903.2258</v>
      </c>
      <c r="E325" s="33">
        <v>2370000.0</v>
      </c>
      <c r="F325" s="1">
        <v>1600000.0</v>
      </c>
      <c r="G325" s="1">
        <v>1860000.0</v>
      </c>
      <c r="H325" s="1">
        <v>1960000.0</v>
      </c>
      <c r="I325" s="1">
        <v>3500000.0</v>
      </c>
      <c r="K325" s="1">
        <v>2380000.0</v>
      </c>
      <c r="L325" s="1">
        <v>1900000.0</v>
      </c>
      <c r="M325" s="1">
        <v>1500000.0</v>
      </c>
      <c r="N325" s="33">
        <v>1260000.0</v>
      </c>
      <c r="O325" s="1">
        <v>1240000.0</v>
      </c>
      <c r="P325">
        <f t="shared" ref="P325:P333" si="664">SUM(D325:O325)</f>
        <v>20482903.23</v>
      </c>
    </row>
    <row r="326">
      <c r="B326" s="1" t="s">
        <v>5499</v>
      </c>
      <c r="D326" s="1">
        <f t="shared" ref="D326:I326" si="662">D325*0.1</f>
        <v>91290.32258</v>
      </c>
      <c r="E326" s="1">
        <f t="shared" si="662"/>
        <v>237000</v>
      </c>
      <c r="F326" s="1">
        <f t="shared" si="662"/>
        <v>160000</v>
      </c>
      <c r="G326" s="1">
        <f t="shared" si="662"/>
        <v>186000</v>
      </c>
      <c r="H326" s="1">
        <f t="shared" si="662"/>
        <v>196000</v>
      </c>
      <c r="I326" s="1">
        <f t="shared" si="662"/>
        <v>350000</v>
      </c>
      <c r="K326" s="1">
        <f t="shared" ref="K326:O326" si="663">K325*0.1</f>
        <v>238000</v>
      </c>
      <c r="L326" s="1">
        <f t="shared" si="663"/>
        <v>190000</v>
      </c>
      <c r="M326" s="1">
        <f t="shared" si="663"/>
        <v>150000</v>
      </c>
      <c r="N326" s="1">
        <f t="shared" si="663"/>
        <v>126000</v>
      </c>
      <c r="O326" s="1">
        <f t="shared" si="663"/>
        <v>124000</v>
      </c>
      <c r="P326">
        <f t="shared" si="664"/>
        <v>2048290.323</v>
      </c>
      <c r="T326" s="1" t="s">
        <v>5703</v>
      </c>
      <c r="U326" s="1">
        <v>42340.0</v>
      </c>
      <c r="W326" s="1">
        <v>33290.0</v>
      </c>
      <c r="Y326" s="1">
        <v>70694.0</v>
      </c>
      <c r="AA326" s="1">
        <v>82152.0</v>
      </c>
      <c r="AC326" s="1">
        <v>86719.0</v>
      </c>
      <c r="AE326" s="1">
        <v>111784.0</v>
      </c>
      <c r="AH326" s="1">
        <v>7863.0</v>
      </c>
    </row>
    <row r="327">
      <c r="B327" s="1" t="s">
        <v>5520</v>
      </c>
      <c r="D327">
        <f t="shared" ref="D327:I327" si="665">D325+D326</f>
        <v>1004193.548</v>
      </c>
      <c r="E327">
        <f t="shared" si="665"/>
        <v>2607000</v>
      </c>
      <c r="F327">
        <f t="shared" si="665"/>
        <v>1760000</v>
      </c>
      <c r="G327">
        <f t="shared" si="665"/>
        <v>2046000</v>
      </c>
      <c r="H327">
        <f t="shared" si="665"/>
        <v>2156000</v>
      </c>
      <c r="I327">
        <f t="shared" si="665"/>
        <v>3850000</v>
      </c>
      <c r="K327">
        <f t="shared" ref="K327:O327" si="666">K325+K326</f>
        <v>2618000</v>
      </c>
      <c r="L327">
        <f t="shared" si="666"/>
        <v>2090000</v>
      </c>
      <c r="M327">
        <f t="shared" si="666"/>
        <v>1650000</v>
      </c>
      <c r="N327">
        <f t="shared" si="666"/>
        <v>1386000</v>
      </c>
      <c r="O327">
        <f t="shared" si="666"/>
        <v>1364000</v>
      </c>
      <c r="P327">
        <f t="shared" si="664"/>
        <v>22531193.55</v>
      </c>
      <c r="U327" s="1">
        <v>8571.0</v>
      </c>
      <c r="V327" s="1">
        <v>38248.0</v>
      </c>
      <c r="W327" s="1">
        <v>84478.0</v>
      </c>
      <c r="AA327" s="1">
        <v>32478.0</v>
      </c>
      <c r="AE327" s="1">
        <v>97459.0</v>
      </c>
      <c r="AG327" s="1">
        <v>14660.0</v>
      </c>
    </row>
    <row r="328">
      <c r="B328" s="1" t="s">
        <v>5545</v>
      </c>
      <c r="D328">
        <v>19820.411363636365</v>
      </c>
      <c r="E328">
        <v>218206.36363636365</v>
      </c>
      <c r="F328">
        <v>118376.95227272727</v>
      </c>
      <c r="G328">
        <v>36753.825</v>
      </c>
      <c r="H328" s="134">
        <v>26025.345454545455</v>
      </c>
      <c r="I328">
        <v>132037.27045454545</v>
      </c>
      <c r="J328" s="34"/>
      <c r="K328">
        <v>46662.08503996004</v>
      </c>
      <c r="L328">
        <v>61576.744505494506</v>
      </c>
      <c r="M328" s="134">
        <v>85668.41818181818</v>
      </c>
      <c r="N328" s="159">
        <v>33117.05227272728</v>
      </c>
      <c r="O328">
        <v>21843.05681818182</v>
      </c>
      <c r="P328">
        <f t="shared" si="664"/>
        <v>800087.525</v>
      </c>
      <c r="U328">
        <f t="shared" ref="U328:U329" si="668">U326-U318</f>
        <v>998</v>
      </c>
      <c r="W328">
        <f t="shared" ref="W328:W329" si="669">W326-W318</f>
        <v>269</v>
      </c>
      <c r="Y328">
        <f>Y326-Y318</f>
        <v>170</v>
      </c>
      <c r="AA328">
        <f t="shared" ref="AA328:AA329" si="670">AA326-AA318</f>
        <v>832</v>
      </c>
      <c r="AC328">
        <f>AC326-AC318</f>
        <v>639</v>
      </c>
      <c r="AE328">
        <f t="shared" ref="AE328:AE329" si="671">AE326-AE318</f>
        <v>853</v>
      </c>
      <c r="AH328">
        <f>AH326-AH318</f>
        <v>139</v>
      </c>
      <c r="AJ328" s="1">
        <v>870070.0</v>
      </c>
      <c r="AL328" s="1">
        <v>5145.0</v>
      </c>
    </row>
    <row r="329">
      <c r="D329">
        <f t="shared" ref="D329:O329" si="667">D328-D330</f>
        <v>18018.55579</v>
      </c>
      <c r="E329">
        <f t="shared" si="667"/>
        <v>198369.4215</v>
      </c>
      <c r="F329">
        <f t="shared" si="667"/>
        <v>107615.4112</v>
      </c>
      <c r="G329">
        <f t="shared" si="667"/>
        <v>33412.56818</v>
      </c>
      <c r="H329">
        <f t="shared" si="667"/>
        <v>23659.40496</v>
      </c>
      <c r="I329">
        <f t="shared" si="667"/>
        <v>120033.8822</v>
      </c>
      <c r="J329" s="34">
        <f t="shared" si="667"/>
        <v>0</v>
      </c>
      <c r="K329">
        <f t="shared" si="667"/>
        <v>42420.07731</v>
      </c>
      <c r="L329">
        <f t="shared" si="667"/>
        <v>55978.85864</v>
      </c>
      <c r="M329">
        <f t="shared" si="667"/>
        <v>77880.38017</v>
      </c>
      <c r="N329">
        <f t="shared" si="667"/>
        <v>30106.41116</v>
      </c>
      <c r="O329">
        <f t="shared" si="667"/>
        <v>19857.32438</v>
      </c>
      <c r="P329">
        <f t="shared" si="664"/>
        <v>727352.2955</v>
      </c>
      <c r="U329" s="147">
        <f t="shared" si="668"/>
        <v>155</v>
      </c>
      <c r="V329" s="147">
        <f>(V327-V319)</f>
        <v>798</v>
      </c>
      <c r="W329" s="147">
        <f t="shared" si="669"/>
        <v>500</v>
      </c>
      <c r="X329" s="137">
        <f>W328</f>
        <v>269</v>
      </c>
      <c r="Y329" s="152">
        <v>0.0</v>
      </c>
      <c r="Z329" s="100">
        <f>Y328-Y329</f>
        <v>170</v>
      </c>
      <c r="AA329" s="147">
        <f t="shared" si="670"/>
        <v>633</v>
      </c>
      <c r="AB329" s="100">
        <f>(AA328-AA329)</f>
        <v>199</v>
      </c>
      <c r="AC329" s="147">
        <f>(AC328)*73.9/(73.9+99)</f>
        <v>273.1179873</v>
      </c>
      <c r="AD329" s="147">
        <f>(AC328)*99/(73.9+99)</f>
        <v>365.8820127</v>
      </c>
      <c r="AE329" s="147">
        <f t="shared" si="671"/>
        <v>463</v>
      </c>
      <c r="AF329" s="100">
        <f>AE328-AE329-AG329-50</f>
        <v>201</v>
      </c>
      <c r="AG329" s="147">
        <f>AG327-AG319</f>
        <v>139</v>
      </c>
      <c r="AH329" s="1">
        <v>139.0</v>
      </c>
      <c r="AI329" s="18">
        <f t="shared" ref="AI329:AI330" si="674">SUM(U329:AH329)</f>
        <v>4305</v>
      </c>
    </row>
    <row r="330">
      <c r="B330" s="1" t="s">
        <v>5499</v>
      </c>
      <c r="D330">
        <f t="shared" ref="D330:O330" si="672">D328/11</f>
        <v>1801.855579</v>
      </c>
      <c r="E330">
        <f t="shared" si="672"/>
        <v>19836.94215</v>
      </c>
      <c r="F330">
        <f t="shared" si="672"/>
        <v>10761.54112</v>
      </c>
      <c r="G330">
        <f t="shared" si="672"/>
        <v>3341.256818</v>
      </c>
      <c r="H330">
        <f t="shared" si="672"/>
        <v>2365.940496</v>
      </c>
      <c r="I330">
        <f t="shared" si="672"/>
        <v>12003.38822</v>
      </c>
      <c r="J330" s="34">
        <f t="shared" si="672"/>
        <v>0</v>
      </c>
      <c r="K330">
        <f t="shared" si="672"/>
        <v>4242.007731</v>
      </c>
      <c r="L330">
        <f t="shared" si="672"/>
        <v>5597.885864</v>
      </c>
      <c r="M330">
        <f t="shared" si="672"/>
        <v>7788.038017</v>
      </c>
      <c r="N330">
        <f t="shared" si="672"/>
        <v>3010.641116</v>
      </c>
      <c r="O330">
        <f t="shared" si="672"/>
        <v>1985.732438</v>
      </c>
      <c r="P330">
        <f t="shared" si="664"/>
        <v>72735.22955</v>
      </c>
      <c r="U330" s="158">
        <f t="shared" ref="U330:AH330" si="673">U329*870070/4305</f>
        <v>31326.56214</v>
      </c>
      <c r="V330" s="158">
        <f t="shared" si="673"/>
        <v>161281.2683</v>
      </c>
      <c r="W330" s="158">
        <f t="shared" si="673"/>
        <v>101053.4262</v>
      </c>
      <c r="X330" s="158">
        <f t="shared" si="673"/>
        <v>54366.74332</v>
      </c>
      <c r="Y330" s="158">
        <f t="shared" si="673"/>
        <v>0</v>
      </c>
      <c r="Z330" s="158">
        <f t="shared" si="673"/>
        <v>34358.16492</v>
      </c>
      <c r="AA330" s="158">
        <f t="shared" si="673"/>
        <v>127933.6376</v>
      </c>
      <c r="AB330" s="158">
        <f t="shared" si="673"/>
        <v>40219.26365</v>
      </c>
      <c r="AC330" s="158">
        <f t="shared" si="673"/>
        <v>55199.01677</v>
      </c>
      <c r="AD330" s="158">
        <f t="shared" si="673"/>
        <v>73947.26198</v>
      </c>
      <c r="AE330" s="158">
        <f t="shared" si="673"/>
        <v>93575.47271</v>
      </c>
      <c r="AF330" s="158">
        <f t="shared" si="673"/>
        <v>40623.47735</v>
      </c>
      <c r="AG330" s="158">
        <f t="shared" si="673"/>
        <v>28092.8525</v>
      </c>
      <c r="AH330" s="158">
        <f t="shared" si="673"/>
        <v>28092.8525</v>
      </c>
      <c r="AI330" s="18">
        <f t="shared" si="674"/>
        <v>870070</v>
      </c>
    </row>
    <row r="331">
      <c r="B331" s="23" t="s">
        <v>5528</v>
      </c>
      <c r="D331" s="145">
        <f t="shared" ref="D331:O331" si="675">SUM(D327,D328)</f>
        <v>1024013.96</v>
      </c>
      <c r="E331" s="18">
        <f t="shared" si="675"/>
        <v>2825206.364</v>
      </c>
      <c r="F331" s="18">
        <f t="shared" si="675"/>
        <v>1878376.952</v>
      </c>
      <c r="G331" s="18">
        <f t="shared" si="675"/>
        <v>2082753.825</v>
      </c>
      <c r="H331" s="18">
        <f t="shared" si="675"/>
        <v>2182025.345</v>
      </c>
      <c r="I331" s="18">
        <f t="shared" si="675"/>
        <v>3982037.27</v>
      </c>
      <c r="J331" s="18">
        <f t="shared" si="675"/>
        <v>0</v>
      </c>
      <c r="K331" s="18">
        <f t="shared" si="675"/>
        <v>2664662.085</v>
      </c>
      <c r="L331" s="18">
        <f t="shared" si="675"/>
        <v>2151576.745</v>
      </c>
      <c r="M331" s="18">
        <f t="shared" si="675"/>
        <v>1735668.418</v>
      </c>
      <c r="N331" s="18">
        <f t="shared" si="675"/>
        <v>1419117.052</v>
      </c>
      <c r="O331" s="18">
        <f t="shared" si="675"/>
        <v>1385843.057</v>
      </c>
      <c r="P331">
        <f t="shared" si="664"/>
        <v>23331281.07</v>
      </c>
      <c r="U331">
        <v>31326.562137049943</v>
      </c>
      <c r="V331" s="55">
        <v>161281.26829268291</v>
      </c>
      <c r="W331" s="55">
        <v>101053.4262485482</v>
      </c>
      <c r="X331" s="55">
        <v>54366.74332171893</v>
      </c>
      <c r="Z331" s="146">
        <f t="shared" ref="Z331:AG331" si="676">Z330+3511</f>
        <v>37869.16492</v>
      </c>
      <c r="AA331" s="145">
        <f t="shared" si="676"/>
        <v>131444.6376</v>
      </c>
      <c r="AB331" s="146">
        <f t="shared" si="676"/>
        <v>43730.26365</v>
      </c>
      <c r="AC331" s="146">
        <f t="shared" si="676"/>
        <v>58710.01677</v>
      </c>
      <c r="AD331" s="146">
        <f t="shared" si="676"/>
        <v>77458.26198</v>
      </c>
      <c r="AE331" s="146">
        <f t="shared" si="676"/>
        <v>97086.47271</v>
      </c>
      <c r="AF331" s="146">
        <f t="shared" si="676"/>
        <v>44134.47735</v>
      </c>
      <c r="AG331" s="146">
        <f t="shared" si="676"/>
        <v>31603.8525</v>
      </c>
      <c r="AH331">
        <f>AH330/8</f>
        <v>3511.606562</v>
      </c>
      <c r="AI331" s="18">
        <f>SUM(U331:AG331)</f>
        <v>870065.1475</v>
      </c>
    </row>
    <row r="332">
      <c r="B332" s="1" t="s">
        <v>5580</v>
      </c>
      <c r="D332">
        <f t="shared" ref="D332:O332" si="677">D325+D329</f>
        <v>930921.7816</v>
      </c>
      <c r="E332">
        <f t="shared" si="677"/>
        <v>2568369.421</v>
      </c>
      <c r="F332">
        <f t="shared" si="677"/>
        <v>1707615.411</v>
      </c>
      <c r="G332">
        <f t="shared" si="677"/>
        <v>1893412.568</v>
      </c>
      <c r="H332">
        <f t="shared" si="677"/>
        <v>1983659.405</v>
      </c>
      <c r="I332">
        <f t="shared" si="677"/>
        <v>3620033.882</v>
      </c>
      <c r="J332">
        <f t="shared" si="677"/>
        <v>0</v>
      </c>
      <c r="K332">
        <f t="shared" si="677"/>
        <v>2422420.077</v>
      </c>
      <c r="L332">
        <f t="shared" si="677"/>
        <v>1955978.859</v>
      </c>
      <c r="M332">
        <f t="shared" si="677"/>
        <v>1577880.38</v>
      </c>
      <c r="N332">
        <f t="shared" si="677"/>
        <v>1290106.411</v>
      </c>
      <c r="O332">
        <f t="shared" si="677"/>
        <v>1259857.324</v>
      </c>
      <c r="P332">
        <f t="shared" si="664"/>
        <v>21210255.52</v>
      </c>
      <c r="AA332" s="146">
        <f>AA331+U331</f>
        <v>162771.1998</v>
      </c>
    </row>
    <row r="333">
      <c r="B333" s="1" t="s">
        <v>5582</v>
      </c>
      <c r="D333">
        <f t="shared" ref="D333:O333" si="678">D326+D330</f>
        <v>93092.17816</v>
      </c>
      <c r="E333">
        <f t="shared" si="678"/>
        <v>256836.9421</v>
      </c>
      <c r="F333">
        <f t="shared" si="678"/>
        <v>170761.5411</v>
      </c>
      <c r="G333">
        <f t="shared" si="678"/>
        <v>189341.2568</v>
      </c>
      <c r="H333">
        <f t="shared" si="678"/>
        <v>198365.9405</v>
      </c>
      <c r="I333">
        <f t="shared" si="678"/>
        <v>362003.3882</v>
      </c>
      <c r="J333">
        <f t="shared" si="678"/>
        <v>0</v>
      </c>
      <c r="K333">
        <f t="shared" si="678"/>
        <v>242242.0077</v>
      </c>
      <c r="L333">
        <f t="shared" si="678"/>
        <v>195597.8859</v>
      </c>
      <c r="M333">
        <f t="shared" si="678"/>
        <v>157788.038</v>
      </c>
      <c r="N333">
        <f t="shared" si="678"/>
        <v>129010.6411</v>
      </c>
      <c r="O333">
        <f t="shared" si="678"/>
        <v>125985.7324</v>
      </c>
      <c r="P333">
        <f t="shared" si="664"/>
        <v>2121025.552</v>
      </c>
    </row>
    <row r="334">
      <c r="D334" s="1" t="s">
        <v>5566</v>
      </c>
      <c r="E334" s="1" t="s">
        <v>5566</v>
      </c>
      <c r="F334" s="1" t="s">
        <v>5566</v>
      </c>
      <c r="G334" s="1" t="s">
        <v>5566</v>
      </c>
      <c r="H334" s="1" t="s">
        <v>5566</v>
      </c>
      <c r="I334" s="1" t="s">
        <v>5566</v>
      </c>
      <c r="K334" s="1" t="s">
        <v>5566</v>
      </c>
      <c r="L334" s="1" t="s">
        <v>5566</v>
      </c>
      <c r="M334" s="1" t="s">
        <v>5566</v>
      </c>
      <c r="N334" s="33" t="s">
        <v>5566</v>
      </c>
      <c r="O334" s="1" t="s">
        <v>5566</v>
      </c>
      <c r="T334" s="1" t="s">
        <v>3757</v>
      </c>
      <c r="U334" s="1">
        <v>44729.0</v>
      </c>
      <c r="W334" s="1">
        <v>33788.0</v>
      </c>
      <c r="Y334" s="1">
        <v>71182.0</v>
      </c>
      <c r="AA334" s="1">
        <v>83714.0</v>
      </c>
      <c r="AC334" s="1">
        <v>87750.0</v>
      </c>
      <c r="AE334" s="1">
        <v>113397.0</v>
      </c>
      <c r="AH334" s="1">
        <v>8012.0</v>
      </c>
    </row>
    <row r="335">
      <c r="H335" s="1"/>
      <c r="M335" s="1"/>
      <c r="N335" s="33"/>
      <c r="O335" s="18">
        <f>O331-5340</f>
        <v>1380503.057</v>
      </c>
      <c r="U335" s="1">
        <v>8731.0</v>
      </c>
      <c r="V335" s="1">
        <v>40426.0</v>
      </c>
      <c r="W335" s="1">
        <v>85444.0</v>
      </c>
      <c r="AA335" s="1">
        <v>33788.0</v>
      </c>
      <c r="AE335" s="1">
        <v>98407.0</v>
      </c>
      <c r="AG335" s="1">
        <v>15029.0</v>
      </c>
      <c r="AJ335" s="1">
        <v>1399140.0</v>
      </c>
      <c r="AL335" s="1">
        <v>9212.0</v>
      </c>
    </row>
    <row r="336">
      <c r="H336" s="1"/>
      <c r="M336" s="1"/>
      <c r="N336" s="33"/>
      <c r="U336">
        <f t="shared" ref="U336:U337" si="679">U334-U326</f>
        <v>2389</v>
      </c>
      <c r="W336">
        <f t="shared" ref="W336:W337" si="680">W334-W326</f>
        <v>498</v>
      </c>
      <c r="Y336">
        <f>Y334-Y326</f>
        <v>488</v>
      </c>
      <c r="AA336">
        <f t="shared" ref="AA336:AA337" si="681">AA334-AA326</f>
        <v>1562</v>
      </c>
      <c r="AC336">
        <f>AC334-AC326</f>
        <v>1031</v>
      </c>
      <c r="AE336">
        <f t="shared" ref="AE336:AE337" si="682">AE334-AE326</f>
        <v>1613</v>
      </c>
      <c r="AH336">
        <f>AH334-AH326</f>
        <v>149</v>
      </c>
    </row>
    <row r="337">
      <c r="B337" s="1" t="s">
        <v>5704</v>
      </c>
      <c r="D337" s="1">
        <v>1900000.0</v>
      </c>
      <c r="E337" s="33">
        <v>2370000.0</v>
      </c>
      <c r="F337" s="1">
        <v>1600000.0</v>
      </c>
      <c r="G337" s="1">
        <v>1860000.0</v>
      </c>
      <c r="H337" s="1">
        <v>1960000.0</v>
      </c>
      <c r="I337" s="1">
        <v>3500000.0</v>
      </c>
      <c r="K337" s="1">
        <v>2380000.0</v>
      </c>
      <c r="L337" s="1">
        <v>1900000.0</v>
      </c>
      <c r="M337" s="1">
        <v>1500000.0</v>
      </c>
      <c r="N337" s="33">
        <v>1260000.0</v>
      </c>
      <c r="O337" s="1">
        <v>1240000.0</v>
      </c>
      <c r="P337">
        <f t="shared" ref="P337:P348" si="685">SUM(D337:O337)</f>
        <v>21470000</v>
      </c>
      <c r="U337" s="147">
        <f t="shared" si="679"/>
        <v>160</v>
      </c>
      <c r="V337" s="147">
        <f>(V335-V327)</f>
        <v>2178</v>
      </c>
      <c r="W337" s="147">
        <f t="shared" si="680"/>
        <v>966</v>
      </c>
      <c r="X337" s="137">
        <f>W336</f>
        <v>498</v>
      </c>
      <c r="Y337" s="152">
        <v>0.0</v>
      </c>
      <c r="Z337" s="100">
        <f>Y336-Y337</f>
        <v>488</v>
      </c>
      <c r="AA337" s="147">
        <f t="shared" si="681"/>
        <v>1310</v>
      </c>
      <c r="AB337" s="100">
        <f>(AA336-AA337)</f>
        <v>252</v>
      </c>
      <c r="AC337" s="147">
        <f>(AC336)*73.9/(73.9+99)</f>
        <v>440.664546</v>
      </c>
      <c r="AD337" s="147">
        <f>(AC336)*99/(73.9+99)</f>
        <v>590.335454</v>
      </c>
      <c r="AE337" s="147">
        <f t="shared" si="682"/>
        <v>948</v>
      </c>
      <c r="AF337" s="100">
        <f>AE336-AE337-AG337-50</f>
        <v>246</v>
      </c>
      <c r="AG337" s="147">
        <f>AG335-AG327</f>
        <v>369</v>
      </c>
      <c r="AH337" s="134">
        <v>149.0</v>
      </c>
      <c r="AI337" s="18">
        <f t="shared" ref="AI337:AI338" si="687">SUM(U337:AH337)</f>
        <v>8595</v>
      </c>
    </row>
    <row r="338">
      <c r="B338" s="1" t="s">
        <v>5499</v>
      </c>
      <c r="D338" s="1">
        <f t="shared" ref="D338:I338" si="683">D337*0.1</f>
        <v>190000</v>
      </c>
      <c r="E338" s="1">
        <f t="shared" si="683"/>
        <v>237000</v>
      </c>
      <c r="F338" s="1">
        <f t="shared" si="683"/>
        <v>160000</v>
      </c>
      <c r="G338" s="1">
        <f t="shared" si="683"/>
        <v>186000</v>
      </c>
      <c r="H338" s="1">
        <f t="shared" si="683"/>
        <v>196000</v>
      </c>
      <c r="I338" s="1">
        <f t="shared" si="683"/>
        <v>350000</v>
      </c>
      <c r="K338" s="1">
        <f t="shared" ref="K338:O338" si="684">K337*0.1</f>
        <v>238000</v>
      </c>
      <c r="L338" s="1">
        <f t="shared" si="684"/>
        <v>190000</v>
      </c>
      <c r="M338" s="1">
        <f t="shared" si="684"/>
        <v>150000</v>
      </c>
      <c r="N338" s="1">
        <f t="shared" si="684"/>
        <v>126000</v>
      </c>
      <c r="O338" s="1">
        <f t="shared" si="684"/>
        <v>124000</v>
      </c>
      <c r="P338">
        <f t="shared" si="685"/>
        <v>2147000</v>
      </c>
      <c r="U338" s="158">
        <f t="shared" ref="U338:AH338" si="686">U337*1399140/8595</f>
        <v>26045.65445</v>
      </c>
      <c r="V338" s="158">
        <f t="shared" si="686"/>
        <v>354546.4712</v>
      </c>
      <c r="W338" s="158">
        <f t="shared" si="686"/>
        <v>157250.6387</v>
      </c>
      <c r="X338" s="158">
        <f t="shared" si="686"/>
        <v>81067.09948</v>
      </c>
      <c r="Y338" s="158">
        <f t="shared" si="686"/>
        <v>0</v>
      </c>
      <c r="Z338" s="158">
        <f t="shared" si="686"/>
        <v>79439.24607</v>
      </c>
      <c r="AA338" s="158">
        <f t="shared" si="686"/>
        <v>213248.7958</v>
      </c>
      <c r="AB338" s="158">
        <f t="shared" si="686"/>
        <v>41021.90576</v>
      </c>
      <c r="AC338" s="158">
        <f t="shared" si="686"/>
        <v>71733.72808</v>
      </c>
      <c r="AD338" s="158">
        <f t="shared" si="686"/>
        <v>96097.95778</v>
      </c>
      <c r="AE338" s="158">
        <f t="shared" si="686"/>
        <v>154320.5026</v>
      </c>
      <c r="AF338" s="158">
        <f t="shared" si="686"/>
        <v>40045.19372</v>
      </c>
      <c r="AG338" s="158">
        <f t="shared" si="686"/>
        <v>60067.79058</v>
      </c>
      <c r="AH338" s="158">
        <f t="shared" si="686"/>
        <v>24255.01571</v>
      </c>
      <c r="AI338" s="18">
        <f t="shared" si="687"/>
        <v>1399140</v>
      </c>
    </row>
    <row r="339">
      <c r="B339" s="1" t="s">
        <v>5520</v>
      </c>
      <c r="D339">
        <f t="shared" ref="D339:I339" si="688">D337+D338</f>
        <v>2090000</v>
      </c>
      <c r="E339">
        <f t="shared" si="688"/>
        <v>2607000</v>
      </c>
      <c r="F339">
        <f t="shared" si="688"/>
        <v>1760000</v>
      </c>
      <c r="G339">
        <f t="shared" si="688"/>
        <v>2046000</v>
      </c>
      <c r="H339">
        <f t="shared" si="688"/>
        <v>2156000</v>
      </c>
      <c r="I339">
        <f t="shared" si="688"/>
        <v>3850000</v>
      </c>
      <c r="K339">
        <f t="shared" ref="K339:O339" si="689">K337+K338</f>
        <v>2618000</v>
      </c>
      <c r="L339">
        <f t="shared" si="689"/>
        <v>2090000</v>
      </c>
      <c r="M339">
        <f t="shared" si="689"/>
        <v>1650000</v>
      </c>
      <c r="N339">
        <f t="shared" si="689"/>
        <v>1386000</v>
      </c>
      <c r="O339">
        <f t="shared" si="689"/>
        <v>1364000</v>
      </c>
      <c r="P339">
        <f t="shared" si="685"/>
        <v>23617000</v>
      </c>
      <c r="U339">
        <v>26045.65445026178</v>
      </c>
      <c r="V339" s="136">
        <v>354546.4712041885</v>
      </c>
      <c r="W339" s="136">
        <v>157250.6387434555</v>
      </c>
      <c r="X339" s="136">
        <v>81067.09947643979</v>
      </c>
      <c r="Z339" s="146">
        <f t="shared" ref="Z339:AG339" si="690">Z338+3031</f>
        <v>82470.24607</v>
      </c>
      <c r="AA339" s="145">
        <f t="shared" si="690"/>
        <v>216279.7958</v>
      </c>
      <c r="AB339" s="146">
        <f t="shared" si="690"/>
        <v>44052.90576</v>
      </c>
      <c r="AC339" s="146">
        <f t="shared" si="690"/>
        <v>74764.72808</v>
      </c>
      <c r="AD339" s="146">
        <f t="shared" si="690"/>
        <v>99128.95778</v>
      </c>
      <c r="AE339" s="146">
        <f t="shared" si="690"/>
        <v>157351.5026</v>
      </c>
      <c r="AF339" s="146">
        <f t="shared" si="690"/>
        <v>43076.19372</v>
      </c>
      <c r="AG339" s="146">
        <f t="shared" si="690"/>
        <v>63098.79058</v>
      </c>
      <c r="AH339">
        <f>AH338/8</f>
        <v>3031.876963</v>
      </c>
      <c r="AI339" s="18">
        <f>SUM(U339:AG339)</f>
        <v>1399132.984</v>
      </c>
    </row>
    <row r="340">
      <c r="B340" s="1" t="s">
        <v>5545</v>
      </c>
      <c r="D340">
        <v>99724.55125931182</v>
      </c>
      <c r="E340">
        <v>219293.11103228095</v>
      </c>
      <c r="F340">
        <v>113850.79460801702</v>
      </c>
      <c r="G340">
        <v>43114.6952820149</v>
      </c>
      <c r="H340" s="134">
        <v>40087.64313586378</v>
      </c>
      <c r="I340">
        <v>154779.28556225612</v>
      </c>
      <c r="K340">
        <v>55225.043675989444</v>
      </c>
      <c r="L340">
        <v>73046.73780680588</v>
      </c>
      <c r="M340" s="134">
        <v>102310.38169563675</v>
      </c>
      <c r="N340" s="159">
        <v>22934.34764100745</v>
      </c>
      <c r="O340">
        <v>23775.19545938276</v>
      </c>
      <c r="P340">
        <f t="shared" si="685"/>
        <v>948141.7872</v>
      </c>
      <c r="AA340" s="146">
        <f>AA339+U339</f>
        <v>242325.4503</v>
      </c>
    </row>
    <row r="341">
      <c r="D341">
        <f t="shared" ref="D341:O341" si="691">D340-D342</f>
        <v>90658.68296</v>
      </c>
      <c r="E341">
        <f t="shared" si="691"/>
        <v>199357.3737</v>
      </c>
      <c r="F341">
        <f t="shared" si="691"/>
        <v>103500.7224</v>
      </c>
      <c r="G341">
        <f t="shared" si="691"/>
        <v>39195.17753</v>
      </c>
      <c r="H341">
        <f t="shared" si="691"/>
        <v>36443.31194</v>
      </c>
      <c r="I341">
        <f t="shared" si="691"/>
        <v>140708.4414</v>
      </c>
      <c r="J341">
        <f t="shared" si="691"/>
        <v>0</v>
      </c>
      <c r="K341">
        <f t="shared" si="691"/>
        <v>50204.58516</v>
      </c>
      <c r="L341">
        <f t="shared" si="691"/>
        <v>66406.12528</v>
      </c>
      <c r="M341">
        <f t="shared" si="691"/>
        <v>93009.43791</v>
      </c>
      <c r="N341">
        <f t="shared" si="691"/>
        <v>20849.40695</v>
      </c>
      <c r="O341">
        <f t="shared" si="691"/>
        <v>21613.81405</v>
      </c>
      <c r="P341">
        <f t="shared" si="685"/>
        <v>861947.0792</v>
      </c>
    </row>
    <row r="342">
      <c r="B342" s="1" t="s">
        <v>5499</v>
      </c>
      <c r="D342">
        <f t="shared" ref="D342:O342" si="692">D340/11</f>
        <v>9065.868296</v>
      </c>
      <c r="E342">
        <f t="shared" si="692"/>
        <v>19935.73737</v>
      </c>
      <c r="F342">
        <f t="shared" si="692"/>
        <v>10350.07224</v>
      </c>
      <c r="G342">
        <f t="shared" si="692"/>
        <v>3919.517753</v>
      </c>
      <c r="H342">
        <f t="shared" si="692"/>
        <v>3644.331194</v>
      </c>
      <c r="I342">
        <f t="shared" si="692"/>
        <v>14070.84414</v>
      </c>
      <c r="J342">
        <f t="shared" si="692"/>
        <v>0</v>
      </c>
      <c r="K342">
        <f t="shared" si="692"/>
        <v>5020.458516</v>
      </c>
      <c r="L342">
        <f t="shared" si="692"/>
        <v>6640.612528</v>
      </c>
      <c r="M342">
        <f t="shared" si="692"/>
        <v>9300.943791</v>
      </c>
      <c r="N342">
        <f t="shared" si="692"/>
        <v>2084.940695</v>
      </c>
      <c r="O342">
        <f t="shared" si="692"/>
        <v>2161.381405</v>
      </c>
      <c r="P342">
        <f t="shared" si="685"/>
        <v>86194.70792</v>
      </c>
      <c r="T342" s="1" t="s">
        <v>5705</v>
      </c>
      <c r="U342" s="1">
        <v>47023.0</v>
      </c>
      <c r="V342" s="1"/>
      <c r="W342" s="1">
        <v>34260.0</v>
      </c>
      <c r="X342" s="1"/>
      <c r="Y342" s="1">
        <v>71184.0</v>
      </c>
      <c r="Z342" s="1"/>
      <c r="AA342" s="1">
        <v>85416.0</v>
      </c>
      <c r="AB342" s="1"/>
      <c r="AC342" s="1">
        <v>88912.0</v>
      </c>
      <c r="AD342" s="1"/>
      <c r="AE342" s="1">
        <v>115045.0</v>
      </c>
      <c r="AF342" s="1"/>
      <c r="AG342" s="1"/>
      <c r="AH342" s="1">
        <v>8152.0</v>
      </c>
      <c r="AI342" s="1"/>
      <c r="AJ342" s="1">
        <v>1520990.0</v>
      </c>
      <c r="AL342" s="1">
        <v>10373.0</v>
      </c>
    </row>
    <row r="343">
      <c r="B343" s="1" t="s">
        <v>5706</v>
      </c>
      <c r="D343">
        <v>11618.482307523986</v>
      </c>
      <c r="E343">
        <v>42160.19528617422</v>
      </c>
      <c r="F343">
        <v>21080.09764308711</v>
      </c>
      <c r="G343">
        <v>19340.72998041859</v>
      </c>
      <c r="H343" s="134">
        <v>27829.88260269628</v>
      </c>
      <c r="I343">
        <v>56542.42939241837</v>
      </c>
      <c r="J343">
        <v>0.0</v>
      </c>
      <c r="K343">
        <v>19184.96571211992</v>
      </c>
      <c r="L343">
        <v>25701.104269281084</v>
      </c>
      <c r="M343" s="134">
        <v>5371.95212185793</v>
      </c>
      <c r="N343" s="159">
        <v>15083.173313588188</v>
      </c>
      <c r="O343">
        <v>11526.555854101818</v>
      </c>
      <c r="P343">
        <f t="shared" si="685"/>
        <v>255439.5685</v>
      </c>
      <c r="U343" s="1">
        <v>8856.0</v>
      </c>
      <c r="V343" s="1">
        <v>42544.0</v>
      </c>
      <c r="W343" s="1">
        <v>86398.0</v>
      </c>
      <c r="Y343" s="1">
        <v>19757.0</v>
      </c>
      <c r="AA343" s="1">
        <v>35115.0</v>
      </c>
      <c r="AE343" s="1">
        <v>99132.0</v>
      </c>
      <c r="AG343" s="1">
        <v>15590.0</v>
      </c>
    </row>
    <row r="344">
      <c r="B344" s="23" t="s">
        <v>5598</v>
      </c>
      <c r="D344" s="18">
        <f t="shared" ref="D344:O344" si="693">SUM(D339,D340,D343)</f>
        <v>2201343.034</v>
      </c>
      <c r="E344" s="18">
        <f t="shared" si="693"/>
        <v>2868453.306</v>
      </c>
      <c r="F344" s="18">
        <f t="shared" si="693"/>
        <v>1894930.892</v>
      </c>
      <c r="G344" s="18">
        <f t="shared" si="693"/>
        <v>2108455.425</v>
      </c>
      <c r="H344" s="18">
        <f t="shared" si="693"/>
        <v>2223917.526</v>
      </c>
      <c r="I344" s="18">
        <f t="shared" si="693"/>
        <v>4061321.715</v>
      </c>
      <c r="J344" s="18">
        <f t="shared" si="693"/>
        <v>0</v>
      </c>
      <c r="K344" s="18">
        <f t="shared" si="693"/>
        <v>2692410.009</v>
      </c>
      <c r="L344" s="18">
        <f t="shared" si="693"/>
        <v>2188747.842</v>
      </c>
      <c r="M344" s="18">
        <f t="shared" si="693"/>
        <v>1757682.334</v>
      </c>
      <c r="N344" s="18">
        <f t="shared" si="693"/>
        <v>1424017.521</v>
      </c>
      <c r="O344" s="18">
        <f t="shared" si="693"/>
        <v>1399301.751</v>
      </c>
      <c r="P344">
        <f t="shared" si="685"/>
        <v>24820581.36</v>
      </c>
      <c r="U344">
        <f t="shared" ref="U344:U345" si="695">U342-U334</f>
        <v>2294</v>
      </c>
      <c r="W344">
        <f t="shared" ref="W344:W345" si="696">W342-W334</f>
        <v>472</v>
      </c>
      <c r="Y344">
        <f>Y342-Y334</f>
        <v>2</v>
      </c>
      <c r="AA344">
        <f t="shared" ref="AA344:AA345" si="697">AA342-AA334</f>
        <v>1702</v>
      </c>
      <c r="AC344">
        <f>AC342-AC334</f>
        <v>1162</v>
      </c>
      <c r="AE344">
        <f t="shared" ref="AE344:AE345" si="698">AE342-AE334</f>
        <v>1648</v>
      </c>
      <c r="AH344">
        <f>AH342-AH334</f>
        <v>140</v>
      </c>
    </row>
    <row r="345">
      <c r="B345" s="1" t="s">
        <v>5599</v>
      </c>
      <c r="D345">
        <f t="shared" ref="D345:O345" si="694">SUM(D337,D341,D343)</f>
        <v>2002277.165</v>
      </c>
      <c r="E345">
        <f t="shared" si="694"/>
        <v>2611517.569</v>
      </c>
      <c r="F345">
        <f t="shared" si="694"/>
        <v>1724580.82</v>
      </c>
      <c r="G345">
        <f t="shared" si="694"/>
        <v>1918535.908</v>
      </c>
      <c r="H345">
        <f t="shared" si="694"/>
        <v>2024273.195</v>
      </c>
      <c r="I345">
        <f t="shared" si="694"/>
        <v>3697250.871</v>
      </c>
      <c r="J345">
        <f t="shared" si="694"/>
        <v>0</v>
      </c>
      <c r="K345">
        <f t="shared" si="694"/>
        <v>2449389.551</v>
      </c>
      <c r="L345">
        <f t="shared" si="694"/>
        <v>1992107.23</v>
      </c>
      <c r="M345">
        <f t="shared" si="694"/>
        <v>1598381.39</v>
      </c>
      <c r="N345">
        <f t="shared" si="694"/>
        <v>1295932.58</v>
      </c>
      <c r="O345">
        <f t="shared" si="694"/>
        <v>1273140.37</v>
      </c>
      <c r="P345">
        <f t="shared" si="685"/>
        <v>22587386.65</v>
      </c>
      <c r="U345" s="147">
        <f t="shared" si="695"/>
        <v>125</v>
      </c>
      <c r="V345" s="147">
        <f>(V343-V335)</f>
        <v>2118</v>
      </c>
      <c r="W345" s="147">
        <f t="shared" si="696"/>
        <v>954</v>
      </c>
      <c r="X345" s="137">
        <f>W344</f>
        <v>472</v>
      </c>
      <c r="Y345" s="152">
        <v>0.0</v>
      </c>
      <c r="Z345" s="100">
        <f>Y344-Y345</f>
        <v>2</v>
      </c>
      <c r="AA345" s="147">
        <f t="shared" si="697"/>
        <v>1327</v>
      </c>
      <c r="AB345" s="100">
        <f>(AA344-AA345)</f>
        <v>375</v>
      </c>
      <c r="AC345" s="147">
        <f>(AC344)*73.9/(73.9+99)</f>
        <v>496.6558704</v>
      </c>
      <c r="AD345" s="147">
        <f>(AC344)*99/(73.9+99)</f>
        <v>665.3441296</v>
      </c>
      <c r="AE345" s="147">
        <f t="shared" si="698"/>
        <v>725</v>
      </c>
      <c r="AF345" s="100">
        <f>AE344-AE345-AG345-50</f>
        <v>312</v>
      </c>
      <c r="AG345" s="147">
        <f>AG343-AG335</f>
        <v>561</v>
      </c>
      <c r="AH345" s="134">
        <v>149.0</v>
      </c>
      <c r="AI345" s="18">
        <f t="shared" ref="AI345:AI346" si="701">SUM(U345:AH345)</f>
        <v>8282</v>
      </c>
    </row>
    <row r="346">
      <c r="B346" s="1" t="s">
        <v>5601</v>
      </c>
      <c r="D346">
        <f t="shared" ref="D346:O346" si="699">SUM(D337,D341)</f>
        <v>1990658.683</v>
      </c>
      <c r="E346">
        <f t="shared" si="699"/>
        <v>2569357.374</v>
      </c>
      <c r="F346">
        <f t="shared" si="699"/>
        <v>1703500.722</v>
      </c>
      <c r="G346">
        <f t="shared" si="699"/>
        <v>1899195.178</v>
      </c>
      <c r="H346">
        <f t="shared" si="699"/>
        <v>1996443.312</v>
      </c>
      <c r="I346">
        <f t="shared" si="699"/>
        <v>3640708.441</v>
      </c>
      <c r="J346">
        <f t="shared" si="699"/>
        <v>0</v>
      </c>
      <c r="K346">
        <f t="shared" si="699"/>
        <v>2430204.585</v>
      </c>
      <c r="L346">
        <f t="shared" si="699"/>
        <v>1966406.125</v>
      </c>
      <c r="M346">
        <f t="shared" si="699"/>
        <v>1593009.438</v>
      </c>
      <c r="N346">
        <f t="shared" si="699"/>
        <v>1280849.407</v>
      </c>
      <c r="O346">
        <f t="shared" si="699"/>
        <v>1261613.814</v>
      </c>
      <c r="P346">
        <f t="shared" si="685"/>
        <v>22331947.08</v>
      </c>
      <c r="U346" s="158">
        <f t="shared" ref="U346:AH346" si="700">U345*1520990/8282</f>
        <v>22956.26057</v>
      </c>
      <c r="V346" s="158">
        <f t="shared" si="700"/>
        <v>388970.879</v>
      </c>
      <c r="W346" s="158">
        <f t="shared" si="700"/>
        <v>175202.1806</v>
      </c>
      <c r="X346" s="158">
        <f t="shared" si="700"/>
        <v>86682.83989</v>
      </c>
      <c r="Y346" s="158">
        <f t="shared" si="700"/>
        <v>0</v>
      </c>
      <c r="Z346" s="158">
        <f t="shared" si="700"/>
        <v>367.300169</v>
      </c>
      <c r="AA346" s="158">
        <f t="shared" si="700"/>
        <v>243703.6622</v>
      </c>
      <c r="AB346" s="158">
        <f t="shared" si="700"/>
        <v>68868.7817</v>
      </c>
      <c r="AC346" s="158">
        <f t="shared" si="700"/>
        <v>91210.89258</v>
      </c>
      <c r="AD346" s="158">
        <f t="shared" si="700"/>
        <v>122190.5056</v>
      </c>
      <c r="AE346" s="158">
        <f t="shared" si="700"/>
        <v>133146.3113</v>
      </c>
      <c r="AF346" s="158">
        <f t="shared" si="700"/>
        <v>57298.82637</v>
      </c>
      <c r="AG346" s="158">
        <f t="shared" si="700"/>
        <v>103027.6974</v>
      </c>
      <c r="AH346" s="158">
        <f t="shared" si="700"/>
        <v>27363.86259</v>
      </c>
      <c r="AI346" s="18">
        <f t="shared" si="701"/>
        <v>1520990</v>
      </c>
    </row>
    <row r="347">
      <c r="B347" s="1" t="s">
        <v>5582</v>
      </c>
      <c r="D347">
        <f t="shared" ref="D347:O347" si="702">SUM(D338,D342)</f>
        <v>199065.8683</v>
      </c>
      <c r="E347">
        <f t="shared" si="702"/>
        <v>256935.7374</v>
      </c>
      <c r="F347">
        <f t="shared" si="702"/>
        <v>170350.0722</v>
      </c>
      <c r="G347">
        <f t="shared" si="702"/>
        <v>189919.5178</v>
      </c>
      <c r="H347">
        <f t="shared" si="702"/>
        <v>199644.3312</v>
      </c>
      <c r="I347">
        <f t="shared" si="702"/>
        <v>364070.8441</v>
      </c>
      <c r="J347">
        <f t="shared" si="702"/>
        <v>0</v>
      </c>
      <c r="K347">
        <f t="shared" si="702"/>
        <v>243020.4585</v>
      </c>
      <c r="L347">
        <f t="shared" si="702"/>
        <v>196640.6125</v>
      </c>
      <c r="M347">
        <f t="shared" si="702"/>
        <v>159300.9438</v>
      </c>
      <c r="N347">
        <f t="shared" si="702"/>
        <v>128084.9407</v>
      </c>
      <c r="O347">
        <f t="shared" si="702"/>
        <v>126161.3814</v>
      </c>
      <c r="P347">
        <f t="shared" si="685"/>
        <v>2233194.708</v>
      </c>
      <c r="U347">
        <v>22956.2605650809</v>
      </c>
      <c r="V347" s="136">
        <v>388970.87901473074</v>
      </c>
      <c r="W347" s="136">
        <v>175202.18063269742</v>
      </c>
      <c r="X347" s="136">
        <v>86682.83989374548</v>
      </c>
      <c r="AA347" s="145">
        <f t="shared" ref="AA347:AG347" si="703">AA346+3909</f>
        <v>247612.6622</v>
      </c>
      <c r="AB347" s="148">
        <f t="shared" si="703"/>
        <v>72777.7817</v>
      </c>
      <c r="AC347" s="148">
        <f t="shared" si="703"/>
        <v>95119.89258</v>
      </c>
      <c r="AD347" s="148">
        <f t="shared" si="703"/>
        <v>126099.5056</v>
      </c>
      <c r="AE347" s="148">
        <f t="shared" si="703"/>
        <v>137055.3113</v>
      </c>
      <c r="AF347" s="148">
        <f t="shared" si="703"/>
        <v>61207.82637</v>
      </c>
      <c r="AG347" s="148">
        <f t="shared" si="703"/>
        <v>106936.6974</v>
      </c>
      <c r="AH347">
        <f>AH346/7</f>
        <v>3909.123228</v>
      </c>
      <c r="AI347" s="18">
        <f>SUM(U347:AG347)</f>
        <v>1520621.837</v>
      </c>
    </row>
    <row r="348">
      <c r="B348" s="1" t="s">
        <v>5602</v>
      </c>
      <c r="D348">
        <f t="shared" ref="D348:O348" si="704">SUM(D346:D347)</f>
        <v>2189724.551</v>
      </c>
      <c r="E348">
        <f t="shared" si="704"/>
        <v>2826293.111</v>
      </c>
      <c r="F348">
        <f t="shared" si="704"/>
        <v>1873850.795</v>
      </c>
      <c r="G348">
        <f t="shared" si="704"/>
        <v>2089114.695</v>
      </c>
      <c r="H348">
        <f t="shared" si="704"/>
        <v>2196087.643</v>
      </c>
      <c r="I348">
        <f t="shared" si="704"/>
        <v>4004779.286</v>
      </c>
      <c r="J348">
        <f t="shared" si="704"/>
        <v>0</v>
      </c>
      <c r="K348">
        <f t="shared" si="704"/>
        <v>2673225.044</v>
      </c>
      <c r="L348">
        <f t="shared" si="704"/>
        <v>2163046.738</v>
      </c>
      <c r="M348">
        <f t="shared" si="704"/>
        <v>1752310.382</v>
      </c>
      <c r="N348">
        <f t="shared" si="704"/>
        <v>1408934.348</v>
      </c>
      <c r="O348">
        <f t="shared" si="704"/>
        <v>1387775.195</v>
      </c>
      <c r="P348">
        <f t="shared" si="685"/>
        <v>24565141.79</v>
      </c>
      <c r="AA348" s="146">
        <f>AA347+U347</f>
        <v>270568.9227</v>
      </c>
    </row>
    <row r="349">
      <c r="D349" s="1" t="s">
        <v>5566</v>
      </c>
      <c r="E349" s="1" t="s">
        <v>5566</v>
      </c>
      <c r="F349" s="1" t="s">
        <v>5566</v>
      </c>
      <c r="G349" s="1" t="s">
        <v>5566</v>
      </c>
      <c r="H349" s="1" t="s">
        <v>5566</v>
      </c>
      <c r="I349" s="1" t="s">
        <v>5566</v>
      </c>
      <c r="K349" s="1" t="s">
        <v>5692</v>
      </c>
      <c r="L349" s="1" t="s">
        <v>5566</v>
      </c>
      <c r="M349" s="1" t="s">
        <v>5566</v>
      </c>
      <c r="N349" s="33" t="s">
        <v>5566</v>
      </c>
      <c r="O349" s="1" t="s">
        <v>5566</v>
      </c>
    </row>
    <row r="350">
      <c r="H350" s="1"/>
      <c r="K350" s="1" t="s">
        <v>5707</v>
      </c>
      <c r="M350" s="1"/>
      <c r="N350" s="33"/>
      <c r="T350" s="1" t="s">
        <v>4459</v>
      </c>
      <c r="U350" s="1">
        <v>49445.0</v>
      </c>
      <c r="W350" s="1">
        <v>34748.0</v>
      </c>
      <c r="Y350" s="1">
        <v>71474.0</v>
      </c>
      <c r="AA350" s="1">
        <v>86944.0</v>
      </c>
      <c r="AC350" s="1">
        <v>90099.0</v>
      </c>
      <c r="AE350" s="1">
        <v>116746.0</v>
      </c>
      <c r="AH350" s="1">
        <v>8285.0</v>
      </c>
      <c r="AJ350" s="1">
        <v>1513640.0</v>
      </c>
      <c r="AL350" s="1">
        <v>10303.0</v>
      </c>
    </row>
    <row r="351">
      <c r="H351" s="1"/>
      <c r="M351" s="1"/>
      <c r="N351" s="33"/>
      <c r="U351" s="1">
        <v>8976.0</v>
      </c>
      <c r="V351" s="1">
        <v>44800.0</v>
      </c>
      <c r="W351" s="1">
        <v>87356.0</v>
      </c>
      <c r="Y351" s="1">
        <v>19782.0</v>
      </c>
      <c r="AA351" s="1">
        <v>36510.0</v>
      </c>
      <c r="AE351" s="1">
        <v>100039.0</v>
      </c>
      <c r="AG351" s="1">
        <v>16038.0</v>
      </c>
    </row>
    <row r="352">
      <c r="B352" s="1" t="s">
        <v>5708</v>
      </c>
      <c r="D352" s="1">
        <v>1900000.0</v>
      </c>
      <c r="E352" s="33">
        <v>2370000.0</v>
      </c>
      <c r="F352" s="1">
        <v>1600000.0</v>
      </c>
      <c r="G352" s="1">
        <v>1860000.0</v>
      </c>
      <c r="H352" s="1">
        <v>1960000.0</v>
      </c>
      <c r="I352" s="1">
        <v>3500000.0</v>
      </c>
      <c r="K352" s="1">
        <v>2380000.0</v>
      </c>
      <c r="L352" s="1">
        <v>1900000.0</v>
      </c>
      <c r="M352" s="1">
        <v>1500000.0</v>
      </c>
      <c r="N352" s="33">
        <v>1260000.0</v>
      </c>
      <c r="O352" s="1">
        <v>1240000.0</v>
      </c>
      <c r="P352">
        <f t="shared" ref="P352:P360" si="707">SUM(D352:O352)</f>
        <v>21470000</v>
      </c>
      <c r="U352">
        <f t="shared" ref="U352:U353" si="708">U350-U342</f>
        <v>2422</v>
      </c>
      <c r="W352">
        <f t="shared" ref="W352:W353" si="709">W350-W342</f>
        <v>488</v>
      </c>
      <c r="Y352">
        <f t="shared" ref="Y352:Y353" si="710">Y350-Y342</f>
        <v>290</v>
      </c>
      <c r="AA352">
        <f t="shared" ref="AA352:AA353" si="711">AA350-AA342</f>
        <v>1528</v>
      </c>
      <c r="AC352">
        <f>AC350-AC342</f>
        <v>1187</v>
      </c>
      <c r="AE352">
        <f t="shared" ref="AE352:AE353" si="712">AE350-AE342</f>
        <v>1701</v>
      </c>
      <c r="AH352">
        <f>AH350-AH342</f>
        <v>133</v>
      </c>
    </row>
    <row r="353">
      <c r="B353" s="1" t="s">
        <v>5499</v>
      </c>
      <c r="D353" s="1">
        <f t="shared" ref="D353:I353" si="705">D352*0.1</f>
        <v>190000</v>
      </c>
      <c r="E353" s="1">
        <f t="shared" si="705"/>
        <v>237000</v>
      </c>
      <c r="F353" s="1">
        <f t="shared" si="705"/>
        <v>160000</v>
      </c>
      <c r="G353" s="1">
        <f t="shared" si="705"/>
        <v>186000</v>
      </c>
      <c r="H353" s="1">
        <f t="shared" si="705"/>
        <v>196000</v>
      </c>
      <c r="I353" s="1">
        <f t="shared" si="705"/>
        <v>350000</v>
      </c>
      <c r="K353" s="1">
        <f t="shared" ref="K353:O353" si="706">K352*0.1</f>
        <v>238000</v>
      </c>
      <c r="L353" s="1">
        <f t="shared" si="706"/>
        <v>190000</v>
      </c>
      <c r="M353" s="1">
        <f t="shared" si="706"/>
        <v>150000</v>
      </c>
      <c r="N353" s="1">
        <f t="shared" si="706"/>
        <v>126000</v>
      </c>
      <c r="O353" s="1">
        <f t="shared" si="706"/>
        <v>124000</v>
      </c>
      <c r="P353">
        <f t="shared" si="707"/>
        <v>2147000</v>
      </c>
      <c r="U353" s="147">
        <f t="shared" si="708"/>
        <v>120</v>
      </c>
      <c r="V353" s="147">
        <f>(V351-V343)</f>
        <v>2256</v>
      </c>
      <c r="W353" s="147">
        <f t="shared" si="709"/>
        <v>958</v>
      </c>
      <c r="X353" s="137">
        <f>W352</f>
        <v>488</v>
      </c>
      <c r="Y353" s="147">
        <f t="shared" si="710"/>
        <v>25</v>
      </c>
      <c r="Z353" s="100">
        <f>Y352-Y353</f>
        <v>265</v>
      </c>
      <c r="AA353" s="147">
        <f t="shared" si="711"/>
        <v>1395</v>
      </c>
      <c r="AB353" s="100">
        <f>(AA352-AA353)</f>
        <v>133</v>
      </c>
      <c r="AC353" s="147">
        <f>(AC352)*73.9/(73.9+99)</f>
        <v>507.3412377</v>
      </c>
      <c r="AD353" s="147">
        <f>(AC352)*99/(73.9+99)</f>
        <v>679.6587623</v>
      </c>
      <c r="AE353" s="147">
        <f t="shared" si="712"/>
        <v>907</v>
      </c>
      <c r="AF353" s="100">
        <f>AE352-AE353-AG353-50</f>
        <v>296</v>
      </c>
      <c r="AG353" s="147">
        <f>AG351-AG343</f>
        <v>448</v>
      </c>
      <c r="AH353" s="1">
        <v>133.0</v>
      </c>
      <c r="AI353" s="18">
        <f t="shared" ref="AI353:AI354" si="716">SUM(U353:AH353)</f>
        <v>8611</v>
      </c>
    </row>
    <row r="354">
      <c r="B354" s="1" t="s">
        <v>5520</v>
      </c>
      <c r="D354">
        <f t="shared" ref="D354:I354" si="713">D352+D353</f>
        <v>2090000</v>
      </c>
      <c r="E354">
        <f t="shared" si="713"/>
        <v>2607000</v>
      </c>
      <c r="F354">
        <f t="shared" si="713"/>
        <v>1760000</v>
      </c>
      <c r="G354">
        <f t="shared" si="713"/>
        <v>2046000</v>
      </c>
      <c r="H354">
        <f t="shared" si="713"/>
        <v>2156000</v>
      </c>
      <c r="I354">
        <f t="shared" si="713"/>
        <v>3850000</v>
      </c>
      <c r="K354">
        <f t="shared" ref="K354:O354" si="714">K352+K353</f>
        <v>2618000</v>
      </c>
      <c r="L354">
        <f t="shared" si="714"/>
        <v>2090000</v>
      </c>
      <c r="M354">
        <f t="shared" si="714"/>
        <v>1650000</v>
      </c>
      <c r="N354">
        <f t="shared" si="714"/>
        <v>1386000</v>
      </c>
      <c r="O354">
        <f t="shared" si="714"/>
        <v>1364000</v>
      </c>
      <c r="P354">
        <f t="shared" si="707"/>
        <v>23617000</v>
      </c>
      <c r="U354" s="158">
        <f t="shared" ref="U354:AH354" si="715">U353*1513640/8611</f>
        <v>21093.57798</v>
      </c>
      <c r="V354" s="158">
        <f t="shared" si="715"/>
        <v>396559.2661</v>
      </c>
      <c r="W354" s="158">
        <f t="shared" si="715"/>
        <v>168397.0642</v>
      </c>
      <c r="X354" s="158">
        <f t="shared" si="715"/>
        <v>85780.55046</v>
      </c>
      <c r="Y354" s="158">
        <f t="shared" si="715"/>
        <v>4394.495413</v>
      </c>
      <c r="Z354" s="158">
        <f t="shared" si="715"/>
        <v>46581.65138</v>
      </c>
      <c r="AA354" s="158">
        <f t="shared" si="715"/>
        <v>245212.844</v>
      </c>
      <c r="AB354" s="158">
        <f t="shared" si="715"/>
        <v>23378.7156</v>
      </c>
      <c r="AC354" s="158">
        <f t="shared" si="715"/>
        <v>89180.34967</v>
      </c>
      <c r="AD354" s="158">
        <f t="shared" si="715"/>
        <v>119470.2925</v>
      </c>
      <c r="AE354" s="158">
        <f t="shared" si="715"/>
        <v>159432.2936</v>
      </c>
      <c r="AF354" s="158">
        <f t="shared" si="715"/>
        <v>52030.82569</v>
      </c>
      <c r="AG354" s="158">
        <f t="shared" si="715"/>
        <v>78749.3578</v>
      </c>
      <c r="AH354" s="158">
        <f t="shared" si="715"/>
        <v>23378.7156</v>
      </c>
      <c r="AI354" s="18">
        <f t="shared" si="716"/>
        <v>1513640</v>
      </c>
    </row>
    <row r="355">
      <c r="B355" s="1" t="s">
        <v>5545</v>
      </c>
      <c r="D355">
        <v>277581.83645183645</v>
      </c>
      <c r="E355">
        <v>267219.23423423426</v>
      </c>
      <c r="F355">
        <v>100568.20512820513</v>
      </c>
      <c r="G355">
        <v>109698.83922383923</v>
      </c>
      <c r="H355" s="134">
        <v>122779.50103950105</v>
      </c>
      <c r="I355">
        <v>220629.64656964657</v>
      </c>
      <c r="K355">
        <v>78310.18314617504</v>
      </c>
      <c r="L355">
        <v>103884.05455306266</v>
      </c>
      <c r="M355" s="134">
        <v>118362.6541926542</v>
      </c>
      <c r="N355" s="159">
        <v>31724.504504504504</v>
      </c>
      <c r="O355">
        <v>40048.56202356202</v>
      </c>
      <c r="P355">
        <f t="shared" si="707"/>
        <v>1470807.221</v>
      </c>
      <c r="U355">
        <v>21093.577981651375</v>
      </c>
      <c r="V355" s="136">
        <v>396559.2660550459</v>
      </c>
      <c r="W355" s="136">
        <v>168397.0642201835</v>
      </c>
      <c r="X355" s="136">
        <v>85780.5504587156</v>
      </c>
      <c r="Y355" s="148">
        <f t="shared" ref="Y355:AG355" si="717">Y354+2598</f>
        <v>6992.495413</v>
      </c>
      <c r="Z355" s="161">
        <f t="shared" si="717"/>
        <v>49179.65138</v>
      </c>
      <c r="AA355" s="145">
        <f t="shared" si="717"/>
        <v>247810.844</v>
      </c>
      <c r="AB355" s="148">
        <f t="shared" si="717"/>
        <v>25976.7156</v>
      </c>
      <c r="AC355" s="148">
        <f t="shared" si="717"/>
        <v>91778.34967</v>
      </c>
      <c r="AD355" s="148">
        <f t="shared" si="717"/>
        <v>122068.2925</v>
      </c>
      <c r="AE355" s="148">
        <f t="shared" si="717"/>
        <v>162030.2936</v>
      </c>
      <c r="AF355" s="148">
        <f t="shared" si="717"/>
        <v>54628.82569</v>
      </c>
      <c r="AG355" s="148">
        <f t="shared" si="717"/>
        <v>81347.3578</v>
      </c>
      <c r="AH355">
        <f>AH354/9</f>
        <v>2597.635066</v>
      </c>
      <c r="AI355" s="18">
        <f>SUM(U355:AG355)</f>
        <v>1513643.284</v>
      </c>
    </row>
    <row r="356">
      <c r="D356">
        <f t="shared" ref="D356:O356" si="718">D355-D357</f>
        <v>252347.124</v>
      </c>
      <c r="E356">
        <f t="shared" si="718"/>
        <v>242926.5766</v>
      </c>
      <c r="F356">
        <f t="shared" si="718"/>
        <v>91425.64103</v>
      </c>
      <c r="G356">
        <f t="shared" si="718"/>
        <v>99726.21748</v>
      </c>
      <c r="H356">
        <f t="shared" si="718"/>
        <v>111617.7282</v>
      </c>
      <c r="I356">
        <f t="shared" si="718"/>
        <v>200572.406</v>
      </c>
      <c r="J356">
        <f t="shared" si="718"/>
        <v>0</v>
      </c>
      <c r="K356">
        <f t="shared" si="718"/>
        <v>71191.07559</v>
      </c>
      <c r="L356">
        <f t="shared" si="718"/>
        <v>94440.04959</v>
      </c>
      <c r="M356">
        <f t="shared" si="718"/>
        <v>107602.4129</v>
      </c>
      <c r="N356">
        <f t="shared" si="718"/>
        <v>28840.45864</v>
      </c>
      <c r="O356">
        <f t="shared" si="718"/>
        <v>36407.78366</v>
      </c>
      <c r="P356">
        <f t="shared" si="707"/>
        <v>1337097.474</v>
      </c>
      <c r="AA356" s="146">
        <f>AA355+U355</f>
        <v>268904.422</v>
      </c>
    </row>
    <row r="357">
      <c r="B357" s="1" t="s">
        <v>5499</v>
      </c>
      <c r="D357">
        <f t="shared" ref="D357:O357" si="719">D355/11</f>
        <v>25234.7124</v>
      </c>
      <c r="E357">
        <f t="shared" si="719"/>
        <v>24292.65766</v>
      </c>
      <c r="F357">
        <f t="shared" si="719"/>
        <v>9142.564103</v>
      </c>
      <c r="G357">
        <f t="shared" si="719"/>
        <v>9972.621748</v>
      </c>
      <c r="H357">
        <f t="shared" si="719"/>
        <v>11161.77282</v>
      </c>
      <c r="I357">
        <f t="shared" si="719"/>
        <v>20057.2406</v>
      </c>
      <c r="J357">
        <f t="shared" si="719"/>
        <v>0</v>
      </c>
      <c r="K357">
        <f t="shared" si="719"/>
        <v>7119.107559</v>
      </c>
      <c r="L357">
        <f t="shared" si="719"/>
        <v>9444.004959</v>
      </c>
      <c r="M357">
        <f t="shared" si="719"/>
        <v>10760.24129</v>
      </c>
      <c r="N357">
        <f t="shared" si="719"/>
        <v>2884.045864</v>
      </c>
      <c r="O357">
        <f t="shared" si="719"/>
        <v>3640.778366</v>
      </c>
      <c r="P357">
        <f t="shared" si="707"/>
        <v>133709.7474</v>
      </c>
    </row>
    <row r="358">
      <c r="B358" s="23" t="s">
        <v>5528</v>
      </c>
      <c r="D358" s="145">
        <f t="shared" ref="D358:O358" si="720">SUM(D354,D355)</f>
        <v>2367581.836</v>
      </c>
      <c r="E358" s="18">
        <f t="shared" si="720"/>
        <v>2874219.234</v>
      </c>
      <c r="F358" s="18">
        <f t="shared" si="720"/>
        <v>1860568.205</v>
      </c>
      <c r="G358" s="18">
        <f t="shared" si="720"/>
        <v>2155698.839</v>
      </c>
      <c r="H358" s="18">
        <f t="shared" si="720"/>
        <v>2278779.501</v>
      </c>
      <c r="I358" s="18">
        <f t="shared" si="720"/>
        <v>4070629.647</v>
      </c>
      <c r="J358" s="18">
        <f t="shared" si="720"/>
        <v>0</v>
      </c>
      <c r="K358" s="18">
        <f t="shared" si="720"/>
        <v>2696310.183</v>
      </c>
      <c r="L358" s="18">
        <f t="shared" si="720"/>
        <v>2193884.055</v>
      </c>
      <c r="M358" s="18">
        <f t="shared" si="720"/>
        <v>1768362.654</v>
      </c>
      <c r="N358" s="18">
        <f t="shared" si="720"/>
        <v>1417724.505</v>
      </c>
      <c r="O358" s="18">
        <f t="shared" si="720"/>
        <v>1404048.562</v>
      </c>
      <c r="P358">
        <f t="shared" si="707"/>
        <v>25087807.22</v>
      </c>
      <c r="T358" s="1" t="s">
        <v>2569</v>
      </c>
      <c r="U358" s="1">
        <v>51115.0</v>
      </c>
      <c r="W358" s="1">
        <v>35260.0</v>
      </c>
      <c r="Y358" s="1">
        <v>72119.0</v>
      </c>
      <c r="AA358" s="1">
        <v>88306.0</v>
      </c>
      <c r="AC358" s="1">
        <v>90965.0</v>
      </c>
      <c r="AE358" s="1">
        <v>118165.0</v>
      </c>
      <c r="AH358" s="1">
        <v>8409.0</v>
      </c>
      <c r="AJ358" s="1">
        <v>1245520.0</v>
      </c>
      <c r="AL358" s="1">
        <v>8719.0</v>
      </c>
    </row>
    <row r="359">
      <c r="B359" s="1" t="s">
        <v>5580</v>
      </c>
      <c r="D359">
        <f t="shared" ref="D359:O359" si="721">D352+D356</f>
        <v>2152347.124</v>
      </c>
      <c r="E359">
        <f t="shared" si="721"/>
        <v>2612926.577</v>
      </c>
      <c r="F359">
        <f t="shared" si="721"/>
        <v>1691425.641</v>
      </c>
      <c r="G359">
        <f t="shared" si="721"/>
        <v>1959726.217</v>
      </c>
      <c r="H359">
        <f t="shared" si="721"/>
        <v>2071617.728</v>
      </c>
      <c r="I359">
        <f t="shared" si="721"/>
        <v>3700572.406</v>
      </c>
      <c r="J359">
        <f t="shared" si="721"/>
        <v>0</v>
      </c>
      <c r="K359">
        <f t="shared" si="721"/>
        <v>2451191.076</v>
      </c>
      <c r="L359">
        <f t="shared" si="721"/>
        <v>1994440.05</v>
      </c>
      <c r="M359">
        <f t="shared" si="721"/>
        <v>1607602.413</v>
      </c>
      <c r="N359">
        <f t="shared" si="721"/>
        <v>1288840.459</v>
      </c>
      <c r="O359">
        <f t="shared" si="721"/>
        <v>1276407.784</v>
      </c>
      <c r="P359">
        <f t="shared" si="707"/>
        <v>22807097.47</v>
      </c>
      <c r="U359" s="1">
        <v>9104.0</v>
      </c>
      <c r="V359" s="1">
        <v>46299.0</v>
      </c>
      <c r="W359" s="1">
        <v>88291.0</v>
      </c>
      <c r="Y359" s="1">
        <v>19855.0</v>
      </c>
      <c r="AA359" s="1">
        <v>37650.0</v>
      </c>
      <c r="AE359" s="1">
        <v>100827.0</v>
      </c>
      <c r="AG359" s="1">
        <v>16327.0</v>
      </c>
    </row>
    <row r="360">
      <c r="B360" s="1" t="s">
        <v>5582</v>
      </c>
      <c r="D360">
        <f t="shared" ref="D360:O360" si="722">D353+D357</f>
        <v>215234.7124</v>
      </c>
      <c r="E360">
        <f t="shared" si="722"/>
        <v>261292.6577</v>
      </c>
      <c r="F360">
        <f t="shared" si="722"/>
        <v>169142.5641</v>
      </c>
      <c r="G360">
        <f t="shared" si="722"/>
        <v>195972.6217</v>
      </c>
      <c r="H360">
        <f t="shared" si="722"/>
        <v>207161.7728</v>
      </c>
      <c r="I360">
        <f t="shared" si="722"/>
        <v>370057.2406</v>
      </c>
      <c r="J360">
        <f t="shared" si="722"/>
        <v>0</v>
      </c>
      <c r="K360">
        <f t="shared" si="722"/>
        <v>245119.1076</v>
      </c>
      <c r="L360">
        <f t="shared" si="722"/>
        <v>199444.005</v>
      </c>
      <c r="M360">
        <f t="shared" si="722"/>
        <v>160760.2413</v>
      </c>
      <c r="N360">
        <f t="shared" si="722"/>
        <v>128884.0459</v>
      </c>
      <c r="O360">
        <f t="shared" si="722"/>
        <v>127640.7784</v>
      </c>
      <c r="P360">
        <f t="shared" si="707"/>
        <v>2280709.747</v>
      </c>
      <c r="U360">
        <f t="shared" ref="U360:U361" si="723">U358-U350</f>
        <v>1670</v>
      </c>
      <c r="W360">
        <f t="shared" ref="W360:W361" si="724">W358-W350</f>
        <v>512</v>
      </c>
      <c r="Y360">
        <f t="shared" ref="Y360:Y361" si="725">Y358-Y350</f>
        <v>645</v>
      </c>
      <c r="AA360">
        <f t="shared" ref="AA360:AA361" si="726">AA358-AA350</f>
        <v>1362</v>
      </c>
      <c r="AC360">
        <f>AC358-AC350</f>
        <v>866</v>
      </c>
      <c r="AE360">
        <f t="shared" ref="AE360:AE361" si="727">AE358-AE350</f>
        <v>1419</v>
      </c>
      <c r="AH360">
        <f>AH358-AH350</f>
        <v>124</v>
      </c>
    </row>
    <row r="361">
      <c r="D361" s="1" t="s">
        <v>5566</v>
      </c>
      <c r="E361" s="1" t="s">
        <v>5566</v>
      </c>
      <c r="F361" s="1" t="s">
        <v>5566</v>
      </c>
      <c r="G361" s="1" t="s">
        <v>5566</v>
      </c>
      <c r="H361" s="1" t="s">
        <v>5566</v>
      </c>
      <c r="I361" s="1" t="s">
        <v>5566</v>
      </c>
      <c r="K361" s="1" t="s">
        <v>5566</v>
      </c>
      <c r="L361" s="1" t="s">
        <v>5566</v>
      </c>
      <c r="M361" s="1" t="s">
        <v>5566</v>
      </c>
      <c r="N361" s="33" t="s">
        <v>5566</v>
      </c>
      <c r="O361" s="1" t="s">
        <v>5566</v>
      </c>
      <c r="U361" s="147">
        <f t="shared" si="723"/>
        <v>128</v>
      </c>
      <c r="V361" s="147">
        <f>(V359-V351)</f>
        <v>1499</v>
      </c>
      <c r="W361" s="147">
        <f t="shared" si="724"/>
        <v>935</v>
      </c>
      <c r="X361" s="137">
        <f>W360</f>
        <v>512</v>
      </c>
      <c r="Y361" s="147">
        <f t="shared" si="725"/>
        <v>73</v>
      </c>
      <c r="Z361" s="100">
        <f>Y360-Y361</f>
        <v>572</v>
      </c>
      <c r="AA361" s="147">
        <f t="shared" si="726"/>
        <v>1140</v>
      </c>
      <c r="AB361" s="137">
        <v>0.0</v>
      </c>
      <c r="AC361" s="147">
        <f>(AC360)*73.9/(73.9+99)</f>
        <v>370.141122</v>
      </c>
      <c r="AD361" s="147">
        <f>(AC360)*99/(73.9+99)</f>
        <v>495.858878</v>
      </c>
      <c r="AE361" s="147">
        <f t="shared" si="727"/>
        <v>788</v>
      </c>
      <c r="AF361" s="100">
        <f>AE360-AE361-AG361-50</f>
        <v>292</v>
      </c>
      <c r="AG361" s="147">
        <f>AG359-AG351</f>
        <v>289</v>
      </c>
      <c r="AH361" s="1">
        <v>124.0</v>
      </c>
      <c r="AI361" s="18">
        <f t="shared" ref="AI361:AI362" si="729">SUM(U361:AH361)</f>
        <v>7218</v>
      </c>
    </row>
    <row r="362">
      <c r="H362" s="1"/>
      <c r="K362" s="1" t="s">
        <v>5707</v>
      </c>
      <c r="M362" s="1"/>
      <c r="N362" s="33"/>
      <c r="U362" s="158">
        <f t="shared" ref="U362:AH362" si="728">U361*1245520/7218</f>
        <v>22087.35938</v>
      </c>
      <c r="V362" s="158">
        <f t="shared" si="728"/>
        <v>258663.6852</v>
      </c>
      <c r="W362" s="158">
        <f t="shared" si="728"/>
        <v>161341.258</v>
      </c>
      <c r="X362" s="158">
        <f t="shared" si="728"/>
        <v>88349.43752</v>
      </c>
      <c r="Y362" s="158">
        <f t="shared" si="728"/>
        <v>12596.69715</v>
      </c>
      <c r="Z362" s="158">
        <f t="shared" si="728"/>
        <v>98702.88723</v>
      </c>
      <c r="AA362" s="158">
        <f t="shared" si="728"/>
        <v>196715.5445</v>
      </c>
      <c r="AB362" s="158">
        <f t="shared" si="728"/>
        <v>0</v>
      </c>
      <c r="AC362" s="158">
        <f t="shared" si="728"/>
        <v>63870.62487</v>
      </c>
      <c r="AD362" s="158">
        <f t="shared" si="728"/>
        <v>85564.16593</v>
      </c>
      <c r="AE362" s="158">
        <f t="shared" si="728"/>
        <v>135975.3062</v>
      </c>
      <c r="AF362" s="158">
        <f t="shared" si="728"/>
        <v>50386.78858</v>
      </c>
      <c r="AG362" s="158">
        <f t="shared" si="728"/>
        <v>49869.1161</v>
      </c>
      <c r="AH362" s="158">
        <f t="shared" si="728"/>
        <v>21397.1294</v>
      </c>
      <c r="AI362" s="18">
        <f t="shared" si="729"/>
        <v>1245520</v>
      </c>
    </row>
    <row r="363">
      <c r="H363" s="1"/>
      <c r="M363" s="1"/>
      <c r="N363" s="33"/>
      <c r="U363">
        <v>22087.359379329453</v>
      </c>
      <c r="V363" s="55">
        <v>258663.68523136602</v>
      </c>
      <c r="W363" s="55">
        <v>161341.2579661956</v>
      </c>
      <c r="X363" s="55">
        <v>88349.43751731781</v>
      </c>
      <c r="Y363" s="148">
        <f t="shared" ref="Y363:AA363" si="730">Y362+2674</f>
        <v>15270.69715</v>
      </c>
      <c r="Z363" s="161">
        <f t="shared" si="730"/>
        <v>101376.8872</v>
      </c>
      <c r="AA363" s="145">
        <f t="shared" si="730"/>
        <v>199389.5445</v>
      </c>
      <c r="AB363" s="145"/>
      <c r="AC363" s="148">
        <f t="shared" ref="AC363:AG363" si="731">AC362+2674</f>
        <v>66544.62487</v>
      </c>
      <c r="AD363" s="148">
        <f t="shared" si="731"/>
        <v>88238.16593</v>
      </c>
      <c r="AE363" s="148">
        <f t="shared" si="731"/>
        <v>138649.3062</v>
      </c>
      <c r="AF363" s="148">
        <f t="shared" si="731"/>
        <v>53060.78858</v>
      </c>
      <c r="AG363" s="148">
        <f t="shared" si="731"/>
        <v>52543.1161</v>
      </c>
      <c r="AH363">
        <f>AH362/8</f>
        <v>2674.641175</v>
      </c>
      <c r="AI363" s="18">
        <f>SUM(U363:AG363)</f>
        <v>1245514.871</v>
      </c>
    </row>
    <row r="364">
      <c r="B364" s="1" t="s">
        <v>5709</v>
      </c>
      <c r="D364" s="1">
        <v>1900000.0</v>
      </c>
      <c r="E364" s="33">
        <v>2370000.0</v>
      </c>
      <c r="F364" s="1">
        <v>1600000.0</v>
      </c>
      <c r="G364" s="1">
        <v>1860000.0</v>
      </c>
      <c r="H364" s="1">
        <v>1960000.0</v>
      </c>
      <c r="I364" s="1">
        <v>3500000.0</v>
      </c>
      <c r="K364" s="1">
        <v>2300000.0</v>
      </c>
      <c r="L364" s="1">
        <v>1900000.0</v>
      </c>
      <c r="M364" s="1">
        <v>1500000.0</v>
      </c>
      <c r="N364" s="33">
        <v>1260000.0</v>
      </c>
      <c r="O364" s="1">
        <v>1240000.0</v>
      </c>
      <c r="P364">
        <f t="shared" ref="P364:P375" si="734">SUM(D364:O364)</f>
        <v>21390000</v>
      </c>
      <c r="Z364" s="144">
        <f>Z355+Z363</f>
        <v>150556.5386</v>
      </c>
      <c r="AA364" s="146">
        <f>AA363+U363</f>
        <v>221476.9039</v>
      </c>
    </row>
    <row r="365">
      <c r="B365" s="1" t="s">
        <v>5499</v>
      </c>
      <c r="D365" s="1">
        <f t="shared" ref="D365:I365" si="732">D364*0.1</f>
        <v>190000</v>
      </c>
      <c r="E365" s="1">
        <f t="shared" si="732"/>
        <v>237000</v>
      </c>
      <c r="F365" s="1">
        <f t="shared" si="732"/>
        <v>160000</v>
      </c>
      <c r="G365" s="1">
        <f t="shared" si="732"/>
        <v>186000</v>
      </c>
      <c r="H365" s="1">
        <f t="shared" si="732"/>
        <v>196000</v>
      </c>
      <c r="I365" s="1">
        <f t="shared" si="732"/>
        <v>350000</v>
      </c>
      <c r="K365" s="1">
        <f t="shared" ref="K365:O365" si="733">K364*0.1</f>
        <v>230000</v>
      </c>
      <c r="L365" s="1">
        <f t="shared" si="733"/>
        <v>190000</v>
      </c>
      <c r="M365" s="1">
        <f t="shared" si="733"/>
        <v>150000</v>
      </c>
      <c r="N365" s="1">
        <f t="shared" si="733"/>
        <v>126000</v>
      </c>
      <c r="O365" s="1">
        <f t="shared" si="733"/>
        <v>124000</v>
      </c>
      <c r="P365">
        <f t="shared" si="734"/>
        <v>2139000</v>
      </c>
    </row>
    <row r="366">
      <c r="B366" s="1" t="s">
        <v>5520</v>
      </c>
      <c r="D366">
        <f t="shared" ref="D366:I366" si="735">D364+D365</f>
        <v>2090000</v>
      </c>
      <c r="E366">
        <f t="shared" si="735"/>
        <v>2607000</v>
      </c>
      <c r="F366">
        <f t="shared" si="735"/>
        <v>1760000</v>
      </c>
      <c r="G366">
        <f t="shared" si="735"/>
        <v>2046000</v>
      </c>
      <c r="H366">
        <f t="shared" si="735"/>
        <v>2156000</v>
      </c>
      <c r="I366">
        <f t="shared" si="735"/>
        <v>3850000</v>
      </c>
      <c r="K366">
        <f t="shared" ref="K366:O366" si="736">K364+K365</f>
        <v>2530000</v>
      </c>
      <c r="L366">
        <f t="shared" si="736"/>
        <v>2090000</v>
      </c>
      <c r="M366">
        <f t="shared" si="736"/>
        <v>1650000</v>
      </c>
      <c r="N366">
        <f t="shared" si="736"/>
        <v>1386000</v>
      </c>
      <c r="O366">
        <f t="shared" si="736"/>
        <v>1364000</v>
      </c>
      <c r="P366">
        <f t="shared" si="734"/>
        <v>23529000</v>
      </c>
      <c r="T366" s="1" t="s">
        <v>5710</v>
      </c>
      <c r="U366" s="1">
        <v>52372.0</v>
      </c>
      <c r="W366" s="1">
        <v>35709.0</v>
      </c>
      <c r="Y366" s="1">
        <v>73073.0</v>
      </c>
      <c r="AA366" s="1">
        <v>89258.0</v>
      </c>
      <c r="AC366" s="1">
        <v>91617.0</v>
      </c>
      <c r="AE366" s="1">
        <v>119209.0</v>
      </c>
      <c r="AH366" s="1">
        <v>8534.0</v>
      </c>
      <c r="AJ366" s="1">
        <v>967990.0</v>
      </c>
      <c r="AL366" s="1">
        <v>7225.0</v>
      </c>
    </row>
    <row r="367">
      <c r="B367" s="1" t="s">
        <v>5545</v>
      </c>
      <c r="D367">
        <v>403123.2278210283</v>
      </c>
      <c r="E367">
        <v>329533.17649071774</v>
      </c>
      <c r="F367">
        <v>99372.18068269313</v>
      </c>
      <c r="G367">
        <v>142356.2014714689</v>
      </c>
      <c r="H367" s="134">
        <v>194774.17306869707</v>
      </c>
      <c r="I367">
        <v>261193.0361023184</v>
      </c>
      <c r="K367">
        <v>116535.65750773087</v>
      </c>
      <c r="L367">
        <v>155029.56689127677</v>
      </c>
      <c r="M367" s="134">
        <v>146112.5381983061</v>
      </c>
      <c r="N367" s="159">
        <v>50667.43682094277</v>
      </c>
      <c r="O367">
        <v>97109.41817092993</v>
      </c>
      <c r="P367">
        <f t="shared" si="734"/>
        <v>1995806.613</v>
      </c>
      <c r="U367" s="1">
        <v>9241.0</v>
      </c>
      <c r="V367" s="1">
        <v>47373.0</v>
      </c>
      <c r="W367" s="1">
        <v>89024.0</v>
      </c>
      <c r="Y367" s="1">
        <v>20064.0</v>
      </c>
      <c r="AA367" s="1">
        <v>38873.0</v>
      </c>
      <c r="AE367" s="1">
        <v>101365.0</v>
      </c>
      <c r="AG367" s="1">
        <v>16607.0</v>
      </c>
    </row>
    <row r="368">
      <c r="D368">
        <f t="shared" ref="D368:O368" si="737">D367-D369</f>
        <v>366475.6617</v>
      </c>
      <c r="E368">
        <f t="shared" si="737"/>
        <v>299575.615</v>
      </c>
      <c r="F368">
        <f t="shared" si="737"/>
        <v>90338.34608</v>
      </c>
      <c r="G368">
        <f t="shared" si="737"/>
        <v>129414.7286</v>
      </c>
      <c r="H368">
        <f t="shared" si="737"/>
        <v>177067.4301</v>
      </c>
      <c r="I368">
        <f t="shared" si="737"/>
        <v>237448.2146</v>
      </c>
      <c r="J368">
        <f t="shared" si="737"/>
        <v>0</v>
      </c>
      <c r="K368">
        <f t="shared" si="737"/>
        <v>105941.5068</v>
      </c>
      <c r="L368">
        <f t="shared" si="737"/>
        <v>140935.9699</v>
      </c>
      <c r="M368">
        <f t="shared" si="737"/>
        <v>132829.5802</v>
      </c>
      <c r="N368">
        <f t="shared" si="737"/>
        <v>46061.3062</v>
      </c>
      <c r="O368">
        <f t="shared" si="737"/>
        <v>88281.28925</v>
      </c>
      <c r="P368">
        <f t="shared" si="734"/>
        <v>1814369.648</v>
      </c>
      <c r="U368">
        <f t="shared" ref="U368:U369" si="739">U366-U358</f>
        <v>1257</v>
      </c>
      <c r="W368">
        <f t="shared" ref="W368:W369" si="740">W366-W358</f>
        <v>449</v>
      </c>
      <c r="Y368">
        <f t="shared" ref="Y368:Y369" si="741">Y366-Y358</f>
        <v>954</v>
      </c>
      <c r="AA368">
        <f t="shared" ref="AA368:AA369" si="742">AA366-AA358</f>
        <v>952</v>
      </c>
      <c r="AC368">
        <f>AC366-AC358</f>
        <v>652</v>
      </c>
      <c r="AE368">
        <f t="shared" ref="AE368:AE369" si="743">AE366-AE358</f>
        <v>1044</v>
      </c>
      <c r="AH368">
        <f>AH366-AH358</f>
        <v>125</v>
      </c>
    </row>
    <row r="369">
      <c r="B369" s="1" t="s">
        <v>5499</v>
      </c>
      <c r="D369">
        <f t="shared" ref="D369:O369" si="738">D367/11</f>
        <v>36647.56617</v>
      </c>
      <c r="E369">
        <f t="shared" si="738"/>
        <v>29957.5615</v>
      </c>
      <c r="F369">
        <f t="shared" si="738"/>
        <v>9033.834608</v>
      </c>
      <c r="G369">
        <f t="shared" si="738"/>
        <v>12941.47286</v>
      </c>
      <c r="H369">
        <f t="shared" si="738"/>
        <v>17706.74301</v>
      </c>
      <c r="I369">
        <f t="shared" si="738"/>
        <v>23744.82146</v>
      </c>
      <c r="J369">
        <f t="shared" si="738"/>
        <v>0</v>
      </c>
      <c r="K369">
        <f t="shared" si="738"/>
        <v>10594.15068</v>
      </c>
      <c r="L369">
        <f t="shared" si="738"/>
        <v>14093.59699</v>
      </c>
      <c r="M369">
        <f t="shared" si="738"/>
        <v>13282.95802</v>
      </c>
      <c r="N369">
        <f t="shared" si="738"/>
        <v>4606.13062</v>
      </c>
      <c r="O369">
        <f t="shared" si="738"/>
        <v>8828.128925</v>
      </c>
      <c r="P369">
        <f t="shared" si="734"/>
        <v>181436.9648</v>
      </c>
      <c r="U369" s="147">
        <f t="shared" si="739"/>
        <v>137</v>
      </c>
      <c r="V369" s="147">
        <f>(V367-V359)</f>
        <v>1074</v>
      </c>
      <c r="W369" s="147">
        <f t="shared" si="740"/>
        <v>733</v>
      </c>
      <c r="X369" s="137">
        <f>W368</f>
        <v>449</v>
      </c>
      <c r="Y369" s="147">
        <f t="shared" si="741"/>
        <v>209</v>
      </c>
      <c r="Z369" s="100">
        <f>Y368-Y369</f>
        <v>745</v>
      </c>
      <c r="AA369" s="147">
        <f t="shared" si="742"/>
        <v>1223</v>
      </c>
      <c r="AB369" s="137">
        <v>0.0</v>
      </c>
      <c r="AC369" s="147">
        <f>(AC368)*73.9/(73.9+99)</f>
        <v>278.6743783</v>
      </c>
      <c r="AD369" s="147">
        <f>(AC368)*99/(73.9+99)</f>
        <v>373.3256217</v>
      </c>
      <c r="AE369" s="147">
        <f t="shared" si="743"/>
        <v>538</v>
      </c>
      <c r="AF369" s="100">
        <f>AE368-AE369-AG369-50</f>
        <v>176</v>
      </c>
      <c r="AG369" s="147">
        <f>AG367-AG359</f>
        <v>280</v>
      </c>
      <c r="AH369" s="1">
        <v>125.0</v>
      </c>
      <c r="AI369" s="18">
        <f t="shared" ref="AI369:AI370" si="745">SUM(U369:AH369)</f>
        <v>6341</v>
      </c>
    </row>
    <row r="370">
      <c r="B370" s="1" t="s">
        <v>5711</v>
      </c>
      <c r="D370">
        <v>38615.02246582875</v>
      </c>
      <c r="E370">
        <v>32159.38281256712</v>
      </c>
      <c r="F370">
        <v>16079.69140628356</v>
      </c>
      <c r="G370">
        <v>14752.91883950893</v>
      </c>
      <c r="H370" s="134">
        <v>21228.361068394057</v>
      </c>
      <c r="I370">
        <v>43130.00970798718</v>
      </c>
      <c r="J370">
        <v>0.0</v>
      </c>
      <c r="K370">
        <v>14634.10338576792</v>
      </c>
      <c r="L370">
        <v>19604.549867266902</v>
      </c>
      <c r="M370" s="134">
        <v>9998.32043230612</v>
      </c>
      <c r="N370" s="159">
        <v>11505.296437254616</v>
      </c>
      <c r="O370">
        <v>8792.343576834854</v>
      </c>
      <c r="P370">
        <f t="shared" si="734"/>
        <v>230500</v>
      </c>
      <c r="U370" s="158">
        <f t="shared" ref="U370:AH370" si="744">U369*967990/6341</f>
        <v>20913.83536</v>
      </c>
      <c r="V370" s="158">
        <f t="shared" si="744"/>
        <v>163952.2567</v>
      </c>
      <c r="W370" s="158">
        <f t="shared" si="744"/>
        <v>111896.6519</v>
      </c>
      <c r="X370" s="158">
        <f t="shared" si="744"/>
        <v>68542.42391</v>
      </c>
      <c r="Y370" s="158">
        <f t="shared" si="744"/>
        <v>31905.0481</v>
      </c>
      <c r="Z370" s="158">
        <f t="shared" si="744"/>
        <v>113728.5207</v>
      </c>
      <c r="AA370" s="158">
        <f t="shared" si="744"/>
        <v>186697.9609</v>
      </c>
      <c r="AB370" s="158">
        <f t="shared" si="744"/>
        <v>0</v>
      </c>
      <c r="AC370" s="158">
        <f t="shared" si="744"/>
        <v>42541.24135</v>
      </c>
      <c r="AD370" s="158">
        <f t="shared" si="744"/>
        <v>56990.29626</v>
      </c>
      <c r="AE370" s="158">
        <f t="shared" si="744"/>
        <v>82128.7841</v>
      </c>
      <c r="AF370" s="158">
        <f t="shared" si="744"/>
        <v>26867.40893</v>
      </c>
      <c r="AG370" s="158">
        <f t="shared" si="744"/>
        <v>42743.60511</v>
      </c>
      <c r="AH370" s="158">
        <f t="shared" si="744"/>
        <v>19081.96657</v>
      </c>
      <c r="AI370" s="18">
        <f t="shared" si="745"/>
        <v>967990</v>
      </c>
    </row>
    <row r="371">
      <c r="B371" s="23" t="s">
        <v>5598</v>
      </c>
      <c r="D371" s="18">
        <f t="shared" ref="D371:O371" si="746">SUM(D366,D367,D370)</f>
        <v>2531738.25</v>
      </c>
      <c r="E371" s="18">
        <f t="shared" si="746"/>
        <v>2968692.559</v>
      </c>
      <c r="F371" s="18">
        <f t="shared" si="746"/>
        <v>1875451.872</v>
      </c>
      <c r="G371" s="18">
        <f t="shared" si="746"/>
        <v>2203109.12</v>
      </c>
      <c r="H371" s="18">
        <f t="shared" si="746"/>
        <v>2372002.534</v>
      </c>
      <c r="I371" s="18">
        <f t="shared" si="746"/>
        <v>4154323.046</v>
      </c>
      <c r="J371" s="18">
        <f t="shared" si="746"/>
        <v>0</v>
      </c>
      <c r="K371" s="18">
        <f t="shared" si="746"/>
        <v>2661169.761</v>
      </c>
      <c r="L371" s="18">
        <f t="shared" si="746"/>
        <v>2264634.117</v>
      </c>
      <c r="M371" s="18">
        <f t="shared" si="746"/>
        <v>1806110.859</v>
      </c>
      <c r="N371" s="18">
        <f t="shared" si="746"/>
        <v>1448172.733</v>
      </c>
      <c r="O371" s="18">
        <f t="shared" si="746"/>
        <v>1469901.762</v>
      </c>
      <c r="P371">
        <f t="shared" si="734"/>
        <v>25755306.61</v>
      </c>
      <c r="U371">
        <v>20913.83535719918</v>
      </c>
      <c r="V371" s="55">
        <v>163952.25674183882</v>
      </c>
      <c r="W371" s="55">
        <v>111896.65194764233</v>
      </c>
      <c r="X371" s="55">
        <v>68542.42390790096</v>
      </c>
      <c r="Y371" s="148">
        <f t="shared" ref="Y371:AA371" si="747">Y370+2385</f>
        <v>34290.0481</v>
      </c>
      <c r="Z371" s="148">
        <f t="shared" si="747"/>
        <v>116113.5207</v>
      </c>
      <c r="AA371" s="145">
        <f t="shared" si="747"/>
        <v>189082.9609</v>
      </c>
      <c r="AB371" s="148"/>
      <c r="AC371" s="148">
        <f t="shared" ref="AC371:AG371" si="748">AC370+2385</f>
        <v>44926.24135</v>
      </c>
      <c r="AD371" s="148">
        <f t="shared" si="748"/>
        <v>59375.29626</v>
      </c>
      <c r="AE371" s="148">
        <f t="shared" si="748"/>
        <v>84513.7841</v>
      </c>
      <c r="AF371" s="148">
        <f t="shared" si="748"/>
        <v>29252.40893</v>
      </c>
      <c r="AG371" s="148">
        <f t="shared" si="748"/>
        <v>45128.60511</v>
      </c>
      <c r="AH371">
        <f>AH370/8</f>
        <v>2385.245821</v>
      </c>
      <c r="AI371" s="18">
        <f>SUM(U371:AG371)</f>
        <v>967988.0334</v>
      </c>
    </row>
    <row r="372">
      <c r="B372" s="1" t="s">
        <v>5599</v>
      </c>
      <c r="D372">
        <f t="shared" ref="D372:O372" si="749">SUM(D364,D368,D370)</f>
        <v>2305090.684</v>
      </c>
      <c r="E372">
        <f t="shared" si="749"/>
        <v>2701734.998</v>
      </c>
      <c r="F372">
        <f t="shared" si="749"/>
        <v>1706418.037</v>
      </c>
      <c r="G372">
        <f t="shared" si="749"/>
        <v>2004167.647</v>
      </c>
      <c r="H372">
        <f t="shared" si="749"/>
        <v>2158295.791</v>
      </c>
      <c r="I372">
        <f t="shared" si="749"/>
        <v>3780578.224</v>
      </c>
      <c r="J372">
        <f t="shared" si="749"/>
        <v>0</v>
      </c>
      <c r="K372">
        <f t="shared" si="749"/>
        <v>2420575.61</v>
      </c>
      <c r="L372">
        <f t="shared" si="749"/>
        <v>2060540.52</v>
      </c>
      <c r="M372">
        <f t="shared" si="749"/>
        <v>1642827.901</v>
      </c>
      <c r="N372">
        <f t="shared" si="749"/>
        <v>1317566.603</v>
      </c>
      <c r="O372">
        <f t="shared" si="749"/>
        <v>1337073.633</v>
      </c>
      <c r="P372">
        <f t="shared" si="734"/>
        <v>23434869.65</v>
      </c>
      <c r="AA372" s="146">
        <f>AA371+U371</f>
        <v>209996.7962</v>
      </c>
    </row>
    <row r="373">
      <c r="B373" s="1" t="s">
        <v>5601</v>
      </c>
      <c r="D373">
        <f t="shared" ref="D373:O373" si="750">SUM(D364,D368)</f>
        <v>2266475.662</v>
      </c>
      <c r="E373">
        <f t="shared" si="750"/>
        <v>2669575.615</v>
      </c>
      <c r="F373">
        <f t="shared" si="750"/>
        <v>1690338.346</v>
      </c>
      <c r="G373">
        <f t="shared" si="750"/>
        <v>1989414.729</v>
      </c>
      <c r="H373">
        <f t="shared" si="750"/>
        <v>2137067.43</v>
      </c>
      <c r="I373">
        <f t="shared" si="750"/>
        <v>3737448.215</v>
      </c>
      <c r="J373">
        <f t="shared" si="750"/>
        <v>0</v>
      </c>
      <c r="K373">
        <f t="shared" si="750"/>
        <v>2405941.507</v>
      </c>
      <c r="L373">
        <f t="shared" si="750"/>
        <v>2040935.97</v>
      </c>
      <c r="M373">
        <f t="shared" si="750"/>
        <v>1632829.58</v>
      </c>
      <c r="N373">
        <f t="shared" si="750"/>
        <v>1306061.306</v>
      </c>
      <c r="O373">
        <f t="shared" si="750"/>
        <v>1328281.289</v>
      </c>
      <c r="P373">
        <f t="shared" si="734"/>
        <v>23204369.65</v>
      </c>
    </row>
    <row r="374">
      <c r="B374" s="1" t="s">
        <v>5582</v>
      </c>
      <c r="D374">
        <f t="shared" ref="D374:O374" si="751">SUM(D365,D369)</f>
        <v>226647.5662</v>
      </c>
      <c r="E374">
        <f t="shared" si="751"/>
        <v>266957.5615</v>
      </c>
      <c r="F374">
        <f t="shared" si="751"/>
        <v>169033.8346</v>
      </c>
      <c r="G374">
        <f t="shared" si="751"/>
        <v>198941.4729</v>
      </c>
      <c r="H374">
        <f t="shared" si="751"/>
        <v>213706.743</v>
      </c>
      <c r="I374">
        <f t="shared" si="751"/>
        <v>373744.8215</v>
      </c>
      <c r="J374">
        <f t="shared" si="751"/>
        <v>0</v>
      </c>
      <c r="K374">
        <f t="shared" si="751"/>
        <v>240594.1507</v>
      </c>
      <c r="L374">
        <f t="shared" si="751"/>
        <v>204093.597</v>
      </c>
      <c r="M374">
        <f t="shared" si="751"/>
        <v>163282.958</v>
      </c>
      <c r="N374">
        <f t="shared" si="751"/>
        <v>130606.1306</v>
      </c>
      <c r="O374">
        <f t="shared" si="751"/>
        <v>132828.1289</v>
      </c>
      <c r="P374">
        <f t="shared" si="734"/>
        <v>2320436.965</v>
      </c>
      <c r="T374" s="1" t="s">
        <v>2602</v>
      </c>
      <c r="U374" s="1">
        <v>53462.0</v>
      </c>
      <c r="W374" s="1">
        <v>35988.0</v>
      </c>
      <c r="Y374" s="1">
        <v>73908.0</v>
      </c>
      <c r="AA374" s="1">
        <v>89845.0</v>
      </c>
      <c r="AC374" s="1">
        <v>92273.0</v>
      </c>
      <c r="AE374" s="1">
        <v>120066.0</v>
      </c>
      <c r="AH374" s="1">
        <v>8660.0</v>
      </c>
      <c r="AJ374" s="1">
        <v>865700.0</v>
      </c>
      <c r="AL374" s="1">
        <v>5845.0</v>
      </c>
    </row>
    <row r="375">
      <c r="B375" s="1" t="s">
        <v>5602</v>
      </c>
      <c r="D375">
        <f t="shared" ref="D375:O375" si="752">SUM(D373:D374)</f>
        <v>2493123.228</v>
      </c>
      <c r="E375">
        <f t="shared" si="752"/>
        <v>2936533.176</v>
      </c>
      <c r="F375">
        <f t="shared" si="752"/>
        <v>1859372.181</v>
      </c>
      <c r="G375">
        <f t="shared" si="752"/>
        <v>2188356.201</v>
      </c>
      <c r="H375">
        <f t="shared" si="752"/>
        <v>2350774.173</v>
      </c>
      <c r="I375">
        <f t="shared" si="752"/>
        <v>4111193.036</v>
      </c>
      <c r="J375">
        <f t="shared" si="752"/>
        <v>0</v>
      </c>
      <c r="K375">
        <f t="shared" si="752"/>
        <v>2646535.658</v>
      </c>
      <c r="L375">
        <f t="shared" si="752"/>
        <v>2245029.567</v>
      </c>
      <c r="M375">
        <f t="shared" si="752"/>
        <v>1796112.538</v>
      </c>
      <c r="N375">
        <f t="shared" si="752"/>
        <v>1436667.437</v>
      </c>
      <c r="O375">
        <f t="shared" si="752"/>
        <v>1461109.418</v>
      </c>
      <c r="P375">
        <f t="shared" si="734"/>
        <v>25524806.61</v>
      </c>
      <c r="U375" s="1">
        <v>9382.0</v>
      </c>
      <c r="V375" s="1">
        <v>48278.0</v>
      </c>
      <c r="W375" s="1">
        <v>89521.0</v>
      </c>
      <c r="Y375" s="1">
        <v>20300.0</v>
      </c>
      <c r="AA375" s="1">
        <v>39501.0</v>
      </c>
      <c r="AB375" s="1">
        <v>47.0</v>
      </c>
      <c r="AE375" s="1">
        <v>101736.0</v>
      </c>
      <c r="AG375" s="1">
        <v>16767.0</v>
      </c>
    </row>
    <row r="376">
      <c r="B376" s="1"/>
      <c r="D376" s="1" t="s">
        <v>5566</v>
      </c>
      <c r="E376" s="1" t="s">
        <v>5566</v>
      </c>
      <c r="F376" s="1" t="s">
        <v>5566</v>
      </c>
      <c r="G376" s="1" t="s">
        <v>5566</v>
      </c>
      <c r="H376" s="1" t="s">
        <v>5566</v>
      </c>
      <c r="I376" s="1" t="s">
        <v>5566</v>
      </c>
      <c r="K376" s="1" t="s">
        <v>5566</v>
      </c>
      <c r="L376" s="1" t="s">
        <v>5566</v>
      </c>
      <c r="M376" s="1" t="s">
        <v>5566</v>
      </c>
      <c r="N376" s="33" t="s">
        <v>5566</v>
      </c>
      <c r="O376" s="1" t="s">
        <v>5566</v>
      </c>
      <c r="U376">
        <f t="shared" ref="U376:U377" si="753">U374-U366</f>
        <v>1090</v>
      </c>
      <c r="W376">
        <f t="shared" ref="W376:W377" si="754">W374-W366</f>
        <v>279</v>
      </c>
      <c r="Y376">
        <f t="shared" ref="Y376:Y377" si="755">Y374-Y366</f>
        <v>835</v>
      </c>
      <c r="AA376">
        <f t="shared" ref="AA376:AA377" si="756">AA374-AA366</f>
        <v>587</v>
      </c>
      <c r="AC376">
        <f>AC374-AC366</f>
        <v>656</v>
      </c>
      <c r="AE376">
        <f t="shared" ref="AE376:AE377" si="757">AE374-AE366</f>
        <v>857</v>
      </c>
      <c r="AH376">
        <f>AH374-AH366</f>
        <v>126</v>
      </c>
    </row>
    <row r="377">
      <c r="B377" s="1"/>
      <c r="H377" s="1"/>
      <c r="J377" s="1" t="s">
        <v>5712</v>
      </c>
      <c r="M377" s="1"/>
      <c r="N377" s="33"/>
      <c r="U377" s="147">
        <f t="shared" si="753"/>
        <v>141</v>
      </c>
      <c r="V377" s="147">
        <f>(V375-V367)</f>
        <v>905</v>
      </c>
      <c r="W377" s="147">
        <f t="shared" si="754"/>
        <v>497</v>
      </c>
      <c r="X377" s="137">
        <f>W376</f>
        <v>279</v>
      </c>
      <c r="Y377" s="147">
        <f t="shared" si="755"/>
        <v>236</v>
      </c>
      <c r="Z377" s="100">
        <f>Y376-Y377</f>
        <v>599</v>
      </c>
      <c r="AA377" s="147">
        <f t="shared" si="756"/>
        <v>628</v>
      </c>
      <c r="AB377" s="137">
        <v>47.0</v>
      </c>
      <c r="AC377" s="147">
        <f>(AC376)*73.9/(73.9+99)</f>
        <v>280.384037</v>
      </c>
      <c r="AD377" s="147">
        <f>(AC376)*99/(73.9+99)</f>
        <v>375.615963</v>
      </c>
      <c r="AE377" s="147">
        <f t="shared" si="757"/>
        <v>371</v>
      </c>
      <c r="AF377" s="100">
        <f>AE376-AE377-AG377-50</f>
        <v>276</v>
      </c>
      <c r="AG377" s="147">
        <f>AG375-AG367</f>
        <v>160</v>
      </c>
      <c r="AH377" s="1">
        <v>126.0</v>
      </c>
      <c r="AI377" s="18">
        <f t="shared" ref="AI377:AI378" si="759">SUM(U377:AH377)</f>
        <v>4921</v>
      </c>
    </row>
    <row r="378">
      <c r="B378" s="1"/>
      <c r="F378" s="1" t="s">
        <v>5713</v>
      </c>
      <c r="G378" s="1" t="s">
        <v>5714</v>
      </c>
      <c r="H378" s="1"/>
      <c r="J378" s="1" t="s">
        <v>5715</v>
      </c>
      <c r="M378" s="1"/>
      <c r="N378" s="33"/>
      <c r="U378" s="158">
        <f t="shared" ref="U378:AH378" si="758">U377*865700/4921</f>
        <v>24804.65353</v>
      </c>
      <c r="V378" s="158">
        <f t="shared" si="758"/>
        <v>159207.1733</v>
      </c>
      <c r="W378" s="158">
        <f t="shared" si="758"/>
        <v>87432.00569</v>
      </c>
      <c r="X378" s="158">
        <f t="shared" si="758"/>
        <v>49081.54847</v>
      </c>
      <c r="Y378" s="158">
        <f t="shared" si="758"/>
        <v>41517.00874</v>
      </c>
      <c r="Z378" s="158">
        <f t="shared" si="758"/>
        <v>105375.7976</v>
      </c>
      <c r="AA378" s="158">
        <f t="shared" si="758"/>
        <v>110477.4639</v>
      </c>
      <c r="AB378" s="158">
        <f t="shared" si="758"/>
        <v>8268.217842</v>
      </c>
      <c r="AC378" s="158">
        <f t="shared" si="758"/>
        <v>49325.02761</v>
      </c>
      <c r="AD378" s="158">
        <f t="shared" si="758"/>
        <v>66078.18312</v>
      </c>
      <c r="AE378" s="158">
        <f t="shared" si="758"/>
        <v>65266.14509</v>
      </c>
      <c r="AF378" s="158">
        <f t="shared" si="758"/>
        <v>48553.78988</v>
      </c>
      <c r="AG378" s="158">
        <f t="shared" si="758"/>
        <v>28147.12457</v>
      </c>
      <c r="AH378" s="158">
        <f t="shared" si="758"/>
        <v>22165.8606</v>
      </c>
      <c r="AI378" s="18">
        <f t="shared" si="759"/>
        <v>865700</v>
      </c>
    </row>
    <row r="379">
      <c r="B379" s="1" t="s">
        <v>5716</v>
      </c>
      <c r="D379" s="1">
        <v>1900000.0</v>
      </c>
      <c r="E379" s="33">
        <v>2370000.0</v>
      </c>
      <c r="F379" s="1">
        <f>1600000*23/28 + 1550000*5/28</f>
        <v>1591071.429</v>
      </c>
      <c r="G379" s="1">
        <f>1860000*12/28</f>
        <v>797142.8571</v>
      </c>
      <c r="H379" s="1">
        <v>1960000.0</v>
      </c>
      <c r="I379" s="1">
        <v>3500000.0</v>
      </c>
      <c r="J379">
        <f>2200000*16/28 +54000</f>
        <v>1311142.857</v>
      </c>
      <c r="K379" s="1">
        <v>2300000.0</v>
      </c>
      <c r="L379" s="1">
        <v>1900000.0</v>
      </c>
      <c r="M379" s="1">
        <v>1500000.0</v>
      </c>
      <c r="N379" s="33">
        <v>1260000.0</v>
      </c>
      <c r="O379" s="1">
        <v>1240000.0</v>
      </c>
      <c r="P379">
        <f t="shared" ref="P379:P387" si="762">SUM(D379:O379)</f>
        <v>21629357.14</v>
      </c>
      <c r="U379">
        <v>24804.65352570616</v>
      </c>
      <c r="V379" s="136">
        <v>159207.1733387523</v>
      </c>
      <c r="W379" s="136">
        <v>87432.00568990043</v>
      </c>
      <c r="X379" s="136">
        <v>49081.54846575899</v>
      </c>
      <c r="Y379" s="148">
        <f t="shared" ref="Y379:AG379" si="760">Y378+2462</f>
        <v>43979.00874</v>
      </c>
      <c r="Z379" s="148">
        <f t="shared" si="760"/>
        <v>107837.7976</v>
      </c>
      <c r="AA379" s="145">
        <f t="shared" si="760"/>
        <v>112939.4639</v>
      </c>
      <c r="AB379" s="148">
        <f t="shared" si="760"/>
        <v>10730.21784</v>
      </c>
      <c r="AC379" s="148">
        <f t="shared" si="760"/>
        <v>51787.02761</v>
      </c>
      <c r="AD379" s="148">
        <f t="shared" si="760"/>
        <v>68540.18312</v>
      </c>
      <c r="AE379" s="148">
        <f t="shared" si="760"/>
        <v>67728.14509</v>
      </c>
      <c r="AF379" s="148">
        <f t="shared" si="760"/>
        <v>51015.78988</v>
      </c>
      <c r="AG379" s="148">
        <f t="shared" si="760"/>
        <v>30609.12457</v>
      </c>
      <c r="AH379">
        <f>AH378/9</f>
        <v>2462.8734</v>
      </c>
      <c r="AI379" s="18">
        <f>SUM(U379:AG379)</f>
        <v>865692.1394</v>
      </c>
    </row>
    <row r="380">
      <c r="B380" s="1" t="s">
        <v>5499</v>
      </c>
      <c r="D380" s="1">
        <f t="shared" ref="D380:O380" si="761">D379*0.1</f>
        <v>190000</v>
      </c>
      <c r="E380" s="1">
        <f t="shared" si="761"/>
        <v>237000</v>
      </c>
      <c r="F380" s="1">
        <f t="shared" si="761"/>
        <v>159107.1429</v>
      </c>
      <c r="G380" s="1">
        <f t="shared" si="761"/>
        <v>79714.28571</v>
      </c>
      <c r="H380" s="1">
        <f t="shared" si="761"/>
        <v>196000</v>
      </c>
      <c r="I380" s="1">
        <f t="shared" si="761"/>
        <v>350000</v>
      </c>
      <c r="J380" s="1">
        <f t="shared" si="761"/>
        <v>131114.2857</v>
      </c>
      <c r="K380" s="1">
        <f t="shared" si="761"/>
        <v>230000</v>
      </c>
      <c r="L380" s="1">
        <f t="shared" si="761"/>
        <v>190000</v>
      </c>
      <c r="M380" s="1">
        <f t="shared" si="761"/>
        <v>150000</v>
      </c>
      <c r="N380" s="1">
        <f t="shared" si="761"/>
        <v>126000</v>
      </c>
      <c r="O380" s="1">
        <f t="shared" si="761"/>
        <v>124000</v>
      </c>
      <c r="P380">
        <f t="shared" si="762"/>
        <v>2162935.714</v>
      </c>
      <c r="AA380" s="146">
        <f>AA379+U379</f>
        <v>137744.1175</v>
      </c>
    </row>
    <row r="381">
      <c r="B381" s="1" t="s">
        <v>5520</v>
      </c>
      <c r="D381">
        <f t="shared" ref="D381:O381" si="763">D379+D380</f>
        <v>2090000</v>
      </c>
      <c r="E381">
        <f t="shared" si="763"/>
        <v>2607000</v>
      </c>
      <c r="F381">
        <f t="shared" si="763"/>
        <v>1750178.571</v>
      </c>
      <c r="G381">
        <f t="shared" si="763"/>
        <v>876857.1429</v>
      </c>
      <c r="H381">
        <f t="shared" si="763"/>
        <v>2156000</v>
      </c>
      <c r="I381">
        <f t="shared" si="763"/>
        <v>3850000</v>
      </c>
      <c r="J381">
        <f t="shared" si="763"/>
        <v>1442257.143</v>
      </c>
      <c r="K381">
        <f t="shared" si="763"/>
        <v>2530000</v>
      </c>
      <c r="L381">
        <f t="shared" si="763"/>
        <v>2090000</v>
      </c>
      <c r="M381">
        <f t="shared" si="763"/>
        <v>1650000</v>
      </c>
      <c r="N381">
        <f t="shared" si="763"/>
        <v>1386000</v>
      </c>
      <c r="O381">
        <f t="shared" si="763"/>
        <v>1364000</v>
      </c>
      <c r="P381">
        <f t="shared" si="762"/>
        <v>23792292.86</v>
      </c>
    </row>
    <row r="382">
      <c r="B382" s="1" t="s">
        <v>5545</v>
      </c>
      <c r="D382">
        <v>394141.538122132</v>
      </c>
      <c r="E382">
        <v>304557.1064242852</v>
      </c>
      <c r="F382">
        <v>94228.44069890576</v>
      </c>
      <c r="G382">
        <v>30271.480333820782</v>
      </c>
      <c r="H382" s="134">
        <v>176846.43416872574</v>
      </c>
      <c r="I382">
        <v>236918.93769855276</v>
      </c>
      <c r="J382">
        <v>40361.97377842771</v>
      </c>
      <c r="K382">
        <v>74484.15453639936</v>
      </c>
      <c r="L382">
        <v>98841.39646960134</v>
      </c>
      <c r="M382" s="134">
        <v>125163.10818919873</v>
      </c>
      <c r="N382" s="159">
        <v>40522.29897635016</v>
      </c>
      <c r="O382">
        <v>81269.73279209319</v>
      </c>
      <c r="P382">
        <f t="shared" si="762"/>
        <v>1697606.602</v>
      </c>
      <c r="T382" s="1" t="s">
        <v>5717</v>
      </c>
      <c r="U382" s="1">
        <v>54573.0</v>
      </c>
      <c r="W382" s="1">
        <v>36193.0</v>
      </c>
      <c r="Y382" s="1">
        <v>74877.0</v>
      </c>
      <c r="AA382" s="1">
        <v>90845.0</v>
      </c>
      <c r="AC382" s="1">
        <v>93183.0</v>
      </c>
      <c r="AE382" s="1">
        <v>120922.0</v>
      </c>
      <c r="AH382" s="1">
        <v>8804.0</v>
      </c>
      <c r="AJ382" s="1">
        <v>1003920.0</v>
      </c>
      <c r="AL382" s="1">
        <v>6317.0</v>
      </c>
    </row>
    <row r="383">
      <c r="D383">
        <f t="shared" ref="D383:O383" si="764">D382-D384</f>
        <v>358310.4892</v>
      </c>
      <c r="E383">
        <f t="shared" si="764"/>
        <v>276870.0967</v>
      </c>
      <c r="F383">
        <f t="shared" si="764"/>
        <v>85662.21882</v>
      </c>
      <c r="G383">
        <f t="shared" si="764"/>
        <v>27519.52758</v>
      </c>
      <c r="H383">
        <f t="shared" si="764"/>
        <v>160769.4856</v>
      </c>
      <c r="I383">
        <f t="shared" si="764"/>
        <v>215380.8525</v>
      </c>
      <c r="J383">
        <f t="shared" si="764"/>
        <v>36692.70343</v>
      </c>
      <c r="K383">
        <f t="shared" si="764"/>
        <v>67712.86776</v>
      </c>
      <c r="L383">
        <f t="shared" si="764"/>
        <v>89855.81497</v>
      </c>
      <c r="M383">
        <f t="shared" si="764"/>
        <v>113784.6438</v>
      </c>
      <c r="N383">
        <f t="shared" si="764"/>
        <v>36838.45361</v>
      </c>
      <c r="O383">
        <f t="shared" si="764"/>
        <v>73881.57527</v>
      </c>
      <c r="P383">
        <f t="shared" si="762"/>
        <v>1543278.729</v>
      </c>
      <c r="U383" s="1">
        <v>9552.0</v>
      </c>
      <c r="V383" s="1">
        <v>49164.0</v>
      </c>
      <c r="W383" s="1">
        <v>89997.0</v>
      </c>
      <c r="Y383" s="1">
        <v>20596.0</v>
      </c>
      <c r="AA383" s="1">
        <v>40234.0</v>
      </c>
      <c r="AB383" s="1">
        <v>336.0</v>
      </c>
      <c r="AE383" s="1">
        <v>102234.0</v>
      </c>
      <c r="AG383" s="1">
        <v>16767.0</v>
      </c>
    </row>
    <row r="384">
      <c r="B384" s="1" t="s">
        <v>5499</v>
      </c>
      <c r="D384">
        <f t="shared" ref="D384:O384" si="765">D382/11</f>
        <v>35831.04892</v>
      </c>
      <c r="E384">
        <f t="shared" si="765"/>
        <v>27687.00967</v>
      </c>
      <c r="F384">
        <f t="shared" si="765"/>
        <v>8566.221882</v>
      </c>
      <c r="G384">
        <f t="shared" si="765"/>
        <v>2751.952758</v>
      </c>
      <c r="H384">
        <f t="shared" si="765"/>
        <v>16076.94856</v>
      </c>
      <c r="I384">
        <f t="shared" si="765"/>
        <v>21538.08525</v>
      </c>
      <c r="J384">
        <f t="shared" si="765"/>
        <v>3669.270343</v>
      </c>
      <c r="K384">
        <f t="shared" si="765"/>
        <v>6771.286776</v>
      </c>
      <c r="L384">
        <f t="shared" si="765"/>
        <v>8985.581497</v>
      </c>
      <c r="M384">
        <f t="shared" si="765"/>
        <v>11378.46438</v>
      </c>
      <c r="N384">
        <f t="shared" si="765"/>
        <v>3683.845361</v>
      </c>
      <c r="O384">
        <f t="shared" si="765"/>
        <v>7388.157527</v>
      </c>
      <c r="P384">
        <f t="shared" si="762"/>
        <v>154327.8729</v>
      </c>
      <c r="U384">
        <f t="shared" ref="U384:U385" si="767">U382-U374</f>
        <v>1111</v>
      </c>
      <c r="W384">
        <f t="shared" ref="W384:W385" si="768">W382-W374</f>
        <v>205</v>
      </c>
      <c r="Y384">
        <f t="shared" ref="Y384:Y385" si="769">Y382-Y374</f>
        <v>969</v>
      </c>
      <c r="AA384">
        <f t="shared" ref="AA384:AA385" si="770">AA382-AA374</f>
        <v>1000</v>
      </c>
      <c r="AC384">
        <f>AC382-AC374</f>
        <v>910</v>
      </c>
      <c r="AE384">
        <f t="shared" ref="AE384:AE385" si="771">AE382-AE374</f>
        <v>856</v>
      </c>
      <c r="AH384">
        <f>AH382-AH374</f>
        <v>144</v>
      </c>
    </row>
    <row r="385">
      <c r="B385" s="23" t="s">
        <v>5528</v>
      </c>
      <c r="D385" s="145">
        <f t="shared" ref="D385:O385" si="766">SUM(D381,D382)</f>
        <v>2484141.538</v>
      </c>
      <c r="E385" s="18">
        <f t="shared" si="766"/>
        <v>2911557.106</v>
      </c>
      <c r="F385" s="18">
        <f t="shared" si="766"/>
        <v>1844407.012</v>
      </c>
      <c r="G385" s="18">
        <f t="shared" si="766"/>
        <v>907128.6232</v>
      </c>
      <c r="H385" s="18">
        <f t="shared" si="766"/>
        <v>2332846.434</v>
      </c>
      <c r="I385" s="18">
        <f t="shared" si="766"/>
        <v>4086918.938</v>
      </c>
      <c r="J385" s="18">
        <f t="shared" si="766"/>
        <v>1482619.117</v>
      </c>
      <c r="K385" s="18">
        <f t="shared" si="766"/>
        <v>2604484.155</v>
      </c>
      <c r="L385" s="18">
        <f t="shared" si="766"/>
        <v>2188841.396</v>
      </c>
      <c r="M385" s="18">
        <f t="shared" si="766"/>
        <v>1775163.108</v>
      </c>
      <c r="N385" s="18">
        <f t="shared" si="766"/>
        <v>1426522.299</v>
      </c>
      <c r="O385" s="18">
        <f t="shared" si="766"/>
        <v>1445269.733</v>
      </c>
      <c r="P385">
        <f t="shared" si="762"/>
        <v>25489899.46</v>
      </c>
      <c r="U385" s="147">
        <f t="shared" si="767"/>
        <v>170</v>
      </c>
      <c r="V385" s="147">
        <f>(V383-V375)</f>
        <v>886</v>
      </c>
      <c r="W385" s="147">
        <f t="shared" si="768"/>
        <v>476</v>
      </c>
      <c r="X385" s="137">
        <f>W384</f>
        <v>205</v>
      </c>
      <c r="Y385" s="147">
        <f t="shared" si="769"/>
        <v>296</v>
      </c>
      <c r="Z385" s="100">
        <f>Y384-Y385</f>
        <v>673</v>
      </c>
      <c r="AA385" s="147">
        <f t="shared" si="770"/>
        <v>733</v>
      </c>
      <c r="AB385" s="147">
        <f>AB383-AB375</f>
        <v>289</v>
      </c>
      <c r="AC385" s="147">
        <f>(AC384)*73.9/(73.9+99)</f>
        <v>388.9473684</v>
      </c>
      <c r="AD385" s="147">
        <f>(AC384)*99/(73.9+99)</f>
        <v>521.0526316</v>
      </c>
      <c r="AE385" s="147">
        <f t="shared" si="771"/>
        <v>498</v>
      </c>
      <c r="AF385" s="100">
        <f>AE384-AE385-AG385-50</f>
        <v>308</v>
      </c>
      <c r="AG385" s="152">
        <v>0.0</v>
      </c>
      <c r="AH385" s="1">
        <v>144.0</v>
      </c>
      <c r="AI385" s="18">
        <f t="shared" ref="AI385:AI386" si="774">SUM(U385:AH385)</f>
        <v>5588</v>
      </c>
    </row>
    <row r="386">
      <c r="B386" s="1" t="s">
        <v>5580</v>
      </c>
      <c r="D386">
        <f t="shared" ref="D386:O386" si="772">D379+D383</f>
        <v>2258310.489</v>
      </c>
      <c r="E386">
        <f t="shared" si="772"/>
        <v>2646870.097</v>
      </c>
      <c r="F386">
        <f t="shared" si="772"/>
        <v>1676733.647</v>
      </c>
      <c r="G386">
        <f t="shared" si="772"/>
        <v>824662.3847</v>
      </c>
      <c r="H386">
        <f t="shared" si="772"/>
        <v>2120769.486</v>
      </c>
      <c r="I386">
        <f t="shared" si="772"/>
        <v>3715380.852</v>
      </c>
      <c r="J386">
        <f t="shared" si="772"/>
        <v>1347835.561</v>
      </c>
      <c r="K386">
        <f t="shared" si="772"/>
        <v>2367712.868</v>
      </c>
      <c r="L386">
        <f t="shared" si="772"/>
        <v>1989855.815</v>
      </c>
      <c r="M386">
        <f t="shared" si="772"/>
        <v>1613784.644</v>
      </c>
      <c r="N386">
        <f t="shared" si="772"/>
        <v>1296838.454</v>
      </c>
      <c r="O386">
        <f t="shared" si="772"/>
        <v>1313881.575</v>
      </c>
      <c r="P386">
        <f t="shared" si="762"/>
        <v>23172635.87</v>
      </c>
      <c r="U386" s="158">
        <f t="shared" ref="U386:AH386" si="773">U385*1003920/5588</f>
        <v>30541.58912</v>
      </c>
      <c r="V386" s="158">
        <f t="shared" si="773"/>
        <v>159175.5762</v>
      </c>
      <c r="W386" s="158">
        <f t="shared" si="773"/>
        <v>85516.44953</v>
      </c>
      <c r="X386" s="158">
        <f t="shared" si="773"/>
        <v>36829.56335</v>
      </c>
      <c r="Y386" s="158">
        <f t="shared" si="773"/>
        <v>53178.29635</v>
      </c>
      <c r="Z386" s="158">
        <f t="shared" si="773"/>
        <v>120908.7616</v>
      </c>
      <c r="AA386" s="158">
        <f t="shared" si="773"/>
        <v>131688.146</v>
      </c>
      <c r="AB386" s="158">
        <f t="shared" si="773"/>
        <v>51920.7015</v>
      </c>
      <c r="AC386" s="158">
        <f t="shared" si="773"/>
        <v>69876.88656</v>
      </c>
      <c r="AD386" s="158">
        <f t="shared" si="773"/>
        <v>93610.44343</v>
      </c>
      <c r="AE386" s="158">
        <f t="shared" si="773"/>
        <v>89468.89048</v>
      </c>
      <c r="AF386" s="158">
        <f t="shared" si="773"/>
        <v>55334.17323</v>
      </c>
      <c r="AG386" s="158">
        <f t="shared" si="773"/>
        <v>0</v>
      </c>
      <c r="AH386" s="158">
        <f t="shared" si="773"/>
        <v>25870.52255</v>
      </c>
      <c r="AI386" s="18">
        <f t="shared" si="774"/>
        <v>1003920</v>
      </c>
    </row>
    <row r="387">
      <c r="B387" s="1" t="s">
        <v>5582</v>
      </c>
      <c r="D387">
        <f t="shared" ref="D387:O387" si="775">D380+D384</f>
        <v>225831.0489</v>
      </c>
      <c r="E387">
        <f t="shared" si="775"/>
        <v>264687.0097</v>
      </c>
      <c r="F387">
        <f t="shared" si="775"/>
        <v>167673.3647</v>
      </c>
      <c r="G387">
        <f t="shared" si="775"/>
        <v>82466.23847</v>
      </c>
      <c r="H387">
        <f t="shared" si="775"/>
        <v>212076.9486</v>
      </c>
      <c r="I387">
        <f t="shared" si="775"/>
        <v>371538.0852</v>
      </c>
      <c r="J387">
        <f t="shared" si="775"/>
        <v>134783.5561</v>
      </c>
      <c r="K387">
        <f t="shared" si="775"/>
        <v>236771.2868</v>
      </c>
      <c r="L387">
        <f t="shared" si="775"/>
        <v>198985.5815</v>
      </c>
      <c r="M387">
        <f t="shared" si="775"/>
        <v>161378.4644</v>
      </c>
      <c r="N387">
        <f t="shared" si="775"/>
        <v>129683.8454</v>
      </c>
      <c r="O387">
        <f t="shared" si="775"/>
        <v>131388.1575</v>
      </c>
      <c r="P387">
        <f t="shared" si="762"/>
        <v>2317263.587</v>
      </c>
      <c r="U387">
        <v>30541.589119541877</v>
      </c>
      <c r="V387" s="136">
        <v>159175.57623478884</v>
      </c>
      <c r="W387" s="136">
        <v>85516.44953471725</v>
      </c>
      <c r="X387" s="136">
        <v>36829.563350035794</v>
      </c>
      <c r="Y387" s="148">
        <f t="shared" ref="Y387:AF387" si="776">Y386+3233</f>
        <v>56411.29635</v>
      </c>
      <c r="Z387" s="148">
        <f t="shared" si="776"/>
        <v>124141.7616</v>
      </c>
      <c r="AA387" s="145">
        <f t="shared" si="776"/>
        <v>134921.146</v>
      </c>
      <c r="AB387" s="148">
        <f t="shared" si="776"/>
        <v>55153.7015</v>
      </c>
      <c r="AC387" s="148">
        <f t="shared" si="776"/>
        <v>73109.88656</v>
      </c>
      <c r="AD387" s="148">
        <f t="shared" si="776"/>
        <v>96843.44343</v>
      </c>
      <c r="AE387" s="148">
        <f t="shared" si="776"/>
        <v>92701.89048</v>
      </c>
      <c r="AF387" s="148">
        <f t="shared" si="776"/>
        <v>58567.17323</v>
      </c>
      <c r="AH387">
        <f>AH386/8</f>
        <v>3233.815319</v>
      </c>
      <c r="AI387" s="18">
        <f>SUM(U387:AG387)</f>
        <v>1003913.477</v>
      </c>
    </row>
    <row r="388">
      <c r="B388" s="1"/>
      <c r="D388" s="1" t="s">
        <v>5566</v>
      </c>
      <c r="E388" s="1" t="s">
        <v>5566</v>
      </c>
      <c r="F388" s="1" t="s">
        <v>5566</v>
      </c>
      <c r="G388" s="1" t="s">
        <v>5566</v>
      </c>
      <c r="H388" s="1" t="s">
        <v>5566</v>
      </c>
      <c r="I388" s="1" t="s">
        <v>5566</v>
      </c>
      <c r="J388" s="1" t="s">
        <v>5566</v>
      </c>
      <c r="K388" s="33" t="s">
        <v>5566</v>
      </c>
      <c r="L388" s="1" t="s">
        <v>5566</v>
      </c>
      <c r="M388" s="1" t="s">
        <v>5566</v>
      </c>
      <c r="N388" s="33" t="s">
        <v>5566</v>
      </c>
      <c r="O388" s="1" t="s">
        <v>5566</v>
      </c>
      <c r="AA388" s="146">
        <f>AA387+U387</f>
        <v>165462.7351</v>
      </c>
    </row>
    <row r="389">
      <c r="B389" s="1"/>
      <c r="G389">
        <f>G385+J385</f>
        <v>2389747.74</v>
      </c>
      <c r="H389" s="1"/>
      <c r="M389" s="1"/>
      <c r="N389" s="33"/>
    </row>
    <row r="390">
      <c r="B390" s="1"/>
      <c r="H390" s="1"/>
      <c r="M390" s="1"/>
      <c r="N390" s="33"/>
      <c r="T390" s="1" t="s">
        <v>5718</v>
      </c>
      <c r="U390" s="1">
        <v>55607.0</v>
      </c>
      <c r="W390" s="1">
        <v>36384.0</v>
      </c>
      <c r="Y390" s="1">
        <v>76088.0</v>
      </c>
      <c r="AA390" s="1">
        <v>92288.0</v>
      </c>
      <c r="AC390" s="1">
        <v>94388.0</v>
      </c>
      <c r="AE390" s="1">
        <v>121965.0</v>
      </c>
      <c r="AH390" s="1">
        <v>8939.0</v>
      </c>
      <c r="AJ390" s="1">
        <v>1349250.0</v>
      </c>
      <c r="AL390" s="1">
        <v>7629.0</v>
      </c>
    </row>
    <row r="391">
      <c r="B391" s="1" t="s">
        <v>5719</v>
      </c>
      <c r="D391" s="1">
        <v>1900000.0</v>
      </c>
      <c r="E391" s="33">
        <v>2370000.0</v>
      </c>
      <c r="F391" s="1">
        <v>1550000.0</v>
      </c>
      <c r="H391" s="1">
        <v>1960000.0</v>
      </c>
      <c r="I391" s="1">
        <v>3500000.0</v>
      </c>
      <c r="J391" s="1">
        <v>2200000.0</v>
      </c>
      <c r="K391" s="1">
        <v>2300000.0</v>
      </c>
      <c r="L391" s="1">
        <v>1900000.0</v>
      </c>
      <c r="M391" s="1">
        <v>1500000.0</v>
      </c>
      <c r="N391" s="33">
        <v>1260000.0</v>
      </c>
      <c r="O391" s="1">
        <v>1240000.0</v>
      </c>
      <c r="P391">
        <f t="shared" ref="P391:P402" si="779">SUM(D391:O391)</f>
        <v>21680000</v>
      </c>
      <c r="U391" s="1">
        <v>9730.0</v>
      </c>
      <c r="V391" s="1">
        <v>49973.0</v>
      </c>
      <c r="W391" s="1">
        <v>90565.0</v>
      </c>
      <c r="Y391" s="1">
        <v>21024.0</v>
      </c>
      <c r="AA391" s="1">
        <v>41099.0</v>
      </c>
      <c r="AB391" s="1">
        <v>965.0</v>
      </c>
      <c r="AE391" s="1">
        <v>102759.0</v>
      </c>
      <c r="AG391" s="1">
        <v>16907.0</v>
      </c>
    </row>
    <row r="392">
      <c r="B392" s="1" t="s">
        <v>5499</v>
      </c>
      <c r="D392" s="1">
        <f t="shared" ref="D392:F392" si="777">D391*0.1</f>
        <v>190000</v>
      </c>
      <c r="E392" s="1">
        <f t="shared" si="777"/>
        <v>237000</v>
      </c>
      <c r="F392" s="1">
        <f t="shared" si="777"/>
        <v>155000</v>
      </c>
      <c r="H392" s="1">
        <f t="shared" ref="H392:O392" si="778">H391*0.1</f>
        <v>196000</v>
      </c>
      <c r="I392" s="1">
        <f t="shared" si="778"/>
        <v>350000</v>
      </c>
      <c r="J392" s="1">
        <f t="shared" si="778"/>
        <v>220000</v>
      </c>
      <c r="K392" s="1">
        <f t="shared" si="778"/>
        <v>230000</v>
      </c>
      <c r="L392" s="1">
        <f t="shared" si="778"/>
        <v>190000</v>
      </c>
      <c r="M392" s="1">
        <f t="shared" si="778"/>
        <v>150000</v>
      </c>
      <c r="N392" s="1">
        <f t="shared" si="778"/>
        <v>126000</v>
      </c>
      <c r="O392" s="1">
        <f t="shared" si="778"/>
        <v>124000</v>
      </c>
      <c r="P392">
        <f t="shared" si="779"/>
        <v>2168000</v>
      </c>
      <c r="U392">
        <f t="shared" ref="U392:U393" si="782">U390-U382</f>
        <v>1034</v>
      </c>
      <c r="W392">
        <f t="shared" ref="W392:W393" si="783">W390-W382</f>
        <v>191</v>
      </c>
      <c r="Y392">
        <f t="shared" ref="Y392:Y393" si="784">Y390-Y382</f>
        <v>1211</v>
      </c>
      <c r="AA392">
        <f t="shared" ref="AA392:AA393" si="785">AA390-AA382</f>
        <v>1443</v>
      </c>
      <c r="AC392">
        <f>AC390-AC382</f>
        <v>1205</v>
      </c>
      <c r="AE392">
        <f t="shared" ref="AE392:AE393" si="786">AE390-AE382</f>
        <v>1043</v>
      </c>
      <c r="AH392">
        <f>AH390-AH382</f>
        <v>135</v>
      </c>
    </row>
    <row r="393">
      <c r="B393" s="1" t="s">
        <v>5520</v>
      </c>
      <c r="D393">
        <f t="shared" ref="D393:F393" si="780">D391+D392</f>
        <v>2090000</v>
      </c>
      <c r="E393">
        <f t="shared" si="780"/>
        <v>2607000</v>
      </c>
      <c r="F393">
        <f t="shared" si="780"/>
        <v>1705000</v>
      </c>
      <c r="H393">
        <f t="shared" ref="H393:O393" si="781">H391+H392</f>
        <v>2156000</v>
      </c>
      <c r="I393">
        <f t="shared" si="781"/>
        <v>3850000</v>
      </c>
      <c r="J393">
        <f t="shared" si="781"/>
        <v>2420000</v>
      </c>
      <c r="K393">
        <f t="shared" si="781"/>
        <v>2530000</v>
      </c>
      <c r="L393">
        <f t="shared" si="781"/>
        <v>2090000</v>
      </c>
      <c r="M393">
        <f t="shared" si="781"/>
        <v>1650000</v>
      </c>
      <c r="N393">
        <f t="shared" si="781"/>
        <v>1386000</v>
      </c>
      <c r="O393">
        <f t="shared" si="781"/>
        <v>1364000</v>
      </c>
      <c r="P393">
        <f t="shared" si="779"/>
        <v>23848000</v>
      </c>
      <c r="U393" s="147">
        <f t="shared" si="782"/>
        <v>178</v>
      </c>
      <c r="V393" s="147">
        <f>(V391-V383)</f>
        <v>809</v>
      </c>
      <c r="W393" s="147">
        <f t="shared" si="783"/>
        <v>568</v>
      </c>
      <c r="X393" s="137">
        <f>W392</f>
        <v>191</v>
      </c>
      <c r="Y393" s="147">
        <f t="shared" si="784"/>
        <v>428</v>
      </c>
      <c r="Z393" s="100">
        <f>Y392-Y393</f>
        <v>783</v>
      </c>
      <c r="AA393" s="147">
        <f t="shared" si="785"/>
        <v>865</v>
      </c>
      <c r="AB393" s="147">
        <f>AB391-AB383</f>
        <v>629</v>
      </c>
      <c r="AC393" s="147">
        <f>(AC392)*73.9/(73.9+99)</f>
        <v>515.0347021</v>
      </c>
      <c r="AD393" s="147">
        <f>(AC392)*99/(73.9+99)</f>
        <v>689.9652979</v>
      </c>
      <c r="AE393" s="147">
        <f t="shared" si="786"/>
        <v>525</v>
      </c>
      <c r="AF393" s="100">
        <f>AE392-AE393-AG393-50</f>
        <v>328</v>
      </c>
      <c r="AG393" s="147">
        <f>AG391-AG383</f>
        <v>140</v>
      </c>
      <c r="AH393" s="1">
        <v>135.0</v>
      </c>
      <c r="AI393" s="18">
        <f t="shared" ref="AI393:AI394" si="788">SUM(U393:AH393)</f>
        <v>6784</v>
      </c>
    </row>
    <row r="394">
      <c r="B394" s="1" t="s">
        <v>5545</v>
      </c>
      <c r="D394">
        <v>282128.9429730375</v>
      </c>
      <c r="E394">
        <v>243463.917919351</v>
      </c>
      <c r="F394">
        <v>81573.77236936292</v>
      </c>
      <c r="H394" s="134">
        <v>81396.62419470293</v>
      </c>
      <c r="I394">
        <v>189847.30422333573</v>
      </c>
      <c r="J394">
        <v>125562.77069911716</v>
      </c>
      <c r="K394">
        <v>58074.56003424674</v>
      </c>
      <c r="L394">
        <v>76898.73130433595</v>
      </c>
      <c r="M394" s="134">
        <v>114246.17800047722</v>
      </c>
      <c r="N394" s="159">
        <v>19155.36435218325</v>
      </c>
      <c r="O394">
        <v>45089.22261989979</v>
      </c>
      <c r="P394">
        <f t="shared" si="779"/>
        <v>1317437.389</v>
      </c>
      <c r="U394" s="158">
        <f t="shared" ref="U394:AH394" si="787">U393*1349250/6784</f>
        <v>35401.90153</v>
      </c>
      <c r="V394" s="158">
        <f t="shared" si="787"/>
        <v>160899.6536</v>
      </c>
      <c r="W394" s="158">
        <f t="shared" si="787"/>
        <v>112967.8656</v>
      </c>
      <c r="X394" s="158">
        <f t="shared" si="787"/>
        <v>37987.43367</v>
      </c>
      <c r="Y394" s="158">
        <f t="shared" si="787"/>
        <v>85123.67335</v>
      </c>
      <c r="Z394" s="158">
        <f t="shared" si="787"/>
        <v>155728.5893</v>
      </c>
      <c r="AA394" s="158">
        <f t="shared" si="787"/>
        <v>172037.3305</v>
      </c>
      <c r="AB394" s="158">
        <f t="shared" si="787"/>
        <v>125099.9779</v>
      </c>
      <c r="AC394" s="158">
        <f t="shared" si="787"/>
        <v>102433.7517</v>
      </c>
      <c r="AD394" s="158">
        <f t="shared" si="787"/>
        <v>137225.1884</v>
      </c>
      <c r="AE394" s="158">
        <f t="shared" si="787"/>
        <v>104415.7208</v>
      </c>
      <c r="AF394" s="158">
        <f t="shared" si="787"/>
        <v>65234.96462</v>
      </c>
      <c r="AG394" s="158">
        <f t="shared" si="787"/>
        <v>27844.19222</v>
      </c>
      <c r="AH394" s="158">
        <f t="shared" si="787"/>
        <v>26849.75678</v>
      </c>
      <c r="AI394" s="18">
        <f t="shared" si="788"/>
        <v>1349250</v>
      </c>
    </row>
    <row r="395">
      <c r="D395">
        <f t="shared" ref="D395:F395" si="789">D394-D396</f>
        <v>256480.8572</v>
      </c>
      <c r="E395">
        <f t="shared" si="789"/>
        <v>221330.8345</v>
      </c>
      <c r="F395">
        <f t="shared" si="789"/>
        <v>74157.97488</v>
      </c>
      <c r="H395">
        <f t="shared" ref="H395:O395" si="790">H394-H396</f>
        <v>73996.93109</v>
      </c>
      <c r="I395">
        <f t="shared" si="790"/>
        <v>172588.4584</v>
      </c>
      <c r="J395">
        <f t="shared" si="790"/>
        <v>114147.9734</v>
      </c>
      <c r="K395">
        <f t="shared" si="790"/>
        <v>52795.05458</v>
      </c>
      <c r="L395">
        <f t="shared" si="790"/>
        <v>69907.93755</v>
      </c>
      <c r="M395">
        <f t="shared" si="790"/>
        <v>103860.1618</v>
      </c>
      <c r="N395">
        <f t="shared" si="790"/>
        <v>17413.96759</v>
      </c>
      <c r="O395">
        <f t="shared" si="790"/>
        <v>40990.20238</v>
      </c>
      <c r="P395">
        <f t="shared" si="779"/>
        <v>1197670.353</v>
      </c>
      <c r="U395">
        <v>35401.90153301887</v>
      </c>
      <c r="V395" s="136">
        <v>160899.6535966981</v>
      </c>
      <c r="W395" s="136">
        <v>112967.86556603774</v>
      </c>
      <c r="X395" s="136">
        <v>37987.43366745283</v>
      </c>
      <c r="Y395" s="148">
        <f t="shared" ref="Y395:AG395" si="791">Y394+2983</f>
        <v>88106.67335</v>
      </c>
      <c r="Z395" s="148">
        <f t="shared" si="791"/>
        <v>158711.5893</v>
      </c>
      <c r="AA395" s="145">
        <f t="shared" si="791"/>
        <v>175020.3305</v>
      </c>
      <c r="AB395" s="148">
        <f t="shared" si="791"/>
        <v>128082.9779</v>
      </c>
      <c r="AC395" s="148">
        <f t="shared" si="791"/>
        <v>105416.7517</v>
      </c>
      <c r="AD395" s="148">
        <f t="shared" si="791"/>
        <v>140208.1884</v>
      </c>
      <c r="AE395" s="148">
        <f t="shared" si="791"/>
        <v>107398.7208</v>
      </c>
      <c r="AF395" s="148">
        <f t="shared" si="791"/>
        <v>68217.96462</v>
      </c>
      <c r="AG395" s="148">
        <f t="shared" si="791"/>
        <v>30827.19222</v>
      </c>
      <c r="AH395">
        <f>AH394/9</f>
        <v>2983.306309</v>
      </c>
      <c r="AI395" s="18">
        <f>SUM(U395:AG395)</f>
        <v>1349247.243</v>
      </c>
    </row>
    <row r="396">
      <c r="B396" s="1" t="s">
        <v>5499</v>
      </c>
      <c r="D396">
        <f t="shared" ref="D396:F396" si="792">D394/11</f>
        <v>25648.08572</v>
      </c>
      <c r="E396">
        <f t="shared" si="792"/>
        <v>22133.08345</v>
      </c>
      <c r="F396">
        <f t="shared" si="792"/>
        <v>7415.797488</v>
      </c>
      <c r="H396">
        <f t="shared" ref="H396:O396" si="793">H394/11</f>
        <v>7399.693109</v>
      </c>
      <c r="I396">
        <f t="shared" si="793"/>
        <v>17258.84584</v>
      </c>
      <c r="J396">
        <f t="shared" si="793"/>
        <v>11414.79734</v>
      </c>
      <c r="K396">
        <f t="shared" si="793"/>
        <v>5279.505458</v>
      </c>
      <c r="L396">
        <f t="shared" si="793"/>
        <v>6990.793755</v>
      </c>
      <c r="M396">
        <f t="shared" si="793"/>
        <v>10386.01618</v>
      </c>
      <c r="N396">
        <f t="shared" si="793"/>
        <v>1741.396759</v>
      </c>
      <c r="O396">
        <f t="shared" si="793"/>
        <v>4099.020238</v>
      </c>
      <c r="P396">
        <f t="shared" si="779"/>
        <v>119767.0353</v>
      </c>
      <c r="AA396" s="146">
        <f>AA395+U395</f>
        <v>210422.232</v>
      </c>
    </row>
    <row r="397">
      <c r="B397" s="1" t="s">
        <v>5720</v>
      </c>
      <c r="D397">
        <v>31435.017824493443</v>
      </c>
      <c r="E397">
        <v>26179.727665116592</v>
      </c>
      <c r="F397">
        <v>13089.863832558296</v>
      </c>
      <c r="G397">
        <v>0.0</v>
      </c>
      <c r="H397" s="134">
        <v>17281.199542490755</v>
      </c>
      <c r="I397">
        <v>35110.49683166498</v>
      </c>
      <c r="J397">
        <v>17458.52528406482</v>
      </c>
      <c r="K397">
        <v>11913.065729384953</v>
      </c>
      <c r="L397">
        <v>15959.316741665902</v>
      </c>
      <c r="M397" s="134">
        <v>8139.251538249611</v>
      </c>
      <c r="N397" s="159">
        <v>9366.02325950292</v>
      </c>
      <c r="O397">
        <v>7157.511750807737</v>
      </c>
      <c r="P397">
        <f t="shared" si="779"/>
        <v>193090</v>
      </c>
    </row>
    <row r="398">
      <c r="B398" s="23" t="s">
        <v>5598</v>
      </c>
      <c r="D398" s="18">
        <f t="shared" ref="D398:F398" si="794">SUM(D393,D394,D397)</f>
        <v>2403563.961</v>
      </c>
      <c r="E398" s="18">
        <f t="shared" si="794"/>
        <v>2876643.646</v>
      </c>
      <c r="F398" s="18">
        <f t="shared" si="794"/>
        <v>1799663.636</v>
      </c>
      <c r="G398" s="18"/>
      <c r="H398" s="18">
        <f t="shared" ref="H398:O398" si="795">SUM(H393,H394,H397)</f>
        <v>2254677.824</v>
      </c>
      <c r="I398" s="18">
        <f t="shared" si="795"/>
        <v>4074957.801</v>
      </c>
      <c r="J398" s="18">
        <f t="shared" si="795"/>
        <v>2563021.296</v>
      </c>
      <c r="K398" s="18">
        <f t="shared" si="795"/>
        <v>2599987.626</v>
      </c>
      <c r="L398" s="18">
        <f t="shared" si="795"/>
        <v>2182858.048</v>
      </c>
      <c r="M398" s="18">
        <f t="shared" si="795"/>
        <v>1772385.43</v>
      </c>
      <c r="N398" s="18">
        <f t="shared" si="795"/>
        <v>1414521.388</v>
      </c>
      <c r="O398" s="18">
        <f t="shared" si="795"/>
        <v>1416246.734</v>
      </c>
      <c r="P398">
        <f t="shared" si="779"/>
        <v>25358527.39</v>
      </c>
      <c r="T398" s="1" t="s">
        <v>5721</v>
      </c>
      <c r="U398" s="1">
        <v>56575.0</v>
      </c>
      <c r="W398" s="1">
        <v>36547.0</v>
      </c>
      <c r="Y398" s="1">
        <v>77186.0</v>
      </c>
      <c r="AA398" s="1">
        <v>93535.0</v>
      </c>
      <c r="AC398" s="1">
        <v>95443.0</v>
      </c>
      <c r="AE398" s="1">
        <v>123052.0</v>
      </c>
      <c r="AH398" s="1">
        <v>9080.0</v>
      </c>
      <c r="AJ398" s="1">
        <v>1329180.0</v>
      </c>
      <c r="AL398" s="1">
        <v>7462.0</v>
      </c>
    </row>
    <row r="399">
      <c r="B399" s="1" t="s">
        <v>5599</v>
      </c>
      <c r="D399">
        <f t="shared" ref="D399:F399" si="796">SUM(D391,D395,D397)</f>
        <v>2187915.875</v>
      </c>
      <c r="E399">
        <f t="shared" si="796"/>
        <v>2617510.562</v>
      </c>
      <c r="F399">
        <f t="shared" si="796"/>
        <v>1637247.839</v>
      </c>
      <c r="H399">
        <f t="shared" ref="H399:O399" si="797">SUM(H391,H395,H397)</f>
        <v>2051278.131</v>
      </c>
      <c r="I399">
        <f t="shared" si="797"/>
        <v>3707698.955</v>
      </c>
      <c r="J399">
        <f t="shared" si="797"/>
        <v>2331606.499</v>
      </c>
      <c r="K399">
        <f t="shared" si="797"/>
        <v>2364708.12</v>
      </c>
      <c r="L399">
        <f t="shared" si="797"/>
        <v>1985867.254</v>
      </c>
      <c r="M399">
        <f t="shared" si="797"/>
        <v>1611999.413</v>
      </c>
      <c r="N399">
        <f t="shared" si="797"/>
        <v>1286779.991</v>
      </c>
      <c r="O399">
        <f t="shared" si="797"/>
        <v>1288147.714</v>
      </c>
      <c r="P399">
        <f t="shared" si="779"/>
        <v>23070760.35</v>
      </c>
      <c r="U399" s="1">
        <v>9912.0</v>
      </c>
      <c r="V399" s="1">
        <v>50713.0</v>
      </c>
      <c r="W399" s="1">
        <v>91004.0</v>
      </c>
      <c r="Y399" s="1">
        <v>21437.0</v>
      </c>
      <c r="AA399" s="1">
        <v>41848.0</v>
      </c>
      <c r="AB399" s="1">
        <v>1458.0</v>
      </c>
      <c r="AE399" s="1">
        <v>103172.0</v>
      </c>
      <c r="AG399" s="1">
        <v>17031.0</v>
      </c>
    </row>
    <row r="400">
      <c r="B400" s="1" t="s">
        <v>5601</v>
      </c>
      <c r="D400">
        <f t="shared" ref="D400:F400" si="798">SUM(D391,D395)</f>
        <v>2156480.857</v>
      </c>
      <c r="E400">
        <f t="shared" si="798"/>
        <v>2591330.834</v>
      </c>
      <c r="F400">
        <f t="shared" si="798"/>
        <v>1624157.975</v>
      </c>
      <c r="H400">
        <f t="shared" ref="H400:O400" si="799">SUM(H391,H395)</f>
        <v>2033996.931</v>
      </c>
      <c r="I400">
        <f t="shared" si="799"/>
        <v>3672588.458</v>
      </c>
      <c r="J400">
        <f t="shared" si="799"/>
        <v>2314147.973</v>
      </c>
      <c r="K400">
        <f t="shared" si="799"/>
        <v>2352795.055</v>
      </c>
      <c r="L400">
        <f t="shared" si="799"/>
        <v>1969907.938</v>
      </c>
      <c r="M400">
        <f t="shared" si="799"/>
        <v>1603860.162</v>
      </c>
      <c r="N400">
        <f t="shared" si="799"/>
        <v>1277413.968</v>
      </c>
      <c r="O400">
        <f t="shared" si="799"/>
        <v>1280990.202</v>
      </c>
      <c r="P400">
        <f t="shared" si="779"/>
        <v>22877670.35</v>
      </c>
      <c r="U400">
        <f t="shared" ref="U400:U401" si="802">U398-U390</f>
        <v>968</v>
      </c>
      <c r="W400">
        <f t="shared" ref="W400:W401" si="803">W398-W390</f>
        <v>163</v>
      </c>
      <c r="Y400">
        <f t="shared" ref="Y400:Y401" si="804">Y398-Y390</f>
        <v>1098</v>
      </c>
      <c r="AA400">
        <f t="shared" ref="AA400:AA401" si="805">AA398-AA390</f>
        <v>1247</v>
      </c>
      <c r="AC400">
        <f>AC398-AC390</f>
        <v>1055</v>
      </c>
      <c r="AE400">
        <f t="shared" ref="AE400:AE401" si="806">AE398-AE390</f>
        <v>1087</v>
      </c>
      <c r="AH400">
        <f>AH398-AH390</f>
        <v>141</v>
      </c>
    </row>
    <row r="401">
      <c r="B401" s="1" t="s">
        <v>5582</v>
      </c>
      <c r="D401">
        <f t="shared" ref="D401:F401" si="800">SUM(D392,D396)</f>
        <v>215648.0857</v>
      </c>
      <c r="E401">
        <f t="shared" si="800"/>
        <v>259133.0834</v>
      </c>
      <c r="F401">
        <f t="shared" si="800"/>
        <v>162415.7975</v>
      </c>
      <c r="H401">
        <f t="shared" ref="H401:O401" si="801">SUM(H392,H396)</f>
        <v>203399.6931</v>
      </c>
      <c r="I401">
        <f t="shared" si="801"/>
        <v>367258.8458</v>
      </c>
      <c r="J401">
        <f t="shared" si="801"/>
        <v>231414.7973</v>
      </c>
      <c r="K401">
        <f t="shared" si="801"/>
        <v>235279.5055</v>
      </c>
      <c r="L401">
        <f t="shared" si="801"/>
        <v>196990.7938</v>
      </c>
      <c r="M401">
        <f t="shared" si="801"/>
        <v>160386.0162</v>
      </c>
      <c r="N401">
        <f t="shared" si="801"/>
        <v>127741.3968</v>
      </c>
      <c r="O401">
        <f t="shared" si="801"/>
        <v>128099.0202</v>
      </c>
      <c r="P401">
        <f t="shared" si="779"/>
        <v>2287767.035</v>
      </c>
      <c r="U401" s="147">
        <f t="shared" si="802"/>
        <v>182</v>
      </c>
      <c r="V401" s="147">
        <f>(V399-V391)</f>
        <v>740</v>
      </c>
      <c r="W401" s="147">
        <f t="shared" si="803"/>
        <v>439</v>
      </c>
      <c r="X401" s="137">
        <f>W400</f>
        <v>163</v>
      </c>
      <c r="Y401" s="147">
        <f t="shared" si="804"/>
        <v>413</v>
      </c>
      <c r="Z401" s="100">
        <f>Y400-Y401</f>
        <v>685</v>
      </c>
      <c r="AA401" s="147">
        <f t="shared" si="805"/>
        <v>749</v>
      </c>
      <c r="AB401" s="147">
        <f>AB399-AB391</f>
        <v>493</v>
      </c>
      <c r="AC401" s="147">
        <f>(AC400)*73.9/(73.9+99)</f>
        <v>450.9224986</v>
      </c>
      <c r="AD401" s="147">
        <f>(AC400)*99/(73.9+99)</f>
        <v>604.0775014</v>
      </c>
      <c r="AE401" s="147">
        <f t="shared" si="806"/>
        <v>413</v>
      </c>
      <c r="AF401" s="100">
        <f>AE400-AE401-AG401-50</f>
        <v>500</v>
      </c>
      <c r="AG401" s="147">
        <f>AG399-AG391</f>
        <v>124</v>
      </c>
      <c r="AH401" s="1">
        <v>141.0</v>
      </c>
      <c r="AI401" s="18">
        <f t="shared" ref="AI401:AI402" si="810">SUM(U401:AH401)</f>
        <v>6097</v>
      </c>
    </row>
    <row r="402">
      <c r="B402" s="1" t="s">
        <v>5602</v>
      </c>
      <c r="D402">
        <f t="shared" ref="D402:F402" si="807">SUM(D400:D401)</f>
        <v>2372128.943</v>
      </c>
      <c r="E402">
        <f t="shared" si="807"/>
        <v>2850463.918</v>
      </c>
      <c r="F402">
        <f t="shared" si="807"/>
        <v>1786573.772</v>
      </c>
      <c r="H402">
        <f t="shared" ref="H402:O402" si="808">SUM(H400:H401)</f>
        <v>2237396.624</v>
      </c>
      <c r="I402">
        <f t="shared" si="808"/>
        <v>4039847.304</v>
      </c>
      <c r="J402">
        <f t="shared" si="808"/>
        <v>2545562.771</v>
      </c>
      <c r="K402">
        <f t="shared" si="808"/>
        <v>2588074.56</v>
      </c>
      <c r="L402">
        <f t="shared" si="808"/>
        <v>2166898.731</v>
      </c>
      <c r="M402">
        <f t="shared" si="808"/>
        <v>1764246.178</v>
      </c>
      <c r="N402">
        <f t="shared" si="808"/>
        <v>1405155.364</v>
      </c>
      <c r="O402">
        <f t="shared" si="808"/>
        <v>1409089.223</v>
      </c>
      <c r="P402">
        <f t="shared" si="779"/>
        <v>25165437.39</v>
      </c>
      <c r="U402" s="158">
        <f t="shared" ref="U402:AH402" si="809">U401*1329180/6097</f>
        <v>39677.01493</v>
      </c>
      <c r="V402" s="158">
        <f t="shared" si="809"/>
        <v>161324.1266</v>
      </c>
      <c r="W402" s="158">
        <f t="shared" si="809"/>
        <v>95704.44809</v>
      </c>
      <c r="X402" s="158">
        <f t="shared" si="809"/>
        <v>35534.90897</v>
      </c>
      <c r="Y402" s="158">
        <f t="shared" si="809"/>
        <v>90036.3031</v>
      </c>
      <c r="Z402" s="158">
        <f t="shared" si="809"/>
        <v>149333.8199</v>
      </c>
      <c r="AA402" s="158">
        <f t="shared" si="809"/>
        <v>163286.1768</v>
      </c>
      <c r="AB402" s="158">
        <f t="shared" si="809"/>
        <v>107476.7492</v>
      </c>
      <c r="AC402" s="158">
        <f t="shared" si="809"/>
        <v>98303.61926</v>
      </c>
      <c r="AD402" s="158">
        <f t="shared" si="809"/>
        <v>131692.264</v>
      </c>
      <c r="AE402" s="158">
        <f t="shared" si="809"/>
        <v>90036.3031</v>
      </c>
      <c r="AF402" s="158">
        <f t="shared" si="809"/>
        <v>109002.7883</v>
      </c>
      <c r="AG402" s="158">
        <f t="shared" si="809"/>
        <v>27032.69149</v>
      </c>
      <c r="AH402" s="158">
        <f t="shared" si="809"/>
        <v>30738.78629</v>
      </c>
      <c r="AI402" s="18">
        <f t="shared" si="810"/>
        <v>1329180</v>
      </c>
    </row>
    <row r="403">
      <c r="B403" s="1"/>
      <c r="D403" s="1" t="s">
        <v>5566</v>
      </c>
      <c r="E403" s="1" t="s">
        <v>5566</v>
      </c>
      <c r="F403" s="1" t="s">
        <v>5566</v>
      </c>
      <c r="H403" s="1" t="s">
        <v>5566</v>
      </c>
      <c r="I403" s="1" t="s">
        <v>5566</v>
      </c>
      <c r="J403" s="1" t="s">
        <v>5566</v>
      </c>
      <c r="K403" s="33" t="s">
        <v>5566</v>
      </c>
      <c r="L403" s="1" t="s">
        <v>5566</v>
      </c>
      <c r="M403" s="1" t="s">
        <v>5566</v>
      </c>
      <c r="N403" s="33" t="s">
        <v>5566</v>
      </c>
      <c r="O403" s="1" t="s">
        <v>5566</v>
      </c>
      <c r="U403">
        <v>39677.014925373136</v>
      </c>
      <c r="V403" s="136">
        <v>161324.126619649</v>
      </c>
      <c r="W403" s="136">
        <v>95704.44808922421</v>
      </c>
      <c r="X403" s="136">
        <v>35534.90897162539</v>
      </c>
      <c r="Y403" s="148">
        <f t="shared" ref="Y403:AG403" si="811">Y402+3415</f>
        <v>93451.3031</v>
      </c>
      <c r="Z403" s="148">
        <f t="shared" si="811"/>
        <v>152748.8199</v>
      </c>
      <c r="AA403" s="145">
        <f t="shared" si="811"/>
        <v>166701.1768</v>
      </c>
      <c r="AB403" s="148">
        <f t="shared" si="811"/>
        <v>110891.7492</v>
      </c>
      <c r="AC403" s="148">
        <f t="shared" si="811"/>
        <v>101718.6193</v>
      </c>
      <c r="AD403" s="148">
        <f t="shared" si="811"/>
        <v>135107.264</v>
      </c>
      <c r="AE403" s="148">
        <f t="shared" si="811"/>
        <v>93451.3031</v>
      </c>
      <c r="AF403" s="148">
        <f t="shared" si="811"/>
        <v>112417.7883</v>
      </c>
      <c r="AG403" s="148">
        <f t="shared" si="811"/>
        <v>30447.69149</v>
      </c>
      <c r="AH403">
        <f>AH402/9</f>
        <v>3415.420699</v>
      </c>
      <c r="AI403" s="18">
        <f>SUM(U403:AG403)</f>
        <v>1329176.214</v>
      </c>
    </row>
    <row r="404">
      <c r="H404" s="1"/>
      <c r="M404" s="1"/>
      <c r="N404" s="33"/>
      <c r="AA404" s="146">
        <f>AA403+U403</f>
        <v>206378.1917</v>
      </c>
    </row>
    <row r="405">
      <c r="E405" s="23" t="s">
        <v>5722</v>
      </c>
      <c r="H405" s="1"/>
      <c r="M405" s="1"/>
      <c r="N405" s="33"/>
    </row>
    <row r="406">
      <c r="B406" s="1" t="s">
        <v>5723</v>
      </c>
      <c r="D406" s="1">
        <v>1900000.0</v>
      </c>
      <c r="E406" s="99">
        <v>160000.0</v>
      </c>
      <c r="F406" s="1">
        <v>1550000.0</v>
      </c>
      <c r="H406" s="1">
        <v>1960000.0</v>
      </c>
      <c r="I406" s="1">
        <v>3500000.0</v>
      </c>
      <c r="J406" s="1">
        <v>2200000.0</v>
      </c>
      <c r="K406" s="1">
        <v>2300000.0</v>
      </c>
      <c r="L406" s="1">
        <v>1900000.0</v>
      </c>
      <c r="M406" s="1">
        <v>1500000.0</v>
      </c>
      <c r="N406" s="33">
        <v>1260000.0</v>
      </c>
      <c r="O406" s="1">
        <v>1240000.0</v>
      </c>
      <c r="P406">
        <f t="shared" ref="P406:P414" si="814">SUM(D406:O406)</f>
        <v>19470000</v>
      </c>
      <c r="T406" s="1" t="s">
        <v>5724</v>
      </c>
      <c r="U406" s="1">
        <v>57293.0</v>
      </c>
      <c r="W406" s="1">
        <v>36729.0</v>
      </c>
      <c r="Y406" s="1">
        <v>78514.0</v>
      </c>
      <c r="AA406" s="1">
        <v>94850.0</v>
      </c>
      <c r="AC406" s="1">
        <v>96262.0</v>
      </c>
      <c r="AE406" s="1">
        <v>124411.0</v>
      </c>
      <c r="AH406" s="1">
        <v>9213.0</v>
      </c>
      <c r="AJ406" s="1">
        <v>1237780.0</v>
      </c>
      <c r="AL406" s="1">
        <v>7756.0</v>
      </c>
    </row>
    <row r="407">
      <c r="B407" s="1" t="s">
        <v>5499</v>
      </c>
      <c r="D407" s="1">
        <f t="shared" ref="D407:F407" si="812">D406*0.1</f>
        <v>190000</v>
      </c>
      <c r="E407" s="23">
        <f t="shared" si="812"/>
        <v>16000</v>
      </c>
      <c r="F407" s="1">
        <f t="shared" si="812"/>
        <v>155000</v>
      </c>
      <c r="H407" s="1">
        <f t="shared" ref="H407:O407" si="813">H406*0.1</f>
        <v>196000</v>
      </c>
      <c r="I407" s="1">
        <f t="shared" si="813"/>
        <v>350000</v>
      </c>
      <c r="J407" s="1">
        <f t="shared" si="813"/>
        <v>220000</v>
      </c>
      <c r="K407" s="1">
        <f t="shared" si="813"/>
        <v>230000</v>
      </c>
      <c r="L407" s="1">
        <f t="shared" si="813"/>
        <v>190000</v>
      </c>
      <c r="M407" s="1">
        <f t="shared" si="813"/>
        <v>150000</v>
      </c>
      <c r="N407" s="1">
        <f t="shared" si="813"/>
        <v>126000</v>
      </c>
      <c r="O407" s="1">
        <f t="shared" si="813"/>
        <v>124000</v>
      </c>
      <c r="P407">
        <f t="shared" si="814"/>
        <v>1947000</v>
      </c>
      <c r="U407" s="1">
        <v>10102.0</v>
      </c>
      <c r="V407" s="1">
        <v>51199.0</v>
      </c>
      <c r="W407" s="1">
        <v>91578.0</v>
      </c>
      <c r="Y407" s="1">
        <v>21914.0</v>
      </c>
      <c r="AA407" s="1">
        <v>42769.0</v>
      </c>
      <c r="AB407" s="1">
        <v>1890.0</v>
      </c>
      <c r="AE407" s="1">
        <v>103798.0</v>
      </c>
      <c r="AG407" s="1">
        <v>17183.0</v>
      </c>
    </row>
    <row r="408">
      <c r="B408" s="1" t="s">
        <v>5520</v>
      </c>
      <c r="D408">
        <f t="shared" ref="D408:F408" si="815">D406+D407</f>
        <v>2090000</v>
      </c>
      <c r="E408" s="18">
        <f t="shared" si="815"/>
        <v>176000</v>
      </c>
      <c r="F408">
        <f t="shared" si="815"/>
        <v>1705000</v>
      </c>
      <c r="H408">
        <f t="shared" ref="H408:O408" si="816">H406+H407</f>
        <v>2156000</v>
      </c>
      <c r="I408">
        <f t="shared" si="816"/>
        <v>3850000</v>
      </c>
      <c r="J408">
        <f t="shared" si="816"/>
        <v>2420000</v>
      </c>
      <c r="K408">
        <f t="shared" si="816"/>
        <v>2530000</v>
      </c>
      <c r="L408">
        <f t="shared" si="816"/>
        <v>2090000</v>
      </c>
      <c r="M408">
        <f t="shared" si="816"/>
        <v>1650000</v>
      </c>
      <c r="N408">
        <f t="shared" si="816"/>
        <v>1386000</v>
      </c>
      <c r="O408">
        <f t="shared" si="816"/>
        <v>1364000</v>
      </c>
      <c r="P408">
        <f t="shared" si="814"/>
        <v>21417000</v>
      </c>
      <c r="U408">
        <f t="shared" ref="U408:U409" si="817">U406-U398</f>
        <v>718</v>
      </c>
      <c r="W408">
        <f t="shared" ref="W408:W409" si="818">W406-W398</f>
        <v>182</v>
      </c>
      <c r="Y408">
        <f t="shared" ref="Y408:Y409" si="819">Y406-Y398</f>
        <v>1328</v>
      </c>
      <c r="AA408">
        <f t="shared" ref="AA408:AA409" si="820">AA406-AA398</f>
        <v>1315</v>
      </c>
      <c r="AC408">
        <f>AC406-AC398</f>
        <v>819</v>
      </c>
      <c r="AE408">
        <f t="shared" ref="AE408:AE409" si="821">AE406-AE398</f>
        <v>1359</v>
      </c>
      <c r="AH408">
        <f>AH406-AH398</f>
        <v>133</v>
      </c>
    </row>
    <row r="409">
      <c r="B409" s="1" t="s">
        <v>5725</v>
      </c>
      <c r="D409">
        <v>239743.5438867785</v>
      </c>
      <c r="E409" s="18">
        <v>57554.570208760546</v>
      </c>
      <c r="F409">
        <v>95985.34305980435</v>
      </c>
      <c r="H409" s="134">
        <v>55576.30305577033</v>
      </c>
      <c r="I409">
        <v>180723.60530473661</v>
      </c>
      <c r="J409">
        <v>137053.93777523784</v>
      </c>
      <c r="K409">
        <v>58189.828094372824</v>
      </c>
      <c r="L409">
        <v>76995.74940924098</v>
      </c>
      <c r="M409" s="134">
        <v>120494.63431606548</v>
      </c>
      <c r="N409" s="159">
        <v>20406.10101859011</v>
      </c>
      <c r="O409">
        <v>47076.83756345178</v>
      </c>
      <c r="P409">
        <f t="shared" si="814"/>
        <v>1089800.454</v>
      </c>
      <c r="U409" s="147">
        <f t="shared" si="817"/>
        <v>190</v>
      </c>
      <c r="V409" s="147">
        <f>(V407-V399)</f>
        <v>486</v>
      </c>
      <c r="W409" s="147">
        <f t="shared" si="818"/>
        <v>574</v>
      </c>
      <c r="X409" s="137">
        <f>W408</f>
        <v>182</v>
      </c>
      <c r="Y409" s="147">
        <f t="shared" si="819"/>
        <v>477</v>
      </c>
      <c r="Z409" s="100">
        <f>Y408-Y409</f>
        <v>851</v>
      </c>
      <c r="AA409" s="147">
        <f t="shared" si="820"/>
        <v>921</v>
      </c>
      <c r="AB409" s="147">
        <f>AB407-AB399</f>
        <v>432</v>
      </c>
      <c r="AC409" s="147">
        <f>(AC408)*73.9/(73.9+99)</f>
        <v>350.0526316</v>
      </c>
      <c r="AD409" s="147">
        <f>(AC408)*99/(73.9+99)</f>
        <v>468.9473684</v>
      </c>
      <c r="AE409" s="147">
        <f t="shared" si="821"/>
        <v>626</v>
      </c>
      <c r="AF409" s="100">
        <f>AE408-AE409-AG409-50</f>
        <v>531</v>
      </c>
      <c r="AG409" s="147">
        <f>AG407-AG399</f>
        <v>152</v>
      </c>
      <c r="AH409" s="1">
        <v>133.0</v>
      </c>
      <c r="AI409" s="18">
        <f t="shared" ref="AI409:AI410" si="825">SUM(U409:AH409)</f>
        <v>6374</v>
      </c>
    </row>
    <row r="410">
      <c r="D410">
        <f t="shared" ref="D410:F410" si="822">D409-D411</f>
        <v>217948.6763</v>
      </c>
      <c r="E410" s="18">
        <f t="shared" si="822"/>
        <v>52322.33655</v>
      </c>
      <c r="F410">
        <f t="shared" si="822"/>
        <v>87259.40278</v>
      </c>
      <c r="H410">
        <f t="shared" ref="H410:O410" si="823">H409-H411</f>
        <v>50523.91187</v>
      </c>
      <c r="I410">
        <f t="shared" si="823"/>
        <v>164294.1866</v>
      </c>
      <c r="J410">
        <f t="shared" si="823"/>
        <v>124594.4889</v>
      </c>
      <c r="K410">
        <f t="shared" si="823"/>
        <v>52899.84372</v>
      </c>
      <c r="L410">
        <f t="shared" si="823"/>
        <v>69996.13583</v>
      </c>
      <c r="M410">
        <f t="shared" si="823"/>
        <v>109540.5767</v>
      </c>
      <c r="N410">
        <f t="shared" si="823"/>
        <v>18551.00093</v>
      </c>
      <c r="O410">
        <f t="shared" si="823"/>
        <v>42797.12506</v>
      </c>
      <c r="P410">
        <f t="shared" si="814"/>
        <v>990727.6852</v>
      </c>
      <c r="U410" s="158">
        <f t="shared" ref="U410:AH410" si="824">U409*1237780/6374</f>
        <v>36896.48572</v>
      </c>
      <c r="V410" s="158">
        <f t="shared" si="824"/>
        <v>94377.32664</v>
      </c>
      <c r="W410" s="158">
        <f t="shared" si="824"/>
        <v>111466.2253</v>
      </c>
      <c r="X410" s="158">
        <f t="shared" si="824"/>
        <v>35342.94948</v>
      </c>
      <c r="Y410" s="158">
        <f t="shared" si="824"/>
        <v>92629.59837</v>
      </c>
      <c r="Z410" s="158">
        <f t="shared" si="824"/>
        <v>165257.4176</v>
      </c>
      <c r="AA410" s="158">
        <f t="shared" si="824"/>
        <v>178850.8597</v>
      </c>
      <c r="AB410" s="158">
        <f t="shared" si="824"/>
        <v>83890.95701</v>
      </c>
      <c r="AC410" s="158">
        <f t="shared" si="824"/>
        <v>67977.43118</v>
      </c>
      <c r="AD410" s="158">
        <f t="shared" si="824"/>
        <v>91065.84149</v>
      </c>
      <c r="AE410" s="158">
        <f t="shared" si="824"/>
        <v>121564.2109</v>
      </c>
      <c r="AF410" s="158">
        <f t="shared" si="824"/>
        <v>103115.968</v>
      </c>
      <c r="AG410" s="158">
        <f t="shared" si="824"/>
        <v>29517.18858</v>
      </c>
      <c r="AH410" s="158">
        <f t="shared" si="824"/>
        <v>25827.54001</v>
      </c>
      <c r="AI410" s="18">
        <f t="shared" si="825"/>
        <v>1237780</v>
      </c>
    </row>
    <row r="411">
      <c r="B411" s="1" t="s">
        <v>5499</v>
      </c>
      <c r="D411">
        <f t="shared" ref="D411:F411" si="826">D409/11</f>
        <v>21794.86763</v>
      </c>
      <c r="E411" s="18">
        <f t="shared" si="826"/>
        <v>5232.233655</v>
      </c>
      <c r="F411">
        <f t="shared" si="826"/>
        <v>8725.940278</v>
      </c>
      <c r="H411">
        <f t="shared" ref="H411:O411" si="827">H409/11</f>
        <v>5052.391187</v>
      </c>
      <c r="I411">
        <f t="shared" si="827"/>
        <v>16429.41866</v>
      </c>
      <c r="J411">
        <f t="shared" si="827"/>
        <v>12459.44889</v>
      </c>
      <c r="K411">
        <f t="shared" si="827"/>
        <v>5289.984372</v>
      </c>
      <c r="L411">
        <f t="shared" si="827"/>
        <v>6999.613583</v>
      </c>
      <c r="M411">
        <f t="shared" si="827"/>
        <v>10954.05767</v>
      </c>
      <c r="N411">
        <f t="shared" si="827"/>
        <v>1855.100093</v>
      </c>
      <c r="O411">
        <f t="shared" si="827"/>
        <v>4279.712506</v>
      </c>
      <c r="P411">
        <f t="shared" si="814"/>
        <v>99072.76852</v>
      </c>
      <c r="U411">
        <v>36896.485723250706</v>
      </c>
      <c r="V411" s="136">
        <v>94377.32663947286</v>
      </c>
      <c r="W411" s="136">
        <v>111466.22529024161</v>
      </c>
      <c r="X411" s="136">
        <v>35342.94948227173</v>
      </c>
      <c r="Y411" s="148">
        <f t="shared" ref="Y411:AG411" si="828">Y410+2870</f>
        <v>95499.59837</v>
      </c>
      <c r="Z411" s="148">
        <f t="shared" si="828"/>
        <v>168127.4176</v>
      </c>
      <c r="AA411" s="145">
        <f t="shared" si="828"/>
        <v>181720.8597</v>
      </c>
      <c r="AB411" s="148">
        <f t="shared" si="828"/>
        <v>86760.95701</v>
      </c>
      <c r="AC411" s="148">
        <f t="shared" si="828"/>
        <v>70847.43118</v>
      </c>
      <c r="AD411" s="148">
        <f t="shared" si="828"/>
        <v>93935.84149</v>
      </c>
      <c r="AE411" s="148">
        <f t="shared" si="828"/>
        <v>124434.2109</v>
      </c>
      <c r="AF411" s="148">
        <f t="shared" si="828"/>
        <v>105985.968</v>
      </c>
      <c r="AG411" s="148">
        <f t="shared" si="828"/>
        <v>32387.18858</v>
      </c>
      <c r="AH411">
        <f>AH410/9</f>
        <v>2869.726667</v>
      </c>
      <c r="AI411" s="18">
        <f>SUM(U411:AG411)</f>
        <v>1237782.46</v>
      </c>
    </row>
    <row r="412">
      <c r="B412" s="23" t="s">
        <v>5528</v>
      </c>
      <c r="D412" s="145">
        <f t="shared" ref="D412:F412" si="829">SUM(D408,D409)</f>
        <v>2329743.544</v>
      </c>
      <c r="E412" s="18">
        <f t="shared" si="829"/>
        <v>233554.5702</v>
      </c>
      <c r="F412" s="18">
        <f t="shared" si="829"/>
        <v>1800985.343</v>
      </c>
      <c r="G412" s="18"/>
      <c r="H412" s="18">
        <f t="shared" ref="H412:O412" si="830">SUM(H408,H409)</f>
        <v>2211576.303</v>
      </c>
      <c r="I412" s="18">
        <f t="shared" si="830"/>
        <v>4030723.605</v>
      </c>
      <c r="J412" s="18">
        <f t="shared" si="830"/>
        <v>2557053.938</v>
      </c>
      <c r="K412" s="18">
        <f t="shared" si="830"/>
        <v>2588189.828</v>
      </c>
      <c r="L412" s="18">
        <f t="shared" si="830"/>
        <v>2166995.749</v>
      </c>
      <c r="M412" s="18">
        <f t="shared" si="830"/>
        <v>1770494.634</v>
      </c>
      <c r="N412" s="18">
        <f t="shared" si="830"/>
        <v>1406406.101</v>
      </c>
      <c r="O412" s="18">
        <f t="shared" si="830"/>
        <v>1411076.838</v>
      </c>
      <c r="P412">
        <f t="shared" si="814"/>
        <v>22506800.45</v>
      </c>
      <c r="AA412" s="146">
        <f>AA411+U411</f>
        <v>218617.3455</v>
      </c>
    </row>
    <row r="413">
      <c r="B413" s="1" t="s">
        <v>5580</v>
      </c>
      <c r="D413">
        <f t="shared" ref="D413:F413" si="831">D406+D410</f>
        <v>2117948.676</v>
      </c>
      <c r="E413" s="18">
        <f t="shared" si="831"/>
        <v>212322.3366</v>
      </c>
      <c r="F413">
        <f t="shared" si="831"/>
        <v>1637259.403</v>
      </c>
      <c r="H413">
        <f t="shared" ref="H413:O413" si="832">H406+H410</f>
        <v>2010523.912</v>
      </c>
      <c r="I413">
        <f t="shared" si="832"/>
        <v>3664294.187</v>
      </c>
      <c r="J413">
        <f t="shared" si="832"/>
        <v>2324594.489</v>
      </c>
      <c r="K413">
        <f t="shared" si="832"/>
        <v>2352899.844</v>
      </c>
      <c r="L413">
        <f t="shared" si="832"/>
        <v>1969996.136</v>
      </c>
      <c r="M413">
        <f t="shared" si="832"/>
        <v>1609540.577</v>
      </c>
      <c r="N413">
        <f t="shared" si="832"/>
        <v>1278551.001</v>
      </c>
      <c r="O413">
        <f t="shared" si="832"/>
        <v>1282797.125</v>
      </c>
      <c r="P413">
        <f t="shared" si="814"/>
        <v>20460727.69</v>
      </c>
    </row>
    <row r="414">
      <c r="B414" s="1" t="s">
        <v>5582</v>
      </c>
      <c r="D414">
        <f t="shared" ref="D414:F414" si="833">D407+D411</f>
        <v>211794.8676</v>
      </c>
      <c r="E414" s="18">
        <f t="shared" si="833"/>
        <v>21232.23366</v>
      </c>
      <c r="F414">
        <f t="shared" si="833"/>
        <v>163725.9403</v>
      </c>
      <c r="H414">
        <f t="shared" ref="H414:O414" si="834">H407+H411</f>
        <v>201052.3912</v>
      </c>
      <c r="I414">
        <f t="shared" si="834"/>
        <v>366429.4187</v>
      </c>
      <c r="J414">
        <f t="shared" si="834"/>
        <v>232459.4489</v>
      </c>
      <c r="K414">
        <f t="shared" si="834"/>
        <v>235289.9844</v>
      </c>
      <c r="L414">
        <f t="shared" si="834"/>
        <v>196999.6136</v>
      </c>
      <c r="M414">
        <f t="shared" si="834"/>
        <v>160954.0577</v>
      </c>
      <c r="N414">
        <f t="shared" si="834"/>
        <v>127855.1001</v>
      </c>
      <c r="O414">
        <f t="shared" si="834"/>
        <v>128279.7125</v>
      </c>
      <c r="P414">
        <f t="shared" si="814"/>
        <v>2046072.769</v>
      </c>
      <c r="T414" s="1" t="s">
        <v>2683</v>
      </c>
      <c r="U414" s="1">
        <v>57999.0</v>
      </c>
      <c r="W414" s="1">
        <v>36895.0</v>
      </c>
      <c r="Y414" s="1">
        <v>79434.0</v>
      </c>
      <c r="AA414" s="1">
        <v>95635.0</v>
      </c>
      <c r="AC414" s="1">
        <v>96745.0</v>
      </c>
      <c r="AE414" s="1">
        <v>125313.0</v>
      </c>
      <c r="AH414" s="1">
        <v>9345.0</v>
      </c>
      <c r="AJ414" s="1">
        <v>819810.0</v>
      </c>
      <c r="AL414" s="1">
        <v>5226.0</v>
      </c>
    </row>
    <row r="415">
      <c r="B415" s="1"/>
      <c r="D415" s="1" t="s">
        <v>5566</v>
      </c>
      <c r="E415" s="1" t="s">
        <v>5566</v>
      </c>
      <c r="F415" s="1" t="s">
        <v>5566</v>
      </c>
      <c r="H415" s="1" t="s">
        <v>5566</v>
      </c>
      <c r="I415" s="1" t="s">
        <v>5566</v>
      </c>
      <c r="J415" s="1" t="s">
        <v>5566</v>
      </c>
      <c r="K415" s="33" t="s">
        <v>5566</v>
      </c>
      <c r="L415" s="1" t="s">
        <v>5566</v>
      </c>
      <c r="M415" s="1" t="s">
        <v>5566</v>
      </c>
      <c r="N415" s="33" t="s">
        <v>5566</v>
      </c>
      <c r="O415" s="1" t="s">
        <v>5566</v>
      </c>
      <c r="U415" s="1">
        <v>10264.0</v>
      </c>
      <c r="V415" s="1">
        <v>51704.0</v>
      </c>
      <c r="W415" s="1">
        <v>91998.0</v>
      </c>
      <c r="Y415" s="1">
        <v>22200.0</v>
      </c>
      <c r="AA415" s="1">
        <v>43438.0</v>
      </c>
      <c r="AB415" s="1">
        <v>2054.0</v>
      </c>
      <c r="AE415" s="1">
        <v>104208.0</v>
      </c>
      <c r="AG415" s="1">
        <v>17357.0</v>
      </c>
    </row>
    <row r="416">
      <c r="B416" s="1"/>
      <c r="E416" s="99">
        <f>270*(24/31)</f>
        <v>209.0322581</v>
      </c>
      <c r="H416" s="1"/>
      <c r="M416" s="1"/>
      <c r="N416" s="33"/>
      <c r="U416">
        <f t="shared" ref="U416:U417" si="835">U414-U406</f>
        <v>706</v>
      </c>
      <c r="W416">
        <f t="shared" ref="W416:W417" si="836">W414-W406</f>
        <v>166</v>
      </c>
      <c r="Y416">
        <f t="shared" ref="Y416:Y417" si="837">Y414-Y406</f>
        <v>920</v>
      </c>
      <c r="AA416">
        <f t="shared" ref="AA416:AA417" si="838">AA414-AA406</f>
        <v>785</v>
      </c>
      <c r="AC416">
        <f>AC414-AC406</f>
        <v>483</v>
      </c>
      <c r="AE416">
        <f t="shared" ref="AE416:AE417" si="839">AE414-AE406</f>
        <v>902</v>
      </c>
      <c r="AH416">
        <f>AH414-AH406</f>
        <v>132</v>
      </c>
    </row>
    <row r="417">
      <c r="B417" s="1"/>
      <c r="E417" s="1" t="s">
        <v>5726</v>
      </c>
      <c r="H417" s="1"/>
      <c r="M417" s="1"/>
      <c r="N417" s="33"/>
      <c r="U417" s="147">
        <f t="shared" si="835"/>
        <v>162</v>
      </c>
      <c r="V417" s="147">
        <f>(V415-V407)</f>
        <v>505</v>
      </c>
      <c r="W417" s="147">
        <f t="shared" si="836"/>
        <v>420</v>
      </c>
      <c r="X417" s="137">
        <f>W416</f>
        <v>166</v>
      </c>
      <c r="Y417" s="147">
        <f t="shared" si="837"/>
        <v>286</v>
      </c>
      <c r="Z417" s="100">
        <f>Y416-Y417</f>
        <v>634</v>
      </c>
      <c r="AA417" s="147">
        <f t="shared" si="838"/>
        <v>669</v>
      </c>
      <c r="AB417" s="147">
        <f>AB415-AB407</f>
        <v>164</v>
      </c>
      <c r="AC417" s="147">
        <f>(AC416)*73.9/(73.9+99)</f>
        <v>206.4412955</v>
      </c>
      <c r="AD417" s="147">
        <f>(AC416)*99/(73.9+99)</f>
        <v>276.5587045</v>
      </c>
      <c r="AE417" s="147">
        <f t="shared" si="839"/>
        <v>410</v>
      </c>
      <c r="AF417" s="100">
        <f>AE416-AE417-AG417-50</f>
        <v>268</v>
      </c>
      <c r="AG417" s="147">
        <f>AG415-AG407</f>
        <v>174</v>
      </c>
      <c r="AH417" s="1">
        <v>132.0</v>
      </c>
      <c r="AI417" s="18">
        <f t="shared" ref="AI417:AI418" si="841">SUM(U417:AH417)</f>
        <v>4473</v>
      </c>
    </row>
    <row r="418">
      <c r="B418" s="1" t="s">
        <v>5727</v>
      </c>
      <c r="D418" s="1">
        <v>1900000.0</v>
      </c>
      <c r="E418" s="1">
        <v>2090000.0</v>
      </c>
      <c r="F418" s="1">
        <v>1550000.0</v>
      </c>
      <c r="H418" s="1">
        <v>1960000.0</v>
      </c>
      <c r="I418" s="1">
        <v>3500000.0</v>
      </c>
      <c r="J418" s="1">
        <v>2200000.0</v>
      </c>
      <c r="K418" s="1">
        <v>2300000.0</v>
      </c>
      <c r="L418" s="1">
        <v>1900000.0</v>
      </c>
      <c r="M418" s="1">
        <v>1500000.0</v>
      </c>
      <c r="N418" s="33">
        <v>1260000.0</v>
      </c>
      <c r="O418" s="1">
        <v>1240000.0</v>
      </c>
      <c r="P418">
        <f t="shared" ref="P418:P429" si="844">SUM(D418:O418)</f>
        <v>21400000</v>
      </c>
      <c r="U418" s="158">
        <f t="shared" ref="U418:AH418" si="840">U417*819810/4473</f>
        <v>29691.30785</v>
      </c>
      <c r="V418" s="158">
        <f t="shared" si="840"/>
        <v>92556.23742</v>
      </c>
      <c r="W418" s="158">
        <f t="shared" si="840"/>
        <v>76977.46479</v>
      </c>
      <c r="X418" s="158">
        <f t="shared" si="840"/>
        <v>30424.42656</v>
      </c>
      <c r="Y418" s="158">
        <f t="shared" si="840"/>
        <v>52417.98793</v>
      </c>
      <c r="Z418" s="158">
        <f t="shared" si="840"/>
        <v>116199.3159</v>
      </c>
      <c r="AA418" s="158">
        <f t="shared" si="840"/>
        <v>122614.1046</v>
      </c>
      <c r="AB418" s="158">
        <f t="shared" si="840"/>
        <v>30057.8672</v>
      </c>
      <c r="AC418" s="158">
        <f t="shared" si="840"/>
        <v>37836.49419</v>
      </c>
      <c r="AD418" s="158">
        <f t="shared" si="840"/>
        <v>50687.59032</v>
      </c>
      <c r="AE418" s="158">
        <f t="shared" si="840"/>
        <v>75144.66801</v>
      </c>
      <c r="AF418" s="158">
        <f t="shared" si="840"/>
        <v>49118.95372</v>
      </c>
      <c r="AG418" s="158">
        <f t="shared" si="840"/>
        <v>31890.66398</v>
      </c>
      <c r="AH418" s="158">
        <f t="shared" si="840"/>
        <v>24192.91751</v>
      </c>
      <c r="AI418" s="18">
        <f t="shared" si="841"/>
        <v>819810</v>
      </c>
    </row>
    <row r="419">
      <c r="B419" s="1" t="s">
        <v>5499</v>
      </c>
      <c r="D419" s="1">
        <f t="shared" ref="D419:F419" si="842">D418*0.1</f>
        <v>190000</v>
      </c>
      <c r="E419" s="1">
        <f t="shared" si="842"/>
        <v>209000</v>
      </c>
      <c r="F419" s="1">
        <f t="shared" si="842"/>
        <v>155000</v>
      </c>
      <c r="H419" s="1">
        <f t="shared" ref="H419:O419" si="843">H418*0.1</f>
        <v>196000</v>
      </c>
      <c r="I419" s="1">
        <f t="shared" si="843"/>
        <v>350000</v>
      </c>
      <c r="J419" s="1">
        <f t="shared" si="843"/>
        <v>220000</v>
      </c>
      <c r="K419" s="1">
        <f t="shared" si="843"/>
        <v>230000</v>
      </c>
      <c r="L419" s="1">
        <f t="shared" si="843"/>
        <v>190000</v>
      </c>
      <c r="M419" s="1">
        <f t="shared" si="843"/>
        <v>150000</v>
      </c>
      <c r="N419" s="1">
        <f t="shared" si="843"/>
        <v>126000</v>
      </c>
      <c r="O419" s="1">
        <f t="shared" si="843"/>
        <v>124000</v>
      </c>
      <c r="P419">
        <f t="shared" si="844"/>
        <v>2140000</v>
      </c>
      <c r="U419">
        <v>29691.307847082495</v>
      </c>
      <c r="V419" s="136">
        <v>92556.23742454729</v>
      </c>
      <c r="W419" s="136">
        <v>76977.4647887324</v>
      </c>
      <c r="X419" s="136">
        <v>30424.426559356136</v>
      </c>
      <c r="Y419" s="148">
        <f t="shared" ref="Y419:AG419" si="845">Y418+2688</f>
        <v>55105.98793</v>
      </c>
      <c r="Z419" s="148">
        <f t="shared" si="845"/>
        <v>118887.3159</v>
      </c>
      <c r="AA419" s="145">
        <f t="shared" si="845"/>
        <v>125302.1046</v>
      </c>
      <c r="AB419" s="148">
        <f t="shared" si="845"/>
        <v>32745.8672</v>
      </c>
      <c r="AC419" s="148">
        <f t="shared" si="845"/>
        <v>40524.49419</v>
      </c>
      <c r="AD419" s="148">
        <f t="shared" si="845"/>
        <v>53375.59032</v>
      </c>
      <c r="AE419" s="148">
        <f t="shared" si="845"/>
        <v>77832.66801</v>
      </c>
      <c r="AF419" s="148">
        <f t="shared" si="845"/>
        <v>51806.95372</v>
      </c>
      <c r="AG419" s="148">
        <f t="shared" si="845"/>
        <v>34578.66398</v>
      </c>
      <c r="AH419">
        <f>AH418/9</f>
        <v>2688.101945</v>
      </c>
      <c r="AI419" s="18">
        <f>SUM(U419:AG419)</f>
        <v>819809.0825</v>
      </c>
    </row>
    <row r="420">
      <c r="B420" s="1" t="s">
        <v>5520</v>
      </c>
      <c r="D420">
        <f t="shared" ref="D420:F420" si="846">D418+D419</f>
        <v>2090000</v>
      </c>
      <c r="E420">
        <f t="shared" si="846"/>
        <v>2299000</v>
      </c>
      <c r="F420">
        <f t="shared" si="846"/>
        <v>1705000</v>
      </c>
      <c r="H420">
        <f t="shared" ref="H420:O420" si="847">H418+H419</f>
        <v>2156000</v>
      </c>
      <c r="I420">
        <f t="shared" si="847"/>
        <v>3850000</v>
      </c>
      <c r="J420">
        <f t="shared" si="847"/>
        <v>2420000</v>
      </c>
      <c r="K420">
        <f t="shared" si="847"/>
        <v>2530000</v>
      </c>
      <c r="L420">
        <f t="shared" si="847"/>
        <v>2090000</v>
      </c>
      <c r="M420">
        <f t="shared" si="847"/>
        <v>1650000</v>
      </c>
      <c r="N420">
        <f t="shared" si="847"/>
        <v>1386000</v>
      </c>
      <c r="O420">
        <f t="shared" si="847"/>
        <v>1364000</v>
      </c>
      <c r="P420">
        <f t="shared" si="844"/>
        <v>23540000</v>
      </c>
      <c r="AA420" s="146">
        <f>AA419+U419</f>
        <v>154993.4125</v>
      </c>
    </row>
    <row r="421">
      <c r="B421" s="1" t="s">
        <v>5545</v>
      </c>
      <c r="D421">
        <v>231431.8578313253</v>
      </c>
      <c r="E421">
        <v>23671.390361445785</v>
      </c>
      <c r="F421">
        <v>25627.70361445783</v>
      </c>
      <c r="H421" s="134">
        <v>47880.310843373496</v>
      </c>
      <c r="I421">
        <v>126524.10361445782</v>
      </c>
      <c r="J421">
        <v>62161.39759036145</v>
      </c>
      <c r="K421">
        <v>53975.88423143123</v>
      </c>
      <c r="L421">
        <v>71129.43625049648</v>
      </c>
      <c r="M421" s="134">
        <v>85832.78795180723</v>
      </c>
      <c r="N421" s="159">
        <v>35359.90602409639</v>
      </c>
      <c r="O421">
        <v>48271.573493975906</v>
      </c>
      <c r="P421">
        <f t="shared" si="844"/>
        <v>811866.3518</v>
      </c>
    </row>
    <row r="422">
      <c r="D422">
        <f t="shared" ref="D422:F422" si="848">D421-D423</f>
        <v>210392.598</v>
      </c>
      <c r="E422">
        <f t="shared" si="848"/>
        <v>21519.44578</v>
      </c>
      <c r="F422">
        <f t="shared" si="848"/>
        <v>23297.91238</v>
      </c>
      <c r="H422">
        <f t="shared" ref="H422:O422" si="849">H421-H423</f>
        <v>43527.55531</v>
      </c>
      <c r="I422">
        <f t="shared" si="849"/>
        <v>115021.9124</v>
      </c>
      <c r="J422">
        <f t="shared" si="849"/>
        <v>56510.36145</v>
      </c>
      <c r="K422">
        <f t="shared" si="849"/>
        <v>49068.98566</v>
      </c>
      <c r="L422">
        <f t="shared" si="849"/>
        <v>64663.12386</v>
      </c>
      <c r="M422">
        <f t="shared" si="849"/>
        <v>78029.80723</v>
      </c>
      <c r="N422">
        <f t="shared" si="849"/>
        <v>32145.36911</v>
      </c>
      <c r="O422">
        <f t="shared" si="849"/>
        <v>43883.24863</v>
      </c>
      <c r="P422">
        <f t="shared" si="844"/>
        <v>738060.3198</v>
      </c>
      <c r="T422" s="1" t="s">
        <v>5728</v>
      </c>
      <c r="U422" s="1">
        <v>58823.0</v>
      </c>
      <c r="W422" s="1">
        <v>37270.0</v>
      </c>
      <c r="Y422" s="1">
        <v>80342.0</v>
      </c>
      <c r="AA422" s="1">
        <v>96721.0</v>
      </c>
      <c r="AC422" s="1">
        <v>97787.0</v>
      </c>
      <c r="AE422" s="1">
        <v>126372.0</v>
      </c>
      <c r="AH422" s="1">
        <v>9492.0</v>
      </c>
      <c r="AJ422" s="1">
        <v>1037720.0</v>
      </c>
      <c r="AL422" s="1">
        <v>7116.0</v>
      </c>
    </row>
    <row r="423">
      <c r="B423" s="1" t="s">
        <v>5499</v>
      </c>
      <c r="D423">
        <f t="shared" ref="D423:F423" si="850">D421/11</f>
        <v>21039.2598</v>
      </c>
      <c r="E423">
        <f t="shared" si="850"/>
        <v>2151.944578</v>
      </c>
      <c r="F423">
        <f t="shared" si="850"/>
        <v>2329.791238</v>
      </c>
      <c r="H423">
        <f t="shared" ref="H423:O423" si="851">H421/11</f>
        <v>4352.755531</v>
      </c>
      <c r="I423">
        <f t="shared" si="851"/>
        <v>11502.19124</v>
      </c>
      <c r="J423">
        <f t="shared" si="851"/>
        <v>5651.036145</v>
      </c>
      <c r="K423">
        <f t="shared" si="851"/>
        <v>4906.898566</v>
      </c>
      <c r="L423">
        <f t="shared" si="851"/>
        <v>6466.312386</v>
      </c>
      <c r="M423">
        <f t="shared" si="851"/>
        <v>7802.980723</v>
      </c>
      <c r="N423">
        <f t="shared" si="851"/>
        <v>3214.536911</v>
      </c>
      <c r="O423">
        <f t="shared" si="851"/>
        <v>4388.324863</v>
      </c>
      <c r="P423">
        <f t="shared" si="844"/>
        <v>73806.03198</v>
      </c>
      <c r="U423" s="1">
        <v>10420.0</v>
      </c>
      <c r="V423" s="1">
        <v>52320.0</v>
      </c>
      <c r="W423" s="1">
        <v>92609.0</v>
      </c>
      <c r="Y423" s="1">
        <v>22522.0</v>
      </c>
      <c r="AA423" s="1">
        <v>44731.0</v>
      </c>
      <c r="AB423" s="1">
        <v>2275.0</v>
      </c>
      <c r="AE423" s="1">
        <v>104732.0</v>
      </c>
      <c r="AG423" s="1">
        <v>17535.0</v>
      </c>
    </row>
    <row r="424">
      <c r="B424" s="1" t="s">
        <v>5729</v>
      </c>
      <c r="D424">
        <v>40481.403820695916</v>
      </c>
      <c r="E424">
        <v>16856.87174482312</v>
      </c>
      <c r="F424">
        <v>16856.87174482312</v>
      </c>
      <c r="G424">
        <v>0.0</v>
      </c>
      <c r="H424" s="134">
        <v>22254.39225424924</v>
      </c>
      <c r="I424">
        <v>28253.94389741905</v>
      </c>
      <c r="J424">
        <v>22482.7488911865</v>
      </c>
      <c r="K424">
        <v>15341.414063330403</v>
      </c>
      <c r="L424">
        <v>20552.09732435331</v>
      </c>
      <c r="M424" s="134">
        <v>10481.569635420188</v>
      </c>
      <c r="N424" s="159">
        <v>12061.382369140681</v>
      </c>
      <c r="O424">
        <v>9217.304254558454</v>
      </c>
      <c r="P424">
        <f t="shared" si="844"/>
        <v>214840</v>
      </c>
      <c r="U424">
        <f t="shared" ref="U424:U425" si="854">U422-U414</f>
        <v>824</v>
      </c>
      <c r="W424">
        <f t="shared" ref="W424:W425" si="855">W422-W414</f>
        <v>375</v>
      </c>
      <c r="Y424">
        <f t="shared" ref="Y424:Y425" si="856">Y422-Y414</f>
        <v>908</v>
      </c>
      <c r="AA424">
        <f t="shared" ref="AA424:AA425" si="857">AA422-AA414</f>
        <v>1086</v>
      </c>
      <c r="AC424">
        <f>AC422-AC414</f>
        <v>1042</v>
      </c>
      <c r="AE424">
        <f t="shared" ref="AE424:AE425" si="858">AE422-AE414</f>
        <v>1059</v>
      </c>
      <c r="AH424">
        <f>AH422-AH414</f>
        <v>147</v>
      </c>
    </row>
    <row r="425">
      <c r="B425" s="23" t="s">
        <v>5598</v>
      </c>
      <c r="D425" s="18">
        <f t="shared" ref="D425:F425" si="852">SUM(D420,D421,D424)</f>
        <v>2361913.262</v>
      </c>
      <c r="E425" s="18">
        <f t="shared" si="852"/>
        <v>2339528.262</v>
      </c>
      <c r="F425" s="18">
        <f t="shared" si="852"/>
        <v>1747484.575</v>
      </c>
      <c r="G425" s="18"/>
      <c r="H425" s="18">
        <f t="shared" ref="H425:O425" si="853">SUM(H420,H421,H424)</f>
        <v>2226134.703</v>
      </c>
      <c r="I425" s="18">
        <f t="shared" si="853"/>
        <v>4004778.048</v>
      </c>
      <c r="J425" s="18">
        <f t="shared" si="853"/>
        <v>2504644.146</v>
      </c>
      <c r="K425" s="18">
        <f t="shared" si="853"/>
        <v>2599317.298</v>
      </c>
      <c r="L425" s="18">
        <f t="shared" si="853"/>
        <v>2181681.534</v>
      </c>
      <c r="M425" s="18">
        <f t="shared" si="853"/>
        <v>1746314.358</v>
      </c>
      <c r="N425" s="18">
        <f t="shared" si="853"/>
        <v>1433421.288</v>
      </c>
      <c r="O425" s="18">
        <f t="shared" si="853"/>
        <v>1421488.878</v>
      </c>
      <c r="P425">
        <f t="shared" si="844"/>
        <v>24566706.35</v>
      </c>
      <c r="U425" s="147">
        <f t="shared" si="854"/>
        <v>156</v>
      </c>
      <c r="V425" s="147">
        <f>(V423-V415)</f>
        <v>616</v>
      </c>
      <c r="W425" s="147">
        <f t="shared" si="855"/>
        <v>611</v>
      </c>
      <c r="X425" s="137">
        <f>W424</f>
        <v>375</v>
      </c>
      <c r="Y425" s="147">
        <f t="shared" si="856"/>
        <v>322</v>
      </c>
      <c r="Z425" s="100">
        <f>Y424-Y425</f>
        <v>586</v>
      </c>
      <c r="AA425" s="147">
        <f t="shared" si="857"/>
        <v>1293</v>
      </c>
      <c r="AB425" s="147">
        <f>AB423-AB415</f>
        <v>221</v>
      </c>
      <c r="AC425" s="147">
        <f>(AC424)*73.9/(73.9+99)</f>
        <v>445.3661076</v>
      </c>
      <c r="AD425" s="147">
        <f>(AC424)*99/(73.9+99)</f>
        <v>596.6338924</v>
      </c>
      <c r="AE425" s="147">
        <f t="shared" si="858"/>
        <v>524</v>
      </c>
      <c r="AF425" s="100">
        <f>AE424-AE425-AG425-50</f>
        <v>307</v>
      </c>
      <c r="AG425" s="147">
        <f>AG423-AG415</f>
        <v>178</v>
      </c>
      <c r="AH425" s="1">
        <v>147.0</v>
      </c>
      <c r="AI425" s="18">
        <f t="shared" ref="AI425:AI426" si="862">SUM(U425:AH425)</f>
        <v>6378</v>
      </c>
    </row>
    <row r="426">
      <c r="B426" s="1" t="s">
        <v>5599</v>
      </c>
      <c r="D426">
        <f t="shared" ref="D426:F426" si="859">SUM(D418,D422,D424)</f>
        <v>2150874.002</v>
      </c>
      <c r="E426">
        <f t="shared" si="859"/>
        <v>2128376.318</v>
      </c>
      <c r="F426">
        <f t="shared" si="859"/>
        <v>1590154.784</v>
      </c>
      <c r="H426">
        <f t="shared" ref="H426:O426" si="860">SUM(H418,H422,H424)</f>
        <v>2025781.948</v>
      </c>
      <c r="I426">
        <f t="shared" si="860"/>
        <v>3643275.856</v>
      </c>
      <c r="J426">
        <f t="shared" si="860"/>
        <v>2278993.11</v>
      </c>
      <c r="K426">
        <f t="shared" si="860"/>
        <v>2364410.4</v>
      </c>
      <c r="L426">
        <f t="shared" si="860"/>
        <v>1985215.221</v>
      </c>
      <c r="M426">
        <f t="shared" si="860"/>
        <v>1588511.377</v>
      </c>
      <c r="N426">
        <f t="shared" si="860"/>
        <v>1304206.751</v>
      </c>
      <c r="O426">
        <f t="shared" si="860"/>
        <v>1293100.553</v>
      </c>
      <c r="P426">
        <f t="shared" si="844"/>
        <v>22352900.32</v>
      </c>
      <c r="U426" s="162">
        <f t="shared" ref="U426:AH426" si="861">U425*1037720/6378</f>
        <v>25381.67451</v>
      </c>
      <c r="V426" s="162">
        <f t="shared" si="861"/>
        <v>100225.0737</v>
      </c>
      <c r="W426" s="162">
        <f t="shared" si="861"/>
        <v>99411.55848</v>
      </c>
      <c r="X426" s="162">
        <f t="shared" si="861"/>
        <v>61013.64064</v>
      </c>
      <c r="Y426" s="162">
        <f t="shared" si="861"/>
        <v>52390.37943</v>
      </c>
      <c r="Z426" s="162">
        <f t="shared" si="861"/>
        <v>95343.98244</v>
      </c>
      <c r="AA426" s="162">
        <f t="shared" si="861"/>
        <v>210375.0329</v>
      </c>
      <c r="AB426" s="162">
        <f t="shared" si="861"/>
        <v>35957.37222</v>
      </c>
      <c r="AC426" s="162">
        <f t="shared" si="861"/>
        <v>72462.42038</v>
      </c>
      <c r="AD426" s="162">
        <f t="shared" si="861"/>
        <v>97074.14908</v>
      </c>
      <c r="AE426" s="162">
        <f t="shared" si="861"/>
        <v>85256.39385</v>
      </c>
      <c r="AF426" s="162">
        <f t="shared" si="861"/>
        <v>49949.8338</v>
      </c>
      <c r="AG426" s="162">
        <f t="shared" si="861"/>
        <v>28961.14142</v>
      </c>
      <c r="AH426" s="162">
        <f t="shared" si="861"/>
        <v>23917.34713</v>
      </c>
      <c r="AI426" s="18">
        <f t="shared" si="862"/>
        <v>1037720</v>
      </c>
    </row>
    <row r="427">
      <c r="B427" s="1" t="s">
        <v>5601</v>
      </c>
      <c r="D427">
        <f t="shared" ref="D427:F427" si="863">SUM(D418,D422)</f>
        <v>2110392.598</v>
      </c>
      <c r="E427">
        <f t="shared" si="863"/>
        <v>2111519.446</v>
      </c>
      <c r="F427">
        <f t="shared" si="863"/>
        <v>1573297.912</v>
      </c>
      <c r="H427">
        <f t="shared" ref="H427:O427" si="864">SUM(H418,H422)</f>
        <v>2003527.555</v>
      </c>
      <c r="I427">
        <f t="shared" si="864"/>
        <v>3615021.912</v>
      </c>
      <c r="J427">
        <f t="shared" si="864"/>
        <v>2256510.361</v>
      </c>
      <c r="K427">
        <f t="shared" si="864"/>
        <v>2349068.986</v>
      </c>
      <c r="L427">
        <f t="shared" si="864"/>
        <v>1964663.124</v>
      </c>
      <c r="M427">
        <f t="shared" si="864"/>
        <v>1578029.807</v>
      </c>
      <c r="N427">
        <f t="shared" si="864"/>
        <v>1292145.369</v>
      </c>
      <c r="O427">
        <f t="shared" si="864"/>
        <v>1283883.249</v>
      </c>
      <c r="P427">
        <f t="shared" si="844"/>
        <v>22138060.32</v>
      </c>
      <c r="U427" s="97">
        <v>25381.67450611477</v>
      </c>
      <c r="V427" s="163">
        <v>100225.07369081216</v>
      </c>
      <c r="W427" s="163">
        <v>99411.55848228285</v>
      </c>
      <c r="X427" s="163">
        <v>61013.64063969896</v>
      </c>
      <c r="Y427" s="164">
        <f t="shared" ref="Y427:AG427" si="865">Y426+2657</f>
        <v>55047.37943</v>
      </c>
      <c r="Z427" s="164">
        <f t="shared" si="865"/>
        <v>98000.98244</v>
      </c>
      <c r="AA427" s="165">
        <f t="shared" si="865"/>
        <v>213032.0329</v>
      </c>
      <c r="AB427" s="164">
        <f t="shared" si="865"/>
        <v>38614.37222</v>
      </c>
      <c r="AC427" s="164">
        <f t="shared" si="865"/>
        <v>75119.42038</v>
      </c>
      <c r="AD427" s="164">
        <f t="shared" si="865"/>
        <v>99731.14908</v>
      </c>
      <c r="AE427" s="164">
        <f t="shared" si="865"/>
        <v>87913.39385</v>
      </c>
      <c r="AF427" s="164">
        <f t="shared" si="865"/>
        <v>52606.8338</v>
      </c>
      <c r="AG427" s="164">
        <f t="shared" si="865"/>
        <v>31618.14142</v>
      </c>
      <c r="AH427" s="97">
        <f>AH426/9</f>
        <v>2657.483015</v>
      </c>
      <c r="AI427" s="18">
        <f>SUM(U427:AG427)</f>
        <v>1037715.653</v>
      </c>
    </row>
    <row r="428">
      <c r="B428" s="1" t="s">
        <v>5582</v>
      </c>
      <c r="D428">
        <f t="shared" ref="D428:F428" si="866">SUM(D419,D423)</f>
        <v>211039.2598</v>
      </c>
      <c r="E428">
        <f t="shared" si="866"/>
        <v>211151.9446</v>
      </c>
      <c r="F428">
        <f t="shared" si="866"/>
        <v>157329.7912</v>
      </c>
      <c r="H428">
        <f t="shared" ref="H428:O428" si="867">SUM(H419,H423)</f>
        <v>200352.7555</v>
      </c>
      <c r="I428">
        <f t="shared" si="867"/>
        <v>361502.1912</v>
      </c>
      <c r="J428">
        <f t="shared" si="867"/>
        <v>225651.0361</v>
      </c>
      <c r="K428">
        <f t="shared" si="867"/>
        <v>234906.8986</v>
      </c>
      <c r="L428">
        <f t="shared" si="867"/>
        <v>196466.3124</v>
      </c>
      <c r="M428">
        <f t="shared" si="867"/>
        <v>157802.9807</v>
      </c>
      <c r="N428">
        <f t="shared" si="867"/>
        <v>129214.5369</v>
      </c>
      <c r="O428">
        <f t="shared" si="867"/>
        <v>128388.3249</v>
      </c>
      <c r="P428">
        <f t="shared" si="844"/>
        <v>2213806.032</v>
      </c>
      <c r="U428" s="97"/>
      <c r="V428" s="97"/>
      <c r="W428" s="97"/>
      <c r="X428" s="97"/>
      <c r="Y428" s="97"/>
      <c r="Z428" s="97"/>
      <c r="AA428" s="166">
        <f>AA427+U427</f>
        <v>238413.7074</v>
      </c>
      <c r="AB428" s="97"/>
      <c r="AC428" s="97"/>
      <c r="AD428" s="97"/>
      <c r="AE428" s="97"/>
      <c r="AF428" s="97"/>
      <c r="AG428" s="97"/>
      <c r="AH428" s="97"/>
    </row>
    <row r="429">
      <c r="B429" s="1" t="s">
        <v>5602</v>
      </c>
      <c r="D429">
        <f t="shared" ref="D429:F429" si="868">SUM(D427:D428)</f>
        <v>2321431.858</v>
      </c>
      <c r="E429">
        <f t="shared" si="868"/>
        <v>2322671.39</v>
      </c>
      <c r="F429">
        <f t="shared" si="868"/>
        <v>1730627.704</v>
      </c>
      <c r="H429">
        <f t="shared" ref="H429:O429" si="869">SUM(H427:H428)</f>
        <v>2203880.311</v>
      </c>
      <c r="I429">
        <f t="shared" si="869"/>
        <v>3976524.104</v>
      </c>
      <c r="J429">
        <f t="shared" si="869"/>
        <v>2482161.398</v>
      </c>
      <c r="K429">
        <f t="shared" si="869"/>
        <v>2583975.884</v>
      </c>
      <c r="L429">
        <f t="shared" si="869"/>
        <v>2161129.436</v>
      </c>
      <c r="M429">
        <f t="shared" si="869"/>
        <v>1735832.788</v>
      </c>
      <c r="N429">
        <f t="shared" si="869"/>
        <v>1421359.906</v>
      </c>
      <c r="O429">
        <f t="shared" si="869"/>
        <v>1412271.573</v>
      </c>
      <c r="P429">
        <f t="shared" si="844"/>
        <v>24351866.35</v>
      </c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</row>
    <row r="430">
      <c r="B430" s="1"/>
      <c r="D430" s="1" t="s">
        <v>5566</v>
      </c>
      <c r="E430" s="1" t="s">
        <v>5566</v>
      </c>
      <c r="F430" s="1" t="s">
        <v>5566</v>
      </c>
      <c r="H430" s="1" t="s">
        <v>5566</v>
      </c>
      <c r="I430" s="1" t="s">
        <v>5566</v>
      </c>
      <c r="J430" s="1" t="s">
        <v>5566</v>
      </c>
      <c r="K430" s="33" t="s">
        <v>5566</v>
      </c>
      <c r="L430" s="1" t="s">
        <v>5566</v>
      </c>
      <c r="M430" s="33" t="s">
        <v>5566</v>
      </c>
      <c r="N430" s="33" t="s">
        <v>5566</v>
      </c>
      <c r="O430" s="1" t="s">
        <v>5566</v>
      </c>
      <c r="T430" s="1" t="s">
        <v>5730</v>
      </c>
      <c r="U430" s="96">
        <v>59851.0</v>
      </c>
      <c r="V430" s="97"/>
      <c r="W430" s="96">
        <v>37720.0</v>
      </c>
      <c r="X430" s="97"/>
      <c r="Y430" s="96">
        <v>81663.0</v>
      </c>
      <c r="Z430" s="97"/>
      <c r="AA430" s="96">
        <v>98231.0</v>
      </c>
      <c r="AB430" s="97"/>
      <c r="AC430" s="96">
        <v>98946.0</v>
      </c>
      <c r="AD430" s="97"/>
      <c r="AE430" s="96">
        <v>127770.0</v>
      </c>
      <c r="AF430" s="97"/>
      <c r="AG430" s="97"/>
      <c r="AH430" s="96">
        <v>9629.0</v>
      </c>
      <c r="AJ430" s="1">
        <v>1418880.0</v>
      </c>
      <c r="AL430" s="1">
        <v>9400.0</v>
      </c>
    </row>
    <row r="431">
      <c r="B431" s="1"/>
      <c r="H431" s="1"/>
      <c r="M431" s="1"/>
      <c r="N431" s="33"/>
      <c r="U431" s="96">
        <v>10563.0</v>
      </c>
      <c r="V431" s="96">
        <v>53153.0</v>
      </c>
      <c r="W431" s="96">
        <v>93404.0</v>
      </c>
      <c r="X431" s="97"/>
      <c r="Y431" s="96">
        <v>23044.0</v>
      </c>
      <c r="Z431" s="97"/>
      <c r="AA431" s="96">
        <v>45641.0</v>
      </c>
      <c r="AB431" s="96">
        <v>2527.0</v>
      </c>
      <c r="AC431" s="97"/>
      <c r="AD431" s="97"/>
      <c r="AE431" s="96">
        <v>105488.0</v>
      </c>
      <c r="AF431" s="97"/>
      <c r="AG431" s="96">
        <v>17850.0</v>
      </c>
      <c r="AH431" s="97"/>
    </row>
    <row r="432">
      <c r="B432" s="1"/>
      <c r="H432" s="1"/>
      <c r="M432" s="1"/>
      <c r="N432" s="33"/>
      <c r="U432" s="97">
        <f t="shared" ref="U432:U433" si="870">U430-U422</f>
        <v>1028</v>
      </c>
      <c r="V432" s="97"/>
      <c r="W432" s="97">
        <f t="shared" ref="W432:W433" si="871">W430-W422</f>
        <v>450</v>
      </c>
      <c r="X432" s="97"/>
      <c r="Y432" s="97">
        <f t="shared" ref="Y432:Y433" si="872">Y430-Y422</f>
        <v>1321</v>
      </c>
      <c r="Z432" s="97"/>
      <c r="AA432" s="97">
        <f t="shared" ref="AA432:AA433" si="873">AA430-AA422</f>
        <v>1510</v>
      </c>
      <c r="AB432" s="97"/>
      <c r="AC432" s="97">
        <f>AC430-AC422</f>
        <v>1159</v>
      </c>
      <c r="AD432" s="97"/>
      <c r="AE432" s="97">
        <f t="shared" ref="AE432:AE433" si="874">AE430-AE422</f>
        <v>1398</v>
      </c>
      <c r="AF432" s="97"/>
      <c r="AG432" s="97"/>
      <c r="AH432" s="97">
        <f>AH430-AH422</f>
        <v>137</v>
      </c>
    </row>
    <row r="433">
      <c r="B433" s="1" t="s">
        <v>5731</v>
      </c>
      <c r="D433" s="1">
        <v>1900000.0</v>
      </c>
      <c r="E433" s="1">
        <v>2700000.0</v>
      </c>
      <c r="F433" s="1">
        <v>1550000.0</v>
      </c>
      <c r="H433" s="1">
        <v>1960000.0</v>
      </c>
      <c r="I433" s="1">
        <v>3500000.0</v>
      </c>
      <c r="J433" s="1">
        <v>2200000.0</v>
      </c>
      <c r="K433" s="1">
        <v>2300000.0</v>
      </c>
      <c r="L433" s="1">
        <v>1900000.0</v>
      </c>
      <c r="M433" s="1">
        <v>1500000.0</v>
      </c>
      <c r="N433" s="33">
        <v>1260000.0</v>
      </c>
      <c r="O433" s="1">
        <v>1240000.0</v>
      </c>
      <c r="P433">
        <f t="shared" ref="P433:P441" si="877">SUM(D433:O433)</f>
        <v>22010000</v>
      </c>
      <c r="U433" s="167">
        <f t="shared" si="870"/>
        <v>143</v>
      </c>
      <c r="V433" s="167">
        <f>(V431-V423)</f>
        <v>833</v>
      </c>
      <c r="W433" s="167">
        <f t="shared" si="871"/>
        <v>795</v>
      </c>
      <c r="X433" s="168">
        <f>W432</f>
        <v>450</v>
      </c>
      <c r="Y433" s="167">
        <f t="shared" si="872"/>
        <v>522</v>
      </c>
      <c r="Z433" s="169">
        <f>Y432-Y433</f>
        <v>799</v>
      </c>
      <c r="AA433" s="167">
        <f t="shared" si="873"/>
        <v>910</v>
      </c>
      <c r="AB433" s="167">
        <f>AB431-AB423</f>
        <v>252</v>
      </c>
      <c r="AC433" s="167">
        <f>(AC432)*73.9/(73.9+99)</f>
        <v>495.3736264</v>
      </c>
      <c r="AD433" s="167">
        <f>(AC432)*99/(73.9+99)</f>
        <v>663.6263736</v>
      </c>
      <c r="AE433" s="167">
        <f t="shared" si="874"/>
        <v>756</v>
      </c>
      <c r="AF433" s="169">
        <f>AE432-AE433-AG433-50</f>
        <v>277</v>
      </c>
      <c r="AG433" s="167">
        <f>AG431-AG423</f>
        <v>315</v>
      </c>
      <c r="AH433" s="96">
        <v>137.0</v>
      </c>
      <c r="AI433" s="18">
        <f t="shared" ref="AI433:AI434" si="879">SUM(U433:AH433)</f>
        <v>7348</v>
      </c>
    </row>
    <row r="434">
      <c r="B434" s="1" t="s">
        <v>5499</v>
      </c>
      <c r="D434" s="1">
        <f t="shared" ref="D434:F434" si="875">D433*0.1</f>
        <v>190000</v>
      </c>
      <c r="E434" s="1">
        <f t="shared" si="875"/>
        <v>270000</v>
      </c>
      <c r="F434" s="1">
        <f t="shared" si="875"/>
        <v>155000</v>
      </c>
      <c r="H434" s="1">
        <f t="shared" ref="H434:O434" si="876">H433*0.1</f>
        <v>196000</v>
      </c>
      <c r="I434" s="1">
        <f t="shared" si="876"/>
        <v>350000</v>
      </c>
      <c r="J434" s="1">
        <f t="shared" si="876"/>
        <v>220000</v>
      </c>
      <c r="K434" s="1">
        <f t="shared" si="876"/>
        <v>230000</v>
      </c>
      <c r="L434" s="1">
        <f t="shared" si="876"/>
        <v>190000</v>
      </c>
      <c r="M434" s="1">
        <f t="shared" si="876"/>
        <v>150000</v>
      </c>
      <c r="N434" s="1">
        <f t="shared" si="876"/>
        <v>126000</v>
      </c>
      <c r="O434" s="1">
        <f t="shared" si="876"/>
        <v>124000</v>
      </c>
      <c r="P434">
        <f t="shared" si="877"/>
        <v>2201000</v>
      </c>
      <c r="U434" s="162">
        <f t="shared" ref="U434:AH434" si="878">U433*1418880/7348</f>
        <v>27612.93413</v>
      </c>
      <c r="V434" s="162">
        <f t="shared" si="878"/>
        <v>160850.1688</v>
      </c>
      <c r="W434" s="162">
        <f t="shared" si="878"/>
        <v>153512.466</v>
      </c>
      <c r="X434" s="162">
        <f t="shared" si="878"/>
        <v>86893.84867</v>
      </c>
      <c r="Y434" s="162">
        <f t="shared" si="878"/>
        <v>100796.8645</v>
      </c>
      <c r="Z434" s="162">
        <f t="shared" si="878"/>
        <v>154284.8557</v>
      </c>
      <c r="AA434" s="162">
        <f t="shared" si="878"/>
        <v>175718.6717</v>
      </c>
      <c r="AB434" s="162">
        <f t="shared" si="878"/>
        <v>48660.55525</v>
      </c>
      <c r="AC434" s="162">
        <f t="shared" si="878"/>
        <v>95655.37983</v>
      </c>
      <c r="AD434" s="162">
        <f t="shared" si="878"/>
        <v>128144.5548</v>
      </c>
      <c r="AE434" s="162">
        <f t="shared" si="878"/>
        <v>145981.6658</v>
      </c>
      <c r="AF434" s="162">
        <f t="shared" si="878"/>
        <v>53487.99129</v>
      </c>
      <c r="AG434" s="162">
        <f t="shared" si="878"/>
        <v>60825.69407</v>
      </c>
      <c r="AH434" s="162">
        <f t="shared" si="878"/>
        <v>26454.34948</v>
      </c>
      <c r="AI434" s="18">
        <f t="shared" si="879"/>
        <v>1418880</v>
      </c>
    </row>
    <row r="435">
      <c r="B435" s="1" t="s">
        <v>5520</v>
      </c>
      <c r="D435">
        <f t="shared" ref="D435:F435" si="880">D433+D434</f>
        <v>2090000</v>
      </c>
      <c r="E435">
        <f t="shared" si="880"/>
        <v>2970000</v>
      </c>
      <c r="F435">
        <f t="shared" si="880"/>
        <v>1705000</v>
      </c>
      <c r="H435">
        <f t="shared" ref="H435:O435" si="881">H433+H434</f>
        <v>2156000</v>
      </c>
      <c r="I435">
        <f t="shared" si="881"/>
        <v>3850000</v>
      </c>
      <c r="J435">
        <f t="shared" si="881"/>
        <v>2420000</v>
      </c>
      <c r="K435">
        <f t="shared" si="881"/>
        <v>2530000</v>
      </c>
      <c r="L435">
        <f t="shared" si="881"/>
        <v>2090000</v>
      </c>
      <c r="M435">
        <f t="shared" si="881"/>
        <v>1650000</v>
      </c>
      <c r="N435">
        <f t="shared" si="881"/>
        <v>1386000</v>
      </c>
      <c r="O435">
        <f t="shared" si="881"/>
        <v>1364000</v>
      </c>
      <c r="P435">
        <f t="shared" si="877"/>
        <v>24211000</v>
      </c>
      <c r="U435">
        <v>27612.934131736525</v>
      </c>
      <c r="V435" s="136">
        <v>160850.16875340228</v>
      </c>
      <c r="W435" s="136">
        <v>153512.46597713663</v>
      </c>
      <c r="X435" s="136">
        <v>86893.84866630376</v>
      </c>
      <c r="Y435" s="164">
        <f t="shared" ref="Y435:AG435" si="882">Y434+2939</f>
        <v>103735.8645</v>
      </c>
      <c r="Z435" s="164">
        <f t="shared" si="882"/>
        <v>157223.8557</v>
      </c>
      <c r="AA435" s="165">
        <f t="shared" si="882"/>
        <v>178657.6717</v>
      </c>
      <c r="AB435" s="164">
        <f t="shared" si="882"/>
        <v>51599.55525</v>
      </c>
      <c r="AC435" s="164">
        <f t="shared" si="882"/>
        <v>98594.37983</v>
      </c>
      <c r="AD435" s="164">
        <f t="shared" si="882"/>
        <v>131083.5548</v>
      </c>
      <c r="AE435" s="164">
        <f t="shared" si="882"/>
        <v>148920.6658</v>
      </c>
      <c r="AF435" s="164">
        <f t="shared" si="882"/>
        <v>56426.99129</v>
      </c>
      <c r="AG435" s="164">
        <f t="shared" si="882"/>
        <v>63764.69407</v>
      </c>
      <c r="AH435">
        <f>AH434/9</f>
        <v>2939.372165</v>
      </c>
      <c r="AI435" s="18">
        <f>SUM(U435:AG435)</f>
        <v>1418876.651</v>
      </c>
    </row>
    <row r="436">
      <c r="B436" s="1" t="s">
        <v>5545</v>
      </c>
      <c r="D436">
        <v>194263.611615245</v>
      </c>
      <c r="E436">
        <v>80370.12250453721</v>
      </c>
      <c r="F436">
        <v>37606.34074410163</v>
      </c>
      <c r="H436" s="134">
        <v>32502.71234119782</v>
      </c>
      <c r="I436">
        <v>189804.66333938294</v>
      </c>
      <c r="J436">
        <v>51843.11615245009</v>
      </c>
      <c r="K436">
        <v>61204.21463105622</v>
      </c>
      <c r="L436">
        <v>80733.03854498734</v>
      </c>
      <c r="M436" s="134">
        <v>107070.71370235935</v>
      </c>
      <c r="N436" s="159">
        <v>31858.03221415608</v>
      </c>
      <c r="O436">
        <v>79994.14836660617</v>
      </c>
      <c r="P436">
        <f t="shared" si="877"/>
        <v>947250.7142</v>
      </c>
      <c r="AA436" s="166">
        <f>AA435+U435</f>
        <v>206270.6059</v>
      </c>
    </row>
    <row r="437">
      <c r="D437">
        <f t="shared" ref="D437:F437" si="883">D436-D438</f>
        <v>176603.2833</v>
      </c>
      <c r="E437" s="18">
        <f t="shared" si="883"/>
        <v>73063.74773</v>
      </c>
      <c r="F437">
        <f t="shared" si="883"/>
        <v>34187.58249</v>
      </c>
      <c r="H437">
        <f t="shared" ref="H437:O437" si="884">H436-H438</f>
        <v>29547.92031</v>
      </c>
      <c r="I437">
        <f t="shared" si="884"/>
        <v>172549.6939</v>
      </c>
      <c r="J437">
        <f t="shared" si="884"/>
        <v>47130.10559</v>
      </c>
      <c r="K437">
        <f t="shared" si="884"/>
        <v>55640.19512</v>
      </c>
      <c r="L437">
        <f t="shared" si="884"/>
        <v>73393.6714</v>
      </c>
      <c r="M437">
        <f t="shared" si="884"/>
        <v>97337.01246</v>
      </c>
      <c r="N437">
        <f t="shared" si="884"/>
        <v>28961.84747</v>
      </c>
      <c r="O437">
        <f t="shared" si="884"/>
        <v>72721.95306</v>
      </c>
      <c r="P437">
        <f t="shared" si="877"/>
        <v>861137.0129</v>
      </c>
    </row>
    <row r="438">
      <c r="B438" s="1" t="s">
        <v>5499</v>
      </c>
      <c r="D438">
        <f t="shared" ref="D438:F438" si="885">D436/11</f>
        <v>17660.32833</v>
      </c>
      <c r="E438" s="18">
        <f t="shared" si="885"/>
        <v>7306.374773</v>
      </c>
      <c r="F438">
        <f t="shared" si="885"/>
        <v>3418.758249</v>
      </c>
      <c r="H438">
        <f t="shared" ref="H438:O438" si="886">H436/11</f>
        <v>2954.792031</v>
      </c>
      <c r="I438">
        <f t="shared" si="886"/>
        <v>17254.96939</v>
      </c>
      <c r="J438">
        <f t="shared" si="886"/>
        <v>4713.010559</v>
      </c>
      <c r="K438">
        <f t="shared" si="886"/>
        <v>5564.019512</v>
      </c>
      <c r="L438">
        <f t="shared" si="886"/>
        <v>7339.36714</v>
      </c>
      <c r="M438">
        <f t="shared" si="886"/>
        <v>9733.701246</v>
      </c>
      <c r="N438">
        <f t="shared" si="886"/>
        <v>2896.184747</v>
      </c>
      <c r="O438">
        <f t="shared" si="886"/>
        <v>7272.195306</v>
      </c>
      <c r="P438">
        <f t="shared" si="877"/>
        <v>86113.70129</v>
      </c>
      <c r="T438" s="1" t="s">
        <v>5732</v>
      </c>
      <c r="U438" s="1">
        <v>60595.0</v>
      </c>
      <c r="W438" s="1">
        <v>38203.0</v>
      </c>
      <c r="Y438" s="1">
        <v>83810.0</v>
      </c>
      <c r="AA438" s="1">
        <v>100598.0</v>
      </c>
      <c r="AC438" s="1">
        <v>100836.0</v>
      </c>
      <c r="AE438" s="1">
        <v>130024.0</v>
      </c>
      <c r="AH438" s="1">
        <v>9782.0</v>
      </c>
      <c r="AJ438" s="1">
        <v>1835740.0</v>
      </c>
      <c r="AL438" s="1">
        <v>13805.0</v>
      </c>
    </row>
    <row r="439">
      <c r="B439" s="23" t="s">
        <v>5528</v>
      </c>
      <c r="D439" s="145">
        <f t="shared" ref="D439:F439" si="887">SUM(D435,D436)</f>
        <v>2284263.612</v>
      </c>
      <c r="E439" s="18">
        <f t="shared" si="887"/>
        <v>3050370.123</v>
      </c>
      <c r="F439" s="18">
        <f t="shared" si="887"/>
        <v>1742606.341</v>
      </c>
      <c r="G439" s="18"/>
      <c r="H439" s="18">
        <f t="shared" ref="H439:O439" si="888">SUM(H435,H436)</f>
        <v>2188502.712</v>
      </c>
      <c r="I439" s="18">
        <f t="shared" si="888"/>
        <v>4039804.663</v>
      </c>
      <c r="J439" s="18">
        <f t="shared" si="888"/>
        <v>2471843.116</v>
      </c>
      <c r="K439" s="18">
        <f t="shared" si="888"/>
        <v>2591204.215</v>
      </c>
      <c r="L439" s="18">
        <f t="shared" si="888"/>
        <v>2170733.039</v>
      </c>
      <c r="M439" s="18">
        <f t="shared" si="888"/>
        <v>1757070.714</v>
      </c>
      <c r="N439" s="18">
        <f t="shared" si="888"/>
        <v>1417858.032</v>
      </c>
      <c r="O439" s="18">
        <f t="shared" si="888"/>
        <v>1443994.148</v>
      </c>
      <c r="P439">
        <f t="shared" si="877"/>
        <v>25158250.71</v>
      </c>
      <c r="U439" s="1">
        <v>10726.0</v>
      </c>
      <c r="V439" s="1">
        <v>53520.0</v>
      </c>
      <c r="W439" s="1">
        <v>94536.0</v>
      </c>
      <c r="Y439" s="1">
        <v>23868.0</v>
      </c>
      <c r="AA439" s="1">
        <v>47496.0</v>
      </c>
      <c r="AB439" s="1">
        <v>3084.0</v>
      </c>
      <c r="AE439" s="1">
        <v>106603.0</v>
      </c>
      <c r="AG439" s="1">
        <v>18300.0</v>
      </c>
    </row>
    <row r="440">
      <c r="B440" s="1" t="s">
        <v>5580</v>
      </c>
      <c r="D440">
        <f t="shared" ref="D440:F440" si="889">D433+D437</f>
        <v>2076603.283</v>
      </c>
      <c r="E440" s="18">
        <f t="shared" si="889"/>
        <v>2773063.748</v>
      </c>
      <c r="F440">
        <f t="shared" si="889"/>
        <v>1584187.582</v>
      </c>
      <c r="H440">
        <f t="shared" ref="H440:O440" si="890">H433+H437</f>
        <v>1989547.92</v>
      </c>
      <c r="I440">
        <f t="shared" si="890"/>
        <v>3672549.694</v>
      </c>
      <c r="J440">
        <f t="shared" si="890"/>
        <v>2247130.106</v>
      </c>
      <c r="K440">
        <f t="shared" si="890"/>
        <v>2355640.195</v>
      </c>
      <c r="L440">
        <f t="shared" si="890"/>
        <v>1973393.671</v>
      </c>
      <c r="M440">
        <f t="shared" si="890"/>
        <v>1597337.012</v>
      </c>
      <c r="N440">
        <f t="shared" si="890"/>
        <v>1288961.847</v>
      </c>
      <c r="O440">
        <f t="shared" si="890"/>
        <v>1312721.953</v>
      </c>
      <c r="P440">
        <f t="shared" si="877"/>
        <v>22871137.01</v>
      </c>
      <c r="U440" s="97">
        <f t="shared" ref="U440:U441" si="893">U438-U430</f>
        <v>744</v>
      </c>
      <c r="V440" s="97"/>
      <c r="W440" s="97">
        <f t="shared" ref="W440:W441" si="894">W438-W430</f>
        <v>483</v>
      </c>
      <c r="X440" s="97"/>
      <c r="Y440" s="97">
        <f t="shared" ref="Y440:Y441" si="895">Y438-Y430</f>
        <v>2147</v>
      </c>
      <c r="Z440" s="97"/>
      <c r="AA440" s="97">
        <f t="shared" ref="AA440:AA441" si="896">AA438-AA430</f>
        <v>2367</v>
      </c>
      <c r="AB440" s="97"/>
      <c r="AC440" s="97">
        <f>AC438-AC430</f>
        <v>1890</v>
      </c>
      <c r="AD440" s="97"/>
      <c r="AE440" s="97">
        <f t="shared" ref="AE440:AE441" si="897">AE438-AE430</f>
        <v>2254</v>
      </c>
      <c r="AF440" s="97"/>
      <c r="AG440" s="97"/>
      <c r="AH440" s="97">
        <f>AH438-AH430</f>
        <v>153</v>
      </c>
    </row>
    <row r="441">
      <c r="B441" s="1" t="s">
        <v>5582</v>
      </c>
      <c r="D441">
        <f t="shared" ref="D441:F441" si="891">D434+D438</f>
        <v>207660.3283</v>
      </c>
      <c r="E441" s="18">
        <f t="shared" si="891"/>
        <v>277306.3748</v>
      </c>
      <c r="F441">
        <f t="shared" si="891"/>
        <v>158418.7582</v>
      </c>
      <c r="H441">
        <f t="shared" ref="H441:O441" si="892">H434+H438</f>
        <v>198954.792</v>
      </c>
      <c r="I441">
        <f t="shared" si="892"/>
        <v>367254.9694</v>
      </c>
      <c r="J441">
        <f t="shared" si="892"/>
        <v>224713.0106</v>
      </c>
      <c r="K441">
        <f t="shared" si="892"/>
        <v>235564.0195</v>
      </c>
      <c r="L441">
        <f t="shared" si="892"/>
        <v>197339.3671</v>
      </c>
      <c r="M441">
        <f t="shared" si="892"/>
        <v>159733.7012</v>
      </c>
      <c r="N441">
        <f t="shared" si="892"/>
        <v>128896.1847</v>
      </c>
      <c r="O441">
        <f t="shared" si="892"/>
        <v>131272.1953</v>
      </c>
      <c r="P441">
        <f t="shared" si="877"/>
        <v>2287113.701</v>
      </c>
      <c r="U441" s="167">
        <f t="shared" si="893"/>
        <v>163</v>
      </c>
      <c r="V441" s="167">
        <f>(V439-V431)</f>
        <v>367</v>
      </c>
      <c r="W441" s="167">
        <f t="shared" si="894"/>
        <v>1132</v>
      </c>
      <c r="X441" s="168">
        <f>W440</f>
        <v>483</v>
      </c>
      <c r="Y441" s="167">
        <f t="shared" si="895"/>
        <v>824</v>
      </c>
      <c r="Z441" s="169">
        <f>Y440-Y441</f>
        <v>1323</v>
      </c>
      <c r="AA441" s="167">
        <f t="shared" si="896"/>
        <v>1855</v>
      </c>
      <c r="AB441" s="167">
        <f>AB439-AB431</f>
        <v>557</v>
      </c>
      <c r="AC441" s="167">
        <f>(AC440)*73.9/(73.9+99)</f>
        <v>807.8137652</v>
      </c>
      <c r="AD441" s="167">
        <f>(AC440)*99/(73.9+99)</f>
        <v>1082.186235</v>
      </c>
      <c r="AE441" s="167">
        <f t="shared" si="897"/>
        <v>1115</v>
      </c>
      <c r="AF441" s="169">
        <f>AE440-AE441-AG441-50</f>
        <v>639</v>
      </c>
      <c r="AG441" s="167">
        <f>AG439-AG431</f>
        <v>450</v>
      </c>
      <c r="AH441" s="96">
        <v>153.0</v>
      </c>
      <c r="AI441" s="18">
        <f t="shared" ref="AI441:AI442" si="899">SUM(U441:AH441)</f>
        <v>10951</v>
      </c>
    </row>
    <row r="442">
      <c r="B442" s="1"/>
      <c r="D442" s="1" t="s">
        <v>5566</v>
      </c>
      <c r="E442" s="1" t="s">
        <v>5566</v>
      </c>
      <c r="F442" s="33" t="s">
        <v>5566</v>
      </c>
      <c r="H442" s="1" t="s">
        <v>5566</v>
      </c>
      <c r="I442" s="1" t="s">
        <v>5566</v>
      </c>
      <c r="J442" s="1" t="s">
        <v>5566</v>
      </c>
      <c r="K442" s="33" t="s">
        <v>5566</v>
      </c>
      <c r="L442" s="1" t="s">
        <v>5566</v>
      </c>
      <c r="M442" s="1" t="s">
        <v>5566</v>
      </c>
      <c r="N442" s="33" t="s">
        <v>5566</v>
      </c>
      <c r="O442" s="33" t="s">
        <v>5566</v>
      </c>
      <c r="U442" s="162">
        <f t="shared" ref="U442:AH442" si="898">U441*1835740/10951</f>
        <v>27324.04529</v>
      </c>
      <c r="V442" s="162">
        <f t="shared" si="898"/>
        <v>61521.00995</v>
      </c>
      <c r="W442" s="162">
        <f t="shared" si="898"/>
        <v>189759.6274</v>
      </c>
      <c r="X442" s="162">
        <f t="shared" si="898"/>
        <v>80966.3428</v>
      </c>
      <c r="Y442" s="162">
        <f t="shared" si="898"/>
        <v>138128.9161</v>
      </c>
      <c r="Z442" s="162">
        <f t="shared" si="898"/>
        <v>221777.3738</v>
      </c>
      <c r="AA442" s="162">
        <f t="shared" si="898"/>
        <v>310957.6934</v>
      </c>
      <c r="AB442" s="162">
        <f t="shared" si="898"/>
        <v>93371.1241</v>
      </c>
      <c r="AC442" s="162">
        <f t="shared" si="898"/>
        <v>135415.5823</v>
      </c>
      <c r="AD442" s="162">
        <f t="shared" si="898"/>
        <v>181409.2374</v>
      </c>
      <c r="AE442" s="162">
        <f t="shared" si="898"/>
        <v>186909.8804</v>
      </c>
      <c r="AF442" s="162">
        <f t="shared" si="898"/>
        <v>107116.9628</v>
      </c>
      <c r="AG442" s="162">
        <f t="shared" si="898"/>
        <v>75434.48087</v>
      </c>
      <c r="AH442" s="162">
        <f t="shared" si="898"/>
        <v>25647.7235</v>
      </c>
      <c r="AI442" s="18">
        <f t="shared" si="899"/>
        <v>1835740</v>
      </c>
    </row>
    <row r="443">
      <c r="B443" s="1"/>
      <c r="H443" s="1"/>
      <c r="M443" s="1"/>
      <c r="N443" s="33"/>
      <c r="U443">
        <v>27324.045292667335</v>
      </c>
      <c r="V443" s="151">
        <v>61521.00995342891</v>
      </c>
      <c r="W443" s="151">
        <v>189759.6274312848</v>
      </c>
      <c r="X443" s="151">
        <v>80966.34279974432</v>
      </c>
      <c r="Y443" s="164">
        <f t="shared" ref="Y443:AG443" si="900">Y442+2849</f>
        <v>140977.9161</v>
      </c>
      <c r="Z443" s="164">
        <f t="shared" si="900"/>
        <v>224626.3738</v>
      </c>
      <c r="AA443" s="165">
        <f t="shared" si="900"/>
        <v>313806.6934</v>
      </c>
      <c r="AB443" s="164">
        <f t="shared" si="900"/>
        <v>96220.1241</v>
      </c>
      <c r="AC443" s="164">
        <f t="shared" si="900"/>
        <v>138264.5823</v>
      </c>
      <c r="AD443" s="164">
        <f t="shared" si="900"/>
        <v>184258.2374</v>
      </c>
      <c r="AE443" s="164">
        <f t="shared" si="900"/>
        <v>189758.8804</v>
      </c>
      <c r="AF443" s="164">
        <f t="shared" si="900"/>
        <v>109965.9628</v>
      </c>
      <c r="AG443" s="164">
        <f t="shared" si="900"/>
        <v>78283.48087</v>
      </c>
      <c r="AH443">
        <f>AH442/9</f>
        <v>2849.747055</v>
      </c>
      <c r="AI443" s="18">
        <f>SUM(U443:AG443)</f>
        <v>1835733.277</v>
      </c>
    </row>
    <row r="444">
      <c r="B444" s="1"/>
      <c r="H444" s="1"/>
      <c r="M444" s="1"/>
      <c r="N444" s="33"/>
      <c r="AA444" s="166">
        <f>AA443+U443</f>
        <v>341130.7387</v>
      </c>
    </row>
    <row r="445">
      <c r="B445" s="1" t="s">
        <v>5733</v>
      </c>
      <c r="D445" s="1">
        <v>1900000.0</v>
      </c>
      <c r="E445" s="1">
        <v>2700000.0</v>
      </c>
      <c r="F445" s="1">
        <v>1550000.0</v>
      </c>
      <c r="H445" s="1">
        <v>1960000.0</v>
      </c>
      <c r="I445" s="1">
        <v>3500000.0</v>
      </c>
      <c r="J445" s="1">
        <v>2200000.0</v>
      </c>
      <c r="K445" s="1">
        <v>2300000.0</v>
      </c>
      <c r="L445" s="1">
        <v>1900000.0</v>
      </c>
      <c r="M445" s="1">
        <v>1500000.0</v>
      </c>
      <c r="N445" s="33">
        <v>1260000.0</v>
      </c>
      <c r="O445" s="1">
        <v>1240000.0</v>
      </c>
      <c r="P445">
        <f t="shared" ref="P445:P456" si="903">SUM(D445:O445)</f>
        <v>22010000</v>
      </c>
    </row>
    <row r="446">
      <c r="B446" s="1" t="s">
        <v>5499</v>
      </c>
      <c r="D446" s="1">
        <f t="shared" ref="D446:F446" si="901">D445*0.1</f>
        <v>190000</v>
      </c>
      <c r="E446" s="1">
        <f t="shared" si="901"/>
        <v>270000</v>
      </c>
      <c r="F446" s="1">
        <f t="shared" si="901"/>
        <v>155000</v>
      </c>
      <c r="H446" s="1">
        <f t="shared" ref="H446:O446" si="902">H445*0.1</f>
        <v>196000</v>
      </c>
      <c r="I446" s="1">
        <f t="shared" si="902"/>
        <v>350000</v>
      </c>
      <c r="J446" s="1">
        <f t="shared" si="902"/>
        <v>220000</v>
      </c>
      <c r="K446" s="1">
        <f t="shared" si="902"/>
        <v>230000</v>
      </c>
      <c r="L446" s="1">
        <f t="shared" si="902"/>
        <v>190000</v>
      </c>
      <c r="M446" s="1">
        <f t="shared" si="902"/>
        <v>150000</v>
      </c>
      <c r="N446" s="1">
        <f t="shared" si="902"/>
        <v>126000</v>
      </c>
      <c r="O446" s="1">
        <f t="shared" si="902"/>
        <v>124000</v>
      </c>
      <c r="P446">
        <f t="shared" si="903"/>
        <v>2201000</v>
      </c>
      <c r="T446" s="1" t="s">
        <v>5734</v>
      </c>
      <c r="U446" s="1">
        <v>62416.0</v>
      </c>
      <c r="W446" s="1">
        <v>38766.0</v>
      </c>
      <c r="Y446" s="1">
        <v>85798.0</v>
      </c>
      <c r="AA446" s="1">
        <v>102644.0</v>
      </c>
      <c r="AC446" s="1">
        <v>102751.0</v>
      </c>
      <c r="AE446" s="1">
        <v>132168.0</v>
      </c>
      <c r="AH446" s="1">
        <v>9934.0</v>
      </c>
      <c r="AJ446" s="1">
        <v>1852430.0</v>
      </c>
    </row>
    <row r="447">
      <c r="B447" s="1" t="s">
        <v>5520</v>
      </c>
      <c r="D447">
        <f t="shared" ref="D447:F447" si="904">D445+D446</f>
        <v>2090000</v>
      </c>
      <c r="E447">
        <f t="shared" si="904"/>
        <v>2970000</v>
      </c>
      <c r="F447">
        <f t="shared" si="904"/>
        <v>1705000</v>
      </c>
      <c r="H447">
        <f t="shared" ref="H447:O447" si="905">H445+H446</f>
        <v>2156000</v>
      </c>
      <c r="I447">
        <f t="shared" si="905"/>
        <v>3850000</v>
      </c>
      <c r="J447">
        <f t="shared" si="905"/>
        <v>2420000</v>
      </c>
      <c r="K447">
        <f t="shared" si="905"/>
        <v>2530000</v>
      </c>
      <c r="L447">
        <f t="shared" si="905"/>
        <v>2090000</v>
      </c>
      <c r="M447">
        <f t="shared" si="905"/>
        <v>1650000</v>
      </c>
      <c r="N447">
        <f t="shared" si="905"/>
        <v>1386000</v>
      </c>
      <c r="O447">
        <f t="shared" si="905"/>
        <v>1364000</v>
      </c>
      <c r="P447">
        <f t="shared" si="903"/>
        <v>24211000</v>
      </c>
      <c r="U447" s="1">
        <v>10882.0</v>
      </c>
      <c r="V447" s="1">
        <v>54883.0</v>
      </c>
      <c r="W447" s="1">
        <v>95665.0</v>
      </c>
      <c r="Y447" s="1">
        <v>24591.0</v>
      </c>
      <c r="AA447" s="1">
        <v>49287.0</v>
      </c>
      <c r="AB447" s="1">
        <v>3425.0</v>
      </c>
      <c r="AE447" s="1">
        <v>107630.0</v>
      </c>
      <c r="AG447" s="1">
        <v>18800.0</v>
      </c>
    </row>
    <row r="448">
      <c r="B448" s="1" t="s">
        <v>5545</v>
      </c>
      <c r="D448">
        <v>198810.77021121632</v>
      </c>
      <c r="E448">
        <v>108503.50509832484</v>
      </c>
      <c r="F448">
        <v>35493.900218499635</v>
      </c>
      <c r="H448" s="134">
        <v>39958.545156591405</v>
      </c>
      <c r="I448">
        <v>222145.58994901675</v>
      </c>
      <c r="J448">
        <v>92974.7505462491</v>
      </c>
      <c r="K448">
        <v>87870.4121784797</v>
      </c>
      <c r="L448">
        <v>116275.32889945184</v>
      </c>
      <c r="M448" s="134">
        <v>163962.55098324837</v>
      </c>
      <c r="N448" s="159">
        <v>57480.85032774945</v>
      </c>
      <c r="O448">
        <v>110272.41077931537</v>
      </c>
      <c r="P448">
        <f t="shared" si="903"/>
        <v>1233748.614</v>
      </c>
      <c r="U448" s="97">
        <f t="shared" ref="U448:U449" si="908">U446-U438</f>
        <v>1821</v>
      </c>
      <c r="V448" s="97"/>
      <c r="W448" s="97">
        <f t="shared" ref="W448:W449" si="909">W446-W438</f>
        <v>563</v>
      </c>
      <c r="X448" s="97"/>
      <c r="Y448" s="97">
        <f t="shared" ref="Y448:Y449" si="910">Y446-Y438</f>
        <v>1988</v>
      </c>
      <c r="Z448" s="97"/>
      <c r="AA448" s="97">
        <f t="shared" ref="AA448:AA449" si="911">AA446-AA438</f>
        <v>2046</v>
      </c>
      <c r="AB448" s="97"/>
      <c r="AC448" s="97">
        <f>AC446-AC438</f>
        <v>1915</v>
      </c>
      <c r="AD448" s="97"/>
      <c r="AE448" s="97">
        <f t="shared" ref="AE448:AE449" si="912">AE446-AE438</f>
        <v>2144</v>
      </c>
      <c r="AF448" s="97"/>
      <c r="AG448" s="97"/>
      <c r="AH448" s="97">
        <f>AH446-AH438</f>
        <v>152</v>
      </c>
    </row>
    <row r="449">
      <c r="D449">
        <f t="shared" ref="D449:F449" si="906">D448-D450</f>
        <v>180737.0638</v>
      </c>
      <c r="E449">
        <f t="shared" si="906"/>
        <v>98639.55009</v>
      </c>
      <c r="F449">
        <f t="shared" si="906"/>
        <v>32267.18202</v>
      </c>
      <c r="H449">
        <f t="shared" ref="H449:O449" si="907">H448-H450</f>
        <v>36325.95014</v>
      </c>
      <c r="I449">
        <f t="shared" si="907"/>
        <v>201950.5363</v>
      </c>
      <c r="J449">
        <f t="shared" si="907"/>
        <v>84522.5005</v>
      </c>
      <c r="K449">
        <f t="shared" si="907"/>
        <v>79882.19289</v>
      </c>
      <c r="L449">
        <f t="shared" si="907"/>
        <v>105704.8445</v>
      </c>
      <c r="M449">
        <f t="shared" si="907"/>
        <v>149056.8645</v>
      </c>
      <c r="N449">
        <f t="shared" si="907"/>
        <v>52255.31848</v>
      </c>
      <c r="O449">
        <f t="shared" si="907"/>
        <v>100247.6462</v>
      </c>
      <c r="P449">
        <f t="shared" si="903"/>
        <v>1121589.649</v>
      </c>
      <c r="U449" s="167">
        <f t="shared" si="908"/>
        <v>156</v>
      </c>
      <c r="V449" s="167">
        <f>(V447-V439)</f>
        <v>1363</v>
      </c>
      <c r="W449" s="167">
        <f t="shared" si="909"/>
        <v>1129</v>
      </c>
      <c r="X449" s="168">
        <f>W448</f>
        <v>563</v>
      </c>
      <c r="Y449" s="167">
        <f t="shared" si="910"/>
        <v>723</v>
      </c>
      <c r="Z449" s="169">
        <f>Y448-Y449</f>
        <v>1265</v>
      </c>
      <c r="AA449" s="167">
        <f t="shared" si="911"/>
        <v>1791</v>
      </c>
      <c r="AB449" s="167">
        <f>AB447-AB439</f>
        <v>341</v>
      </c>
      <c r="AC449" s="167">
        <f>(AC448)*73.9/(73.9+99)</f>
        <v>818.4991324</v>
      </c>
      <c r="AD449" s="167">
        <f>(AC448)*99/(73.9+99)</f>
        <v>1096.500868</v>
      </c>
      <c r="AE449" s="167">
        <f t="shared" si="912"/>
        <v>1027</v>
      </c>
      <c r="AF449" s="169">
        <f>AE448-AE449-AG449-50</f>
        <v>567</v>
      </c>
      <c r="AG449" s="167">
        <f>AG447-AG439</f>
        <v>500</v>
      </c>
      <c r="AH449" s="96">
        <v>152.0</v>
      </c>
      <c r="AI449" s="18">
        <f t="shared" ref="AI449:AI450" si="916">SUM(U449:AH449)</f>
        <v>11492</v>
      </c>
    </row>
    <row r="450">
      <c r="B450" s="1" t="s">
        <v>5499</v>
      </c>
      <c r="D450">
        <f t="shared" ref="D450:F450" si="913">D448/11</f>
        <v>18073.70638</v>
      </c>
      <c r="E450">
        <f t="shared" si="913"/>
        <v>9863.955009</v>
      </c>
      <c r="F450">
        <f t="shared" si="913"/>
        <v>3226.718202</v>
      </c>
      <c r="H450">
        <f t="shared" ref="H450:O450" si="914">H448/11</f>
        <v>3632.595014</v>
      </c>
      <c r="I450">
        <f t="shared" si="914"/>
        <v>20195.05363</v>
      </c>
      <c r="J450">
        <f t="shared" si="914"/>
        <v>8452.25005</v>
      </c>
      <c r="K450">
        <f t="shared" si="914"/>
        <v>7988.219289</v>
      </c>
      <c r="L450">
        <f t="shared" si="914"/>
        <v>10570.48445</v>
      </c>
      <c r="M450">
        <f t="shared" si="914"/>
        <v>14905.68645</v>
      </c>
      <c r="N450">
        <f t="shared" si="914"/>
        <v>5225.531848</v>
      </c>
      <c r="O450">
        <f t="shared" si="914"/>
        <v>10024.76462</v>
      </c>
      <c r="P450">
        <f t="shared" si="903"/>
        <v>112158.9649</v>
      </c>
      <c r="U450" s="162">
        <f t="shared" ref="U450:AH450" si="915">U449*1852430/11492</f>
        <v>25146.1086</v>
      </c>
      <c r="V450" s="162">
        <f t="shared" si="915"/>
        <v>219706.0642</v>
      </c>
      <c r="W450" s="162">
        <f t="shared" si="915"/>
        <v>181986.9013</v>
      </c>
      <c r="X450" s="162">
        <f t="shared" si="915"/>
        <v>90751.66116</v>
      </c>
      <c r="Y450" s="162">
        <f t="shared" si="915"/>
        <v>116542.5418</v>
      </c>
      <c r="Z450" s="162">
        <f t="shared" si="915"/>
        <v>203909.1498</v>
      </c>
      <c r="AA450" s="162">
        <f t="shared" si="915"/>
        <v>288696.6699</v>
      </c>
      <c r="AB450" s="162">
        <f t="shared" si="915"/>
        <v>54966.81431</v>
      </c>
      <c r="AC450" s="162">
        <f t="shared" si="915"/>
        <v>131936.3338</v>
      </c>
      <c r="AD450" s="162">
        <f t="shared" si="915"/>
        <v>176748.2685</v>
      </c>
      <c r="AE450" s="162">
        <f t="shared" si="915"/>
        <v>165545.2149</v>
      </c>
      <c r="AF450" s="162">
        <f t="shared" si="915"/>
        <v>91396.43317</v>
      </c>
      <c r="AG450" s="162">
        <f t="shared" si="915"/>
        <v>80596.50191</v>
      </c>
      <c r="AH450" s="162">
        <f t="shared" si="915"/>
        <v>24501.33658</v>
      </c>
      <c r="AI450" s="18">
        <f t="shared" si="916"/>
        <v>1852430</v>
      </c>
    </row>
    <row r="451">
      <c r="B451" s="1" t="s">
        <v>5735</v>
      </c>
      <c r="D451">
        <v>42471.180511938466</v>
      </c>
      <c r="E451">
        <v>17685.43516702258</v>
      </c>
      <c r="F451">
        <v>17685.43516702258</v>
      </c>
      <c r="G451">
        <v>0.0</v>
      </c>
      <c r="H451" s="134">
        <v>23348.259235281042</v>
      </c>
      <c r="I451">
        <v>29642.705988076024</v>
      </c>
      <c r="J451">
        <v>23587.840253553517</v>
      </c>
      <c r="K451">
        <v>16095.488409396168</v>
      </c>
      <c r="L451">
        <v>21562.291644522604</v>
      </c>
      <c r="M451" s="134">
        <v>10996.768738706529</v>
      </c>
      <c r="N451" s="159">
        <v>12654.23378330064</v>
      </c>
      <c r="O451">
        <v>9670.361101179833</v>
      </c>
      <c r="P451">
        <f t="shared" si="903"/>
        <v>225400</v>
      </c>
      <c r="U451">
        <v>25146.108597285067</v>
      </c>
      <c r="V451" s="136">
        <v>219706.06421858683</v>
      </c>
      <c r="W451" s="136">
        <v>181986.90132265925</v>
      </c>
      <c r="X451" s="136">
        <v>90751.6611555865</v>
      </c>
      <c r="Y451" s="164">
        <f t="shared" ref="Y451:AG451" si="917">Y450+2722</f>
        <v>119264.5418</v>
      </c>
      <c r="Z451" s="164">
        <f t="shared" si="917"/>
        <v>206631.1498</v>
      </c>
      <c r="AA451" s="165">
        <f t="shared" si="917"/>
        <v>291418.6699</v>
      </c>
      <c r="AB451" s="164">
        <f t="shared" si="917"/>
        <v>57688.81431</v>
      </c>
      <c r="AC451" s="164">
        <f t="shared" si="917"/>
        <v>134658.3338</v>
      </c>
      <c r="AD451" s="164">
        <f t="shared" si="917"/>
        <v>179470.2685</v>
      </c>
      <c r="AE451" s="164">
        <f t="shared" si="917"/>
        <v>168267.2149</v>
      </c>
      <c r="AF451" s="164">
        <f t="shared" si="917"/>
        <v>94118.43317</v>
      </c>
      <c r="AG451" s="164">
        <f t="shared" si="917"/>
        <v>83318.50191</v>
      </c>
      <c r="AH451">
        <f>AH450/9</f>
        <v>2722.370731</v>
      </c>
      <c r="AI451" s="18">
        <f>SUM(U451:AG451)</f>
        <v>1852426.663</v>
      </c>
    </row>
    <row r="452">
      <c r="B452" s="23" t="s">
        <v>5598</v>
      </c>
      <c r="D452" s="18">
        <f t="shared" ref="D452:F452" si="918">SUM(D447,D448,D451)</f>
        <v>2331281.951</v>
      </c>
      <c r="E452" s="18">
        <f t="shared" si="918"/>
        <v>3096188.94</v>
      </c>
      <c r="F452" s="18">
        <f t="shared" si="918"/>
        <v>1758179.335</v>
      </c>
      <c r="G452" s="18"/>
      <c r="H452" s="18">
        <f t="shared" ref="H452:O452" si="919">SUM(H447,H448,H451)</f>
        <v>2219306.804</v>
      </c>
      <c r="I452" s="18">
        <f t="shared" si="919"/>
        <v>4101788.296</v>
      </c>
      <c r="J452" s="18">
        <f t="shared" si="919"/>
        <v>2536562.591</v>
      </c>
      <c r="K452" s="18">
        <f t="shared" si="919"/>
        <v>2633965.901</v>
      </c>
      <c r="L452" s="18">
        <f t="shared" si="919"/>
        <v>2227837.621</v>
      </c>
      <c r="M452" s="18">
        <f t="shared" si="919"/>
        <v>1824959.32</v>
      </c>
      <c r="N452" s="18">
        <f t="shared" si="919"/>
        <v>1456135.084</v>
      </c>
      <c r="O452" s="18">
        <f t="shared" si="919"/>
        <v>1483942.772</v>
      </c>
      <c r="P452">
        <f t="shared" si="903"/>
        <v>25670148.61</v>
      </c>
      <c r="AA452" s="166">
        <f>AA451+U451</f>
        <v>316564.7785</v>
      </c>
    </row>
    <row r="453">
      <c r="B453" s="1" t="s">
        <v>5599</v>
      </c>
      <c r="D453">
        <f t="shared" ref="D453:F453" si="920">SUM(D445,D449,D451)</f>
        <v>2123208.244</v>
      </c>
      <c r="E453">
        <f t="shared" si="920"/>
        <v>2816324.985</v>
      </c>
      <c r="F453">
        <f t="shared" si="920"/>
        <v>1599952.617</v>
      </c>
      <c r="H453">
        <f t="shared" ref="H453:O453" si="921">SUM(H445,H449,H451)</f>
        <v>2019674.209</v>
      </c>
      <c r="I453">
        <f t="shared" si="921"/>
        <v>3731593.242</v>
      </c>
      <c r="J453">
        <f t="shared" si="921"/>
        <v>2308110.341</v>
      </c>
      <c r="K453">
        <f t="shared" si="921"/>
        <v>2395977.681</v>
      </c>
      <c r="L453">
        <f t="shared" si="921"/>
        <v>2027267.136</v>
      </c>
      <c r="M453">
        <f t="shared" si="921"/>
        <v>1660053.633</v>
      </c>
      <c r="N453">
        <f t="shared" si="921"/>
        <v>1324909.552</v>
      </c>
      <c r="O453">
        <f t="shared" si="921"/>
        <v>1349918.007</v>
      </c>
      <c r="P453">
        <f t="shared" si="903"/>
        <v>23356989.65</v>
      </c>
    </row>
    <row r="454">
      <c r="B454" s="1" t="s">
        <v>5601</v>
      </c>
      <c r="D454">
        <f t="shared" ref="D454:F454" si="922">SUM(D445,D449)</f>
        <v>2080737.064</v>
      </c>
      <c r="E454">
        <f t="shared" si="922"/>
        <v>2798639.55</v>
      </c>
      <c r="F454">
        <f t="shared" si="922"/>
        <v>1582267.182</v>
      </c>
      <c r="H454">
        <f t="shared" ref="H454:O454" si="923">SUM(H445,H449)</f>
        <v>1996325.95</v>
      </c>
      <c r="I454">
        <f t="shared" si="923"/>
        <v>3701950.536</v>
      </c>
      <c r="J454">
        <f t="shared" si="923"/>
        <v>2284522.5</v>
      </c>
      <c r="K454">
        <f t="shared" si="923"/>
        <v>2379882.193</v>
      </c>
      <c r="L454">
        <f t="shared" si="923"/>
        <v>2005704.844</v>
      </c>
      <c r="M454">
        <f t="shared" si="923"/>
        <v>1649056.865</v>
      </c>
      <c r="N454">
        <f t="shared" si="923"/>
        <v>1312255.318</v>
      </c>
      <c r="O454">
        <f t="shared" si="923"/>
        <v>1340247.646</v>
      </c>
      <c r="P454">
        <f t="shared" si="903"/>
        <v>23131589.65</v>
      </c>
      <c r="T454" s="1" t="s">
        <v>5736</v>
      </c>
      <c r="U454" s="1">
        <v>63659.0</v>
      </c>
      <c r="W454" s="1">
        <v>39170.0</v>
      </c>
      <c r="Y454" s="1">
        <v>87040.0</v>
      </c>
      <c r="AA454" s="1">
        <v>103973.0</v>
      </c>
      <c r="AC454" s="1">
        <v>104137.0</v>
      </c>
      <c r="AE454" s="1">
        <v>133436.0</v>
      </c>
      <c r="AH454" s="1">
        <v>10149.0</v>
      </c>
      <c r="AJ454" s="1">
        <v>1315200.0</v>
      </c>
      <c r="AL454" s="1">
        <v>9834.0</v>
      </c>
    </row>
    <row r="455">
      <c r="B455" s="1" t="s">
        <v>5582</v>
      </c>
      <c r="D455">
        <f t="shared" ref="D455:F455" si="924">SUM(D446,D450)</f>
        <v>208073.7064</v>
      </c>
      <c r="E455">
        <f t="shared" si="924"/>
        <v>279863.955</v>
      </c>
      <c r="F455">
        <f t="shared" si="924"/>
        <v>158226.7182</v>
      </c>
      <c r="H455">
        <f t="shared" ref="H455:O455" si="925">SUM(H446,H450)</f>
        <v>199632.595</v>
      </c>
      <c r="I455">
        <f t="shared" si="925"/>
        <v>370195.0536</v>
      </c>
      <c r="J455">
        <f t="shared" si="925"/>
        <v>228452.25</v>
      </c>
      <c r="K455">
        <f t="shared" si="925"/>
        <v>237988.2193</v>
      </c>
      <c r="L455">
        <f t="shared" si="925"/>
        <v>200570.4844</v>
      </c>
      <c r="M455">
        <f t="shared" si="925"/>
        <v>164905.6865</v>
      </c>
      <c r="N455">
        <f t="shared" si="925"/>
        <v>131225.5318</v>
      </c>
      <c r="O455">
        <f t="shared" si="925"/>
        <v>134024.7646</v>
      </c>
      <c r="P455">
        <f t="shared" si="903"/>
        <v>2313158.965</v>
      </c>
      <c r="U455" s="1">
        <v>10984.0</v>
      </c>
      <c r="V455" s="1">
        <v>55840.0</v>
      </c>
      <c r="W455" s="1">
        <v>96409.0</v>
      </c>
      <c r="Y455" s="1">
        <v>25022.0</v>
      </c>
      <c r="AA455" s="1">
        <v>50424.0</v>
      </c>
      <c r="AB455" s="1">
        <v>3614.0</v>
      </c>
      <c r="AE455" s="1">
        <v>108341.0</v>
      </c>
      <c r="AG455" s="1">
        <v>19050.0</v>
      </c>
    </row>
    <row r="456">
      <c r="B456" s="1" t="s">
        <v>5602</v>
      </c>
      <c r="D456">
        <f t="shared" ref="D456:F456" si="926">SUM(D454:D455)</f>
        <v>2288810.77</v>
      </c>
      <c r="E456">
        <f t="shared" si="926"/>
        <v>3078503.505</v>
      </c>
      <c r="F456">
        <f t="shared" si="926"/>
        <v>1740493.9</v>
      </c>
      <c r="H456">
        <f t="shared" ref="H456:O456" si="927">SUM(H454:H455)</f>
        <v>2195958.545</v>
      </c>
      <c r="I456">
        <f t="shared" si="927"/>
        <v>4072145.59</v>
      </c>
      <c r="J456">
        <f t="shared" si="927"/>
        <v>2512974.751</v>
      </c>
      <c r="K456">
        <f t="shared" si="927"/>
        <v>2617870.412</v>
      </c>
      <c r="L456">
        <f t="shared" si="927"/>
        <v>2206275.329</v>
      </c>
      <c r="M456">
        <f t="shared" si="927"/>
        <v>1813962.551</v>
      </c>
      <c r="N456">
        <f t="shared" si="927"/>
        <v>1443480.85</v>
      </c>
      <c r="O456">
        <f t="shared" si="927"/>
        <v>1474272.411</v>
      </c>
      <c r="P456">
        <f t="shared" si="903"/>
        <v>25444748.61</v>
      </c>
      <c r="U456" s="97">
        <f t="shared" ref="U456:U457" si="928">U454-U446</f>
        <v>1243</v>
      </c>
      <c r="V456" s="97"/>
      <c r="W456" s="97">
        <f t="shared" ref="W456:W457" si="929">W454-W446</f>
        <v>404</v>
      </c>
      <c r="X456" s="97"/>
      <c r="Y456" s="97">
        <f t="shared" ref="Y456:Y457" si="930">Y454-Y446</f>
        <v>1242</v>
      </c>
      <c r="Z456" s="97"/>
      <c r="AA456" s="97">
        <f t="shared" ref="AA456:AA457" si="931">AA454-AA446</f>
        <v>1329</v>
      </c>
      <c r="AB456" s="97"/>
      <c r="AC456" s="97">
        <f>AC454-AC446</f>
        <v>1386</v>
      </c>
      <c r="AD456" s="97"/>
      <c r="AE456" s="97">
        <f t="shared" ref="AE456:AE457" si="932">AE454-AE446</f>
        <v>1268</v>
      </c>
      <c r="AF456" s="97"/>
      <c r="AG456" s="97"/>
      <c r="AH456" s="97">
        <f>AH454-AH446</f>
        <v>215</v>
      </c>
    </row>
    <row r="457">
      <c r="B457" s="1"/>
      <c r="D457" s="1" t="s">
        <v>5566</v>
      </c>
      <c r="E457" s="1" t="s">
        <v>5566</v>
      </c>
      <c r="F457" s="1" t="s">
        <v>5566</v>
      </c>
      <c r="H457" s="1" t="s">
        <v>5566</v>
      </c>
      <c r="I457" s="1" t="s">
        <v>5566</v>
      </c>
      <c r="J457" s="1" t="s">
        <v>5566</v>
      </c>
      <c r="K457" s="33" t="s">
        <v>5566</v>
      </c>
      <c r="L457" s="1" t="s">
        <v>5566</v>
      </c>
      <c r="M457" s="1" t="s">
        <v>5566</v>
      </c>
      <c r="N457" s="33" t="s">
        <v>5566</v>
      </c>
      <c r="O457" s="1" t="s">
        <v>5566</v>
      </c>
      <c r="U457" s="167">
        <f t="shared" si="928"/>
        <v>102</v>
      </c>
      <c r="V457" s="167">
        <f>(V455-V447)</f>
        <v>957</v>
      </c>
      <c r="W457" s="167">
        <f t="shared" si="929"/>
        <v>744</v>
      </c>
      <c r="X457" s="168">
        <f>W456</f>
        <v>404</v>
      </c>
      <c r="Y457" s="167">
        <f t="shared" si="930"/>
        <v>431</v>
      </c>
      <c r="Z457" s="169">
        <f>Y456-Y457</f>
        <v>811</v>
      </c>
      <c r="AA457" s="167">
        <f t="shared" si="931"/>
        <v>1137</v>
      </c>
      <c r="AB457" s="167">
        <f>AB455-AB447</f>
        <v>189</v>
      </c>
      <c r="AC457" s="167">
        <f>(AC456)*73.9/(73.9+99)</f>
        <v>592.3967611</v>
      </c>
      <c r="AD457" s="167">
        <f>(AC456)*99/(73.9+99)</f>
        <v>793.6032389</v>
      </c>
      <c r="AE457" s="167">
        <f t="shared" si="932"/>
        <v>711</v>
      </c>
      <c r="AF457" s="169">
        <f>AE456-AE457-AG457-50</f>
        <v>257</v>
      </c>
      <c r="AG457" s="167">
        <f>AG455-AG447</f>
        <v>250</v>
      </c>
      <c r="AH457" s="96">
        <v>215.0</v>
      </c>
      <c r="AI457" s="18">
        <f t="shared" ref="AI457:AI458" si="934">SUM(U457:AH457)</f>
        <v>7594</v>
      </c>
    </row>
    <row r="458">
      <c r="B458" s="1"/>
      <c r="H458" s="1"/>
      <c r="M458" s="1"/>
      <c r="N458" s="33"/>
      <c r="U458" s="162">
        <f t="shared" ref="U458:AH458" si="933">U457*1315200/7594</f>
        <v>17665.31472</v>
      </c>
      <c r="V458" s="162">
        <f t="shared" si="933"/>
        <v>165742.2175</v>
      </c>
      <c r="W458" s="162">
        <f t="shared" si="933"/>
        <v>128852.8839</v>
      </c>
      <c r="X458" s="162">
        <f t="shared" si="933"/>
        <v>69968.50145</v>
      </c>
      <c r="Y458" s="162">
        <f t="shared" si="933"/>
        <v>74644.61417</v>
      </c>
      <c r="Z458" s="162">
        <f t="shared" si="933"/>
        <v>140456.571</v>
      </c>
      <c r="AA458" s="162">
        <f t="shared" si="933"/>
        <v>196916.3023</v>
      </c>
      <c r="AB458" s="162">
        <f t="shared" si="933"/>
        <v>32732.78904</v>
      </c>
      <c r="AC458" s="162">
        <f t="shared" si="933"/>
        <v>102596.8159</v>
      </c>
      <c r="AD458" s="162">
        <f t="shared" si="933"/>
        <v>137443.637</v>
      </c>
      <c r="AE458" s="162">
        <f t="shared" si="933"/>
        <v>123137.635</v>
      </c>
      <c r="AF458" s="162">
        <f t="shared" si="933"/>
        <v>44509.66553</v>
      </c>
      <c r="AG458" s="162">
        <f t="shared" si="933"/>
        <v>43297.34001</v>
      </c>
      <c r="AH458" s="162">
        <f t="shared" si="933"/>
        <v>37235.7124</v>
      </c>
      <c r="AI458" s="18">
        <f t="shared" si="934"/>
        <v>1315200</v>
      </c>
    </row>
    <row r="459">
      <c r="B459" s="1"/>
      <c r="H459" s="1"/>
      <c r="M459" s="1"/>
      <c r="N459" s="33"/>
      <c r="U459">
        <v>17665.314722149065</v>
      </c>
      <c r="V459" s="136">
        <v>165742.21754016328</v>
      </c>
      <c r="W459" s="136">
        <v>128852.88385567554</v>
      </c>
      <c r="X459" s="136">
        <v>69968.50144851199</v>
      </c>
      <c r="Y459" s="164">
        <f t="shared" ref="Y459:AG459" si="935">Y458+4137</f>
        <v>78781.61417</v>
      </c>
      <c r="Z459" s="164">
        <f t="shared" si="935"/>
        <v>144593.571</v>
      </c>
      <c r="AA459" s="165">
        <f t="shared" si="935"/>
        <v>201053.3023</v>
      </c>
      <c r="AB459" s="164">
        <f t="shared" si="935"/>
        <v>36869.78904</v>
      </c>
      <c r="AC459" s="164">
        <f t="shared" si="935"/>
        <v>106733.8159</v>
      </c>
      <c r="AD459" s="164">
        <f t="shared" si="935"/>
        <v>141580.637</v>
      </c>
      <c r="AE459" s="164">
        <f t="shared" si="935"/>
        <v>127274.635</v>
      </c>
      <c r="AF459" s="164">
        <f t="shared" si="935"/>
        <v>48646.66553</v>
      </c>
      <c r="AG459" s="164">
        <f t="shared" si="935"/>
        <v>47434.34001</v>
      </c>
      <c r="AH459">
        <f>AH458/9</f>
        <v>4137.301378</v>
      </c>
      <c r="AI459" s="18">
        <f>SUM(U459:AG459)</f>
        <v>1315197.288</v>
      </c>
    </row>
    <row r="460">
      <c r="B460" s="1" t="s">
        <v>5737</v>
      </c>
      <c r="D460" s="1">
        <v>1900000.0</v>
      </c>
      <c r="E460" s="1">
        <v>2700000.0</v>
      </c>
      <c r="F460" s="1">
        <v>1550000.0</v>
      </c>
      <c r="H460" s="1">
        <v>1960000.0</v>
      </c>
      <c r="I460" s="1">
        <v>3500000.0</v>
      </c>
      <c r="J460" s="1">
        <v>2200000.0</v>
      </c>
      <c r="K460" s="1">
        <v>2300000.0</v>
      </c>
      <c r="L460" s="1">
        <v>1900000.0</v>
      </c>
      <c r="M460" s="1">
        <v>1500000.0</v>
      </c>
      <c r="N460" s="33">
        <v>1260000.0</v>
      </c>
      <c r="O460" s="1">
        <v>1240000.0</v>
      </c>
      <c r="P460">
        <f t="shared" ref="P460:P468" si="938">SUM(D460:O460)</f>
        <v>22010000</v>
      </c>
      <c r="AA460" s="166">
        <f>AA459+U459</f>
        <v>218718.6171</v>
      </c>
    </row>
    <row r="461">
      <c r="B461" s="1" t="s">
        <v>5499</v>
      </c>
      <c r="D461" s="1">
        <f t="shared" ref="D461:F461" si="936">D460*0.1</f>
        <v>190000</v>
      </c>
      <c r="E461" s="1">
        <f t="shared" si="936"/>
        <v>270000</v>
      </c>
      <c r="F461" s="1">
        <f t="shared" si="936"/>
        <v>155000</v>
      </c>
      <c r="H461" s="1">
        <f t="shared" ref="H461:O461" si="937">H460*0.1</f>
        <v>196000</v>
      </c>
      <c r="I461" s="1">
        <f t="shared" si="937"/>
        <v>350000</v>
      </c>
      <c r="J461" s="1">
        <f t="shared" si="937"/>
        <v>220000</v>
      </c>
      <c r="K461" s="1">
        <f t="shared" si="937"/>
        <v>230000</v>
      </c>
      <c r="L461" s="1">
        <f t="shared" si="937"/>
        <v>190000</v>
      </c>
      <c r="M461" s="1">
        <f t="shared" si="937"/>
        <v>150000</v>
      </c>
      <c r="N461" s="1">
        <f t="shared" si="937"/>
        <v>126000</v>
      </c>
      <c r="O461" s="1">
        <f t="shared" si="937"/>
        <v>124000</v>
      </c>
      <c r="P461">
        <f t="shared" si="938"/>
        <v>2201000</v>
      </c>
    </row>
    <row r="462">
      <c r="B462" s="1" t="s">
        <v>5520</v>
      </c>
      <c r="D462">
        <f t="shared" ref="D462:F462" si="939">D460+D461</f>
        <v>2090000</v>
      </c>
      <c r="E462">
        <f t="shared" si="939"/>
        <v>2970000</v>
      </c>
      <c r="F462">
        <f t="shared" si="939"/>
        <v>1705000</v>
      </c>
      <c r="H462">
        <f t="shared" ref="H462:O462" si="940">H460+H461</f>
        <v>2156000</v>
      </c>
      <c r="I462">
        <f t="shared" si="940"/>
        <v>3850000</v>
      </c>
      <c r="J462">
        <f t="shared" si="940"/>
        <v>2420000</v>
      </c>
      <c r="K462">
        <f t="shared" si="940"/>
        <v>2530000</v>
      </c>
      <c r="L462">
        <f t="shared" si="940"/>
        <v>2090000</v>
      </c>
      <c r="M462">
        <f t="shared" si="940"/>
        <v>1650000</v>
      </c>
      <c r="N462">
        <f t="shared" si="940"/>
        <v>1386000</v>
      </c>
      <c r="O462">
        <f t="shared" si="940"/>
        <v>1364000</v>
      </c>
      <c r="P462">
        <f t="shared" si="938"/>
        <v>24211000</v>
      </c>
      <c r="T462" s="1" t="s">
        <v>5738</v>
      </c>
      <c r="U462" s="1">
        <v>64773.0</v>
      </c>
      <c r="W462" s="1">
        <v>39673.0</v>
      </c>
      <c r="Y462" s="1">
        <v>88307.0</v>
      </c>
      <c r="AA462" s="1">
        <v>105368.0</v>
      </c>
      <c r="AC462" s="1">
        <v>105517.0</v>
      </c>
      <c r="AE462" s="1">
        <v>135005.0</v>
      </c>
      <c r="AH462" s="1">
        <v>10349.0</v>
      </c>
      <c r="AJ462" s="1">
        <v>923430.0</v>
      </c>
      <c r="AL462" s="1">
        <v>6910.0</v>
      </c>
    </row>
    <row r="463">
      <c r="B463" s="1" t="s">
        <v>5545</v>
      </c>
      <c r="D463">
        <v>219295.5172413793</v>
      </c>
      <c r="E463">
        <v>115429.37031484258</v>
      </c>
      <c r="F463">
        <v>31849.58020989505</v>
      </c>
      <c r="H463" s="134">
        <v>57156.11844077961</v>
      </c>
      <c r="I463">
        <v>203217.8875562219</v>
      </c>
      <c r="J463">
        <v>138504.40929535232</v>
      </c>
      <c r="K463">
        <v>120510.4459936024</v>
      </c>
      <c r="L463">
        <v>160149.9168249883</v>
      </c>
      <c r="M463" s="134">
        <v>150067.63268365816</v>
      </c>
      <c r="N463" s="159">
        <v>52693.11994002999</v>
      </c>
      <c r="O463">
        <v>104220.46626686657</v>
      </c>
      <c r="P463">
        <f t="shared" si="938"/>
        <v>1353094.465</v>
      </c>
      <c r="U463" s="1">
        <v>11175.0</v>
      </c>
      <c r="V463" s="1">
        <v>56684.0</v>
      </c>
      <c r="W463" s="1">
        <v>97203.0</v>
      </c>
      <c r="Y463" s="1">
        <v>25487.0</v>
      </c>
      <c r="AA463" s="1">
        <v>51583.0</v>
      </c>
      <c r="AB463" s="1">
        <v>3910.0</v>
      </c>
      <c r="AE463" s="1">
        <v>109034.0</v>
      </c>
      <c r="AG463" s="1">
        <v>19400.0</v>
      </c>
    </row>
    <row r="464">
      <c r="D464">
        <f t="shared" ref="D464:F464" si="941">D463-D465</f>
        <v>199359.5611</v>
      </c>
      <c r="E464">
        <f t="shared" si="941"/>
        <v>104935.7912</v>
      </c>
      <c r="F464">
        <f t="shared" si="941"/>
        <v>28954.16383</v>
      </c>
      <c r="H464">
        <f t="shared" ref="H464:O464" si="942">H463-H465</f>
        <v>51960.10767</v>
      </c>
      <c r="I464">
        <f t="shared" si="942"/>
        <v>184743.5341</v>
      </c>
      <c r="J464">
        <f t="shared" si="942"/>
        <v>125913.0994</v>
      </c>
      <c r="K464">
        <f t="shared" si="942"/>
        <v>109554.9509</v>
      </c>
      <c r="L464">
        <f t="shared" si="942"/>
        <v>145590.8335</v>
      </c>
      <c r="M464">
        <f t="shared" si="942"/>
        <v>136425.1206</v>
      </c>
      <c r="N464">
        <f t="shared" si="942"/>
        <v>47902.83631</v>
      </c>
      <c r="O464">
        <f t="shared" si="942"/>
        <v>94745.87842</v>
      </c>
      <c r="P464">
        <f t="shared" si="938"/>
        <v>1230085.877</v>
      </c>
      <c r="U464" s="97">
        <f t="shared" ref="U464:U465" si="945">U462-U454</f>
        <v>1114</v>
      </c>
      <c r="V464" s="97"/>
      <c r="W464" s="97">
        <f t="shared" ref="W464:W465" si="946">W462-W454</f>
        <v>503</v>
      </c>
      <c r="X464" s="97"/>
      <c r="Y464" s="97">
        <f t="shared" ref="Y464:Y465" si="947">Y462-Y454</f>
        <v>1267</v>
      </c>
      <c r="Z464" s="97"/>
      <c r="AA464" s="97">
        <f t="shared" ref="AA464:AA465" si="948">AA462-AA454</f>
        <v>1395</v>
      </c>
      <c r="AB464" s="97"/>
      <c r="AC464" s="97">
        <f>AC462-AC454</f>
        <v>1380</v>
      </c>
      <c r="AD464" s="97"/>
      <c r="AE464" s="97">
        <f t="shared" ref="AE464:AE465" si="949">AE462-AE454</f>
        <v>1569</v>
      </c>
      <c r="AF464" s="97"/>
      <c r="AG464" s="97"/>
      <c r="AH464" s="97">
        <f>AH462-AH454</f>
        <v>200</v>
      </c>
    </row>
    <row r="465">
      <c r="B465" s="1" t="s">
        <v>5499</v>
      </c>
      <c r="D465">
        <f t="shared" ref="D465:F465" si="943">D463/11</f>
        <v>19935.95611</v>
      </c>
      <c r="E465">
        <f t="shared" si="943"/>
        <v>10493.57912</v>
      </c>
      <c r="F465">
        <f t="shared" si="943"/>
        <v>2895.416383</v>
      </c>
      <c r="H465">
        <f t="shared" ref="H465:O465" si="944">H463/11</f>
        <v>5196.010767</v>
      </c>
      <c r="I465">
        <f t="shared" si="944"/>
        <v>18474.35341</v>
      </c>
      <c r="J465">
        <f t="shared" si="944"/>
        <v>12591.30994</v>
      </c>
      <c r="K465">
        <f t="shared" si="944"/>
        <v>10955.49509</v>
      </c>
      <c r="L465">
        <f t="shared" si="944"/>
        <v>14559.08335</v>
      </c>
      <c r="M465">
        <f t="shared" si="944"/>
        <v>13642.51206</v>
      </c>
      <c r="N465">
        <f t="shared" si="944"/>
        <v>4790.283631</v>
      </c>
      <c r="O465">
        <f t="shared" si="944"/>
        <v>9474.587842</v>
      </c>
      <c r="P465">
        <f t="shared" si="938"/>
        <v>123008.5877</v>
      </c>
      <c r="U465" s="167">
        <f t="shared" si="945"/>
        <v>191</v>
      </c>
      <c r="V465" s="167">
        <f>(V463-V455)</f>
        <v>844</v>
      </c>
      <c r="W465" s="167">
        <f t="shared" si="946"/>
        <v>794</v>
      </c>
      <c r="X465" s="168">
        <f>W464</f>
        <v>503</v>
      </c>
      <c r="Y465" s="167">
        <f t="shared" si="947"/>
        <v>465</v>
      </c>
      <c r="Z465" s="169">
        <f>Y464-Y465</f>
        <v>802</v>
      </c>
      <c r="AA465" s="167">
        <f t="shared" si="948"/>
        <v>1159</v>
      </c>
      <c r="AB465" s="167">
        <f>AB463-AB455</f>
        <v>296</v>
      </c>
      <c r="AC465" s="167">
        <f>(AC464)*73.9/(73.9+99)</f>
        <v>589.832273</v>
      </c>
      <c r="AD465" s="167">
        <f>(AC464)*99/(73.9+99)</f>
        <v>790.167727</v>
      </c>
      <c r="AE465" s="167">
        <f t="shared" si="949"/>
        <v>693</v>
      </c>
      <c r="AF465" s="169">
        <f>AE464-AE465-AG465-50</f>
        <v>476</v>
      </c>
      <c r="AG465" s="167">
        <f>AG463-AG455</f>
        <v>350</v>
      </c>
      <c r="AH465" s="96">
        <v>200.0</v>
      </c>
      <c r="AI465" s="18">
        <f t="shared" ref="AI465:AI466" si="953">SUM(U465:AH465)</f>
        <v>8153</v>
      </c>
    </row>
    <row r="466">
      <c r="B466" s="23" t="s">
        <v>5528</v>
      </c>
      <c r="D466" s="145">
        <f t="shared" ref="D466:F466" si="950">SUM(D462,D463)</f>
        <v>2309295.517</v>
      </c>
      <c r="E466" s="18">
        <f t="shared" si="950"/>
        <v>3085429.37</v>
      </c>
      <c r="F466" s="18">
        <f t="shared" si="950"/>
        <v>1736849.58</v>
      </c>
      <c r="G466" s="18"/>
      <c r="H466" s="18">
        <f t="shared" ref="H466:O466" si="951">SUM(H462,H463)</f>
        <v>2213156.118</v>
      </c>
      <c r="I466" s="18">
        <f t="shared" si="951"/>
        <v>4053217.888</v>
      </c>
      <c r="J466" s="18">
        <f t="shared" si="951"/>
        <v>2558504.409</v>
      </c>
      <c r="K466" s="18">
        <f t="shared" si="951"/>
        <v>2650510.446</v>
      </c>
      <c r="L466" s="18">
        <f t="shared" si="951"/>
        <v>2250149.917</v>
      </c>
      <c r="M466" s="18">
        <f t="shared" si="951"/>
        <v>1800067.633</v>
      </c>
      <c r="N466" s="18">
        <f t="shared" si="951"/>
        <v>1438693.12</v>
      </c>
      <c r="O466" s="18">
        <f t="shared" si="951"/>
        <v>1468220.466</v>
      </c>
      <c r="P466">
        <f t="shared" si="938"/>
        <v>25564094.46</v>
      </c>
      <c r="U466" s="162">
        <f t="shared" ref="U466:AH466" si="952">U465*923430/8153</f>
        <v>21633.15712</v>
      </c>
      <c r="V466" s="162">
        <f t="shared" si="952"/>
        <v>95593.6367</v>
      </c>
      <c r="W466" s="162">
        <f t="shared" si="952"/>
        <v>89930.50656</v>
      </c>
      <c r="X466" s="162">
        <f t="shared" si="952"/>
        <v>56971.08917</v>
      </c>
      <c r="Y466" s="162">
        <f t="shared" si="952"/>
        <v>52667.11027</v>
      </c>
      <c r="Z466" s="162">
        <f t="shared" si="952"/>
        <v>90836.60738</v>
      </c>
      <c r="AA466" s="162">
        <f t="shared" si="952"/>
        <v>131271.3566</v>
      </c>
      <c r="AB466" s="162">
        <f t="shared" si="952"/>
        <v>33525.73041</v>
      </c>
      <c r="AC466" s="162">
        <f t="shared" si="952"/>
        <v>66805.93841</v>
      </c>
      <c r="AD466" s="162">
        <f t="shared" si="952"/>
        <v>89496.45335</v>
      </c>
      <c r="AE466" s="162">
        <f t="shared" si="952"/>
        <v>78490.98369</v>
      </c>
      <c r="AF466" s="162">
        <f t="shared" si="952"/>
        <v>53912.9989</v>
      </c>
      <c r="AG466" s="162">
        <f t="shared" si="952"/>
        <v>39641.91095</v>
      </c>
      <c r="AH466" s="162">
        <f t="shared" si="952"/>
        <v>22652.52054</v>
      </c>
      <c r="AI466" s="18">
        <f t="shared" si="953"/>
        <v>923430</v>
      </c>
    </row>
    <row r="467">
      <c r="B467" s="1" t="s">
        <v>5580</v>
      </c>
      <c r="D467">
        <f t="shared" ref="D467:F467" si="954">D460+D464</f>
        <v>2099359.561</v>
      </c>
      <c r="E467" s="18">
        <f t="shared" si="954"/>
        <v>2804935.791</v>
      </c>
      <c r="F467">
        <f t="shared" si="954"/>
        <v>1578954.164</v>
      </c>
      <c r="H467">
        <f t="shared" ref="H467:O467" si="955">H460+H464</f>
        <v>2011960.108</v>
      </c>
      <c r="I467">
        <f t="shared" si="955"/>
        <v>3684743.534</v>
      </c>
      <c r="J467">
        <f t="shared" si="955"/>
        <v>2325913.099</v>
      </c>
      <c r="K467">
        <f t="shared" si="955"/>
        <v>2409554.951</v>
      </c>
      <c r="L467">
        <f t="shared" si="955"/>
        <v>2045590.833</v>
      </c>
      <c r="M467">
        <f t="shared" si="955"/>
        <v>1636425.121</v>
      </c>
      <c r="N467">
        <f t="shared" si="955"/>
        <v>1307902.836</v>
      </c>
      <c r="O467">
        <f t="shared" si="955"/>
        <v>1334745.878</v>
      </c>
      <c r="P467">
        <f t="shared" si="938"/>
        <v>23240085.88</v>
      </c>
      <c r="U467">
        <v>21633.1571200785</v>
      </c>
      <c r="V467" s="136">
        <v>95593.63669814792</v>
      </c>
      <c r="W467" s="136">
        <v>89930.50656200171</v>
      </c>
      <c r="X467" s="136">
        <v>56971.08916963081</v>
      </c>
      <c r="Y467" s="164">
        <f t="shared" ref="Y467:AG467" si="956">Y466+2517</f>
        <v>55184.11027</v>
      </c>
      <c r="Z467" s="164">
        <f t="shared" si="956"/>
        <v>93353.60738</v>
      </c>
      <c r="AA467" s="165">
        <f t="shared" si="956"/>
        <v>133788.3566</v>
      </c>
      <c r="AB467" s="164">
        <f t="shared" si="956"/>
        <v>36042.73041</v>
      </c>
      <c r="AC467" s="164">
        <f t="shared" si="956"/>
        <v>69322.93841</v>
      </c>
      <c r="AD467" s="164">
        <f t="shared" si="956"/>
        <v>92013.45335</v>
      </c>
      <c r="AE467" s="164">
        <f t="shared" si="956"/>
        <v>81007.98369</v>
      </c>
      <c r="AF467" s="164">
        <f t="shared" si="956"/>
        <v>56429.9989</v>
      </c>
      <c r="AG467" s="164">
        <f t="shared" si="956"/>
        <v>42158.91095</v>
      </c>
      <c r="AH467">
        <f>AH466/9</f>
        <v>2516.946727</v>
      </c>
      <c r="AI467" s="18">
        <f>SUM(U467:AG467)</f>
        <v>923430.4795</v>
      </c>
    </row>
    <row r="468">
      <c r="B468" s="1" t="s">
        <v>5582</v>
      </c>
      <c r="D468">
        <f t="shared" ref="D468:F468" si="957">D461+D465</f>
        <v>209935.9561</v>
      </c>
      <c r="E468" s="18">
        <f t="shared" si="957"/>
        <v>280493.5791</v>
      </c>
      <c r="F468">
        <f t="shared" si="957"/>
        <v>157895.4164</v>
      </c>
      <c r="H468">
        <f t="shared" ref="H468:O468" si="958">H461+H465</f>
        <v>201196.0108</v>
      </c>
      <c r="I468">
        <f t="shared" si="958"/>
        <v>368474.3534</v>
      </c>
      <c r="J468">
        <f t="shared" si="958"/>
        <v>232591.3099</v>
      </c>
      <c r="K468">
        <f t="shared" si="958"/>
        <v>240955.4951</v>
      </c>
      <c r="L468">
        <f t="shared" si="958"/>
        <v>204559.0833</v>
      </c>
      <c r="M468">
        <f t="shared" si="958"/>
        <v>163642.5121</v>
      </c>
      <c r="N468">
        <f t="shared" si="958"/>
        <v>130790.2836</v>
      </c>
      <c r="O468">
        <f t="shared" si="958"/>
        <v>133474.5878</v>
      </c>
      <c r="P468">
        <f t="shared" si="938"/>
        <v>2324008.588</v>
      </c>
      <c r="AA468" s="166">
        <f>AA467+U467</f>
        <v>155421.5137</v>
      </c>
    </row>
    <row r="469">
      <c r="B469" s="1"/>
      <c r="D469" s="1" t="s">
        <v>5566</v>
      </c>
      <c r="E469" s="1" t="s">
        <v>5566</v>
      </c>
      <c r="F469" s="1" t="s">
        <v>5566</v>
      </c>
      <c r="H469" s="1" t="s">
        <v>5566</v>
      </c>
      <c r="I469" s="1" t="s">
        <v>5566</v>
      </c>
      <c r="J469" s="1" t="s">
        <v>5566</v>
      </c>
      <c r="K469" s="33" t="s">
        <v>5566</v>
      </c>
      <c r="L469" s="1" t="s">
        <v>5566</v>
      </c>
      <c r="M469" s="1" t="s">
        <v>5566</v>
      </c>
      <c r="N469" s="33" t="s">
        <v>5566</v>
      </c>
      <c r="O469" s="1" t="s">
        <v>5566</v>
      </c>
    </row>
    <row r="470">
      <c r="B470" s="1"/>
      <c r="H470" s="1"/>
      <c r="M470" s="1"/>
      <c r="N470" s="33"/>
      <c r="T470" s="1" t="s">
        <v>5739</v>
      </c>
      <c r="U470" s="1">
        <v>65331.0</v>
      </c>
      <c r="W470" s="1">
        <v>39795.0</v>
      </c>
      <c r="Y470" s="1">
        <v>88946.0</v>
      </c>
      <c r="AA470" s="1">
        <v>105899.0</v>
      </c>
      <c r="AC470" s="1">
        <v>105988.0</v>
      </c>
      <c r="AE470" s="1">
        <v>135656.0</v>
      </c>
      <c r="AH470" s="1">
        <v>10441.0</v>
      </c>
      <c r="AJ470" s="1">
        <v>864810.0</v>
      </c>
    </row>
    <row r="471">
      <c r="B471" s="1"/>
      <c r="H471" s="1"/>
      <c r="M471" s="1"/>
      <c r="N471" s="33"/>
      <c r="U471" s="1">
        <v>11278.0</v>
      </c>
      <c r="V471" s="1">
        <v>57112.0</v>
      </c>
      <c r="W471" s="1">
        <v>97480.0</v>
      </c>
      <c r="Y471" s="1">
        <v>25721.0</v>
      </c>
      <c r="AA471" s="1">
        <v>52005.0</v>
      </c>
      <c r="AB471" s="1">
        <v>4035.0</v>
      </c>
      <c r="AE471" s="1">
        <v>109344.0</v>
      </c>
      <c r="AG471" s="1">
        <v>19501.0</v>
      </c>
    </row>
    <row r="472">
      <c r="B472" s="1" t="s">
        <v>5740</v>
      </c>
      <c r="D472" s="1">
        <v>1900000.0</v>
      </c>
      <c r="E472" s="1">
        <v>2700000.0</v>
      </c>
      <c r="F472" s="1">
        <v>1550000.0</v>
      </c>
      <c r="H472" s="1">
        <v>1960000.0</v>
      </c>
      <c r="I472" s="1">
        <v>3500000.0</v>
      </c>
      <c r="J472" s="1">
        <v>2200000.0</v>
      </c>
      <c r="K472" s="1">
        <v>2300000.0</v>
      </c>
      <c r="L472" s="1">
        <v>1900000.0</v>
      </c>
      <c r="M472" s="1">
        <v>1500000.0</v>
      </c>
      <c r="N472" s="33">
        <v>1260000.0</v>
      </c>
      <c r="O472" s="1">
        <v>1240000.0</v>
      </c>
      <c r="P472">
        <f t="shared" ref="P472:P483" si="961">SUM(D472:O472)</f>
        <v>22010000</v>
      </c>
      <c r="U472" s="97">
        <f t="shared" ref="U472:U473" si="962">U470-U462</f>
        <v>558</v>
      </c>
      <c r="V472" s="97"/>
      <c r="W472" s="97">
        <f t="shared" ref="W472:W473" si="963">W470-W462</f>
        <v>122</v>
      </c>
      <c r="X472" s="97"/>
      <c r="Y472" s="97">
        <f t="shared" ref="Y472:Y473" si="964">Y470-Y462</f>
        <v>639</v>
      </c>
      <c r="Z472" s="97"/>
      <c r="AA472" s="97">
        <f t="shared" ref="AA472:AA473" si="965">AA470-AA462</f>
        <v>531</v>
      </c>
      <c r="AB472" s="97"/>
      <c r="AC472" s="97">
        <f>AC470-AC462</f>
        <v>471</v>
      </c>
      <c r="AD472" s="97"/>
      <c r="AE472" s="97">
        <f t="shared" ref="AE472:AE473" si="966">AE470-AE462</f>
        <v>651</v>
      </c>
      <c r="AF472" s="97"/>
      <c r="AG472" s="97"/>
      <c r="AH472" s="97">
        <f>AH470-AH462</f>
        <v>92</v>
      </c>
    </row>
    <row r="473">
      <c r="B473" s="1" t="s">
        <v>5499</v>
      </c>
      <c r="D473" s="1">
        <f t="shared" ref="D473:F473" si="959">D472*0.1</f>
        <v>190000</v>
      </c>
      <c r="E473" s="1">
        <f t="shared" si="959"/>
        <v>270000</v>
      </c>
      <c r="F473" s="1">
        <f t="shared" si="959"/>
        <v>155000</v>
      </c>
      <c r="H473" s="1">
        <f t="shared" ref="H473:O473" si="960">H472*0.1</f>
        <v>196000</v>
      </c>
      <c r="I473" s="1">
        <f t="shared" si="960"/>
        <v>350000</v>
      </c>
      <c r="J473" s="1">
        <f t="shared" si="960"/>
        <v>220000</v>
      </c>
      <c r="K473" s="1">
        <f t="shared" si="960"/>
        <v>230000</v>
      </c>
      <c r="L473" s="1">
        <f t="shared" si="960"/>
        <v>190000</v>
      </c>
      <c r="M473" s="1">
        <f t="shared" si="960"/>
        <v>150000</v>
      </c>
      <c r="N473" s="1">
        <f t="shared" si="960"/>
        <v>126000</v>
      </c>
      <c r="O473" s="1">
        <f t="shared" si="960"/>
        <v>124000</v>
      </c>
      <c r="P473">
        <f t="shared" si="961"/>
        <v>2201000</v>
      </c>
      <c r="U473" s="167">
        <f t="shared" si="962"/>
        <v>103</v>
      </c>
      <c r="V473" s="167">
        <f>(V471-V463)</f>
        <v>428</v>
      </c>
      <c r="W473" s="167">
        <f t="shared" si="963"/>
        <v>277</v>
      </c>
      <c r="X473" s="168">
        <f>W472</f>
        <v>122</v>
      </c>
      <c r="Y473" s="167">
        <f t="shared" si="964"/>
        <v>234</v>
      </c>
      <c r="Z473" s="169">
        <f>Y472-Y473</f>
        <v>405</v>
      </c>
      <c r="AA473" s="167">
        <f t="shared" si="965"/>
        <v>422</v>
      </c>
      <c r="AB473" s="167">
        <f>AB471-AB463</f>
        <v>125</v>
      </c>
      <c r="AC473" s="167">
        <f>(AC472)*73.9/(73.9+99)</f>
        <v>201.3123193</v>
      </c>
      <c r="AD473" s="167">
        <f>(AC472)*99/(73.9+99)</f>
        <v>269.6876807</v>
      </c>
      <c r="AE473" s="167">
        <f t="shared" si="966"/>
        <v>310</v>
      </c>
      <c r="AF473" s="169">
        <f>AE472-AE473-AG473-50</f>
        <v>190</v>
      </c>
      <c r="AG473" s="167">
        <f>AG471-AG463</f>
        <v>101</v>
      </c>
      <c r="AH473" s="96">
        <v>92.0</v>
      </c>
      <c r="AI473" s="18">
        <f t="shared" ref="AI473:AI474" si="970">SUM(U473:AH473)</f>
        <v>3280</v>
      </c>
    </row>
    <row r="474">
      <c r="B474" s="1" t="s">
        <v>5520</v>
      </c>
      <c r="D474">
        <f t="shared" ref="D474:F474" si="967">D472+D473</f>
        <v>2090000</v>
      </c>
      <c r="E474">
        <f t="shared" si="967"/>
        <v>2970000</v>
      </c>
      <c r="F474">
        <f t="shared" si="967"/>
        <v>1705000</v>
      </c>
      <c r="H474">
        <f t="shared" ref="H474:O474" si="968">H472+H473</f>
        <v>2156000</v>
      </c>
      <c r="I474">
        <f t="shared" si="968"/>
        <v>3850000</v>
      </c>
      <c r="J474">
        <f t="shared" si="968"/>
        <v>2420000</v>
      </c>
      <c r="K474">
        <f t="shared" si="968"/>
        <v>2530000</v>
      </c>
      <c r="L474">
        <f t="shared" si="968"/>
        <v>2090000</v>
      </c>
      <c r="M474">
        <f t="shared" si="968"/>
        <v>1650000</v>
      </c>
      <c r="N474">
        <f t="shared" si="968"/>
        <v>1386000</v>
      </c>
      <c r="O474">
        <f t="shared" si="968"/>
        <v>1364000</v>
      </c>
      <c r="P474">
        <f t="shared" si="961"/>
        <v>24211000</v>
      </c>
      <c r="U474" s="162">
        <f t="shared" ref="U474:AH474" si="969">U473*864810/3280</f>
        <v>27157.14329</v>
      </c>
      <c r="V474" s="162">
        <f t="shared" si="969"/>
        <v>112847.1585</v>
      </c>
      <c r="W474" s="162">
        <f t="shared" si="969"/>
        <v>73034.25915</v>
      </c>
      <c r="X474" s="162">
        <f t="shared" si="969"/>
        <v>32166.71341</v>
      </c>
      <c r="Y474" s="162">
        <f t="shared" si="969"/>
        <v>61696.81098</v>
      </c>
      <c r="Z474" s="162">
        <f t="shared" si="969"/>
        <v>106782.9421</v>
      </c>
      <c r="AA474" s="162">
        <f t="shared" si="969"/>
        <v>111265.189</v>
      </c>
      <c r="AB474" s="162">
        <f t="shared" si="969"/>
        <v>32957.69817</v>
      </c>
      <c r="AC474" s="162">
        <f t="shared" si="969"/>
        <v>53078.32525</v>
      </c>
      <c r="AD474" s="162">
        <f t="shared" si="969"/>
        <v>71106.28146</v>
      </c>
      <c r="AE474" s="162">
        <f t="shared" si="969"/>
        <v>81735.09146</v>
      </c>
      <c r="AF474" s="162">
        <f t="shared" si="969"/>
        <v>50095.70122</v>
      </c>
      <c r="AG474" s="162">
        <f t="shared" si="969"/>
        <v>26629.82012</v>
      </c>
      <c r="AH474" s="162">
        <f t="shared" si="969"/>
        <v>24256.86585</v>
      </c>
      <c r="AI474" s="18">
        <f t="shared" si="970"/>
        <v>864810</v>
      </c>
    </row>
    <row r="475">
      <c r="B475" s="1" t="s">
        <v>5545</v>
      </c>
      <c r="D475">
        <v>188097.94934497817</v>
      </c>
      <c r="E475">
        <v>106892.6672489083</v>
      </c>
      <c r="F475">
        <v>33559.32576419214</v>
      </c>
      <c r="H475" s="134">
        <v>55931.551965065504</v>
      </c>
      <c r="I475">
        <v>210263.01921397378</v>
      </c>
      <c r="J475">
        <v>123671.67248908296</v>
      </c>
      <c r="K475">
        <v>82854.32690274561</v>
      </c>
      <c r="L475">
        <v>109799.7464596998</v>
      </c>
      <c r="M475" s="134">
        <v>147080.33799126637</v>
      </c>
      <c r="N475" s="159">
        <v>47438.1423580786</v>
      </c>
      <c r="O475">
        <v>80375.99912663756</v>
      </c>
      <c r="P475">
        <f t="shared" si="961"/>
        <v>1185964.739</v>
      </c>
      <c r="U475">
        <v>27157.143292682926</v>
      </c>
      <c r="V475" s="136">
        <v>112847.15853658537</v>
      </c>
      <c r="W475" s="136">
        <v>73034.25914634146</v>
      </c>
      <c r="X475" s="136">
        <v>32166.713414634145</v>
      </c>
      <c r="Y475" s="164">
        <f t="shared" ref="Y475:AG475" si="971">Y474+2695</f>
        <v>64391.81098</v>
      </c>
      <c r="Z475" s="164">
        <f t="shared" si="971"/>
        <v>109477.9421</v>
      </c>
      <c r="AA475" s="165">
        <f t="shared" si="971"/>
        <v>113960.189</v>
      </c>
      <c r="AB475" s="164">
        <f t="shared" si="971"/>
        <v>35652.69817</v>
      </c>
      <c r="AC475" s="164">
        <f t="shared" si="971"/>
        <v>55773.32525</v>
      </c>
      <c r="AD475" s="164">
        <f t="shared" si="971"/>
        <v>73801.28146</v>
      </c>
      <c r="AE475" s="164">
        <f t="shared" si="971"/>
        <v>84430.09146</v>
      </c>
      <c r="AF475" s="164">
        <f t="shared" si="971"/>
        <v>52790.70122</v>
      </c>
      <c r="AG475" s="164">
        <f t="shared" si="971"/>
        <v>29324.82012</v>
      </c>
      <c r="AH475">
        <f>AH474/9</f>
        <v>2695.207317</v>
      </c>
      <c r="AI475" s="18">
        <f>SUM(U475:AG475)</f>
        <v>864808.1341</v>
      </c>
    </row>
    <row r="476">
      <c r="D476">
        <f t="shared" ref="D476:F476" si="972">D475-D477</f>
        <v>170998.1358</v>
      </c>
      <c r="E476">
        <f t="shared" si="972"/>
        <v>97175.15204</v>
      </c>
      <c r="F476">
        <f t="shared" si="972"/>
        <v>30508.47797</v>
      </c>
      <c r="H476">
        <f t="shared" ref="H476:O476" si="973">H475-H477</f>
        <v>50846.86542</v>
      </c>
      <c r="I476">
        <f t="shared" si="973"/>
        <v>191148.1993</v>
      </c>
      <c r="J476">
        <f t="shared" si="973"/>
        <v>112428.7932</v>
      </c>
      <c r="K476">
        <f t="shared" si="973"/>
        <v>75322.11537</v>
      </c>
      <c r="L476">
        <f t="shared" si="973"/>
        <v>99817.95133</v>
      </c>
      <c r="M476">
        <f t="shared" si="973"/>
        <v>133709.3982</v>
      </c>
      <c r="N476">
        <f t="shared" si="973"/>
        <v>43125.58396</v>
      </c>
      <c r="O476">
        <f t="shared" si="973"/>
        <v>73069.09012</v>
      </c>
      <c r="P476">
        <f t="shared" si="961"/>
        <v>1078149.763</v>
      </c>
      <c r="AA476" s="166">
        <f>AA475+U475</f>
        <v>141117.3323</v>
      </c>
    </row>
    <row r="477">
      <c r="B477" s="1" t="s">
        <v>5499</v>
      </c>
      <c r="D477">
        <f t="shared" ref="D477:F477" si="974">D475/11</f>
        <v>17099.81358</v>
      </c>
      <c r="E477">
        <f t="shared" si="974"/>
        <v>9717.515204</v>
      </c>
      <c r="F477">
        <f t="shared" si="974"/>
        <v>3050.847797</v>
      </c>
      <c r="H477">
        <f t="shared" ref="H477:O477" si="975">H475/11</f>
        <v>5084.686542</v>
      </c>
      <c r="I477">
        <f t="shared" si="975"/>
        <v>19114.81993</v>
      </c>
      <c r="J477">
        <f t="shared" si="975"/>
        <v>11242.87932</v>
      </c>
      <c r="K477">
        <f t="shared" si="975"/>
        <v>7532.211537</v>
      </c>
      <c r="L477">
        <f t="shared" si="975"/>
        <v>9981.795133</v>
      </c>
      <c r="M477">
        <f t="shared" si="975"/>
        <v>13370.93982</v>
      </c>
      <c r="N477">
        <f t="shared" si="975"/>
        <v>4312.558396</v>
      </c>
      <c r="O477">
        <f t="shared" si="975"/>
        <v>7306.909012</v>
      </c>
      <c r="P477">
        <f t="shared" si="961"/>
        <v>107814.9763</v>
      </c>
    </row>
    <row r="478">
      <c r="B478" s="1" t="s">
        <v>5741</v>
      </c>
      <c r="D478">
        <v>44460.95720318101</v>
      </c>
      <c r="E478">
        <v>18513.99858922204</v>
      </c>
      <c r="F478">
        <v>18513.99858922204</v>
      </c>
      <c r="G478">
        <v>0.0</v>
      </c>
      <c r="H478" s="134">
        <v>24442.12621631284</v>
      </c>
      <c r="I478">
        <v>31031.468078733007</v>
      </c>
      <c r="J478">
        <v>24692.93161592053</v>
      </c>
      <c r="K478">
        <v>16849.562755461935</v>
      </c>
      <c r="L478">
        <v>22572.485964691896</v>
      </c>
      <c r="M478" s="134">
        <v>11511.967841992868</v>
      </c>
      <c r="N478" s="159">
        <v>13247.0851974606</v>
      </c>
      <c r="O478">
        <v>10123.417947801214</v>
      </c>
      <c r="P478">
        <f t="shared" si="961"/>
        <v>235960</v>
      </c>
      <c r="T478" s="1" t="s">
        <v>5742</v>
      </c>
      <c r="U478" s="1">
        <v>66092.0</v>
      </c>
      <c r="W478" s="1">
        <v>39960.0</v>
      </c>
      <c r="Y478" s="1">
        <v>89936.0</v>
      </c>
      <c r="AA478" s="1">
        <v>106917.0</v>
      </c>
      <c r="AC478" s="1">
        <v>106724.0</v>
      </c>
      <c r="AE478" s="1">
        <v>136811.0</v>
      </c>
      <c r="AH478" s="1">
        <v>10578.0</v>
      </c>
      <c r="AJ478" s="1">
        <v>1009430.0</v>
      </c>
    </row>
    <row r="479">
      <c r="B479" s="23" t="s">
        <v>5598</v>
      </c>
      <c r="D479" s="18">
        <f t="shared" ref="D479:F479" si="976">SUM(D474,D475,D478)</f>
        <v>2322558.907</v>
      </c>
      <c r="E479" s="18">
        <f t="shared" si="976"/>
        <v>3095406.666</v>
      </c>
      <c r="F479" s="18">
        <f t="shared" si="976"/>
        <v>1757073.324</v>
      </c>
      <c r="G479" s="18"/>
      <c r="H479" s="18">
        <f t="shared" ref="H479:O479" si="977">SUM(H474,H475,H478)</f>
        <v>2236373.678</v>
      </c>
      <c r="I479" s="18">
        <f t="shared" si="977"/>
        <v>4091294.487</v>
      </c>
      <c r="J479" s="18">
        <f t="shared" si="977"/>
        <v>2568364.604</v>
      </c>
      <c r="K479" s="18">
        <f t="shared" si="977"/>
        <v>2629703.89</v>
      </c>
      <c r="L479" s="18">
        <f t="shared" si="977"/>
        <v>2222372.232</v>
      </c>
      <c r="M479" s="18">
        <f t="shared" si="977"/>
        <v>1808592.306</v>
      </c>
      <c r="N479" s="18">
        <f t="shared" si="977"/>
        <v>1446685.228</v>
      </c>
      <c r="O479" s="18">
        <f t="shared" si="977"/>
        <v>1454499.417</v>
      </c>
      <c r="P479">
        <f t="shared" si="961"/>
        <v>25632924.74</v>
      </c>
      <c r="U479" s="1">
        <v>11430.0</v>
      </c>
      <c r="V479" s="1">
        <v>57685.0</v>
      </c>
      <c r="W479" s="1">
        <v>97888.0</v>
      </c>
      <c r="Y479" s="1">
        <v>26083.0</v>
      </c>
      <c r="AA479" s="1">
        <v>52702.0</v>
      </c>
      <c r="AB479" s="1">
        <v>4403.0</v>
      </c>
      <c r="AE479" s="1">
        <v>109785.0</v>
      </c>
      <c r="AG479" s="1">
        <v>19693.0</v>
      </c>
    </row>
    <row r="480">
      <c r="B480" s="1" t="s">
        <v>5599</v>
      </c>
      <c r="D480">
        <f t="shared" ref="D480:F480" si="978">SUM(D472,D476,D478)</f>
        <v>2115459.093</v>
      </c>
      <c r="E480">
        <f t="shared" si="978"/>
        <v>2815689.151</v>
      </c>
      <c r="F480">
        <f t="shared" si="978"/>
        <v>1599022.477</v>
      </c>
      <c r="H480">
        <f t="shared" ref="H480:O480" si="979">SUM(H472,H476,H478)</f>
        <v>2035288.992</v>
      </c>
      <c r="I480">
        <f t="shared" si="979"/>
        <v>3722179.667</v>
      </c>
      <c r="J480">
        <f t="shared" si="979"/>
        <v>2337121.725</v>
      </c>
      <c r="K480">
        <f t="shared" si="979"/>
        <v>2392171.678</v>
      </c>
      <c r="L480">
        <f t="shared" si="979"/>
        <v>2022390.437</v>
      </c>
      <c r="M480">
        <f t="shared" si="979"/>
        <v>1645221.366</v>
      </c>
      <c r="N480">
        <f t="shared" si="979"/>
        <v>1316372.669</v>
      </c>
      <c r="O480">
        <f t="shared" si="979"/>
        <v>1323192.508</v>
      </c>
      <c r="P480">
        <f t="shared" si="961"/>
        <v>23324109.76</v>
      </c>
      <c r="U480" s="97">
        <f t="shared" ref="U480:U481" si="982">U478-U470</f>
        <v>761</v>
      </c>
      <c r="V480" s="97"/>
      <c r="W480" s="97">
        <f t="shared" ref="W480:W481" si="983">W478-W470</f>
        <v>165</v>
      </c>
      <c r="X480" s="97"/>
      <c r="Y480" s="97">
        <f t="shared" ref="Y480:Y481" si="984">Y478-Y470</f>
        <v>990</v>
      </c>
      <c r="Z480" s="97"/>
      <c r="AA480" s="97">
        <f t="shared" ref="AA480:AA481" si="985">AA478-AA470</f>
        <v>1018</v>
      </c>
      <c r="AB480" s="97"/>
      <c r="AC480" s="97">
        <f>AC478-AC470</f>
        <v>736</v>
      </c>
      <c r="AD480" s="97"/>
      <c r="AE480" s="97">
        <f t="shared" ref="AE480:AE481" si="986">AE478-AE470</f>
        <v>1155</v>
      </c>
      <c r="AF480" s="97"/>
      <c r="AG480" s="97"/>
      <c r="AH480" s="97">
        <f>AH478-AH470</f>
        <v>137</v>
      </c>
    </row>
    <row r="481">
      <c r="B481" s="1" t="s">
        <v>5601</v>
      </c>
      <c r="D481">
        <f t="shared" ref="D481:F481" si="980">SUM(D472,D476)</f>
        <v>2070998.136</v>
      </c>
      <c r="E481">
        <f t="shared" si="980"/>
        <v>2797175.152</v>
      </c>
      <c r="F481">
        <f t="shared" si="980"/>
        <v>1580508.478</v>
      </c>
      <c r="H481">
        <f t="shared" ref="H481:O481" si="981">SUM(H472,H476)</f>
        <v>2010846.865</v>
      </c>
      <c r="I481">
        <f t="shared" si="981"/>
        <v>3691148.199</v>
      </c>
      <c r="J481">
        <f t="shared" si="981"/>
        <v>2312428.793</v>
      </c>
      <c r="K481">
        <f t="shared" si="981"/>
        <v>2375322.115</v>
      </c>
      <c r="L481">
        <f t="shared" si="981"/>
        <v>1999817.951</v>
      </c>
      <c r="M481">
        <f t="shared" si="981"/>
        <v>1633709.398</v>
      </c>
      <c r="N481">
        <f t="shared" si="981"/>
        <v>1303125.584</v>
      </c>
      <c r="O481">
        <f t="shared" si="981"/>
        <v>1313069.09</v>
      </c>
      <c r="P481">
        <f t="shared" si="961"/>
        <v>23088149.76</v>
      </c>
      <c r="U481" s="167">
        <f t="shared" si="982"/>
        <v>152</v>
      </c>
      <c r="V481" s="167">
        <f>(V479-V471)</f>
        <v>573</v>
      </c>
      <c r="W481" s="167">
        <f t="shared" si="983"/>
        <v>408</v>
      </c>
      <c r="X481" s="168">
        <f>W480</f>
        <v>165</v>
      </c>
      <c r="Y481" s="167">
        <f t="shared" si="984"/>
        <v>362</v>
      </c>
      <c r="Z481" s="169">
        <f>Y480-Y481</f>
        <v>628</v>
      </c>
      <c r="AA481" s="167">
        <f t="shared" si="985"/>
        <v>697</v>
      </c>
      <c r="AB481" s="167">
        <f>AB479-AB471</f>
        <v>368</v>
      </c>
      <c r="AC481" s="167">
        <f>(AC480)*73.9/(73.9+99)</f>
        <v>314.5772123</v>
      </c>
      <c r="AD481" s="167">
        <f>(AC480)*99/(73.9+99)</f>
        <v>421.4227877</v>
      </c>
      <c r="AE481" s="167">
        <f t="shared" si="986"/>
        <v>441</v>
      </c>
      <c r="AF481" s="169">
        <f>AE480-AE481-AG481-50</f>
        <v>472</v>
      </c>
      <c r="AG481" s="167">
        <f>AG479-AG471</f>
        <v>192</v>
      </c>
      <c r="AH481" s="96">
        <v>137.0</v>
      </c>
      <c r="AI481" s="18">
        <f t="shared" ref="AI481:AI482" si="990">SUM(U481:AH481)</f>
        <v>5331</v>
      </c>
    </row>
    <row r="482">
      <c r="B482" s="1" t="s">
        <v>5582</v>
      </c>
      <c r="D482">
        <f t="shared" ref="D482:F482" si="987">SUM(D473,D477)</f>
        <v>207099.8136</v>
      </c>
      <c r="E482">
        <f t="shared" si="987"/>
        <v>279717.5152</v>
      </c>
      <c r="F482">
        <f t="shared" si="987"/>
        <v>158050.8478</v>
      </c>
      <c r="H482">
        <f t="shared" ref="H482:O482" si="988">SUM(H473,H477)</f>
        <v>201084.6865</v>
      </c>
      <c r="I482">
        <f t="shared" si="988"/>
        <v>369114.8199</v>
      </c>
      <c r="J482">
        <f t="shared" si="988"/>
        <v>231242.8793</v>
      </c>
      <c r="K482">
        <f t="shared" si="988"/>
        <v>237532.2115</v>
      </c>
      <c r="L482">
        <f t="shared" si="988"/>
        <v>199981.7951</v>
      </c>
      <c r="M482">
        <f t="shared" si="988"/>
        <v>163370.9398</v>
      </c>
      <c r="N482">
        <f t="shared" si="988"/>
        <v>130312.5584</v>
      </c>
      <c r="O482">
        <f t="shared" si="988"/>
        <v>131306.909</v>
      </c>
      <c r="P482">
        <f t="shared" si="961"/>
        <v>2308814.976</v>
      </c>
      <c r="U482" s="162">
        <f t="shared" ref="U482:AH482" si="989">U481*1009430/5331</f>
        <v>28781.34684</v>
      </c>
      <c r="V482" s="162">
        <f t="shared" si="989"/>
        <v>108498.1035</v>
      </c>
      <c r="W482" s="162">
        <f t="shared" si="989"/>
        <v>77255.19415</v>
      </c>
      <c r="X482" s="162">
        <f t="shared" si="989"/>
        <v>31242.9094</v>
      </c>
      <c r="Y482" s="162">
        <f t="shared" si="989"/>
        <v>68545.04971</v>
      </c>
      <c r="Z482" s="162">
        <f t="shared" si="989"/>
        <v>118912.4067</v>
      </c>
      <c r="AA482" s="162">
        <f t="shared" si="989"/>
        <v>131977.6233</v>
      </c>
      <c r="AB482" s="162">
        <f t="shared" si="989"/>
        <v>69681.15551</v>
      </c>
      <c r="AC482" s="162">
        <f t="shared" si="989"/>
        <v>59565.49904</v>
      </c>
      <c r="AD482" s="162">
        <f t="shared" si="989"/>
        <v>79796.81197</v>
      </c>
      <c r="AE482" s="162">
        <f t="shared" si="989"/>
        <v>83503.77603</v>
      </c>
      <c r="AF482" s="162">
        <f t="shared" si="989"/>
        <v>89373.65597</v>
      </c>
      <c r="AG482" s="162">
        <f t="shared" si="989"/>
        <v>36355.38548</v>
      </c>
      <c r="AH482" s="162">
        <f t="shared" si="989"/>
        <v>25941.08235</v>
      </c>
      <c r="AI482" s="18">
        <f t="shared" si="990"/>
        <v>1009430</v>
      </c>
    </row>
    <row r="483">
      <c r="B483" s="1" t="s">
        <v>5602</v>
      </c>
      <c r="D483">
        <f t="shared" ref="D483:F483" si="991">SUM(D481:D482)</f>
        <v>2278097.949</v>
      </c>
      <c r="E483">
        <f t="shared" si="991"/>
        <v>3076892.667</v>
      </c>
      <c r="F483">
        <f t="shared" si="991"/>
        <v>1738559.326</v>
      </c>
      <c r="H483">
        <f t="shared" ref="H483:O483" si="992">SUM(H481:H482)</f>
        <v>2211931.552</v>
      </c>
      <c r="I483">
        <f t="shared" si="992"/>
        <v>4060263.019</v>
      </c>
      <c r="J483">
        <f t="shared" si="992"/>
        <v>2543671.672</v>
      </c>
      <c r="K483">
        <f t="shared" si="992"/>
        <v>2612854.327</v>
      </c>
      <c r="L483">
        <f t="shared" si="992"/>
        <v>2199799.746</v>
      </c>
      <c r="M483">
        <f t="shared" si="992"/>
        <v>1797080.338</v>
      </c>
      <c r="N483">
        <f t="shared" si="992"/>
        <v>1433438.142</v>
      </c>
      <c r="O483">
        <f t="shared" si="992"/>
        <v>1444375.999</v>
      </c>
      <c r="P483">
        <f t="shared" si="961"/>
        <v>25396964.74</v>
      </c>
      <c r="U483">
        <v>28781.346839242167</v>
      </c>
      <c r="V483" s="136">
        <v>108498.10354530107</v>
      </c>
      <c r="W483" s="136">
        <v>77255.1941474395</v>
      </c>
      <c r="X483" s="136">
        <v>31242.909397861564</v>
      </c>
      <c r="Y483" s="164">
        <f t="shared" ref="Y483:AG483" si="993">Y482+2882</f>
        <v>71427.04971</v>
      </c>
      <c r="Z483" s="164">
        <f t="shared" si="993"/>
        <v>121794.4067</v>
      </c>
      <c r="AA483" s="165">
        <f t="shared" si="993"/>
        <v>134859.6233</v>
      </c>
      <c r="AB483" s="164">
        <f t="shared" si="993"/>
        <v>72563.15551</v>
      </c>
      <c r="AC483" s="164">
        <f t="shared" si="993"/>
        <v>62447.49904</v>
      </c>
      <c r="AD483" s="164">
        <f t="shared" si="993"/>
        <v>82678.81197</v>
      </c>
      <c r="AE483" s="164">
        <f t="shared" si="993"/>
        <v>86385.77603</v>
      </c>
      <c r="AF483" s="164">
        <f t="shared" si="993"/>
        <v>92255.65597</v>
      </c>
      <c r="AG483" s="164">
        <f t="shared" si="993"/>
        <v>39237.38548</v>
      </c>
      <c r="AH483">
        <f>AH482/9</f>
        <v>2882.342483</v>
      </c>
      <c r="AI483" s="18">
        <f>SUM(U483:AG483)</f>
        <v>1009426.918</v>
      </c>
    </row>
    <row r="484">
      <c r="B484" s="1"/>
      <c r="D484" s="1" t="s">
        <v>5566</v>
      </c>
      <c r="E484" s="1" t="s">
        <v>5566</v>
      </c>
      <c r="F484" s="1" t="s">
        <v>5566</v>
      </c>
      <c r="H484" s="1" t="s">
        <v>5566</v>
      </c>
      <c r="I484" s="1" t="s">
        <v>5566</v>
      </c>
      <c r="J484" s="1" t="s">
        <v>5566</v>
      </c>
      <c r="K484" s="33" t="s">
        <v>5566</v>
      </c>
      <c r="L484" s="1" t="s">
        <v>5566</v>
      </c>
      <c r="M484" s="1" t="s">
        <v>5566</v>
      </c>
      <c r="N484" s="33" t="s">
        <v>5566</v>
      </c>
      <c r="O484" s="1" t="s">
        <v>5566</v>
      </c>
      <c r="AA484" s="166">
        <f>AA483+U483</f>
        <v>163640.9702</v>
      </c>
    </row>
    <row r="485">
      <c r="B485" s="1"/>
      <c r="H485" s="1"/>
      <c r="M485" s="1"/>
      <c r="N485" s="33"/>
    </row>
    <row r="486">
      <c r="B486" s="1"/>
      <c r="H486" s="1"/>
      <c r="M486" s="1"/>
      <c r="N486" s="33"/>
      <c r="T486" s="1" t="s">
        <v>5743</v>
      </c>
      <c r="U486" s="1">
        <v>66941.0</v>
      </c>
      <c r="W486" s="1">
        <v>40124.0</v>
      </c>
      <c r="Y486" s="1">
        <v>91165.0</v>
      </c>
      <c r="AA486" s="1">
        <v>108228.0</v>
      </c>
      <c r="AC486" s="1">
        <v>107873.0</v>
      </c>
      <c r="AE486" s="1">
        <v>137943.0</v>
      </c>
      <c r="AH486" s="1">
        <v>10733.0</v>
      </c>
      <c r="AJ486" s="1">
        <v>1274300.0</v>
      </c>
    </row>
    <row r="487">
      <c r="B487" s="1" t="s">
        <v>5744</v>
      </c>
      <c r="D487" s="1">
        <v>1900000.0</v>
      </c>
      <c r="E487" s="1">
        <v>2700000.0</v>
      </c>
      <c r="F487" s="1">
        <v>1550000.0</v>
      </c>
      <c r="H487" s="1">
        <v>1960000.0</v>
      </c>
      <c r="I487" s="1">
        <v>3500000.0</v>
      </c>
      <c r="J487" s="1">
        <v>2200000.0</v>
      </c>
      <c r="K487" s="1">
        <v>2300000.0</v>
      </c>
      <c r="L487" s="1">
        <v>1900000.0</v>
      </c>
      <c r="M487" s="1">
        <v>1500000.0</v>
      </c>
      <c r="N487" s="33">
        <v>1260000.0</v>
      </c>
      <c r="O487" s="1">
        <v>1240000.0</v>
      </c>
      <c r="P487">
        <f t="shared" ref="P487:P495" si="996">SUM(D487:O487)</f>
        <v>22010000</v>
      </c>
      <c r="U487" s="1">
        <v>11617.0</v>
      </c>
      <c r="V487" s="1">
        <v>58304.0</v>
      </c>
      <c r="W487" s="1">
        <v>98405.0</v>
      </c>
      <c r="Y487" s="1">
        <v>26562.0</v>
      </c>
      <c r="AA487" s="1">
        <v>53584.0</v>
      </c>
      <c r="AB487" s="1">
        <v>4907.0</v>
      </c>
      <c r="AE487" s="1">
        <v>110417.0</v>
      </c>
      <c r="AG487" s="1">
        <v>19943.0</v>
      </c>
    </row>
    <row r="488">
      <c r="B488" s="1" t="s">
        <v>5499</v>
      </c>
      <c r="D488" s="1">
        <f t="shared" ref="D488:F488" si="994">D487*0.1</f>
        <v>190000</v>
      </c>
      <c r="E488" s="1">
        <f t="shared" si="994"/>
        <v>270000</v>
      </c>
      <c r="F488" s="1">
        <f t="shared" si="994"/>
        <v>155000</v>
      </c>
      <c r="H488" s="1">
        <f t="shared" ref="H488:O488" si="995">H487*0.1</f>
        <v>196000</v>
      </c>
      <c r="I488" s="1">
        <f t="shared" si="995"/>
        <v>350000</v>
      </c>
      <c r="J488" s="1">
        <f t="shared" si="995"/>
        <v>220000</v>
      </c>
      <c r="K488" s="1">
        <f t="shared" si="995"/>
        <v>230000</v>
      </c>
      <c r="L488" s="1">
        <f t="shared" si="995"/>
        <v>190000</v>
      </c>
      <c r="M488" s="1">
        <f t="shared" si="995"/>
        <v>150000</v>
      </c>
      <c r="N488" s="1">
        <f t="shared" si="995"/>
        <v>126000</v>
      </c>
      <c r="O488" s="1">
        <f t="shared" si="995"/>
        <v>124000</v>
      </c>
      <c r="P488">
        <f t="shared" si="996"/>
        <v>2201000</v>
      </c>
      <c r="U488" s="97">
        <f t="shared" ref="U488:U489" si="999">U486-U478</f>
        <v>849</v>
      </c>
      <c r="V488" s="97"/>
      <c r="W488" s="97">
        <f t="shared" ref="W488:W489" si="1000">W486-W478</f>
        <v>164</v>
      </c>
      <c r="X488" s="97"/>
      <c r="Y488" s="97">
        <f t="shared" ref="Y488:Y489" si="1001">Y486-Y478</f>
        <v>1229</v>
      </c>
      <c r="Z488" s="97"/>
      <c r="AA488" s="97">
        <f t="shared" ref="AA488:AA489" si="1002">AA486-AA478</f>
        <v>1311</v>
      </c>
      <c r="AB488" s="97"/>
      <c r="AC488" s="97">
        <f>AC486-AC478</f>
        <v>1149</v>
      </c>
      <c r="AD488" s="97"/>
      <c r="AE488" s="97">
        <f t="shared" ref="AE488:AE489" si="1003">AE486-AE478</f>
        <v>1132</v>
      </c>
      <c r="AF488" s="97"/>
      <c r="AG488" s="97"/>
      <c r="AH488" s="97">
        <f>AH486-AH478</f>
        <v>155</v>
      </c>
    </row>
    <row r="489">
      <c r="B489" s="1" t="s">
        <v>5520</v>
      </c>
      <c r="D489">
        <f t="shared" ref="D489:F489" si="997">D487+D488</f>
        <v>2090000</v>
      </c>
      <c r="E489">
        <f t="shared" si="997"/>
        <v>2970000</v>
      </c>
      <c r="F489">
        <f t="shared" si="997"/>
        <v>1705000</v>
      </c>
      <c r="H489">
        <f t="shared" ref="H489:O489" si="998">H487+H488</f>
        <v>2156000</v>
      </c>
      <c r="I489">
        <f t="shared" si="998"/>
        <v>3850000</v>
      </c>
      <c r="J489">
        <f t="shared" si="998"/>
        <v>2420000</v>
      </c>
      <c r="K489">
        <f t="shared" si="998"/>
        <v>2530000</v>
      </c>
      <c r="L489">
        <f t="shared" si="998"/>
        <v>2090000</v>
      </c>
      <c r="M489">
        <f t="shared" si="998"/>
        <v>1650000</v>
      </c>
      <c r="N489">
        <f t="shared" si="998"/>
        <v>1386000</v>
      </c>
      <c r="O489">
        <f t="shared" si="998"/>
        <v>1364000</v>
      </c>
      <c r="P489">
        <f t="shared" si="996"/>
        <v>24211000</v>
      </c>
      <c r="U489" s="167">
        <f t="shared" si="999"/>
        <v>187</v>
      </c>
      <c r="V489" s="167">
        <f>(V487-V479)</f>
        <v>619</v>
      </c>
      <c r="W489" s="167">
        <f t="shared" si="1000"/>
        <v>517</v>
      </c>
      <c r="X489" s="168">
        <f>W488</f>
        <v>164</v>
      </c>
      <c r="Y489" s="167">
        <f t="shared" si="1001"/>
        <v>479</v>
      </c>
      <c r="Z489" s="169">
        <f>Y488-Y489</f>
        <v>750</v>
      </c>
      <c r="AA489" s="167">
        <f t="shared" si="1002"/>
        <v>882</v>
      </c>
      <c r="AB489" s="167">
        <f>AB487-AB479</f>
        <v>504</v>
      </c>
      <c r="AC489" s="167">
        <f>(AC488)*73.9/(73.9+99)</f>
        <v>491.0994795</v>
      </c>
      <c r="AD489" s="167">
        <f>(AC488)*99/(73.9+99)</f>
        <v>657.9005205</v>
      </c>
      <c r="AE489" s="167">
        <f t="shared" si="1003"/>
        <v>632</v>
      </c>
      <c r="AF489" s="169">
        <f>AE488-AE489-AG489-50</f>
        <v>200</v>
      </c>
      <c r="AG489" s="167">
        <f>AG487-AG479</f>
        <v>250</v>
      </c>
      <c r="AH489" s="96">
        <v>155.0</v>
      </c>
      <c r="AI489" s="18">
        <f t="shared" ref="AI489:AI490" si="1005">SUM(U489:AH489)</f>
        <v>6488</v>
      </c>
    </row>
    <row r="490">
      <c r="B490" s="1" t="s">
        <v>5545</v>
      </c>
      <c r="D490">
        <v>143108.88513513515</v>
      </c>
      <c r="E490">
        <v>78528.37355212355</v>
      </c>
      <c r="F490">
        <v>29233.190154440155</v>
      </c>
      <c r="H490" s="134">
        <v>29400.124517374516</v>
      </c>
      <c r="I490">
        <v>159898.61389961388</v>
      </c>
      <c r="J490">
        <v>75638.24227799228</v>
      </c>
      <c r="K490">
        <v>53447.77371536206</v>
      </c>
      <c r="L490">
        <v>70506.18670934837</v>
      </c>
      <c r="M490" s="134">
        <v>79459.57432432432</v>
      </c>
      <c r="N490" s="159">
        <v>46596.11872586873</v>
      </c>
      <c r="O490">
        <v>25960.925675675677</v>
      </c>
      <c r="P490">
        <f t="shared" si="996"/>
        <v>791778.0087</v>
      </c>
      <c r="U490" s="162">
        <f t="shared" ref="U490:AH490" si="1004">U489*1274300/6488</f>
        <v>36728.43711</v>
      </c>
      <c r="V490" s="162">
        <f t="shared" si="1004"/>
        <v>121577.0191</v>
      </c>
      <c r="W490" s="162">
        <f t="shared" si="1004"/>
        <v>101543.3261</v>
      </c>
      <c r="X490" s="162">
        <f t="shared" si="1004"/>
        <v>32211.03576</v>
      </c>
      <c r="Y490" s="162">
        <f t="shared" si="1004"/>
        <v>94079.79346</v>
      </c>
      <c r="Z490" s="162">
        <f t="shared" si="1004"/>
        <v>147306.566</v>
      </c>
      <c r="AA490" s="162">
        <f t="shared" si="1004"/>
        <v>173232.5216</v>
      </c>
      <c r="AB490" s="162">
        <f t="shared" si="1004"/>
        <v>98990.01233</v>
      </c>
      <c r="AC490" s="162">
        <f t="shared" si="1004"/>
        <v>96456.23716</v>
      </c>
      <c r="AD490" s="162">
        <f t="shared" si="1004"/>
        <v>129217.4219</v>
      </c>
      <c r="AE490" s="162">
        <f t="shared" si="1004"/>
        <v>124130.3329</v>
      </c>
      <c r="AF490" s="162">
        <f t="shared" si="1004"/>
        <v>39281.75092</v>
      </c>
      <c r="AG490" s="162">
        <f t="shared" si="1004"/>
        <v>49102.18866</v>
      </c>
      <c r="AH490" s="162">
        <f t="shared" si="1004"/>
        <v>30443.35697</v>
      </c>
      <c r="AI490" s="18">
        <f t="shared" si="1005"/>
        <v>1274300</v>
      </c>
    </row>
    <row r="491">
      <c r="D491">
        <f t="shared" ref="D491:F491" si="1006">D490-D492</f>
        <v>130098.9865</v>
      </c>
      <c r="E491">
        <f t="shared" si="1006"/>
        <v>71389.4305</v>
      </c>
      <c r="F491">
        <f t="shared" si="1006"/>
        <v>26575.62741</v>
      </c>
      <c r="H491">
        <f t="shared" ref="H491:O491" si="1007">H490-H492</f>
        <v>26727.38592</v>
      </c>
      <c r="I491">
        <f t="shared" si="1007"/>
        <v>145362.3763</v>
      </c>
      <c r="J491">
        <f t="shared" si="1007"/>
        <v>68762.03843</v>
      </c>
      <c r="K491">
        <f t="shared" si="1007"/>
        <v>48588.8852</v>
      </c>
      <c r="L491">
        <f t="shared" si="1007"/>
        <v>64096.53337</v>
      </c>
      <c r="M491">
        <f t="shared" si="1007"/>
        <v>72235.97666</v>
      </c>
      <c r="N491">
        <f t="shared" si="1007"/>
        <v>42360.10793</v>
      </c>
      <c r="O491">
        <f t="shared" si="1007"/>
        <v>23600.84152</v>
      </c>
      <c r="P491">
        <f t="shared" si="996"/>
        <v>719798.1897</v>
      </c>
      <c r="U491">
        <v>36728.437114673245</v>
      </c>
      <c r="V491" s="136">
        <v>121577.01911220716</v>
      </c>
      <c r="W491" s="136">
        <v>101543.3261405672</v>
      </c>
      <c r="X491" s="136">
        <v>32211.035758323058</v>
      </c>
      <c r="Y491" s="164">
        <f t="shared" ref="Y491:AG491" si="1008">Y490+3382</f>
        <v>97461.79346</v>
      </c>
      <c r="Z491" s="164">
        <f t="shared" si="1008"/>
        <v>150688.566</v>
      </c>
      <c r="AA491" s="165">
        <f t="shared" si="1008"/>
        <v>176614.5216</v>
      </c>
      <c r="AB491" s="164">
        <f t="shared" si="1008"/>
        <v>102372.0123</v>
      </c>
      <c r="AC491" s="164">
        <f t="shared" si="1008"/>
        <v>99838.23716</v>
      </c>
      <c r="AD491" s="164">
        <f t="shared" si="1008"/>
        <v>132599.4219</v>
      </c>
      <c r="AE491" s="164">
        <f t="shared" si="1008"/>
        <v>127512.3329</v>
      </c>
      <c r="AF491" s="164">
        <f t="shared" si="1008"/>
        <v>42663.75092</v>
      </c>
      <c r="AG491" s="164">
        <f t="shared" si="1008"/>
        <v>52484.18866</v>
      </c>
      <c r="AH491">
        <f>AH490/9</f>
        <v>3382.595219</v>
      </c>
      <c r="AI491" s="18">
        <f>SUM(U491:AG491)</f>
        <v>1274294.643</v>
      </c>
    </row>
    <row r="492">
      <c r="B492" s="1" t="s">
        <v>5499</v>
      </c>
      <c r="D492">
        <f t="shared" ref="D492:F492" si="1009">D490/11</f>
        <v>13009.89865</v>
      </c>
      <c r="E492">
        <f t="shared" si="1009"/>
        <v>7138.94305</v>
      </c>
      <c r="F492">
        <f t="shared" si="1009"/>
        <v>2657.562741</v>
      </c>
      <c r="H492">
        <f t="shared" ref="H492:O492" si="1010">H490/11</f>
        <v>2672.738592</v>
      </c>
      <c r="I492">
        <f t="shared" si="1010"/>
        <v>14536.23763</v>
      </c>
      <c r="J492">
        <f t="shared" si="1010"/>
        <v>6876.203843</v>
      </c>
      <c r="K492">
        <f t="shared" si="1010"/>
        <v>4858.88852</v>
      </c>
      <c r="L492">
        <f t="shared" si="1010"/>
        <v>6409.653337</v>
      </c>
      <c r="M492">
        <f t="shared" si="1010"/>
        <v>7223.597666</v>
      </c>
      <c r="N492">
        <f t="shared" si="1010"/>
        <v>4236.010793</v>
      </c>
      <c r="O492">
        <f t="shared" si="1010"/>
        <v>2360.084152</v>
      </c>
      <c r="P492">
        <f t="shared" si="996"/>
        <v>71979.81897</v>
      </c>
      <c r="AA492" s="166">
        <f>AA491+U491</f>
        <v>213342.9587</v>
      </c>
    </row>
    <row r="493">
      <c r="B493" s="23" t="s">
        <v>5528</v>
      </c>
      <c r="D493" s="145">
        <f t="shared" ref="D493:F493" si="1011">SUM(D489,D490)</f>
        <v>2233108.885</v>
      </c>
      <c r="E493" s="18">
        <f t="shared" si="1011"/>
        <v>3048528.374</v>
      </c>
      <c r="F493" s="18">
        <f t="shared" si="1011"/>
        <v>1734233.19</v>
      </c>
      <c r="G493" s="18"/>
      <c r="H493" s="18">
        <f t="shared" ref="H493:O493" si="1012">SUM(H489,H490)</f>
        <v>2185400.125</v>
      </c>
      <c r="I493" s="18">
        <f t="shared" si="1012"/>
        <v>4009898.614</v>
      </c>
      <c r="J493" s="18">
        <f t="shared" si="1012"/>
        <v>2495638.242</v>
      </c>
      <c r="K493" s="18">
        <f t="shared" si="1012"/>
        <v>2583447.774</v>
      </c>
      <c r="L493" s="18">
        <f t="shared" si="1012"/>
        <v>2160506.187</v>
      </c>
      <c r="M493" s="18">
        <f t="shared" si="1012"/>
        <v>1729459.574</v>
      </c>
      <c r="N493" s="18">
        <f t="shared" si="1012"/>
        <v>1432596.119</v>
      </c>
      <c r="O493" s="18">
        <f t="shared" si="1012"/>
        <v>1389960.926</v>
      </c>
      <c r="P493">
        <f t="shared" si="996"/>
        <v>25002778.01</v>
      </c>
    </row>
    <row r="494">
      <c r="B494" s="1" t="s">
        <v>5580</v>
      </c>
      <c r="D494">
        <f t="shared" ref="D494:F494" si="1013">D487+D491</f>
        <v>2030098.986</v>
      </c>
      <c r="E494" s="18">
        <f t="shared" si="1013"/>
        <v>2771389.431</v>
      </c>
      <c r="F494">
        <f t="shared" si="1013"/>
        <v>1576575.627</v>
      </c>
      <c r="H494">
        <f t="shared" ref="H494:O494" si="1014">H487+H491</f>
        <v>1986727.386</v>
      </c>
      <c r="I494">
        <f t="shared" si="1014"/>
        <v>3645362.376</v>
      </c>
      <c r="J494">
        <f t="shared" si="1014"/>
        <v>2268762.038</v>
      </c>
      <c r="K494">
        <f t="shared" si="1014"/>
        <v>2348588.885</v>
      </c>
      <c r="L494">
        <f t="shared" si="1014"/>
        <v>1964096.533</v>
      </c>
      <c r="M494">
        <f t="shared" si="1014"/>
        <v>1572235.977</v>
      </c>
      <c r="N494">
        <f t="shared" si="1014"/>
        <v>1302360.108</v>
      </c>
      <c r="O494">
        <f t="shared" si="1014"/>
        <v>1263600.842</v>
      </c>
      <c r="P494">
        <f t="shared" si="996"/>
        <v>22729798.19</v>
      </c>
      <c r="T494" s="1" t="s">
        <v>5745</v>
      </c>
      <c r="U494" s="1">
        <v>67804.0</v>
      </c>
      <c r="W494" s="1">
        <v>40257.0</v>
      </c>
      <c r="Y494" s="1">
        <v>92419.0</v>
      </c>
      <c r="AA494" s="1">
        <v>109749.0</v>
      </c>
      <c r="AC494" s="1">
        <v>109528.0</v>
      </c>
      <c r="AE494" s="1">
        <v>139050.0</v>
      </c>
      <c r="AH494" s="1">
        <v>10880.0</v>
      </c>
      <c r="AJ494" s="1">
        <v>1461680.0</v>
      </c>
      <c r="AL494" s="1">
        <v>8789.0</v>
      </c>
    </row>
    <row r="495">
      <c r="B495" s="1" t="s">
        <v>5582</v>
      </c>
      <c r="D495">
        <f t="shared" ref="D495:F495" si="1015">D488+D492</f>
        <v>203009.8986</v>
      </c>
      <c r="E495" s="18">
        <f t="shared" si="1015"/>
        <v>277138.9431</v>
      </c>
      <c r="F495">
        <f t="shared" si="1015"/>
        <v>157657.5627</v>
      </c>
      <c r="H495">
        <f t="shared" ref="H495:O495" si="1016">H488+H492</f>
        <v>198672.7386</v>
      </c>
      <c r="I495">
        <f t="shared" si="1016"/>
        <v>364536.2376</v>
      </c>
      <c r="J495">
        <f t="shared" si="1016"/>
        <v>226876.2038</v>
      </c>
      <c r="K495">
        <f t="shared" si="1016"/>
        <v>234858.8885</v>
      </c>
      <c r="L495">
        <f t="shared" si="1016"/>
        <v>196409.6533</v>
      </c>
      <c r="M495">
        <f t="shared" si="1016"/>
        <v>157223.5977</v>
      </c>
      <c r="N495">
        <f t="shared" si="1016"/>
        <v>130236.0108</v>
      </c>
      <c r="O495">
        <f t="shared" si="1016"/>
        <v>126360.0842</v>
      </c>
      <c r="P495">
        <f t="shared" si="996"/>
        <v>2272979.819</v>
      </c>
      <c r="U495" s="1">
        <v>11794.0</v>
      </c>
      <c r="V495" s="1">
        <v>58950.0</v>
      </c>
      <c r="W495" s="1">
        <v>98988.0</v>
      </c>
      <c r="Y495" s="1">
        <v>26981.0</v>
      </c>
      <c r="AA495" s="1">
        <v>54546.0</v>
      </c>
      <c r="AB495" s="1">
        <v>5471.0</v>
      </c>
      <c r="AE495" s="1">
        <v>111216.0</v>
      </c>
      <c r="AG495" s="1">
        <v>20203.0</v>
      </c>
    </row>
    <row r="496">
      <c r="B496" s="1"/>
      <c r="D496" s="1" t="s">
        <v>5566</v>
      </c>
      <c r="E496" s="1" t="s">
        <v>5566</v>
      </c>
      <c r="F496" s="1" t="s">
        <v>5566</v>
      </c>
      <c r="H496" s="1" t="s">
        <v>5566</v>
      </c>
      <c r="I496" s="1" t="s">
        <v>5566</v>
      </c>
      <c r="J496" s="1" t="s">
        <v>5566</v>
      </c>
      <c r="K496" s="33" t="s">
        <v>5566</v>
      </c>
      <c r="L496" s="1" t="s">
        <v>5566</v>
      </c>
      <c r="M496" s="1" t="s">
        <v>5566</v>
      </c>
      <c r="N496" s="33" t="s">
        <v>5566</v>
      </c>
      <c r="O496" s="1" t="s">
        <v>5566</v>
      </c>
      <c r="U496" s="97">
        <f t="shared" ref="U496:U497" si="1017">U494-U486</f>
        <v>863</v>
      </c>
      <c r="V496" s="97"/>
      <c r="W496" s="97">
        <f t="shared" ref="W496:W497" si="1018">W494-W486</f>
        <v>133</v>
      </c>
      <c r="X496" s="97"/>
      <c r="Y496" s="97">
        <f t="shared" ref="Y496:Y497" si="1019">Y494-Y486</f>
        <v>1254</v>
      </c>
      <c r="Z496" s="97"/>
      <c r="AA496" s="97">
        <f t="shared" ref="AA496:AA497" si="1020">AA494-AA486</f>
        <v>1521</v>
      </c>
      <c r="AB496" s="97"/>
      <c r="AC496" s="97">
        <f>AC494-AC486</f>
        <v>1655</v>
      </c>
      <c r="AD496" s="97"/>
      <c r="AE496" s="97">
        <f t="shared" ref="AE496:AE497" si="1021">AE494-AE486</f>
        <v>1107</v>
      </c>
      <c r="AF496" s="97"/>
      <c r="AG496" s="97"/>
      <c r="AH496" s="97">
        <f>AH494-AH486</f>
        <v>147</v>
      </c>
    </row>
    <row r="497">
      <c r="B497" s="1"/>
      <c r="H497" s="1"/>
      <c r="M497" s="1"/>
      <c r="N497" s="33"/>
      <c r="U497" s="167">
        <f t="shared" si="1017"/>
        <v>177</v>
      </c>
      <c r="V497" s="167">
        <f>(V495-V487)</f>
        <v>646</v>
      </c>
      <c r="W497" s="167">
        <f t="shared" si="1018"/>
        <v>583</v>
      </c>
      <c r="X497" s="168">
        <f>W496</f>
        <v>133</v>
      </c>
      <c r="Y497" s="167">
        <f t="shared" si="1019"/>
        <v>419</v>
      </c>
      <c r="Z497" s="169">
        <f>Y496-Y497</f>
        <v>835</v>
      </c>
      <c r="AA497" s="167">
        <f t="shared" si="1020"/>
        <v>962</v>
      </c>
      <c r="AB497" s="167">
        <f>AB495-AB487</f>
        <v>564</v>
      </c>
      <c r="AC497" s="167">
        <f>(AC496)*73.9/(73.9+99)</f>
        <v>707.3713129</v>
      </c>
      <c r="AD497" s="167">
        <f>(AC496)*99/(73.9+99)</f>
        <v>947.6286871</v>
      </c>
      <c r="AE497" s="167">
        <f t="shared" si="1021"/>
        <v>799</v>
      </c>
      <c r="AF497" s="169">
        <f>AE496-AE497-AG497-48</f>
        <v>0</v>
      </c>
      <c r="AG497" s="167">
        <f>AG495-AG487</f>
        <v>260</v>
      </c>
      <c r="AH497" s="96">
        <v>147.0</v>
      </c>
      <c r="AI497" s="18">
        <f t="shared" ref="AI497:AI498" si="1023">SUM(U497:AH497)</f>
        <v>7180</v>
      </c>
    </row>
    <row r="498">
      <c r="B498" s="1"/>
      <c r="H498" s="1"/>
      <c r="M498" s="1"/>
      <c r="N498" s="33"/>
      <c r="U498" s="162">
        <f t="shared" ref="U498:AH498" si="1022">U497*1461680/7180</f>
        <v>36033.0585</v>
      </c>
      <c r="V498" s="162">
        <f t="shared" si="1022"/>
        <v>131510.4847</v>
      </c>
      <c r="W498" s="162">
        <f t="shared" si="1022"/>
        <v>118685.1588</v>
      </c>
      <c r="X498" s="162">
        <f t="shared" si="1022"/>
        <v>27075.68802</v>
      </c>
      <c r="Y498" s="162">
        <f t="shared" si="1022"/>
        <v>85298.5961</v>
      </c>
      <c r="Z498" s="162">
        <f t="shared" si="1022"/>
        <v>169986.4624</v>
      </c>
      <c r="AA498" s="162">
        <f t="shared" si="1022"/>
        <v>195840.6908</v>
      </c>
      <c r="AB498" s="162">
        <f t="shared" si="1022"/>
        <v>114817.2033</v>
      </c>
      <c r="AC498" s="162">
        <f t="shared" si="1022"/>
        <v>144004.248</v>
      </c>
      <c r="AD498" s="162">
        <f t="shared" si="1022"/>
        <v>192915.0278</v>
      </c>
      <c r="AE498" s="162">
        <f t="shared" si="1022"/>
        <v>162657.7047</v>
      </c>
      <c r="AF498" s="162">
        <f t="shared" si="1022"/>
        <v>0</v>
      </c>
      <c r="AG498" s="162">
        <f t="shared" si="1022"/>
        <v>52929.91643</v>
      </c>
      <c r="AH498" s="162">
        <f t="shared" si="1022"/>
        <v>29925.76045</v>
      </c>
      <c r="AI498" s="18">
        <f t="shared" si="1023"/>
        <v>1461680</v>
      </c>
    </row>
    <row r="499">
      <c r="B499" s="1" t="s">
        <v>5746</v>
      </c>
      <c r="D499" s="1">
        <v>1900000.0</v>
      </c>
      <c r="E499" s="1">
        <v>2700000.0</v>
      </c>
      <c r="F499" s="1">
        <v>1550000.0</v>
      </c>
      <c r="H499" s="1">
        <v>1960000.0</v>
      </c>
      <c r="I499" s="1">
        <v>3500000.0</v>
      </c>
      <c r="J499" s="1">
        <v>2200000.0</v>
      </c>
      <c r="K499" s="1">
        <v>2300000.0</v>
      </c>
      <c r="L499" s="1">
        <v>1900000.0</v>
      </c>
      <c r="M499" s="1">
        <v>1500000.0</v>
      </c>
      <c r="N499" s="33">
        <v>1260000.0</v>
      </c>
      <c r="O499" s="1">
        <v>1240000.0</v>
      </c>
      <c r="P499">
        <f t="shared" ref="P499:P510" si="1027">SUM(D499:O499)</f>
        <v>22010000</v>
      </c>
      <c r="U499">
        <v>36033.05849582173</v>
      </c>
      <c r="V499" s="136">
        <v>131510.48467966574</v>
      </c>
      <c r="W499" s="136">
        <v>118685.15877437325</v>
      </c>
      <c r="X499" s="136">
        <v>27075.68802228412</v>
      </c>
      <c r="Y499" s="164">
        <f t="shared" ref="Y499:AG499" si="1024">Y498+3325</f>
        <v>88623.5961</v>
      </c>
      <c r="Z499" s="164">
        <f t="shared" si="1024"/>
        <v>173311.4624</v>
      </c>
      <c r="AA499" s="165">
        <f t="shared" si="1024"/>
        <v>199165.6908</v>
      </c>
      <c r="AB499" s="164">
        <f t="shared" si="1024"/>
        <v>118142.2033</v>
      </c>
      <c r="AC499" s="164">
        <f t="shared" si="1024"/>
        <v>147329.248</v>
      </c>
      <c r="AD499" s="164">
        <f t="shared" si="1024"/>
        <v>196240.0278</v>
      </c>
      <c r="AE499" s="164">
        <f t="shared" si="1024"/>
        <v>165982.7047</v>
      </c>
      <c r="AF499" s="164">
        <f t="shared" si="1024"/>
        <v>3325</v>
      </c>
      <c r="AG499" s="164">
        <f t="shared" si="1024"/>
        <v>56254.91643</v>
      </c>
      <c r="AH499">
        <f>AH498/9</f>
        <v>3325.084494</v>
      </c>
      <c r="AI499" s="18">
        <f>SUM(U499:AG499)</f>
        <v>1461679.24</v>
      </c>
    </row>
    <row r="500">
      <c r="B500" s="1" t="s">
        <v>5499</v>
      </c>
      <c r="D500" s="1">
        <f t="shared" ref="D500:F500" si="1025">D499*0.1</f>
        <v>190000</v>
      </c>
      <c r="E500" s="1">
        <f t="shared" si="1025"/>
        <v>270000</v>
      </c>
      <c r="F500" s="1">
        <f t="shared" si="1025"/>
        <v>155000</v>
      </c>
      <c r="H500" s="1">
        <f t="shared" ref="H500:O500" si="1026">H499*0.1</f>
        <v>196000</v>
      </c>
      <c r="I500" s="1">
        <f t="shared" si="1026"/>
        <v>350000</v>
      </c>
      <c r="J500" s="1">
        <f t="shared" si="1026"/>
        <v>220000</v>
      </c>
      <c r="K500" s="1">
        <f t="shared" si="1026"/>
        <v>230000</v>
      </c>
      <c r="L500" s="1">
        <f t="shared" si="1026"/>
        <v>190000</v>
      </c>
      <c r="M500" s="1">
        <f t="shared" si="1026"/>
        <v>150000</v>
      </c>
      <c r="N500" s="1">
        <f t="shared" si="1026"/>
        <v>126000</v>
      </c>
      <c r="O500" s="1">
        <f t="shared" si="1026"/>
        <v>124000</v>
      </c>
      <c r="P500">
        <f t="shared" si="1027"/>
        <v>2201000</v>
      </c>
      <c r="AA500" s="166">
        <f>AA499+U499</f>
        <v>235198.7493</v>
      </c>
    </row>
    <row r="501">
      <c r="B501" s="1" t="s">
        <v>5520</v>
      </c>
      <c r="D501">
        <f t="shared" ref="D501:F501" si="1028">D499+D500</f>
        <v>2090000</v>
      </c>
      <c r="E501">
        <f t="shared" si="1028"/>
        <v>2970000</v>
      </c>
      <c r="F501">
        <f t="shared" si="1028"/>
        <v>1705000</v>
      </c>
      <c r="H501">
        <f t="shared" ref="H501:O501" si="1029">H499+H500</f>
        <v>2156000</v>
      </c>
      <c r="I501">
        <f t="shared" si="1029"/>
        <v>3850000</v>
      </c>
      <c r="J501">
        <f t="shared" si="1029"/>
        <v>2420000</v>
      </c>
      <c r="K501">
        <f t="shared" si="1029"/>
        <v>2530000</v>
      </c>
      <c r="L501">
        <f t="shared" si="1029"/>
        <v>2090000</v>
      </c>
      <c r="M501">
        <f t="shared" si="1029"/>
        <v>1650000</v>
      </c>
      <c r="N501">
        <f t="shared" si="1029"/>
        <v>1386000</v>
      </c>
      <c r="O501">
        <f t="shared" si="1029"/>
        <v>1364000</v>
      </c>
      <c r="P501">
        <f t="shared" si="1027"/>
        <v>24211000</v>
      </c>
    </row>
    <row r="502">
      <c r="B502" s="1" t="s">
        <v>5545</v>
      </c>
      <c r="D502">
        <v>161281.26829268291</v>
      </c>
      <c r="E502">
        <v>101053.4262485482</v>
      </c>
      <c r="F502">
        <v>54366.74332171893</v>
      </c>
      <c r="H502" s="134">
        <v>37869.16492450639</v>
      </c>
      <c r="I502">
        <v>162771.19976771195</v>
      </c>
      <c r="J502">
        <v>43730.26364692218</v>
      </c>
      <c r="K502">
        <v>58710.016768670546</v>
      </c>
      <c r="L502">
        <v>77458.26197697406</v>
      </c>
      <c r="M502" s="134">
        <v>97086.47270615563</v>
      </c>
      <c r="N502" s="159">
        <v>44134.47735191638</v>
      </c>
      <c r="O502">
        <v>31603.8524970964</v>
      </c>
      <c r="P502">
        <f t="shared" si="1027"/>
        <v>870065.1475</v>
      </c>
      <c r="T502" s="1" t="s">
        <v>5747</v>
      </c>
      <c r="U502" s="1">
        <v>68800.0</v>
      </c>
      <c r="W502" s="1">
        <v>40422.0</v>
      </c>
      <c r="Y502" s="1">
        <v>93675.0</v>
      </c>
      <c r="AA502" s="1">
        <v>110968.0</v>
      </c>
      <c r="AC502" s="1">
        <v>110518.0</v>
      </c>
      <c r="AE502" s="1">
        <v>139977.0</v>
      </c>
      <c r="AH502" s="1">
        <v>11043.0</v>
      </c>
      <c r="AJ502" s="1">
        <v>1121790.0</v>
      </c>
      <c r="AL502" s="1">
        <v>6841.0</v>
      </c>
    </row>
    <row r="503">
      <c r="D503">
        <f t="shared" ref="D503:F503" si="1030">D502-D504</f>
        <v>146619.3348</v>
      </c>
      <c r="E503">
        <f t="shared" si="1030"/>
        <v>91866.75114</v>
      </c>
      <c r="F503">
        <f t="shared" si="1030"/>
        <v>49424.31211</v>
      </c>
      <c r="H503">
        <f t="shared" ref="H503:O503" si="1031">H502-H504</f>
        <v>34426.51357</v>
      </c>
      <c r="I503">
        <f t="shared" si="1031"/>
        <v>147973.818</v>
      </c>
      <c r="J503">
        <f t="shared" si="1031"/>
        <v>39754.78513</v>
      </c>
      <c r="K503">
        <f t="shared" si="1031"/>
        <v>53372.74252</v>
      </c>
      <c r="L503">
        <f t="shared" si="1031"/>
        <v>70416.6018</v>
      </c>
      <c r="M503">
        <f t="shared" si="1031"/>
        <v>88260.42973</v>
      </c>
      <c r="N503">
        <f t="shared" si="1031"/>
        <v>40122.25214</v>
      </c>
      <c r="O503">
        <f t="shared" si="1031"/>
        <v>28730.775</v>
      </c>
      <c r="P503">
        <f t="shared" si="1027"/>
        <v>790968.3159</v>
      </c>
      <c r="U503" s="1">
        <v>11998.0</v>
      </c>
      <c r="V503" s="1">
        <v>59696.0</v>
      </c>
      <c r="W503" s="1">
        <v>99465.0</v>
      </c>
      <c r="Y503" s="1">
        <v>27387.0</v>
      </c>
      <c r="AA503" s="1">
        <v>55450.0</v>
      </c>
      <c r="AB503" s="1">
        <v>5900.0</v>
      </c>
      <c r="AE503" s="1">
        <v>111778.0</v>
      </c>
      <c r="AG503" s="1">
        <v>20413.0</v>
      </c>
    </row>
    <row r="504">
      <c r="B504" s="1" t="s">
        <v>5499</v>
      </c>
      <c r="D504">
        <f t="shared" ref="D504:F504" si="1032">D502/11</f>
        <v>14661.93348</v>
      </c>
      <c r="E504">
        <f t="shared" si="1032"/>
        <v>9186.675114</v>
      </c>
      <c r="F504">
        <f t="shared" si="1032"/>
        <v>4942.431211</v>
      </c>
      <c r="H504">
        <f t="shared" ref="H504:O504" si="1033">H502/11</f>
        <v>3442.651357</v>
      </c>
      <c r="I504">
        <f t="shared" si="1033"/>
        <v>14797.3818</v>
      </c>
      <c r="J504">
        <f t="shared" si="1033"/>
        <v>3975.478513</v>
      </c>
      <c r="K504">
        <f t="shared" si="1033"/>
        <v>5337.274252</v>
      </c>
      <c r="L504">
        <f t="shared" si="1033"/>
        <v>7041.66018</v>
      </c>
      <c r="M504">
        <f t="shared" si="1033"/>
        <v>8826.042973</v>
      </c>
      <c r="N504">
        <f t="shared" si="1033"/>
        <v>4012.225214</v>
      </c>
      <c r="O504">
        <f t="shared" si="1033"/>
        <v>2873.0775</v>
      </c>
      <c r="P504">
        <f t="shared" si="1027"/>
        <v>79096.83159</v>
      </c>
      <c r="U504" s="97">
        <f t="shared" ref="U504:U505" si="1034">U502-U494</f>
        <v>996</v>
      </c>
      <c r="V504" s="97"/>
      <c r="W504" s="97">
        <f t="shared" ref="W504:W505" si="1035">W502-W494</f>
        <v>165</v>
      </c>
      <c r="X504" s="97"/>
      <c r="Y504" s="97">
        <f t="shared" ref="Y504:Y505" si="1036">Y502-Y494</f>
        <v>1256</v>
      </c>
      <c r="Z504" s="97"/>
      <c r="AA504" s="97">
        <f t="shared" ref="AA504:AA505" si="1037">AA502-AA494</f>
        <v>1219</v>
      </c>
      <c r="AB504" s="97"/>
      <c r="AC504" s="97">
        <f>AC502-AC494</f>
        <v>990</v>
      </c>
      <c r="AD504" s="97"/>
      <c r="AE504" s="97">
        <f t="shared" ref="AE504:AE505" si="1038">AE502-AE494</f>
        <v>927</v>
      </c>
      <c r="AF504" s="97"/>
      <c r="AG504" s="97"/>
      <c r="AH504" s="97">
        <f>AH502-AH494</f>
        <v>163</v>
      </c>
    </row>
    <row r="505">
      <c r="B505" s="1" t="s">
        <v>5706</v>
      </c>
      <c r="D505">
        <v>40978.847993506555</v>
      </c>
      <c r="E505">
        <v>17064.012600372986</v>
      </c>
      <c r="F505">
        <v>17064.012600372986</v>
      </c>
      <c r="G505">
        <v>0.0</v>
      </c>
      <c r="H505" s="134">
        <v>22527.858999507192</v>
      </c>
      <c r="I505">
        <v>28601.134420083294</v>
      </c>
      <c r="J505">
        <v>22759.021731778255</v>
      </c>
      <c r="K505">
        <v>15529.932649846845</v>
      </c>
      <c r="L505">
        <v>20804.645904395635</v>
      </c>
      <c r="M505" s="134">
        <v>10610.369411241774</v>
      </c>
      <c r="N505" s="159">
        <v>12209.595222680671</v>
      </c>
      <c r="O505">
        <v>9330.5684662138</v>
      </c>
      <c r="P505">
        <f t="shared" si="1027"/>
        <v>217480</v>
      </c>
      <c r="U505" s="167">
        <f t="shared" si="1034"/>
        <v>204</v>
      </c>
      <c r="V505" s="167">
        <f>(V503-V495)</f>
        <v>746</v>
      </c>
      <c r="W505" s="167">
        <f t="shared" si="1035"/>
        <v>477</v>
      </c>
      <c r="X505" s="168">
        <f>W504</f>
        <v>165</v>
      </c>
      <c r="Y505" s="167">
        <f t="shared" si="1036"/>
        <v>406</v>
      </c>
      <c r="Z505" s="169">
        <f>Y504-Y505</f>
        <v>850</v>
      </c>
      <c r="AA505" s="167">
        <f t="shared" si="1037"/>
        <v>904</v>
      </c>
      <c r="AB505" s="167">
        <f>AB503-AB495</f>
        <v>429</v>
      </c>
      <c r="AC505" s="167">
        <f>(AC504)*73.9/(73.9+99)</f>
        <v>423.1405437</v>
      </c>
      <c r="AD505" s="167">
        <f>(AC504)*99/(73.9+99)</f>
        <v>566.8594563</v>
      </c>
      <c r="AE505" s="167">
        <f t="shared" si="1038"/>
        <v>562</v>
      </c>
      <c r="AF505" s="169">
        <f>AE504-AE505-AG505-48</f>
        <v>107</v>
      </c>
      <c r="AG505" s="167">
        <f>AG503-AG495</f>
        <v>210</v>
      </c>
      <c r="AH505" s="96">
        <v>163.0</v>
      </c>
      <c r="AI505" s="18">
        <f t="shared" ref="AI505:AI506" si="1042">SUM(U505:AH505)</f>
        <v>6213</v>
      </c>
    </row>
    <row r="506">
      <c r="B506" s="23" t="s">
        <v>5598</v>
      </c>
      <c r="D506" s="18">
        <f t="shared" ref="D506:F506" si="1039">SUM(D501,D502,D505)</f>
        <v>2292260.116</v>
      </c>
      <c r="E506" s="18">
        <f t="shared" si="1039"/>
        <v>3088117.439</v>
      </c>
      <c r="F506" s="18">
        <f t="shared" si="1039"/>
        <v>1776430.756</v>
      </c>
      <c r="G506" s="18"/>
      <c r="H506" s="18">
        <f t="shared" ref="H506:O506" si="1040">SUM(H501,H502,H505)</f>
        <v>2216397.024</v>
      </c>
      <c r="I506" s="18">
        <f t="shared" si="1040"/>
        <v>4041372.334</v>
      </c>
      <c r="J506" s="18">
        <f t="shared" si="1040"/>
        <v>2486489.285</v>
      </c>
      <c r="K506" s="18">
        <f t="shared" si="1040"/>
        <v>2604239.949</v>
      </c>
      <c r="L506" s="18">
        <f t="shared" si="1040"/>
        <v>2188262.908</v>
      </c>
      <c r="M506" s="18">
        <f t="shared" si="1040"/>
        <v>1757696.842</v>
      </c>
      <c r="N506" s="18">
        <f t="shared" si="1040"/>
        <v>1442344.073</v>
      </c>
      <c r="O506" s="18">
        <f t="shared" si="1040"/>
        <v>1404934.421</v>
      </c>
      <c r="P506">
        <f t="shared" si="1027"/>
        <v>25298545.15</v>
      </c>
      <c r="U506" s="162">
        <f t="shared" ref="U506:AH506" si="1041">U505*1121790/6213</f>
        <v>36833.27861</v>
      </c>
      <c r="V506" s="162">
        <f t="shared" si="1041"/>
        <v>134694.2443</v>
      </c>
      <c r="W506" s="162">
        <f t="shared" si="1041"/>
        <v>86124.87204</v>
      </c>
      <c r="X506" s="162">
        <f t="shared" si="1041"/>
        <v>29791.6224</v>
      </c>
      <c r="Y506" s="162">
        <f t="shared" si="1041"/>
        <v>73305.44664</v>
      </c>
      <c r="Z506" s="162">
        <f t="shared" si="1041"/>
        <v>153471.9942</v>
      </c>
      <c r="AA506" s="162">
        <f t="shared" si="1041"/>
        <v>163221.9797</v>
      </c>
      <c r="AB506" s="162">
        <f t="shared" si="1041"/>
        <v>77458.21825</v>
      </c>
      <c r="AC506" s="162">
        <f t="shared" si="1041"/>
        <v>76400.26243</v>
      </c>
      <c r="AD506" s="162">
        <f t="shared" si="1041"/>
        <v>102349.472</v>
      </c>
      <c r="AE506" s="162">
        <f t="shared" si="1041"/>
        <v>101472.0715</v>
      </c>
      <c r="AF506" s="162">
        <f t="shared" si="1041"/>
        <v>19319.41574</v>
      </c>
      <c r="AG506" s="162">
        <f t="shared" si="1041"/>
        <v>37916.61033</v>
      </c>
      <c r="AH506" s="162">
        <f t="shared" si="1041"/>
        <v>29430.51183</v>
      </c>
      <c r="AI506" s="18">
        <f t="shared" si="1042"/>
        <v>1121790</v>
      </c>
    </row>
    <row r="507">
      <c r="B507" s="1" t="s">
        <v>5599</v>
      </c>
      <c r="D507">
        <f t="shared" ref="D507:F507" si="1043">SUM(D499,D503,D505)</f>
        <v>2087598.183</v>
      </c>
      <c r="E507">
        <f t="shared" si="1043"/>
        <v>2808930.764</v>
      </c>
      <c r="F507">
        <f t="shared" si="1043"/>
        <v>1616488.325</v>
      </c>
      <c r="H507">
        <f t="shared" ref="H507:O507" si="1044">SUM(H499,H503,H505)</f>
        <v>2016954.373</v>
      </c>
      <c r="I507">
        <f t="shared" si="1044"/>
        <v>3676574.952</v>
      </c>
      <c r="J507">
        <f t="shared" si="1044"/>
        <v>2262513.807</v>
      </c>
      <c r="K507">
        <f t="shared" si="1044"/>
        <v>2368902.675</v>
      </c>
      <c r="L507">
        <f t="shared" si="1044"/>
        <v>1991221.248</v>
      </c>
      <c r="M507">
        <f t="shared" si="1044"/>
        <v>1598870.799</v>
      </c>
      <c r="N507">
        <f t="shared" si="1044"/>
        <v>1312331.847</v>
      </c>
      <c r="O507">
        <f t="shared" si="1044"/>
        <v>1278061.343</v>
      </c>
      <c r="P507">
        <f t="shared" si="1027"/>
        <v>23018448.32</v>
      </c>
      <c r="U507">
        <v>36833.27860936746</v>
      </c>
      <c r="V507" s="151">
        <v>134694.24432641236</v>
      </c>
      <c r="W507" s="151">
        <v>86124.87204249155</v>
      </c>
      <c r="X507" s="151">
        <v>29791.62240463544</v>
      </c>
      <c r="Y507" s="164">
        <f t="shared" ref="Y507:AG507" si="1045">Y506+3270</f>
        <v>76575.44664</v>
      </c>
      <c r="Z507" s="164">
        <f t="shared" si="1045"/>
        <v>156741.9942</v>
      </c>
      <c r="AA507" s="165">
        <f t="shared" si="1045"/>
        <v>166491.9797</v>
      </c>
      <c r="AB507" s="164">
        <f t="shared" si="1045"/>
        <v>80728.21825</v>
      </c>
      <c r="AC507" s="164">
        <f t="shared" si="1045"/>
        <v>79670.26243</v>
      </c>
      <c r="AD507" s="164">
        <f t="shared" si="1045"/>
        <v>105619.472</v>
      </c>
      <c r="AE507" s="164">
        <f t="shared" si="1045"/>
        <v>104742.0715</v>
      </c>
      <c r="AF507" s="164">
        <f t="shared" si="1045"/>
        <v>22589.41574</v>
      </c>
      <c r="AG507" s="164">
        <f t="shared" si="1045"/>
        <v>41186.61033</v>
      </c>
      <c r="AH507">
        <f>AH506/9</f>
        <v>3270.05687</v>
      </c>
      <c r="AI507" s="18">
        <f>SUM(U507:AG507)</f>
        <v>1121789.488</v>
      </c>
    </row>
    <row r="508">
      <c r="B508" s="1" t="s">
        <v>5601</v>
      </c>
      <c r="D508">
        <f t="shared" ref="D508:F508" si="1046">SUM(D499,D503)</f>
        <v>2046619.335</v>
      </c>
      <c r="E508">
        <f t="shared" si="1046"/>
        <v>2791866.751</v>
      </c>
      <c r="F508">
        <f t="shared" si="1046"/>
        <v>1599424.312</v>
      </c>
      <c r="H508">
        <f t="shared" ref="H508:O508" si="1047">SUM(H499,H503)</f>
        <v>1994426.514</v>
      </c>
      <c r="I508">
        <f t="shared" si="1047"/>
        <v>3647973.818</v>
      </c>
      <c r="J508">
        <f t="shared" si="1047"/>
        <v>2239754.785</v>
      </c>
      <c r="K508">
        <f t="shared" si="1047"/>
        <v>2353372.743</v>
      </c>
      <c r="L508">
        <f t="shared" si="1047"/>
        <v>1970416.602</v>
      </c>
      <c r="M508">
        <f t="shared" si="1047"/>
        <v>1588260.43</v>
      </c>
      <c r="N508">
        <f t="shared" si="1047"/>
        <v>1300122.252</v>
      </c>
      <c r="O508">
        <f t="shared" si="1047"/>
        <v>1268730.775</v>
      </c>
      <c r="P508">
        <f t="shared" si="1027"/>
        <v>22800968.32</v>
      </c>
      <c r="AA508" s="166">
        <f>AA507+U507</f>
        <v>203325.2583</v>
      </c>
    </row>
    <row r="509">
      <c r="B509" s="1" t="s">
        <v>5582</v>
      </c>
      <c r="D509">
        <f t="shared" ref="D509:F509" si="1048">SUM(D500,D504)</f>
        <v>204661.9335</v>
      </c>
      <c r="E509">
        <f t="shared" si="1048"/>
        <v>279186.6751</v>
      </c>
      <c r="F509">
        <f t="shared" si="1048"/>
        <v>159942.4312</v>
      </c>
      <c r="H509">
        <f t="shared" ref="H509:O509" si="1049">SUM(H500,H504)</f>
        <v>199442.6514</v>
      </c>
      <c r="I509">
        <f t="shared" si="1049"/>
        <v>364797.3818</v>
      </c>
      <c r="J509">
        <f t="shared" si="1049"/>
        <v>223975.4785</v>
      </c>
      <c r="K509">
        <f t="shared" si="1049"/>
        <v>235337.2743</v>
      </c>
      <c r="L509">
        <f t="shared" si="1049"/>
        <v>197041.6602</v>
      </c>
      <c r="M509">
        <f t="shared" si="1049"/>
        <v>158826.043</v>
      </c>
      <c r="N509">
        <f t="shared" si="1049"/>
        <v>130012.2252</v>
      </c>
      <c r="O509">
        <f t="shared" si="1049"/>
        <v>126873.0775</v>
      </c>
      <c r="P509">
        <f t="shared" si="1027"/>
        <v>2280096.832</v>
      </c>
    </row>
    <row r="510">
      <c r="B510" s="1" t="s">
        <v>5602</v>
      </c>
      <c r="D510">
        <f t="shared" ref="D510:F510" si="1050">SUM(D508:D509)</f>
        <v>2251281.268</v>
      </c>
      <c r="E510">
        <f t="shared" si="1050"/>
        <v>3071053.426</v>
      </c>
      <c r="F510">
        <f t="shared" si="1050"/>
        <v>1759366.743</v>
      </c>
      <c r="H510">
        <f t="shared" ref="H510:O510" si="1051">SUM(H508:H509)</f>
        <v>2193869.165</v>
      </c>
      <c r="I510">
        <f t="shared" si="1051"/>
        <v>4012771.2</v>
      </c>
      <c r="J510">
        <f t="shared" si="1051"/>
        <v>2463730.264</v>
      </c>
      <c r="K510">
        <f t="shared" si="1051"/>
        <v>2588710.017</v>
      </c>
      <c r="L510">
        <f t="shared" si="1051"/>
        <v>2167458.262</v>
      </c>
      <c r="M510">
        <f t="shared" si="1051"/>
        <v>1747086.473</v>
      </c>
      <c r="N510">
        <f t="shared" si="1051"/>
        <v>1430134.477</v>
      </c>
      <c r="O510">
        <f t="shared" si="1051"/>
        <v>1395603.852</v>
      </c>
      <c r="P510">
        <f t="shared" si="1027"/>
        <v>25081065.15</v>
      </c>
      <c r="T510" s="1" t="s">
        <v>5748</v>
      </c>
      <c r="U510" s="1">
        <v>69501.0</v>
      </c>
      <c r="W510" s="1">
        <v>40551.0</v>
      </c>
      <c r="Y510" s="1">
        <v>94672.0</v>
      </c>
      <c r="AA510" s="1">
        <v>11184.0</v>
      </c>
      <c r="AC510" s="1">
        <v>110950.0</v>
      </c>
      <c r="AE510" s="1">
        <v>140818.0</v>
      </c>
      <c r="AH510" s="1">
        <v>11176.0</v>
      </c>
      <c r="AJ510" s="1">
        <v>860980.0</v>
      </c>
      <c r="AL510" s="1">
        <v>5755.0</v>
      </c>
    </row>
    <row r="511">
      <c r="B511" s="1"/>
      <c r="D511" s="1" t="s">
        <v>5566</v>
      </c>
      <c r="E511" s="1" t="s">
        <v>5566</v>
      </c>
      <c r="F511" s="1" t="s">
        <v>5566</v>
      </c>
      <c r="H511" s="1" t="s">
        <v>5566</v>
      </c>
      <c r="I511" s="1" t="s">
        <v>5566</v>
      </c>
      <c r="J511" s="1" t="s">
        <v>5566</v>
      </c>
      <c r="K511" s="1" t="s">
        <v>5566</v>
      </c>
      <c r="L511" s="1" t="s">
        <v>5566</v>
      </c>
      <c r="M511" s="1" t="s">
        <v>5566</v>
      </c>
      <c r="N511" s="33" t="s">
        <v>5566</v>
      </c>
      <c r="O511" s="1" t="s">
        <v>5566</v>
      </c>
      <c r="U511" s="1">
        <v>12156.0</v>
      </c>
      <c r="V511" s="1">
        <v>60198.0</v>
      </c>
      <c r="W511" s="1">
        <v>99837.0</v>
      </c>
      <c r="Y511" s="1">
        <v>27705.0</v>
      </c>
      <c r="AA511" s="1">
        <v>56110.0</v>
      </c>
      <c r="AB511" s="1">
        <v>6121.0</v>
      </c>
      <c r="AE511" s="1">
        <v>112288.0</v>
      </c>
      <c r="AG511" s="1">
        <v>20692.0</v>
      </c>
    </row>
    <row r="512">
      <c r="B512" s="1"/>
      <c r="H512" s="1"/>
      <c r="M512" s="1"/>
      <c r="N512" s="33"/>
      <c r="U512" s="97">
        <f t="shared" ref="U512:U513" si="1052">U510-U502</f>
        <v>701</v>
      </c>
      <c r="V512" s="97"/>
      <c r="W512" s="97">
        <f t="shared" ref="W512:W513" si="1053">W510-W502</f>
        <v>129</v>
      </c>
      <c r="X512" s="97"/>
      <c r="Y512" s="97">
        <f t="shared" ref="Y512:Y513" si="1054">Y510-Y502</f>
        <v>997</v>
      </c>
      <c r="Z512" s="97"/>
      <c r="AA512" s="97">
        <f t="shared" ref="AA512:AA513" si="1055">AA510-AA502</f>
        <v>-99784</v>
      </c>
      <c r="AB512" s="97"/>
      <c r="AC512" s="97">
        <f>AC510-AC502</f>
        <v>432</v>
      </c>
      <c r="AD512" s="97"/>
      <c r="AE512" s="97">
        <f t="shared" ref="AE512:AE513" si="1056">AE510-AE502</f>
        <v>841</v>
      </c>
      <c r="AF512" s="97"/>
      <c r="AG512" s="97"/>
      <c r="AH512" s="97">
        <f>AH510-AH502</f>
        <v>133</v>
      </c>
    </row>
    <row r="513">
      <c r="B513" s="1"/>
      <c r="H513" s="1"/>
      <c r="M513" s="1"/>
      <c r="N513" s="33"/>
      <c r="U513" s="167">
        <f t="shared" si="1052"/>
        <v>158</v>
      </c>
      <c r="V513" s="167">
        <f>(V511-V503)</f>
        <v>502</v>
      </c>
      <c r="W513" s="167">
        <f t="shared" si="1053"/>
        <v>372</v>
      </c>
      <c r="X513" s="168">
        <f>W512</f>
        <v>129</v>
      </c>
      <c r="Y513" s="167">
        <f t="shared" si="1054"/>
        <v>318</v>
      </c>
      <c r="Z513" s="169">
        <f>Y512-Y513</f>
        <v>679</v>
      </c>
      <c r="AA513" s="167">
        <f t="shared" si="1055"/>
        <v>660</v>
      </c>
      <c r="AB513" s="167">
        <f>AB511-AB503</f>
        <v>221</v>
      </c>
      <c r="AC513" s="167">
        <f>(AC512)*73.9/(73.9+99)</f>
        <v>184.6431463</v>
      </c>
      <c r="AD513" s="167">
        <f>(AC512)*99/(73.9+99)</f>
        <v>247.3568537</v>
      </c>
      <c r="AE513" s="167">
        <f t="shared" si="1056"/>
        <v>510</v>
      </c>
      <c r="AF513" s="169">
        <f>AE512-AE513-AG513-48</f>
        <v>4</v>
      </c>
      <c r="AG513" s="167">
        <f>AG511-AG503</f>
        <v>279</v>
      </c>
      <c r="AH513" s="96">
        <v>133.0</v>
      </c>
      <c r="AI513" s="18">
        <f t="shared" ref="AI513:AI514" si="1058">SUM(U513:AH513)</f>
        <v>4397</v>
      </c>
    </row>
    <row r="514">
      <c r="B514" s="1" t="s">
        <v>5749</v>
      </c>
      <c r="D514" s="1">
        <v>1900000.0</v>
      </c>
      <c r="E514" s="1">
        <v>2700000.0</v>
      </c>
      <c r="F514" s="1">
        <v>1550000.0</v>
      </c>
      <c r="H514" s="1">
        <v>1960000.0</v>
      </c>
      <c r="I514" s="1">
        <v>3500000.0</v>
      </c>
      <c r="J514" s="1">
        <v>2200000.0</v>
      </c>
      <c r="K514" s="1">
        <v>2300000.0</v>
      </c>
      <c r="L514" s="1">
        <v>1900000.0</v>
      </c>
      <c r="M514" s="1">
        <v>1500000.0</v>
      </c>
      <c r="N514" s="33">
        <v>1260000.0</v>
      </c>
      <c r="O514" s="1">
        <v>1240000.0</v>
      </c>
      <c r="P514">
        <f t="shared" ref="P514:P522" si="1061">SUM(D514:O514)</f>
        <v>22010000</v>
      </c>
      <c r="U514" s="162">
        <f t="shared" ref="U514:AH514" si="1057">U513*860980/4397</f>
        <v>30938.10325</v>
      </c>
      <c r="V514" s="162">
        <f t="shared" si="1057"/>
        <v>98297.0116</v>
      </c>
      <c r="W514" s="162">
        <f t="shared" si="1057"/>
        <v>72841.61019</v>
      </c>
      <c r="X514" s="162">
        <f t="shared" si="1057"/>
        <v>25259.59063</v>
      </c>
      <c r="Y514" s="162">
        <f t="shared" si="1057"/>
        <v>62267.82806</v>
      </c>
      <c r="Z514" s="162">
        <f t="shared" si="1057"/>
        <v>132955.5197</v>
      </c>
      <c r="AA514" s="162">
        <f t="shared" si="1057"/>
        <v>129235.1149</v>
      </c>
      <c r="AB514" s="162">
        <f t="shared" si="1057"/>
        <v>43274.1824</v>
      </c>
      <c r="AC514" s="162">
        <f t="shared" si="1057"/>
        <v>36155.11852</v>
      </c>
      <c r="AD514" s="162">
        <f t="shared" si="1057"/>
        <v>48435.13848</v>
      </c>
      <c r="AE514" s="162">
        <f t="shared" si="1057"/>
        <v>99863.49784</v>
      </c>
      <c r="AF514" s="162">
        <f t="shared" si="1057"/>
        <v>783.2431203</v>
      </c>
      <c r="AG514" s="162">
        <f t="shared" si="1057"/>
        <v>54631.20764</v>
      </c>
      <c r="AH514" s="162">
        <f t="shared" si="1057"/>
        <v>26042.83375</v>
      </c>
      <c r="AI514" s="18">
        <f t="shared" si="1058"/>
        <v>860980</v>
      </c>
    </row>
    <row r="515">
      <c r="B515" s="1" t="s">
        <v>5499</v>
      </c>
      <c r="D515" s="1">
        <f t="shared" ref="D515:F515" si="1059">D514*0.1</f>
        <v>190000</v>
      </c>
      <c r="E515" s="1">
        <f t="shared" si="1059"/>
        <v>270000</v>
      </c>
      <c r="F515" s="1">
        <f t="shared" si="1059"/>
        <v>155000</v>
      </c>
      <c r="H515" s="1">
        <f t="shared" ref="H515:O515" si="1060">H514*0.1</f>
        <v>196000</v>
      </c>
      <c r="I515" s="1">
        <f t="shared" si="1060"/>
        <v>350000</v>
      </c>
      <c r="J515" s="1">
        <f t="shared" si="1060"/>
        <v>220000</v>
      </c>
      <c r="K515" s="1">
        <f t="shared" si="1060"/>
        <v>230000</v>
      </c>
      <c r="L515" s="1">
        <f t="shared" si="1060"/>
        <v>190000</v>
      </c>
      <c r="M515" s="1">
        <f t="shared" si="1060"/>
        <v>150000</v>
      </c>
      <c r="N515" s="1">
        <f t="shared" si="1060"/>
        <v>126000</v>
      </c>
      <c r="O515" s="1">
        <f t="shared" si="1060"/>
        <v>124000</v>
      </c>
      <c r="P515">
        <f t="shared" si="1061"/>
        <v>2201000</v>
      </c>
      <c r="U515">
        <v>30938.10325221742</v>
      </c>
      <c r="V515" s="136">
        <v>98297.01159881738</v>
      </c>
      <c r="W515" s="136">
        <v>72841.61018876507</v>
      </c>
      <c r="X515" s="136">
        <v>25259.590629974984</v>
      </c>
      <c r="Y515" s="164">
        <f t="shared" ref="Y515:AG515" si="1062">Y514+2893</f>
        <v>65160.82806</v>
      </c>
      <c r="Z515" s="164">
        <f t="shared" si="1062"/>
        <v>135848.5197</v>
      </c>
      <c r="AA515" s="165">
        <f t="shared" si="1062"/>
        <v>132128.1149</v>
      </c>
      <c r="AB515" s="164">
        <f t="shared" si="1062"/>
        <v>46167.1824</v>
      </c>
      <c r="AC515" s="164">
        <f t="shared" si="1062"/>
        <v>39048.11852</v>
      </c>
      <c r="AD515" s="164">
        <f t="shared" si="1062"/>
        <v>51328.13848</v>
      </c>
      <c r="AE515" s="164">
        <f t="shared" si="1062"/>
        <v>102756.4978</v>
      </c>
      <c r="AF515" s="164">
        <f t="shared" si="1062"/>
        <v>3676.24312</v>
      </c>
      <c r="AG515" s="164">
        <f t="shared" si="1062"/>
        <v>57524.20764</v>
      </c>
      <c r="AH515">
        <f>AH514/9</f>
        <v>2893.648194</v>
      </c>
      <c r="AI515" s="18">
        <f>SUM(U515:AG515)</f>
        <v>860974.1662</v>
      </c>
    </row>
    <row r="516">
      <c r="B516" s="1" t="s">
        <v>5520</v>
      </c>
      <c r="D516">
        <f t="shared" ref="D516:F516" si="1063">D514+D515</f>
        <v>2090000</v>
      </c>
      <c r="E516">
        <f t="shared" si="1063"/>
        <v>2970000</v>
      </c>
      <c r="F516">
        <f t="shared" si="1063"/>
        <v>1705000</v>
      </c>
      <c r="H516">
        <f t="shared" ref="H516:O516" si="1064">H514+H515</f>
        <v>2156000</v>
      </c>
      <c r="I516">
        <f t="shared" si="1064"/>
        <v>3850000</v>
      </c>
      <c r="J516">
        <f t="shared" si="1064"/>
        <v>2420000</v>
      </c>
      <c r="K516">
        <f t="shared" si="1064"/>
        <v>2530000</v>
      </c>
      <c r="L516">
        <f t="shared" si="1064"/>
        <v>2090000</v>
      </c>
      <c r="M516">
        <f t="shared" si="1064"/>
        <v>1650000</v>
      </c>
      <c r="N516">
        <f t="shared" si="1064"/>
        <v>1386000</v>
      </c>
      <c r="O516">
        <f t="shared" si="1064"/>
        <v>1364000</v>
      </c>
      <c r="P516">
        <f t="shared" si="1061"/>
        <v>24211000</v>
      </c>
      <c r="AA516" s="166">
        <f>AA515+U515</f>
        <v>163066.2181</v>
      </c>
    </row>
    <row r="517">
      <c r="B517" s="1" t="s">
        <v>5545</v>
      </c>
      <c r="D517">
        <v>354546.4712041885</v>
      </c>
      <c r="E517">
        <v>157250.6387434555</v>
      </c>
      <c r="F517">
        <v>81067.09947643979</v>
      </c>
      <c r="H517" s="134">
        <v>82470.24607329843</v>
      </c>
      <c r="I517">
        <v>242325.45026178012</v>
      </c>
      <c r="J517">
        <v>44052.905759162306</v>
      </c>
      <c r="K517">
        <v>74764.7280817832</v>
      </c>
      <c r="L517">
        <v>99128.95778209117</v>
      </c>
      <c r="M517" s="134">
        <v>157351.50261780104</v>
      </c>
      <c r="N517" s="159">
        <v>43076.193717277485</v>
      </c>
      <c r="O517">
        <v>63098.79057591623</v>
      </c>
      <c r="P517">
        <f t="shared" si="1061"/>
        <v>1399132.984</v>
      </c>
    </row>
    <row r="518">
      <c r="D518">
        <f t="shared" ref="D518:F518" si="1065">D517-D519</f>
        <v>322314.9738</v>
      </c>
      <c r="E518">
        <f t="shared" si="1065"/>
        <v>142955.1261</v>
      </c>
      <c r="F518">
        <f t="shared" si="1065"/>
        <v>73697.36316</v>
      </c>
      <c r="H518">
        <f t="shared" ref="H518:O518" si="1066">H517-H519</f>
        <v>74972.95098</v>
      </c>
      <c r="I518">
        <f t="shared" si="1066"/>
        <v>220295.8639</v>
      </c>
      <c r="J518">
        <f t="shared" si="1066"/>
        <v>40048.09614</v>
      </c>
      <c r="K518">
        <f t="shared" si="1066"/>
        <v>67967.93462</v>
      </c>
      <c r="L518">
        <f t="shared" si="1066"/>
        <v>90117.23435</v>
      </c>
      <c r="M518">
        <f t="shared" si="1066"/>
        <v>143046.8206</v>
      </c>
      <c r="N518">
        <f t="shared" si="1066"/>
        <v>39160.17611</v>
      </c>
      <c r="O518">
        <f t="shared" si="1066"/>
        <v>57362.53689</v>
      </c>
      <c r="P518">
        <f t="shared" si="1061"/>
        <v>1271939.077</v>
      </c>
      <c r="T518" s="1" t="s">
        <v>5750</v>
      </c>
      <c r="U518" s="1">
        <v>70241.0</v>
      </c>
      <c r="W518" s="1">
        <v>40770.0</v>
      </c>
      <c r="Y518" s="1">
        <v>95655.0</v>
      </c>
      <c r="AA518" s="1">
        <v>12697.0</v>
      </c>
      <c r="AC518" s="1">
        <v>111580.0</v>
      </c>
      <c r="AE518" s="1">
        <v>141750.0</v>
      </c>
      <c r="AH518" s="1">
        <v>11316.0</v>
      </c>
      <c r="AJ518" s="1">
        <v>953290.0</v>
      </c>
      <c r="AL518" s="1">
        <v>6099.0</v>
      </c>
    </row>
    <row r="519">
      <c r="B519" s="1" t="s">
        <v>5499</v>
      </c>
      <c r="D519">
        <f t="shared" ref="D519:F519" si="1067">D517/11</f>
        <v>32231.49738</v>
      </c>
      <c r="E519">
        <f t="shared" si="1067"/>
        <v>14295.51261</v>
      </c>
      <c r="F519">
        <f t="shared" si="1067"/>
        <v>7369.736316</v>
      </c>
      <c r="H519">
        <f t="shared" ref="H519:O519" si="1068">H517/11</f>
        <v>7497.295098</v>
      </c>
      <c r="I519">
        <f t="shared" si="1068"/>
        <v>22029.58639</v>
      </c>
      <c r="J519">
        <f t="shared" si="1068"/>
        <v>4004.809614</v>
      </c>
      <c r="K519">
        <f t="shared" si="1068"/>
        <v>6796.793462</v>
      </c>
      <c r="L519">
        <f t="shared" si="1068"/>
        <v>9011.723435</v>
      </c>
      <c r="M519">
        <f t="shared" si="1068"/>
        <v>14304.68206</v>
      </c>
      <c r="N519">
        <f t="shared" si="1068"/>
        <v>3916.017611</v>
      </c>
      <c r="O519">
        <f t="shared" si="1068"/>
        <v>5736.253689</v>
      </c>
      <c r="P519">
        <f t="shared" si="1061"/>
        <v>127193.9077</v>
      </c>
      <c r="U519" s="1">
        <v>12328.0</v>
      </c>
      <c r="V519" s="1">
        <v>60699.0</v>
      </c>
      <c r="W519" s="1">
        <v>100288.0</v>
      </c>
      <c r="Y519" s="1">
        <v>27972.0</v>
      </c>
      <c r="AA519" s="1">
        <v>56885.0</v>
      </c>
      <c r="AB519" s="1">
        <v>6277.0</v>
      </c>
      <c r="AE519" s="1">
        <v>112884.0</v>
      </c>
      <c r="AG519" s="1">
        <v>20848.0</v>
      </c>
    </row>
    <row r="520">
      <c r="B520" s="23" t="s">
        <v>5528</v>
      </c>
      <c r="D520" s="145">
        <f t="shared" ref="D520:F520" si="1069">SUM(D516,D517)</f>
        <v>2444546.471</v>
      </c>
      <c r="E520" s="18">
        <f t="shared" si="1069"/>
        <v>3127250.639</v>
      </c>
      <c r="F520" s="18">
        <f t="shared" si="1069"/>
        <v>1786067.099</v>
      </c>
      <c r="G520" s="18"/>
      <c r="H520" s="18">
        <f t="shared" ref="H520:O520" si="1070">SUM(H516,H517)</f>
        <v>2238470.246</v>
      </c>
      <c r="I520" s="18">
        <f t="shared" si="1070"/>
        <v>4092325.45</v>
      </c>
      <c r="J520" s="18">
        <f t="shared" si="1070"/>
        <v>2464052.906</v>
      </c>
      <c r="K520" s="18">
        <f t="shared" si="1070"/>
        <v>2604764.728</v>
      </c>
      <c r="L520" s="18">
        <f t="shared" si="1070"/>
        <v>2189128.958</v>
      </c>
      <c r="M520" s="18">
        <f t="shared" si="1070"/>
        <v>1807351.503</v>
      </c>
      <c r="N520" s="18">
        <f t="shared" si="1070"/>
        <v>1429076.194</v>
      </c>
      <c r="O520" s="18">
        <f t="shared" si="1070"/>
        <v>1427098.791</v>
      </c>
      <c r="P520">
        <f t="shared" si="1061"/>
        <v>25610132.98</v>
      </c>
      <c r="U520" s="97">
        <f t="shared" ref="U520:U521" si="1073">U518-U510</f>
        <v>740</v>
      </c>
      <c r="V520" s="97"/>
      <c r="W520" s="97">
        <f t="shared" ref="W520:W521" si="1074">W518-W510</f>
        <v>219</v>
      </c>
      <c r="X520" s="97"/>
      <c r="Y520" s="97">
        <f t="shared" ref="Y520:Y521" si="1075">Y518-Y510</f>
        <v>983</v>
      </c>
      <c r="Z520" s="97"/>
      <c r="AA520" s="97">
        <f t="shared" ref="AA520:AA521" si="1076">AA518-AA510</f>
        <v>1513</v>
      </c>
      <c r="AB520" s="97"/>
      <c r="AC520" s="97">
        <f>AC518-AC510</f>
        <v>630</v>
      </c>
      <c r="AD520" s="97"/>
      <c r="AE520" s="97">
        <f t="shared" ref="AE520:AE521" si="1077">AE518-AE510</f>
        <v>932</v>
      </c>
      <c r="AF520" s="97"/>
      <c r="AG520" s="97"/>
      <c r="AH520" s="97">
        <f>AH518-AH510</f>
        <v>140</v>
      </c>
    </row>
    <row r="521">
      <c r="B521" s="1" t="s">
        <v>5580</v>
      </c>
      <c r="D521">
        <f t="shared" ref="D521:F521" si="1071">D514+D518</f>
        <v>2222314.974</v>
      </c>
      <c r="E521" s="18">
        <f t="shared" si="1071"/>
        <v>2842955.126</v>
      </c>
      <c r="F521">
        <f t="shared" si="1071"/>
        <v>1623697.363</v>
      </c>
      <c r="H521">
        <f t="shared" ref="H521:O521" si="1072">H514+H518</f>
        <v>2034972.951</v>
      </c>
      <c r="I521">
        <f t="shared" si="1072"/>
        <v>3720295.864</v>
      </c>
      <c r="J521">
        <f t="shared" si="1072"/>
        <v>2240048.096</v>
      </c>
      <c r="K521">
        <f t="shared" si="1072"/>
        <v>2367967.935</v>
      </c>
      <c r="L521">
        <f t="shared" si="1072"/>
        <v>1990117.234</v>
      </c>
      <c r="M521">
        <f t="shared" si="1072"/>
        <v>1643046.821</v>
      </c>
      <c r="N521">
        <f t="shared" si="1072"/>
        <v>1299160.176</v>
      </c>
      <c r="O521">
        <f t="shared" si="1072"/>
        <v>1297362.537</v>
      </c>
      <c r="P521">
        <f t="shared" si="1061"/>
        <v>23281939.08</v>
      </c>
      <c r="U521" s="167">
        <f t="shared" si="1073"/>
        <v>172</v>
      </c>
      <c r="V521" s="167">
        <f>(V519-V511)</f>
        <v>501</v>
      </c>
      <c r="W521" s="167">
        <f t="shared" si="1074"/>
        <v>451</v>
      </c>
      <c r="X521" s="168">
        <f>W520</f>
        <v>219</v>
      </c>
      <c r="Y521" s="167">
        <f t="shared" si="1075"/>
        <v>267</v>
      </c>
      <c r="Z521" s="169">
        <f>Y520-Y521</f>
        <v>716</v>
      </c>
      <c r="AA521" s="167">
        <f t="shared" si="1076"/>
        <v>775</v>
      </c>
      <c r="AB521" s="167">
        <f>AB519-AB511</f>
        <v>156</v>
      </c>
      <c r="AC521" s="167">
        <f>(AC520)*73.9/(73.9+99)</f>
        <v>269.2712551</v>
      </c>
      <c r="AD521" s="167">
        <f>(AC520)*99/(73.9+99)</f>
        <v>360.7287449</v>
      </c>
      <c r="AE521" s="167">
        <f t="shared" si="1077"/>
        <v>596</v>
      </c>
      <c r="AF521" s="169">
        <f>AE520-AE521-AG521-48</f>
        <v>132</v>
      </c>
      <c r="AG521" s="167">
        <f>AG519-AG511</f>
        <v>156</v>
      </c>
      <c r="AH521" s="96">
        <v>140.0</v>
      </c>
      <c r="AI521" s="18">
        <f t="shared" ref="AI521:AI522" si="1081">SUM(U521:AH521)</f>
        <v>4911</v>
      </c>
    </row>
    <row r="522">
      <c r="B522" s="1" t="s">
        <v>5582</v>
      </c>
      <c r="D522">
        <f t="shared" ref="D522:F522" si="1078">D515+D519</f>
        <v>222231.4974</v>
      </c>
      <c r="E522" s="18">
        <f t="shared" si="1078"/>
        <v>284295.5126</v>
      </c>
      <c r="F522">
        <f t="shared" si="1078"/>
        <v>162369.7363</v>
      </c>
      <c r="H522">
        <f t="shared" ref="H522:O522" si="1079">H515+H519</f>
        <v>203497.2951</v>
      </c>
      <c r="I522">
        <f t="shared" si="1079"/>
        <v>372029.5864</v>
      </c>
      <c r="J522">
        <f t="shared" si="1079"/>
        <v>224004.8096</v>
      </c>
      <c r="K522">
        <f t="shared" si="1079"/>
        <v>236796.7935</v>
      </c>
      <c r="L522">
        <f t="shared" si="1079"/>
        <v>199011.7234</v>
      </c>
      <c r="M522">
        <f t="shared" si="1079"/>
        <v>164304.6821</v>
      </c>
      <c r="N522">
        <f t="shared" si="1079"/>
        <v>129916.0176</v>
      </c>
      <c r="O522">
        <f t="shared" si="1079"/>
        <v>129736.2537</v>
      </c>
      <c r="P522">
        <f t="shared" si="1061"/>
        <v>2328193.908</v>
      </c>
      <c r="U522" s="162">
        <f t="shared" ref="U522:AH522" si="1080">U521*953290/4911</f>
        <v>33387.47302</v>
      </c>
      <c r="V522" s="162">
        <f t="shared" si="1080"/>
        <v>97250.72083</v>
      </c>
      <c r="W522" s="162">
        <f t="shared" si="1080"/>
        <v>87545.06007</v>
      </c>
      <c r="X522" s="162">
        <f t="shared" si="1080"/>
        <v>42510.79414</v>
      </c>
      <c r="Y522" s="162">
        <f t="shared" si="1080"/>
        <v>51828.22847</v>
      </c>
      <c r="Z522" s="162">
        <f t="shared" si="1080"/>
        <v>138985.0621</v>
      </c>
      <c r="AA522" s="162">
        <f t="shared" si="1080"/>
        <v>150437.7418</v>
      </c>
      <c r="AB522" s="162">
        <f t="shared" si="1080"/>
        <v>30281.66158</v>
      </c>
      <c r="AC522" s="162">
        <f t="shared" si="1080"/>
        <v>52269.10909</v>
      </c>
      <c r="AD522" s="162">
        <f t="shared" si="1080"/>
        <v>70022.21651</v>
      </c>
      <c r="AE522" s="162">
        <f t="shared" si="1080"/>
        <v>115691.4763</v>
      </c>
      <c r="AF522" s="162">
        <f t="shared" si="1080"/>
        <v>25622.94441</v>
      </c>
      <c r="AG522" s="162">
        <f t="shared" si="1080"/>
        <v>30281.66158</v>
      </c>
      <c r="AH522" s="162">
        <f t="shared" si="1080"/>
        <v>27175.85013</v>
      </c>
      <c r="AI522" s="18">
        <f t="shared" si="1081"/>
        <v>953290</v>
      </c>
    </row>
    <row r="523">
      <c r="B523" s="1"/>
      <c r="D523" s="1" t="s">
        <v>5566</v>
      </c>
      <c r="E523" s="1" t="s">
        <v>5566</v>
      </c>
      <c r="F523" s="1" t="s">
        <v>5566</v>
      </c>
      <c r="H523" s="1" t="s">
        <v>5566</v>
      </c>
      <c r="I523" s="1" t="s">
        <v>5566</v>
      </c>
      <c r="J523" s="1" t="s">
        <v>5566</v>
      </c>
      <c r="K523" s="33" t="s">
        <v>5566</v>
      </c>
      <c r="L523" s="1" t="s">
        <v>5566</v>
      </c>
      <c r="M523" s="1" t="s">
        <v>5566</v>
      </c>
      <c r="N523" s="33" t="s">
        <v>5566</v>
      </c>
      <c r="O523" s="1" t="s">
        <v>5566</v>
      </c>
      <c r="U523">
        <v>33387.473019751575</v>
      </c>
      <c r="V523" s="136">
        <v>97250.72083078802</v>
      </c>
      <c r="W523" s="136">
        <v>87545.06006923234</v>
      </c>
      <c r="X523" s="136">
        <v>42510.79413561393</v>
      </c>
      <c r="Y523" s="164">
        <f t="shared" ref="Y523:AG523" si="1082">Y522+3019</f>
        <v>54847.22847</v>
      </c>
      <c r="Z523" s="164">
        <f t="shared" si="1082"/>
        <v>142004.0621</v>
      </c>
      <c r="AA523" s="165">
        <f t="shared" si="1082"/>
        <v>153456.7418</v>
      </c>
      <c r="AB523" s="164">
        <f t="shared" si="1082"/>
        <v>33300.66158</v>
      </c>
      <c r="AC523" s="164">
        <f t="shared" si="1082"/>
        <v>55288.10909</v>
      </c>
      <c r="AD523" s="164">
        <f t="shared" si="1082"/>
        <v>73041.21651</v>
      </c>
      <c r="AE523" s="164">
        <f t="shared" si="1082"/>
        <v>118710.4763</v>
      </c>
      <c r="AF523" s="164">
        <f t="shared" si="1082"/>
        <v>28641.94441</v>
      </c>
      <c r="AG523" s="164">
        <f t="shared" si="1082"/>
        <v>33300.66158</v>
      </c>
      <c r="AH523">
        <f>AH522/9</f>
        <v>3019.538904</v>
      </c>
      <c r="AI523" s="18">
        <f>SUM(U523:AG523)</f>
        <v>953285.1499</v>
      </c>
    </row>
    <row r="524">
      <c r="B524" s="1"/>
      <c r="H524" s="1"/>
      <c r="M524" s="1"/>
      <c r="N524" s="33"/>
      <c r="AA524" s="166">
        <f>AA523+U523</f>
        <v>186844.2148</v>
      </c>
    </row>
    <row r="525">
      <c r="B525" s="1"/>
      <c r="H525" s="1"/>
      <c r="M525" s="1"/>
      <c r="N525" s="33"/>
    </row>
    <row r="526">
      <c r="B526" s="1" t="s">
        <v>5751</v>
      </c>
      <c r="D526" s="1">
        <v>1900000.0</v>
      </c>
      <c r="E526" s="1">
        <v>2700000.0</v>
      </c>
      <c r="F526" s="1">
        <v>1550000.0</v>
      </c>
      <c r="I526" s="1">
        <v>3500000.0</v>
      </c>
      <c r="J526" s="1">
        <v>2200000.0</v>
      </c>
      <c r="K526" s="1">
        <v>2300000.0</v>
      </c>
      <c r="L526" s="1">
        <v>1900000.0</v>
      </c>
      <c r="M526" s="1">
        <v>1500000.0</v>
      </c>
      <c r="N526" s="33">
        <v>1260000.0</v>
      </c>
      <c r="O526" s="1">
        <v>1240000.0</v>
      </c>
      <c r="P526">
        <f t="shared" ref="P526:P537" si="1085">SUM(D526:O526)</f>
        <v>20050000</v>
      </c>
      <c r="T526" s="1" t="s">
        <v>5752</v>
      </c>
      <c r="U526" s="1">
        <v>71374.0</v>
      </c>
      <c r="W526" s="1">
        <v>41166.0</v>
      </c>
      <c r="Y526" s="1">
        <v>97094.0</v>
      </c>
      <c r="AA526" s="1">
        <v>14058.0</v>
      </c>
      <c r="AC526" s="1">
        <v>112666.0</v>
      </c>
      <c r="AE526" s="1">
        <v>143064.0</v>
      </c>
      <c r="AH526" s="1">
        <v>11459.0</v>
      </c>
      <c r="AJ526" s="1">
        <v>1351960.0</v>
      </c>
      <c r="AL526" s="1">
        <v>8734.0</v>
      </c>
    </row>
    <row r="527">
      <c r="B527" s="1" t="s">
        <v>5499</v>
      </c>
      <c r="D527" s="1">
        <f t="shared" ref="D527:F527" si="1083">D526*0.1</f>
        <v>190000</v>
      </c>
      <c r="E527" s="1">
        <f t="shared" si="1083"/>
        <v>270000</v>
      </c>
      <c r="F527" s="1">
        <f t="shared" si="1083"/>
        <v>155000</v>
      </c>
      <c r="I527" s="1">
        <f t="shared" ref="I527:O527" si="1084">I526*0.1</f>
        <v>350000</v>
      </c>
      <c r="J527" s="1">
        <f t="shared" si="1084"/>
        <v>220000</v>
      </c>
      <c r="K527" s="1">
        <f t="shared" si="1084"/>
        <v>230000</v>
      </c>
      <c r="L527" s="1">
        <f t="shared" si="1084"/>
        <v>190000</v>
      </c>
      <c r="M527" s="1">
        <f t="shared" si="1084"/>
        <v>150000</v>
      </c>
      <c r="N527" s="1">
        <f t="shared" si="1084"/>
        <v>126000</v>
      </c>
      <c r="O527" s="1">
        <f t="shared" si="1084"/>
        <v>124000</v>
      </c>
      <c r="P527">
        <f t="shared" si="1085"/>
        <v>2005000</v>
      </c>
      <c r="U527" s="1">
        <v>12490.0</v>
      </c>
      <c r="V527" s="1">
        <v>61582.0</v>
      </c>
      <c r="W527" s="1">
        <v>100937.0</v>
      </c>
      <c r="Y527" s="1">
        <v>28463.0</v>
      </c>
      <c r="AA527" s="1">
        <v>57984.0</v>
      </c>
      <c r="AB527" s="1">
        <v>6563.0</v>
      </c>
      <c r="AE527" s="1">
        <v>113748.0</v>
      </c>
      <c r="AG527" s="1">
        <v>21039.0</v>
      </c>
    </row>
    <row r="528">
      <c r="B528" s="1" t="s">
        <v>5520</v>
      </c>
      <c r="D528">
        <f t="shared" ref="D528:F528" si="1086">D526+D527</f>
        <v>2090000</v>
      </c>
      <c r="E528">
        <f t="shared" si="1086"/>
        <v>2970000</v>
      </c>
      <c r="F528">
        <f t="shared" si="1086"/>
        <v>1705000</v>
      </c>
      <c r="I528">
        <f t="shared" ref="I528:O528" si="1087">I526+I527</f>
        <v>3850000</v>
      </c>
      <c r="J528">
        <f t="shared" si="1087"/>
        <v>2420000</v>
      </c>
      <c r="K528">
        <f t="shared" si="1087"/>
        <v>2530000</v>
      </c>
      <c r="L528">
        <f t="shared" si="1087"/>
        <v>2090000</v>
      </c>
      <c r="M528">
        <f t="shared" si="1087"/>
        <v>1650000</v>
      </c>
      <c r="N528">
        <f t="shared" si="1087"/>
        <v>1386000</v>
      </c>
      <c r="O528">
        <f t="shared" si="1087"/>
        <v>1364000</v>
      </c>
      <c r="P528">
        <f t="shared" si="1085"/>
        <v>22055000</v>
      </c>
      <c r="U528" s="97">
        <f t="shared" ref="U528:U529" si="1088">U526-U518</f>
        <v>1133</v>
      </c>
      <c r="V528" s="97"/>
      <c r="W528" s="97">
        <f t="shared" ref="W528:W529" si="1089">W526-W518</f>
        <v>396</v>
      </c>
      <c r="X528" s="97"/>
      <c r="Y528" s="97">
        <f t="shared" ref="Y528:Y529" si="1090">Y526-Y518</f>
        <v>1439</v>
      </c>
      <c r="Z528" s="97"/>
      <c r="AA528" s="97">
        <f t="shared" ref="AA528:AA529" si="1091">AA526-AA518</f>
        <v>1361</v>
      </c>
      <c r="AB528" s="97"/>
      <c r="AC528" s="97">
        <f>AC526-AC518</f>
        <v>1086</v>
      </c>
      <c r="AD528" s="97"/>
      <c r="AE528" s="97">
        <f t="shared" ref="AE528:AE529" si="1092">AE526-AE518</f>
        <v>1314</v>
      </c>
      <c r="AF528" s="97"/>
      <c r="AG528" s="97"/>
      <c r="AH528" s="97">
        <f>AH526-AH518</f>
        <v>143</v>
      </c>
    </row>
    <row r="529">
      <c r="B529" s="1" t="s">
        <v>5545</v>
      </c>
      <c r="D529">
        <v>388970.87901473074</v>
      </c>
      <c r="E529">
        <v>175202.18063269742</v>
      </c>
      <c r="F529">
        <v>86682.83989374548</v>
      </c>
      <c r="I529">
        <v>270568.9227239797</v>
      </c>
      <c r="J529">
        <v>72777.7816952427</v>
      </c>
      <c r="K529">
        <v>95119.89258496305</v>
      </c>
      <c r="L529">
        <v>126099.50562802897</v>
      </c>
      <c r="M529" s="134">
        <v>137055.3112774692</v>
      </c>
      <c r="N529" s="159">
        <v>61207.82637044192</v>
      </c>
      <c r="O529">
        <v>106936.69741608307</v>
      </c>
      <c r="P529">
        <f t="shared" si="1085"/>
        <v>1520621.837</v>
      </c>
      <c r="U529" s="167">
        <f t="shared" si="1088"/>
        <v>162</v>
      </c>
      <c r="V529" s="167">
        <f>(V527-V519)</f>
        <v>883</v>
      </c>
      <c r="W529" s="167">
        <f t="shared" si="1089"/>
        <v>649</v>
      </c>
      <c r="X529" s="168">
        <f>W528</f>
        <v>396</v>
      </c>
      <c r="Y529" s="167">
        <f t="shared" si="1090"/>
        <v>491</v>
      </c>
      <c r="Z529" s="169">
        <f>Y528-Y529</f>
        <v>948</v>
      </c>
      <c r="AA529" s="167">
        <f t="shared" si="1091"/>
        <v>1099</v>
      </c>
      <c r="AB529" s="167">
        <f>AB527-AB519</f>
        <v>286</v>
      </c>
      <c r="AC529" s="167">
        <f>(AC528)*73.9/(73.9+99)</f>
        <v>464.172354</v>
      </c>
      <c r="AD529" s="167">
        <f>(AC528)*99/(73.9+99)</f>
        <v>621.827646</v>
      </c>
      <c r="AE529" s="167">
        <f t="shared" si="1092"/>
        <v>864</v>
      </c>
      <c r="AF529" s="169">
        <f>AE528-AE529-AG529-48</f>
        <v>211</v>
      </c>
      <c r="AG529" s="167">
        <f>AG527-AG519</f>
        <v>191</v>
      </c>
      <c r="AH529" s="96">
        <v>143.0</v>
      </c>
      <c r="AI529" s="18">
        <f t="shared" ref="AI529:AI530" si="1096">SUM(U529:AH529)</f>
        <v>7409</v>
      </c>
    </row>
    <row r="530">
      <c r="D530">
        <f t="shared" ref="D530:F530" si="1093">D529-D531</f>
        <v>353609.89</v>
      </c>
      <c r="E530">
        <f t="shared" si="1093"/>
        <v>159274.7097</v>
      </c>
      <c r="F530">
        <f t="shared" si="1093"/>
        <v>78802.58172</v>
      </c>
      <c r="I530">
        <f t="shared" ref="I530:O530" si="1094">I529-I531</f>
        <v>245971.7479</v>
      </c>
      <c r="J530">
        <f t="shared" si="1094"/>
        <v>66161.61972</v>
      </c>
      <c r="K530">
        <f t="shared" si="1094"/>
        <v>86472.62962</v>
      </c>
      <c r="L530">
        <f t="shared" si="1094"/>
        <v>114635.9142</v>
      </c>
      <c r="M530">
        <f t="shared" si="1094"/>
        <v>124595.7375</v>
      </c>
      <c r="N530">
        <f t="shared" si="1094"/>
        <v>55643.47852</v>
      </c>
      <c r="O530">
        <f t="shared" si="1094"/>
        <v>97215.17947</v>
      </c>
      <c r="P530">
        <f t="shared" si="1085"/>
        <v>1382383.488</v>
      </c>
      <c r="U530" s="162">
        <f t="shared" ref="U530:AH530" si="1095">U529*1351960/7409</f>
        <v>29561.00958</v>
      </c>
      <c r="V530" s="162">
        <f t="shared" si="1095"/>
        <v>161125.7498</v>
      </c>
      <c r="W530" s="162">
        <f t="shared" si="1095"/>
        <v>118426.5137</v>
      </c>
      <c r="X530" s="162">
        <f t="shared" si="1095"/>
        <v>72260.24565</v>
      </c>
      <c r="Y530" s="162">
        <f t="shared" si="1095"/>
        <v>89595.40559</v>
      </c>
      <c r="Z530" s="162">
        <f t="shared" si="1095"/>
        <v>172986.6487</v>
      </c>
      <c r="AA530" s="162">
        <f t="shared" si="1095"/>
        <v>200540.4292</v>
      </c>
      <c r="AB530" s="162">
        <f t="shared" si="1095"/>
        <v>52187.95519</v>
      </c>
      <c r="AC530" s="162">
        <f t="shared" si="1095"/>
        <v>84700.02101</v>
      </c>
      <c r="AD530" s="162">
        <f t="shared" si="1095"/>
        <v>113468.2284</v>
      </c>
      <c r="AE530" s="162">
        <f t="shared" si="1095"/>
        <v>157658.7178</v>
      </c>
      <c r="AF530" s="162">
        <f t="shared" si="1095"/>
        <v>38502.3026</v>
      </c>
      <c r="AG530" s="162">
        <f t="shared" si="1095"/>
        <v>34852.79525</v>
      </c>
      <c r="AH530" s="162">
        <f t="shared" si="1095"/>
        <v>26093.97759</v>
      </c>
      <c r="AI530" s="18">
        <f t="shared" si="1096"/>
        <v>1351960</v>
      </c>
    </row>
    <row r="531">
      <c r="B531" s="1" t="s">
        <v>5499</v>
      </c>
      <c r="D531">
        <f t="shared" ref="D531:F531" si="1097">D529/11</f>
        <v>35360.989</v>
      </c>
      <c r="E531">
        <f t="shared" si="1097"/>
        <v>15927.47097</v>
      </c>
      <c r="F531">
        <f t="shared" si="1097"/>
        <v>7880.258172</v>
      </c>
      <c r="I531">
        <f t="shared" ref="I531:O531" si="1098">I529/11</f>
        <v>24597.17479</v>
      </c>
      <c r="J531">
        <f t="shared" si="1098"/>
        <v>6616.161972</v>
      </c>
      <c r="K531">
        <f t="shared" si="1098"/>
        <v>8647.262962</v>
      </c>
      <c r="L531">
        <f t="shared" si="1098"/>
        <v>11463.59142</v>
      </c>
      <c r="M531">
        <f t="shared" si="1098"/>
        <v>12459.57375</v>
      </c>
      <c r="N531">
        <f t="shared" si="1098"/>
        <v>5564.347852</v>
      </c>
      <c r="O531">
        <f t="shared" si="1098"/>
        <v>9721.517947</v>
      </c>
      <c r="P531">
        <f t="shared" si="1085"/>
        <v>138238.3488</v>
      </c>
      <c r="U531">
        <v>29561.009582939667</v>
      </c>
      <c r="V531" s="136">
        <v>161125.7497638008</v>
      </c>
      <c r="W531" s="136">
        <v>118426.51369955459</v>
      </c>
      <c r="X531" s="136">
        <v>72260.24564718586</v>
      </c>
      <c r="Y531" s="164">
        <f t="shared" ref="Y531:AG531" si="1099">Y530+2899</f>
        <v>92494.40559</v>
      </c>
      <c r="Z531" s="164">
        <f t="shared" si="1099"/>
        <v>175885.6487</v>
      </c>
      <c r="AA531" s="165">
        <f t="shared" si="1099"/>
        <v>203439.4292</v>
      </c>
      <c r="AB531" s="164">
        <f t="shared" si="1099"/>
        <v>55086.95519</v>
      </c>
      <c r="AC531" s="164">
        <f t="shared" si="1099"/>
        <v>87599.02101</v>
      </c>
      <c r="AD531" s="164">
        <f t="shared" si="1099"/>
        <v>116367.2284</v>
      </c>
      <c r="AE531" s="164">
        <f t="shared" si="1099"/>
        <v>160557.7178</v>
      </c>
      <c r="AF531" s="164">
        <f t="shared" si="1099"/>
        <v>41401.3026</v>
      </c>
      <c r="AG531" s="164">
        <f t="shared" si="1099"/>
        <v>37751.79525</v>
      </c>
      <c r="AH531">
        <f>AH530/9</f>
        <v>2899.330844</v>
      </c>
      <c r="AI531" s="18">
        <f>SUM(U531:AG531)</f>
        <v>1351957.022</v>
      </c>
    </row>
    <row r="532">
      <c r="B532" s="1" t="s">
        <v>5711</v>
      </c>
      <c r="D532">
        <v>34790.123856029495</v>
      </c>
      <c r="E532">
        <v>14486.964395433819</v>
      </c>
      <c r="F532">
        <v>14486.964395433819</v>
      </c>
      <c r="G532">
        <v>0.0</v>
      </c>
      <c r="H532">
        <v>0.0</v>
      </c>
      <c r="I532">
        <v>24281.72234259289</v>
      </c>
      <c r="J532">
        <v>19321.89955696407</v>
      </c>
      <c r="K532">
        <v>13184.56488697733</v>
      </c>
      <c r="L532">
        <v>17662.678265368817</v>
      </c>
      <c r="M532" s="134">
        <v>9007.965915338098</v>
      </c>
      <c r="N532" s="159">
        <v>10365.672800181093</v>
      </c>
      <c r="O532">
        <v>7921.44358568056</v>
      </c>
      <c r="P532">
        <f t="shared" si="1085"/>
        <v>165510</v>
      </c>
      <c r="AA532" s="166">
        <f>AA531+U531</f>
        <v>233000.4388</v>
      </c>
    </row>
    <row r="533">
      <c r="B533" s="23" t="s">
        <v>5598</v>
      </c>
      <c r="D533" s="18">
        <f t="shared" ref="D533:F533" si="1100">SUM(D528,D529,D532)</f>
        <v>2513761.003</v>
      </c>
      <c r="E533" s="18">
        <f t="shared" si="1100"/>
        <v>3159689.145</v>
      </c>
      <c r="F533" s="18">
        <f t="shared" si="1100"/>
        <v>1806169.804</v>
      </c>
      <c r="G533" s="18"/>
      <c r="H533" s="18"/>
      <c r="I533" s="18">
        <f t="shared" ref="I533:O533" si="1101">SUM(I528,I529,I532)</f>
        <v>4144850.645</v>
      </c>
      <c r="J533" s="18">
        <f t="shared" si="1101"/>
        <v>2512099.681</v>
      </c>
      <c r="K533" s="18">
        <f t="shared" si="1101"/>
        <v>2638304.457</v>
      </c>
      <c r="L533" s="18">
        <f t="shared" si="1101"/>
        <v>2233762.184</v>
      </c>
      <c r="M533" s="18">
        <f t="shared" si="1101"/>
        <v>1796063.277</v>
      </c>
      <c r="N533" s="18">
        <f t="shared" si="1101"/>
        <v>1457573.499</v>
      </c>
      <c r="O533" s="18">
        <f t="shared" si="1101"/>
        <v>1478858.141</v>
      </c>
      <c r="P533">
        <f t="shared" si="1085"/>
        <v>23741131.84</v>
      </c>
    </row>
    <row r="534">
      <c r="B534" s="1" t="s">
        <v>5599</v>
      </c>
      <c r="D534">
        <f t="shared" ref="D534:F534" si="1102">SUM(D526,D530,D532)</f>
        <v>2288400.014</v>
      </c>
      <c r="E534">
        <f t="shared" si="1102"/>
        <v>2873761.674</v>
      </c>
      <c r="F534">
        <f t="shared" si="1102"/>
        <v>1643289.546</v>
      </c>
      <c r="I534">
        <f t="shared" ref="I534:O534" si="1103">SUM(I526,I530,I532)</f>
        <v>3770253.47</v>
      </c>
      <c r="J534">
        <f t="shared" si="1103"/>
        <v>2285483.519</v>
      </c>
      <c r="K534">
        <f t="shared" si="1103"/>
        <v>2399657.195</v>
      </c>
      <c r="L534">
        <f t="shared" si="1103"/>
        <v>2032298.592</v>
      </c>
      <c r="M534">
        <f t="shared" si="1103"/>
        <v>1633603.703</v>
      </c>
      <c r="N534">
        <f t="shared" si="1103"/>
        <v>1326009.151</v>
      </c>
      <c r="O534">
        <f t="shared" si="1103"/>
        <v>1345136.623</v>
      </c>
      <c r="P534">
        <f t="shared" si="1085"/>
        <v>21597893.49</v>
      </c>
      <c r="T534" s="1" t="s">
        <v>5281</v>
      </c>
      <c r="U534" s="1">
        <v>72923.0</v>
      </c>
      <c r="W534" s="1">
        <v>41570.0</v>
      </c>
      <c r="Y534" s="1">
        <v>99255.0</v>
      </c>
      <c r="AA534" s="1">
        <v>15676.0</v>
      </c>
      <c r="AC534" s="1">
        <v>114453.0</v>
      </c>
      <c r="AE534" s="1">
        <v>144751.0</v>
      </c>
      <c r="AH534" s="1">
        <v>11589.0</v>
      </c>
      <c r="AJ534" s="1">
        <v>1863120.0</v>
      </c>
      <c r="AL534" s="1">
        <v>13589.0</v>
      </c>
    </row>
    <row r="535">
      <c r="B535" s="1" t="s">
        <v>5601</v>
      </c>
      <c r="D535">
        <f t="shared" ref="D535:F535" si="1104">SUM(D526,D530)</f>
        <v>2253609.89</v>
      </c>
      <c r="E535">
        <f t="shared" si="1104"/>
        <v>2859274.71</v>
      </c>
      <c r="F535">
        <f t="shared" si="1104"/>
        <v>1628802.582</v>
      </c>
      <c r="I535">
        <f t="shared" ref="I535:O535" si="1105">SUM(I526,I530)</f>
        <v>3745971.748</v>
      </c>
      <c r="J535">
        <f t="shared" si="1105"/>
        <v>2266161.62</v>
      </c>
      <c r="K535">
        <f t="shared" si="1105"/>
        <v>2386472.63</v>
      </c>
      <c r="L535">
        <f t="shared" si="1105"/>
        <v>2014635.914</v>
      </c>
      <c r="M535">
        <f t="shared" si="1105"/>
        <v>1624595.738</v>
      </c>
      <c r="N535">
        <f t="shared" si="1105"/>
        <v>1315643.479</v>
      </c>
      <c r="O535">
        <f t="shared" si="1105"/>
        <v>1337215.179</v>
      </c>
      <c r="P535">
        <f t="shared" si="1085"/>
        <v>21432383.49</v>
      </c>
      <c r="U535" s="1">
        <v>12611.0</v>
      </c>
      <c r="V535" s="1">
        <v>62783.0</v>
      </c>
      <c r="W535" s="1">
        <v>101781.0</v>
      </c>
      <c r="Y535" s="1">
        <v>29369.0</v>
      </c>
      <c r="AA535" s="1">
        <v>59277.0</v>
      </c>
      <c r="AB535" s="1">
        <v>6880.0</v>
      </c>
      <c r="AE535" s="1">
        <v>114740.0</v>
      </c>
      <c r="AG535" s="1">
        <v>21304.0</v>
      </c>
    </row>
    <row r="536">
      <c r="B536" s="1" t="s">
        <v>5582</v>
      </c>
      <c r="D536">
        <f t="shared" ref="D536:F536" si="1106">SUM(D527,D531)</f>
        <v>225360.989</v>
      </c>
      <c r="E536">
        <f t="shared" si="1106"/>
        <v>285927.471</v>
      </c>
      <c r="F536">
        <f t="shared" si="1106"/>
        <v>162880.2582</v>
      </c>
      <c r="I536">
        <f t="shared" ref="I536:O536" si="1107">SUM(I527,I531)</f>
        <v>374597.1748</v>
      </c>
      <c r="J536">
        <f t="shared" si="1107"/>
        <v>226616.162</v>
      </c>
      <c r="K536">
        <f t="shared" si="1107"/>
        <v>238647.263</v>
      </c>
      <c r="L536">
        <f t="shared" si="1107"/>
        <v>201463.5914</v>
      </c>
      <c r="M536">
        <f t="shared" si="1107"/>
        <v>162459.5738</v>
      </c>
      <c r="N536">
        <f t="shared" si="1107"/>
        <v>131564.3479</v>
      </c>
      <c r="O536">
        <f t="shared" si="1107"/>
        <v>133721.5179</v>
      </c>
      <c r="P536">
        <f t="shared" si="1085"/>
        <v>2143238.349</v>
      </c>
      <c r="U536" s="97">
        <f t="shared" ref="U536:U537" si="1110">U534-U526</f>
        <v>1549</v>
      </c>
      <c r="V536" s="97"/>
      <c r="W536" s="97">
        <f t="shared" ref="W536:W537" si="1111">W534-W526</f>
        <v>404</v>
      </c>
      <c r="X536" s="97"/>
      <c r="Y536" s="97">
        <f t="shared" ref="Y536:Y537" si="1112">Y534-Y526</f>
        <v>2161</v>
      </c>
      <c r="Z536" s="97"/>
      <c r="AA536" s="97">
        <f t="shared" ref="AA536:AA537" si="1113">AA534-AA526</f>
        <v>1618</v>
      </c>
      <c r="AB536" s="97"/>
      <c r="AC536" s="97">
        <f>AC534-AC526</f>
        <v>1787</v>
      </c>
      <c r="AD536" s="97"/>
      <c r="AE536" s="97">
        <f t="shared" ref="AE536:AE537" si="1114">AE534-AE526</f>
        <v>1687</v>
      </c>
      <c r="AF536" s="97"/>
      <c r="AG536" s="97"/>
      <c r="AH536" s="97">
        <f>AH534-AH526</f>
        <v>130</v>
      </c>
    </row>
    <row r="537">
      <c r="B537" s="1" t="s">
        <v>5602</v>
      </c>
      <c r="D537">
        <f t="shared" ref="D537:F537" si="1108">SUM(D535:D536)</f>
        <v>2478970.879</v>
      </c>
      <c r="E537">
        <f t="shared" si="1108"/>
        <v>3145202.181</v>
      </c>
      <c r="F537">
        <f t="shared" si="1108"/>
        <v>1791682.84</v>
      </c>
      <c r="I537">
        <f t="shared" ref="I537:O537" si="1109">SUM(I535:I536)</f>
        <v>4120568.923</v>
      </c>
      <c r="J537">
        <f t="shared" si="1109"/>
        <v>2492777.782</v>
      </c>
      <c r="K537">
        <f t="shared" si="1109"/>
        <v>2625119.893</v>
      </c>
      <c r="L537">
        <f t="shared" si="1109"/>
        <v>2216099.506</v>
      </c>
      <c r="M537">
        <f t="shared" si="1109"/>
        <v>1787055.311</v>
      </c>
      <c r="N537">
        <f t="shared" si="1109"/>
        <v>1447207.826</v>
      </c>
      <c r="O537">
        <f t="shared" si="1109"/>
        <v>1470936.697</v>
      </c>
      <c r="P537">
        <f t="shared" si="1085"/>
        <v>23575621.84</v>
      </c>
      <c r="U537" s="167">
        <f t="shared" si="1110"/>
        <v>121</v>
      </c>
      <c r="V537" s="167">
        <f>(V535-V527)</f>
        <v>1201</v>
      </c>
      <c r="W537" s="167">
        <f t="shared" si="1111"/>
        <v>844</v>
      </c>
      <c r="X537" s="168">
        <f>W536</f>
        <v>404</v>
      </c>
      <c r="Y537" s="167">
        <f t="shared" si="1112"/>
        <v>906</v>
      </c>
      <c r="Z537" s="169">
        <f>Y536-Y537</f>
        <v>1255</v>
      </c>
      <c r="AA537" s="167">
        <f t="shared" si="1113"/>
        <v>1293</v>
      </c>
      <c r="AB537" s="167">
        <f>AB535-AB527</f>
        <v>317</v>
      </c>
      <c r="AC537" s="167">
        <f>(AC536)*73.9/(73.9+99)</f>
        <v>763.7900521</v>
      </c>
      <c r="AD537" s="167">
        <f>(AC536)*99/(73.9+99)</f>
        <v>1023.209948</v>
      </c>
      <c r="AE537" s="167">
        <f t="shared" si="1114"/>
        <v>992</v>
      </c>
      <c r="AF537" s="169">
        <f>AE536-AE537-AG537-48</f>
        <v>382</v>
      </c>
      <c r="AG537" s="167">
        <f>AG535-AG527</f>
        <v>265</v>
      </c>
      <c r="AH537" s="170">
        <v>130.0</v>
      </c>
      <c r="AI537" s="18">
        <f t="shared" ref="AI537:AI538" si="1116">SUM(U537:AH537)</f>
        <v>9897</v>
      </c>
    </row>
    <row r="538">
      <c r="B538" s="1"/>
      <c r="D538" s="1" t="s">
        <v>5566</v>
      </c>
      <c r="E538" s="1" t="s">
        <v>5566</v>
      </c>
      <c r="F538" s="1" t="s">
        <v>5566</v>
      </c>
      <c r="H538" s="1"/>
      <c r="I538" s="1" t="s">
        <v>5566</v>
      </c>
      <c r="J538" s="1" t="s">
        <v>5566</v>
      </c>
      <c r="K538" s="33" t="s">
        <v>5566</v>
      </c>
      <c r="L538" s="1" t="s">
        <v>5566</v>
      </c>
      <c r="M538" s="1" t="s">
        <v>5566</v>
      </c>
      <c r="N538" s="33" t="s">
        <v>5566</v>
      </c>
      <c r="O538" s="1" t="s">
        <v>5566</v>
      </c>
      <c r="U538" s="162">
        <f t="shared" ref="U538:AH538" si="1115">U537*1863120/9897</f>
        <v>22778.3692</v>
      </c>
      <c r="V538" s="162">
        <f t="shared" si="1115"/>
        <v>226089.4332</v>
      </c>
      <c r="W538" s="162">
        <f t="shared" si="1115"/>
        <v>158883.8315</v>
      </c>
      <c r="X538" s="162">
        <f t="shared" si="1115"/>
        <v>76053.398</v>
      </c>
      <c r="Y538" s="162">
        <f t="shared" si="1115"/>
        <v>170555.3925</v>
      </c>
      <c r="Z538" s="162">
        <f t="shared" si="1115"/>
        <v>236254.9864</v>
      </c>
      <c r="AA538" s="162">
        <f t="shared" si="1115"/>
        <v>243408.5238</v>
      </c>
      <c r="AB538" s="162">
        <f t="shared" si="1115"/>
        <v>59675.56229</v>
      </c>
      <c r="AC538" s="162">
        <f t="shared" si="1115"/>
        <v>143784.2297</v>
      </c>
      <c r="AD538" s="162">
        <f t="shared" si="1115"/>
        <v>192620.2807</v>
      </c>
      <c r="AE538" s="162">
        <f t="shared" si="1115"/>
        <v>186744.9773</v>
      </c>
      <c r="AF538" s="162">
        <f t="shared" si="1115"/>
        <v>71911.87633</v>
      </c>
      <c r="AG538" s="162">
        <f t="shared" si="1115"/>
        <v>49886.51106</v>
      </c>
      <c r="AH538" s="162">
        <f t="shared" si="1115"/>
        <v>24472.62807</v>
      </c>
      <c r="AI538" s="18">
        <f t="shared" si="1116"/>
        <v>1863120</v>
      </c>
    </row>
    <row r="539">
      <c r="B539" s="1"/>
      <c r="H539" s="1"/>
      <c r="M539" s="1"/>
      <c r="N539" s="33"/>
      <c r="U539">
        <v>22778.369202788723</v>
      </c>
      <c r="V539" s="136">
        <v>226089.4331615641</v>
      </c>
      <c r="W539" s="136">
        <v>158883.83146408002</v>
      </c>
      <c r="X539" s="136">
        <v>76053.39799939375</v>
      </c>
      <c r="Y539" s="164">
        <f t="shared" ref="Y539:AG539" si="1117">Y538+2719</f>
        <v>173274.3925</v>
      </c>
      <c r="Z539" s="164">
        <f t="shared" si="1117"/>
        <v>238973.9864</v>
      </c>
      <c r="AA539" s="165">
        <f t="shared" si="1117"/>
        <v>246127.5238</v>
      </c>
      <c r="AB539" s="164">
        <f t="shared" si="1117"/>
        <v>62394.56229</v>
      </c>
      <c r="AC539" s="164">
        <f t="shared" si="1117"/>
        <v>146503.2297</v>
      </c>
      <c r="AD539" s="164">
        <f t="shared" si="1117"/>
        <v>195339.2807</v>
      </c>
      <c r="AE539" s="164">
        <f t="shared" si="1117"/>
        <v>189463.9773</v>
      </c>
      <c r="AF539" s="164">
        <f t="shared" si="1117"/>
        <v>74630.87633</v>
      </c>
      <c r="AG539" s="164">
        <f t="shared" si="1117"/>
        <v>52605.51106</v>
      </c>
      <c r="AH539">
        <f>AH538/9</f>
        <v>2719.180897</v>
      </c>
      <c r="AI539" s="18">
        <f>SUM(U539:AG539)</f>
        <v>1863118.372</v>
      </c>
    </row>
    <row r="540">
      <c r="B540" s="1"/>
      <c r="H540" s="1"/>
      <c r="M540" s="1"/>
      <c r="N540" s="33"/>
      <c r="AA540" s="166">
        <f>AA539+U539</f>
        <v>268905.893</v>
      </c>
    </row>
    <row r="541">
      <c r="B541" s="1" t="s">
        <v>5753</v>
      </c>
      <c r="D541" s="1">
        <v>1900000.0</v>
      </c>
      <c r="E541" s="1">
        <v>2700000.0</v>
      </c>
      <c r="F541" s="1">
        <v>1550000.0</v>
      </c>
      <c r="G541">
        <f>110000 + 1800000*4/29</f>
        <v>358275.8621</v>
      </c>
      <c r="I541" s="1">
        <v>3500000.0</v>
      </c>
      <c r="J541" s="1">
        <f>2200000*12/29</f>
        <v>910344.8276</v>
      </c>
      <c r="K541" s="1">
        <v>2300000.0</v>
      </c>
      <c r="L541" s="1">
        <v>1900000.0</v>
      </c>
      <c r="M541" s="1">
        <v>1500000.0</v>
      </c>
      <c r="N541" s="33">
        <v>1260000.0</v>
      </c>
      <c r="O541" s="1">
        <v>1240000.0</v>
      </c>
      <c r="P541">
        <f t="shared" ref="P541:P549" si="1120">SUM(D541:O541)</f>
        <v>19118620.69</v>
      </c>
    </row>
    <row r="542">
      <c r="B542" s="1" t="s">
        <v>5499</v>
      </c>
      <c r="D542" s="1">
        <f t="shared" ref="D542:G542" si="1118">D541*0.1</f>
        <v>190000</v>
      </c>
      <c r="E542" s="1">
        <f t="shared" si="1118"/>
        <v>270000</v>
      </c>
      <c r="F542" s="1">
        <f t="shared" si="1118"/>
        <v>155000</v>
      </c>
      <c r="G542" s="1">
        <f t="shared" si="1118"/>
        <v>35827.58621</v>
      </c>
      <c r="I542" s="1">
        <f t="shared" ref="I542:O542" si="1119">I541*0.1</f>
        <v>350000</v>
      </c>
      <c r="J542" s="1">
        <f t="shared" si="1119"/>
        <v>91034.48276</v>
      </c>
      <c r="K542" s="1">
        <f t="shared" si="1119"/>
        <v>230000</v>
      </c>
      <c r="L542" s="1">
        <f t="shared" si="1119"/>
        <v>190000</v>
      </c>
      <c r="M542" s="1">
        <f t="shared" si="1119"/>
        <v>150000</v>
      </c>
      <c r="N542" s="1">
        <f t="shared" si="1119"/>
        <v>126000</v>
      </c>
      <c r="O542" s="1">
        <f t="shared" si="1119"/>
        <v>124000</v>
      </c>
      <c r="P542">
        <f t="shared" si="1120"/>
        <v>1911862.069</v>
      </c>
      <c r="T542" s="1" t="s">
        <v>5754</v>
      </c>
      <c r="U542" s="1">
        <v>74625.0</v>
      </c>
      <c r="W542" s="1">
        <v>41996.0</v>
      </c>
      <c r="Y542" s="1">
        <v>101513.0</v>
      </c>
      <c r="AA542" s="1">
        <v>17404.0</v>
      </c>
      <c r="AC542" s="1">
        <v>115906.0</v>
      </c>
      <c r="AE542" s="1">
        <v>146644.0</v>
      </c>
      <c r="AH542" s="1">
        <v>11726.0</v>
      </c>
      <c r="AJ542" s="1">
        <v>1946400.0</v>
      </c>
      <c r="AL542" s="1">
        <v>14380.0</v>
      </c>
    </row>
    <row r="543">
      <c r="B543" s="1" t="s">
        <v>5520</v>
      </c>
      <c r="D543">
        <f t="shared" ref="D543:G543" si="1121">D541+D542</f>
        <v>2090000</v>
      </c>
      <c r="E543">
        <f t="shared" si="1121"/>
        <v>2970000</v>
      </c>
      <c r="F543">
        <f t="shared" si="1121"/>
        <v>1705000</v>
      </c>
      <c r="G543">
        <f t="shared" si="1121"/>
        <v>394103.4483</v>
      </c>
      <c r="I543">
        <f t="shared" ref="I543:O543" si="1122">I541+I542</f>
        <v>3850000</v>
      </c>
      <c r="J543">
        <f t="shared" si="1122"/>
        <v>1001379.31</v>
      </c>
      <c r="K543">
        <f t="shared" si="1122"/>
        <v>2530000</v>
      </c>
      <c r="L543">
        <f t="shared" si="1122"/>
        <v>2090000</v>
      </c>
      <c r="M543">
        <f t="shared" si="1122"/>
        <v>1650000</v>
      </c>
      <c r="N543">
        <f t="shared" si="1122"/>
        <v>1386000</v>
      </c>
      <c r="O543">
        <f t="shared" si="1122"/>
        <v>1364000</v>
      </c>
      <c r="P543">
        <f t="shared" si="1120"/>
        <v>21030482.76</v>
      </c>
      <c r="U543" s="1">
        <v>12733.0</v>
      </c>
      <c r="V543" s="1">
        <v>64179.0</v>
      </c>
      <c r="W543" s="1">
        <v>102658.0</v>
      </c>
      <c r="Y543" s="1">
        <v>30296.0</v>
      </c>
      <c r="AA543" s="1">
        <v>60850.0</v>
      </c>
      <c r="AB543" s="1">
        <v>7077.0</v>
      </c>
      <c r="AE543" s="1">
        <v>115734.0</v>
      </c>
      <c r="AG543" s="1">
        <v>21700.0</v>
      </c>
    </row>
    <row r="544">
      <c r="B544" s="1" t="s">
        <v>5545</v>
      </c>
      <c r="D544">
        <v>396559.2660550459</v>
      </c>
      <c r="E544">
        <v>168397.0642201835</v>
      </c>
      <c r="F544">
        <v>85780.5504587156</v>
      </c>
      <c r="G544">
        <v>6992.495412844037</v>
      </c>
      <c r="H544" s="134">
        <v>49179.65137614679</v>
      </c>
      <c r="I544">
        <v>268904.4220183486</v>
      </c>
      <c r="J544">
        <f>J529*12/29</f>
        <v>30114.94415</v>
      </c>
      <c r="K544">
        <v>91778.34967446845</v>
      </c>
      <c r="L544">
        <v>122068.2925273664</v>
      </c>
      <c r="M544" s="134">
        <v>162030.29357798165</v>
      </c>
      <c r="N544" s="159">
        <v>54628.8256880734</v>
      </c>
      <c r="O544">
        <v>81347.35779816513</v>
      </c>
      <c r="P544">
        <f t="shared" si="1120"/>
        <v>1517781.513</v>
      </c>
      <c r="U544" s="97">
        <f t="shared" ref="U544:U545" si="1125">U542-U534</f>
        <v>1702</v>
      </c>
      <c r="V544" s="97"/>
      <c r="W544" s="97">
        <f t="shared" ref="W544:W545" si="1126">W542-W534</f>
        <v>426</v>
      </c>
      <c r="X544" s="97"/>
      <c r="Y544" s="97">
        <f t="shared" ref="Y544:Y545" si="1127">Y542-Y534</f>
        <v>2258</v>
      </c>
      <c r="Z544" s="97"/>
      <c r="AA544" s="97">
        <f t="shared" ref="AA544:AA545" si="1128">AA542-AA534</f>
        <v>1728</v>
      </c>
      <c r="AB544" s="97"/>
      <c r="AC544" s="97">
        <f>AC542-AC534</f>
        <v>1453</v>
      </c>
      <c r="AD544" s="97"/>
      <c r="AE544" s="97">
        <f t="shared" ref="AE544:AE545" si="1129">AE542-AE534</f>
        <v>1893</v>
      </c>
      <c r="AF544" s="97"/>
      <c r="AG544" s="97"/>
      <c r="AH544" s="97">
        <f>AH542-AH534</f>
        <v>137</v>
      </c>
    </row>
    <row r="545">
      <c r="D545">
        <f t="shared" ref="D545:G545" si="1123">D544-D546</f>
        <v>360508.4237</v>
      </c>
      <c r="E545">
        <f t="shared" si="1123"/>
        <v>153088.2402</v>
      </c>
      <c r="F545">
        <f t="shared" si="1123"/>
        <v>77982.3186</v>
      </c>
      <c r="G545">
        <f t="shared" si="1123"/>
        <v>6356.814012</v>
      </c>
      <c r="H545" s="1"/>
      <c r="I545">
        <f t="shared" ref="I545:O545" si="1124">I544-I546</f>
        <v>244458.5655</v>
      </c>
      <c r="J545">
        <f t="shared" si="1124"/>
        <v>27377.22195</v>
      </c>
      <c r="K545">
        <f t="shared" si="1124"/>
        <v>83434.86334</v>
      </c>
      <c r="L545">
        <f t="shared" si="1124"/>
        <v>110971.175</v>
      </c>
      <c r="M545">
        <f t="shared" si="1124"/>
        <v>147300.2669</v>
      </c>
      <c r="N545">
        <f t="shared" si="1124"/>
        <v>49662.56881</v>
      </c>
      <c r="O545">
        <f t="shared" si="1124"/>
        <v>73952.14345</v>
      </c>
      <c r="P545">
        <f t="shared" si="1120"/>
        <v>1335092.601</v>
      </c>
      <c r="U545" s="167">
        <f t="shared" si="1125"/>
        <v>122</v>
      </c>
      <c r="V545" s="167">
        <f>(V543-V535)</f>
        <v>1396</v>
      </c>
      <c r="W545" s="167">
        <f t="shared" si="1126"/>
        <v>877</v>
      </c>
      <c r="X545" s="168">
        <f>W544</f>
        <v>426</v>
      </c>
      <c r="Y545" s="167">
        <f t="shared" si="1127"/>
        <v>927</v>
      </c>
      <c r="Z545" s="169">
        <f>Y544-Y545</f>
        <v>1331</v>
      </c>
      <c r="AA545" s="167">
        <f t="shared" si="1128"/>
        <v>1573</v>
      </c>
      <c r="AB545" s="167">
        <f>AB543-AB535</f>
        <v>197</v>
      </c>
      <c r="AC545" s="167">
        <f>(AC544)*73.9/(73.9+99)</f>
        <v>621.0335454</v>
      </c>
      <c r="AD545" s="167">
        <f>(AC544)*99/(73.9+99)</f>
        <v>831.9664546</v>
      </c>
      <c r="AE545" s="167">
        <f t="shared" si="1129"/>
        <v>994</v>
      </c>
      <c r="AF545" s="169">
        <f>AE544-AE545-AG545-48</f>
        <v>455</v>
      </c>
      <c r="AG545" s="167">
        <f>AG543-AG535</f>
        <v>396</v>
      </c>
      <c r="AH545" s="96">
        <v>137.0</v>
      </c>
      <c r="AI545" s="18">
        <f t="shared" ref="AI545:AI546" si="1133">SUM(U545:AH545)</f>
        <v>10284</v>
      </c>
    </row>
    <row r="546">
      <c r="B546" s="1" t="s">
        <v>5499</v>
      </c>
      <c r="D546">
        <f t="shared" ref="D546:G546" si="1130">D544/11</f>
        <v>36050.84237</v>
      </c>
      <c r="E546">
        <f t="shared" si="1130"/>
        <v>15308.82402</v>
      </c>
      <c r="F546">
        <f t="shared" si="1130"/>
        <v>7798.23186</v>
      </c>
      <c r="G546">
        <f t="shared" si="1130"/>
        <v>635.6814012</v>
      </c>
      <c r="H546" s="1"/>
      <c r="I546">
        <f t="shared" ref="I546:O546" si="1131">I544/11</f>
        <v>24445.85655</v>
      </c>
      <c r="J546">
        <f t="shared" si="1131"/>
        <v>2737.722195</v>
      </c>
      <c r="K546">
        <f t="shared" si="1131"/>
        <v>8343.486334</v>
      </c>
      <c r="L546">
        <f t="shared" si="1131"/>
        <v>11097.1175</v>
      </c>
      <c r="M546">
        <f t="shared" si="1131"/>
        <v>14730.02669</v>
      </c>
      <c r="N546">
        <f t="shared" si="1131"/>
        <v>4966.256881</v>
      </c>
      <c r="O546">
        <f t="shared" si="1131"/>
        <v>7395.214345</v>
      </c>
      <c r="P546">
        <f t="shared" si="1120"/>
        <v>133509.2601</v>
      </c>
      <c r="U546" s="162">
        <f t="shared" ref="U546:AH546" si="1132">U545*1946400/10284</f>
        <v>23090.31505</v>
      </c>
      <c r="V546" s="162">
        <f t="shared" si="1132"/>
        <v>264213.769</v>
      </c>
      <c r="W546" s="162">
        <f t="shared" si="1132"/>
        <v>165985.2975</v>
      </c>
      <c r="X546" s="162">
        <f t="shared" si="1132"/>
        <v>80626.83781</v>
      </c>
      <c r="Y546" s="162">
        <f t="shared" si="1132"/>
        <v>175448.5414</v>
      </c>
      <c r="Z546" s="162">
        <f t="shared" si="1132"/>
        <v>251911.5519</v>
      </c>
      <c r="AA546" s="162">
        <f t="shared" si="1132"/>
        <v>297713.6523</v>
      </c>
      <c r="AB546" s="162">
        <f t="shared" si="1132"/>
        <v>37285.18086</v>
      </c>
      <c r="AC546" s="162">
        <f t="shared" si="1132"/>
        <v>117539.8379</v>
      </c>
      <c r="AD546" s="162">
        <f t="shared" si="1132"/>
        <v>157462.0291</v>
      </c>
      <c r="AE546" s="162">
        <f t="shared" si="1132"/>
        <v>188129.2882</v>
      </c>
      <c r="AF546" s="162">
        <f t="shared" si="1132"/>
        <v>86115.51925</v>
      </c>
      <c r="AG546" s="162">
        <f t="shared" si="1132"/>
        <v>74948.89148</v>
      </c>
      <c r="AH546" s="162">
        <f t="shared" si="1132"/>
        <v>25929.28821</v>
      </c>
      <c r="AI546" s="18">
        <f t="shared" si="1133"/>
        <v>1946400</v>
      </c>
    </row>
    <row r="547">
      <c r="B547" s="23" t="s">
        <v>5528</v>
      </c>
      <c r="D547" s="145">
        <f t="shared" ref="D547:G547" si="1134">SUM(D543,D544)</f>
        <v>2486559.266</v>
      </c>
      <c r="E547" s="145">
        <f t="shared" si="1134"/>
        <v>3138397.064</v>
      </c>
      <c r="F547" s="145">
        <f t="shared" si="1134"/>
        <v>1790780.55</v>
      </c>
      <c r="G547" s="145">
        <f t="shared" si="1134"/>
        <v>401095.9437</v>
      </c>
      <c r="H547" s="1"/>
      <c r="I547" s="145">
        <f t="shared" ref="I547:O547" si="1135">SUM(I543,I544)</f>
        <v>4118904.422</v>
      </c>
      <c r="J547" s="18">
        <f t="shared" si="1135"/>
        <v>1031494.254</v>
      </c>
      <c r="K547" s="145">
        <f t="shared" si="1135"/>
        <v>2621778.35</v>
      </c>
      <c r="L547" s="145">
        <f t="shared" si="1135"/>
        <v>2212068.293</v>
      </c>
      <c r="M547" s="145">
        <f t="shared" si="1135"/>
        <v>1812030.294</v>
      </c>
      <c r="N547" s="145">
        <f t="shared" si="1135"/>
        <v>1440628.826</v>
      </c>
      <c r="O547" s="145">
        <f t="shared" si="1135"/>
        <v>1445347.358</v>
      </c>
      <c r="P547">
        <f t="shared" si="1120"/>
        <v>22499084.62</v>
      </c>
      <c r="U547">
        <v>23090.31505250875</v>
      </c>
      <c r="V547" s="136">
        <v>264213.76896149357</v>
      </c>
      <c r="W547" s="136">
        <v>165985.2975495916</v>
      </c>
      <c r="X547" s="136">
        <v>80626.83780630105</v>
      </c>
      <c r="Y547" s="164">
        <f t="shared" ref="Y547:AG547" si="1136">Y546+2881</f>
        <v>178329.5414</v>
      </c>
      <c r="Z547" s="164">
        <f t="shared" si="1136"/>
        <v>254792.5519</v>
      </c>
      <c r="AA547" s="165">
        <f t="shared" si="1136"/>
        <v>300594.6523</v>
      </c>
      <c r="AB547" s="164">
        <f t="shared" si="1136"/>
        <v>40166.18086</v>
      </c>
      <c r="AC547" s="164">
        <f t="shared" si="1136"/>
        <v>120420.8379</v>
      </c>
      <c r="AD547" s="164">
        <f t="shared" si="1136"/>
        <v>160343.0291</v>
      </c>
      <c r="AE547" s="164">
        <f t="shared" si="1136"/>
        <v>191010.2882</v>
      </c>
      <c r="AF547" s="164">
        <f t="shared" si="1136"/>
        <v>88996.51925</v>
      </c>
      <c r="AG547" s="164">
        <f t="shared" si="1136"/>
        <v>77829.89148</v>
      </c>
      <c r="AH547">
        <f>AH546/9</f>
        <v>2881.032024</v>
      </c>
      <c r="AI547" s="18">
        <f>SUM(U547:AG547)</f>
        <v>1946399.712</v>
      </c>
    </row>
    <row r="548">
      <c r="B548" s="1" t="s">
        <v>5580</v>
      </c>
      <c r="D548">
        <f t="shared" ref="D548:G548" si="1137">D541+D545</f>
        <v>2260508.424</v>
      </c>
      <c r="E548">
        <f t="shared" si="1137"/>
        <v>2853088.24</v>
      </c>
      <c r="F548">
        <f t="shared" si="1137"/>
        <v>1627982.319</v>
      </c>
      <c r="G548">
        <f t="shared" si="1137"/>
        <v>364632.6761</v>
      </c>
      <c r="H548" s="1"/>
      <c r="I548">
        <f t="shared" ref="I548:O548" si="1138">I541+I545</f>
        <v>3744458.565</v>
      </c>
      <c r="J548">
        <f t="shared" si="1138"/>
        <v>937722.0495</v>
      </c>
      <c r="K548">
        <f t="shared" si="1138"/>
        <v>2383434.863</v>
      </c>
      <c r="L548">
        <f t="shared" si="1138"/>
        <v>2010971.175</v>
      </c>
      <c r="M548">
        <f t="shared" si="1138"/>
        <v>1647300.267</v>
      </c>
      <c r="N548">
        <f t="shared" si="1138"/>
        <v>1309662.569</v>
      </c>
      <c r="O548">
        <f t="shared" si="1138"/>
        <v>1313952.143</v>
      </c>
      <c r="P548">
        <f t="shared" si="1120"/>
        <v>20453713.29</v>
      </c>
      <c r="AA548" s="166">
        <f>AA547+U547</f>
        <v>323684.9673</v>
      </c>
    </row>
    <row r="549">
      <c r="B549" s="1" t="s">
        <v>5582</v>
      </c>
      <c r="D549">
        <f t="shared" ref="D549:G549" si="1139">D542+D546</f>
        <v>226050.8424</v>
      </c>
      <c r="E549">
        <f t="shared" si="1139"/>
        <v>285308.824</v>
      </c>
      <c r="F549">
        <f t="shared" si="1139"/>
        <v>162798.2319</v>
      </c>
      <c r="G549">
        <f t="shared" si="1139"/>
        <v>36463.26761</v>
      </c>
      <c r="H549" s="1"/>
      <c r="I549">
        <f t="shared" ref="I549:O549" si="1140">I542+I546</f>
        <v>374445.8565</v>
      </c>
      <c r="J549">
        <f t="shared" si="1140"/>
        <v>93772.20495</v>
      </c>
      <c r="K549">
        <f t="shared" si="1140"/>
        <v>238343.4863</v>
      </c>
      <c r="L549">
        <f t="shared" si="1140"/>
        <v>201097.1175</v>
      </c>
      <c r="M549">
        <f t="shared" si="1140"/>
        <v>164730.0267</v>
      </c>
      <c r="N549">
        <f t="shared" si="1140"/>
        <v>130966.2569</v>
      </c>
      <c r="O549">
        <f t="shared" si="1140"/>
        <v>131395.2143</v>
      </c>
      <c r="P549">
        <f t="shared" si="1120"/>
        <v>2045371.329</v>
      </c>
    </row>
    <row r="550">
      <c r="B550" s="1"/>
      <c r="D550" s="33" t="s">
        <v>5566</v>
      </c>
      <c r="E550" s="1" t="s">
        <v>5566</v>
      </c>
      <c r="F550" s="1" t="s">
        <v>5566</v>
      </c>
      <c r="G550" s="1" t="s">
        <v>5566</v>
      </c>
      <c r="H550" s="1"/>
      <c r="I550" s="1" t="s">
        <v>5566</v>
      </c>
      <c r="J550" s="1" t="s">
        <v>5566</v>
      </c>
      <c r="K550" s="33" t="s">
        <v>5566</v>
      </c>
      <c r="L550" s="1" t="s">
        <v>5566</v>
      </c>
      <c r="M550" s="1" t="s">
        <v>5566</v>
      </c>
      <c r="N550" s="33" t="s">
        <v>5566</v>
      </c>
      <c r="O550" s="1" t="s">
        <v>5566</v>
      </c>
      <c r="T550" s="1" t="s">
        <v>5755</v>
      </c>
      <c r="U550" s="1">
        <v>76052.0</v>
      </c>
      <c r="W550" s="1">
        <v>42371.0</v>
      </c>
      <c r="Y550" s="1">
        <v>103374.0</v>
      </c>
      <c r="AA550" s="1">
        <v>18753.0</v>
      </c>
      <c r="AC550" s="1">
        <v>117293.0</v>
      </c>
      <c r="AE550" s="1">
        <v>148123.0</v>
      </c>
      <c r="AH550" s="1">
        <v>11849.0</v>
      </c>
      <c r="AJ550" s="1">
        <v>1410790.0</v>
      </c>
      <c r="AL550" s="1">
        <v>10500.0</v>
      </c>
    </row>
    <row r="551">
      <c r="B551" s="5" t="s">
        <v>5756</v>
      </c>
      <c r="D551" s="5" t="s">
        <v>5757</v>
      </c>
      <c r="H551" s="5" t="s">
        <v>5758</v>
      </c>
      <c r="M551" s="1"/>
      <c r="N551" s="33"/>
      <c r="U551" s="1">
        <v>12862.0</v>
      </c>
      <c r="V551" s="1">
        <v>65353.0</v>
      </c>
      <c r="W551" s="1">
        <v>103375.0</v>
      </c>
      <c r="Y551" s="1">
        <v>31066.0</v>
      </c>
      <c r="AA551" s="1">
        <v>62085.0</v>
      </c>
      <c r="AB551" s="1">
        <v>7239.0</v>
      </c>
      <c r="AE551" s="1">
        <v>116616.0</v>
      </c>
      <c r="AG551" s="1">
        <v>22000.0</v>
      </c>
    </row>
    <row r="552">
      <c r="B552" s="1"/>
      <c r="H552" s="1"/>
      <c r="M552" s="1"/>
      <c r="N552" s="33"/>
      <c r="U552" s="97">
        <f t="shared" ref="U552:U553" si="1141">U550-U542</f>
        <v>1427</v>
      </c>
      <c r="V552" s="97"/>
      <c r="W552" s="97">
        <f t="shared" ref="W552:W553" si="1142">W550-W542</f>
        <v>375</v>
      </c>
      <c r="X552" s="97"/>
      <c r="Y552" s="97">
        <f t="shared" ref="Y552:Y553" si="1143">Y550-Y542</f>
        <v>1861</v>
      </c>
      <c r="Z552" s="97"/>
      <c r="AA552" s="97">
        <f t="shared" ref="AA552:AA553" si="1144">AA550-AA542</f>
        <v>1349</v>
      </c>
      <c r="AB552" s="97"/>
      <c r="AC552" s="97">
        <f>AC550-AC542</f>
        <v>1387</v>
      </c>
      <c r="AD552" s="97"/>
      <c r="AE552" s="97">
        <f t="shared" ref="AE552:AE553" si="1145">AE550-AE542</f>
        <v>1479</v>
      </c>
      <c r="AF552" s="97"/>
      <c r="AG552" s="97"/>
      <c r="AH552" s="97">
        <f>AH550-AH542</f>
        <v>123</v>
      </c>
    </row>
    <row r="553">
      <c r="B553" s="1" t="s">
        <v>5759</v>
      </c>
      <c r="D553" s="71">
        <f>1900000*0.8</f>
        <v>1520000</v>
      </c>
      <c r="E553" s="1">
        <v>2700000.0</v>
      </c>
      <c r="F553" s="1">
        <v>1550000.0</v>
      </c>
      <c r="G553" s="1">
        <v>1800000.0</v>
      </c>
      <c r="H553" s="102">
        <v>1000000.0</v>
      </c>
      <c r="I553" s="1">
        <v>3500000.0</v>
      </c>
      <c r="K553" s="1">
        <v>2300000.0</v>
      </c>
      <c r="L553" s="1">
        <v>1900000.0</v>
      </c>
      <c r="M553" s="1">
        <v>1500000.0</v>
      </c>
      <c r="N553" s="33">
        <v>1260000.0</v>
      </c>
      <c r="O553" s="1">
        <v>1240000.0</v>
      </c>
      <c r="P553">
        <f t="shared" ref="P553:P564" si="1148">SUM(D553:O553)</f>
        <v>20270000</v>
      </c>
      <c r="U553" s="167">
        <f t="shared" si="1141"/>
        <v>129</v>
      </c>
      <c r="V553" s="167">
        <f>(V551-V543)</f>
        <v>1174</v>
      </c>
      <c r="W553" s="167">
        <f t="shared" si="1142"/>
        <v>717</v>
      </c>
      <c r="X553" s="168">
        <f>W552</f>
        <v>375</v>
      </c>
      <c r="Y553" s="167">
        <f t="shared" si="1143"/>
        <v>770</v>
      </c>
      <c r="Z553" s="169">
        <f>Y552-Y553</f>
        <v>1091</v>
      </c>
      <c r="AA553" s="167">
        <f t="shared" si="1144"/>
        <v>1235</v>
      </c>
      <c r="AB553" s="167">
        <f>AB551-AB543</f>
        <v>162</v>
      </c>
      <c r="AC553" s="167">
        <f>(AC552)*73.9/(73.9+99)</f>
        <v>592.8241758</v>
      </c>
      <c r="AD553" s="167">
        <f>(AC552)*99/(73.9+99)</f>
        <v>794.1758242</v>
      </c>
      <c r="AE553" s="167">
        <f t="shared" si="1145"/>
        <v>882</v>
      </c>
      <c r="AF553" s="169">
        <f>AE552-AE553-AG553-48</f>
        <v>249</v>
      </c>
      <c r="AG553" s="167">
        <f>AG551-AG543</f>
        <v>300</v>
      </c>
      <c r="AH553" s="96">
        <v>123.0</v>
      </c>
      <c r="AI553" s="18">
        <f t="shared" ref="AI553:AI554" si="1150">SUM(U553:AH553)</f>
        <v>8594</v>
      </c>
    </row>
    <row r="554">
      <c r="B554" s="1" t="s">
        <v>5499</v>
      </c>
      <c r="D554" s="74">
        <f t="shared" ref="D554:I554" si="1146">D553*0.1</f>
        <v>152000</v>
      </c>
      <c r="E554" s="1">
        <f t="shared" si="1146"/>
        <v>270000</v>
      </c>
      <c r="F554" s="1">
        <f t="shared" si="1146"/>
        <v>155000</v>
      </c>
      <c r="G554" s="1">
        <f t="shared" si="1146"/>
        <v>180000</v>
      </c>
      <c r="H554" s="102">
        <f t="shared" si="1146"/>
        <v>100000</v>
      </c>
      <c r="I554" s="1">
        <f t="shared" si="1146"/>
        <v>350000</v>
      </c>
      <c r="K554" s="1">
        <f t="shared" ref="K554:O554" si="1147">K553*0.1</f>
        <v>230000</v>
      </c>
      <c r="L554" s="1">
        <f t="shared" si="1147"/>
        <v>190000</v>
      </c>
      <c r="M554" s="1">
        <f t="shared" si="1147"/>
        <v>150000</v>
      </c>
      <c r="N554" s="1">
        <f t="shared" si="1147"/>
        <v>126000</v>
      </c>
      <c r="O554" s="1">
        <f t="shared" si="1147"/>
        <v>124000</v>
      </c>
      <c r="P554">
        <f t="shared" si="1148"/>
        <v>2027000</v>
      </c>
      <c r="U554" s="162">
        <f t="shared" ref="U554:AH554" si="1149">U553*1410790/8594</f>
        <v>21176.62439</v>
      </c>
      <c r="V554" s="162">
        <f t="shared" si="1149"/>
        <v>192723.6979</v>
      </c>
      <c r="W554" s="162">
        <f t="shared" si="1149"/>
        <v>117702.6332</v>
      </c>
      <c r="X554" s="162">
        <f t="shared" si="1149"/>
        <v>61559.95462</v>
      </c>
      <c r="Y554" s="162">
        <f t="shared" si="1149"/>
        <v>126403.1068</v>
      </c>
      <c r="Z554" s="162">
        <f t="shared" si="1149"/>
        <v>179098.428</v>
      </c>
      <c r="AA554" s="162">
        <f t="shared" si="1149"/>
        <v>202737.4505</v>
      </c>
      <c r="AB554" s="162">
        <f t="shared" si="1149"/>
        <v>26593.9004</v>
      </c>
      <c r="AC554" s="162">
        <f t="shared" si="1149"/>
        <v>97317.94496</v>
      </c>
      <c r="AD554" s="162">
        <f t="shared" si="1149"/>
        <v>130371.8072</v>
      </c>
      <c r="AE554" s="162">
        <f t="shared" si="1149"/>
        <v>144789.0133</v>
      </c>
      <c r="AF554" s="162">
        <f t="shared" si="1149"/>
        <v>40875.80987</v>
      </c>
      <c r="AG554" s="162">
        <f t="shared" si="1149"/>
        <v>49247.9637</v>
      </c>
      <c r="AH554" s="162">
        <f t="shared" si="1149"/>
        <v>20191.66512</v>
      </c>
      <c r="AI554" s="18">
        <f t="shared" si="1150"/>
        <v>1410790</v>
      </c>
    </row>
    <row r="555">
      <c r="B555" s="1" t="s">
        <v>5520</v>
      </c>
      <c r="D555" s="71">
        <f t="shared" ref="D555:I555" si="1151">D553+D554</f>
        <v>1672000</v>
      </c>
      <c r="E555">
        <f t="shared" si="1151"/>
        <v>2970000</v>
      </c>
      <c r="F555">
        <f t="shared" si="1151"/>
        <v>1705000</v>
      </c>
      <c r="G555">
        <f t="shared" si="1151"/>
        <v>1980000</v>
      </c>
      <c r="H555" s="171">
        <f t="shared" si="1151"/>
        <v>1100000</v>
      </c>
      <c r="I555">
        <f t="shared" si="1151"/>
        <v>3850000</v>
      </c>
      <c r="K555">
        <f t="shared" ref="K555:O555" si="1152">K553+K554</f>
        <v>2530000</v>
      </c>
      <c r="L555">
        <f t="shared" si="1152"/>
        <v>2090000</v>
      </c>
      <c r="M555">
        <f t="shared" si="1152"/>
        <v>1650000</v>
      </c>
      <c r="N555">
        <f t="shared" si="1152"/>
        <v>1386000</v>
      </c>
      <c r="O555">
        <f t="shared" si="1152"/>
        <v>1364000</v>
      </c>
      <c r="P555">
        <f t="shared" si="1148"/>
        <v>22297000</v>
      </c>
      <c r="U555">
        <v>21176.62438910868</v>
      </c>
      <c r="V555" s="136">
        <v>192723.69792878753</v>
      </c>
      <c r="W555" s="136">
        <v>117702.63323248779</v>
      </c>
      <c r="X555" s="136">
        <v>61559.95461950198</v>
      </c>
      <c r="Y555" s="164">
        <f t="shared" ref="Y555:AG555" si="1153">Y554+2243</f>
        <v>128646.1068</v>
      </c>
      <c r="Z555" s="164">
        <f t="shared" si="1153"/>
        <v>181341.428</v>
      </c>
      <c r="AA555" s="165">
        <f t="shared" si="1153"/>
        <v>204980.4505</v>
      </c>
      <c r="AB555" s="164">
        <f t="shared" si="1153"/>
        <v>28836.9004</v>
      </c>
      <c r="AC555" s="164">
        <f t="shared" si="1153"/>
        <v>99560.94496</v>
      </c>
      <c r="AD555" s="164">
        <f t="shared" si="1153"/>
        <v>132614.8072</v>
      </c>
      <c r="AE555" s="164">
        <f t="shared" si="1153"/>
        <v>147032.0133</v>
      </c>
      <c r="AF555" s="164">
        <f t="shared" si="1153"/>
        <v>43118.80987</v>
      </c>
      <c r="AG555" s="164">
        <f t="shared" si="1153"/>
        <v>51490.9637</v>
      </c>
      <c r="AH555">
        <f>AH554/9</f>
        <v>2243.518346</v>
      </c>
      <c r="AI555" s="18">
        <f>SUM(U555:AG555)</f>
        <v>1410785.335</v>
      </c>
    </row>
    <row r="556">
      <c r="B556" s="1" t="s">
        <v>5545</v>
      </c>
      <c r="D556">
        <v>258663.68523136602</v>
      </c>
      <c r="E556">
        <v>161341.2579661956</v>
      </c>
      <c r="F556">
        <v>88349.43751731781</v>
      </c>
      <c r="G556">
        <v>15270.69714602383</v>
      </c>
      <c r="H556" s="134">
        <v>150556.53860252528</v>
      </c>
      <c r="I556">
        <v>221476.9038514824</v>
      </c>
      <c r="K556">
        <v>66544.62487089261</v>
      </c>
      <c r="L556">
        <v>88238.16592988321</v>
      </c>
      <c r="M556" s="134">
        <v>138649.30617899695</v>
      </c>
      <c r="N556" s="159">
        <v>53060.78858409532</v>
      </c>
      <c r="O556">
        <v>52543.116098642284</v>
      </c>
      <c r="P556">
        <f t="shared" si="1148"/>
        <v>1294694.522</v>
      </c>
      <c r="AA556" s="166">
        <f>AA555+U555</f>
        <v>226157.0749</v>
      </c>
    </row>
    <row r="557">
      <c r="D557">
        <f t="shared" ref="D557:O557" si="1154">D556-D558</f>
        <v>235148.8048</v>
      </c>
      <c r="E557">
        <f t="shared" si="1154"/>
        <v>146673.8709</v>
      </c>
      <c r="F557">
        <f t="shared" si="1154"/>
        <v>80317.67047</v>
      </c>
      <c r="G557">
        <f t="shared" si="1154"/>
        <v>13882.45195</v>
      </c>
      <c r="H557">
        <f t="shared" si="1154"/>
        <v>136869.5805</v>
      </c>
      <c r="I557">
        <f t="shared" si="1154"/>
        <v>201342.6399</v>
      </c>
      <c r="J557">
        <f t="shared" si="1154"/>
        <v>0</v>
      </c>
      <c r="K557">
        <f t="shared" si="1154"/>
        <v>60495.11352</v>
      </c>
      <c r="L557">
        <f t="shared" si="1154"/>
        <v>80216.51448</v>
      </c>
      <c r="M557">
        <f t="shared" si="1154"/>
        <v>126044.8238</v>
      </c>
      <c r="N557">
        <f t="shared" si="1154"/>
        <v>48237.08053</v>
      </c>
      <c r="O557">
        <f t="shared" si="1154"/>
        <v>47766.46918</v>
      </c>
      <c r="P557">
        <f t="shared" si="1148"/>
        <v>1176995.02</v>
      </c>
    </row>
    <row r="558">
      <c r="B558" s="1" t="s">
        <v>5499</v>
      </c>
      <c r="D558">
        <f t="shared" ref="D558:O558" si="1155">D556/11</f>
        <v>23514.88048</v>
      </c>
      <c r="E558">
        <f t="shared" si="1155"/>
        <v>14667.38709</v>
      </c>
      <c r="F558">
        <f t="shared" si="1155"/>
        <v>8031.767047</v>
      </c>
      <c r="G558">
        <f t="shared" si="1155"/>
        <v>1388.245195</v>
      </c>
      <c r="H558">
        <f t="shared" si="1155"/>
        <v>13686.95805</v>
      </c>
      <c r="I558">
        <f t="shared" si="1155"/>
        <v>20134.26399</v>
      </c>
      <c r="J558">
        <f t="shared" si="1155"/>
        <v>0</v>
      </c>
      <c r="K558">
        <f t="shared" si="1155"/>
        <v>6049.511352</v>
      </c>
      <c r="L558">
        <f t="shared" si="1155"/>
        <v>8021.651448</v>
      </c>
      <c r="M558">
        <f t="shared" si="1155"/>
        <v>12604.48238</v>
      </c>
      <c r="N558">
        <f t="shared" si="1155"/>
        <v>4823.708053</v>
      </c>
      <c r="O558">
        <f t="shared" si="1155"/>
        <v>4776.646918</v>
      </c>
      <c r="P558">
        <f t="shared" si="1148"/>
        <v>117699.502</v>
      </c>
      <c r="T558" s="1" t="s">
        <v>5760</v>
      </c>
      <c r="U558" s="1">
        <v>76888.0</v>
      </c>
      <c r="W558" s="1">
        <v>42644.0</v>
      </c>
      <c r="Y558" s="1">
        <v>104751.0</v>
      </c>
      <c r="AA558" s="1">
        <v>19802.0</v>
      </c>
      <c r="AC558" s="1">
        <v>118155.0</v>
      </c>
      <c r="AE558" s="1">
        <v>149264.0</v>
      </c>
      <c r="AH558" s="1">
        <v>11988.0</v>
      </c>
      <c r="AJ558" s="1">
        <v>969260.0</v>
      </c>
      <c r="AL558" s="1">
        <v>6949.0</v>
      </c>
    </row>
    <row r="559">
      <c r="B559" s="1" t="s">
        <v>5720</v>
      </c>
      <c r="D559">
        <v>23127.141415856713</v>
      </c>
      <c r="E559">
        <v>9630.378887013156</v>
      </c>
      <c r="F559">
        <v>9630.378887013156</v>
      </c>
      <c r="G559">
        <v>8835.75402810936</v>
      </c>
      <c r="H559" s="134">
        <v>12713.997742460719</v>
      </c>
      <c r="I559">
        <v>16141.55870101589</v>
      </c>
      <c r="J559">
        <v>0.0</v>
      </c>
      <c r="K559">
        <v>8764.593592983647</v>
      </c>
      <c r="L559">
        <v>11741.47179574264</v>
      </c>
      <c r="M559" s="134">
        <v>5988.150615828747</v>
      </c>
      <c r="N559" s="159">
        <v>6890.702134673206</v>
      </c>
      <c r="O559">
        <v>5265.872199302759</v>
      </c>
      <c r="P559">
        <f t="shared" si="1148"/>
        <v>118730</v>
      </c>
      <c r="U559" s="1">
        <v>13015.0</v>
      </c>
      <c r="V559" s="1">
        <v>65999.0</v>
      </c>
      <c r="W559" s="1">
        <v>103860.0</v>
      </c>
      <c r="Y559" s="1">
        <v>31606.0</v>
      </c>
      <c r="AA559" s="1">
        <v>63025.0</v>
      </c>
      <c r="AB559" s="1">
        <v>7437.0</v>
      </c>
      <c r="AE559" s="1">
        <v>117204.0</v>
      </c>
      <c r="AG559" s="1">
        <v>22200.0</v>
      </c>
    </row>
    <row r="560">
      <c r="B560" s="23" t="s">
        <v>5598</v>
      </c>
      <c r="D560" s="18">
        <f t="shared" ref="D560:O560" si="1156">SUM(D555,D556,D559)</f>
        <v>1953790.827</v>
      </c>
      <c r="E560" s="18">
        <f t="shared" si="1156"/>
        <v>3140971.637</v>
      </c>
      <c r="F560" s="18">
        <f t="shared" si="1156"/>
        <v>1802979.816</v>
      </c>
      <c r="G560" s="18">
        <f t="shared" si="1156"/>
        <v>2004106.451</v>
      </c>
      <c r="H560" s="18">
        <f t="shared" si="1156"/>
        <v>1263270.536</v>
      </c>
      <c r="I560" s="18">
        <f t="shared" si="1156"/>
        <v>4087618.463</v>
      </c>
      <c r="J560" s="18">
        <f t="shared" si="1156"/>
        <v>0</v>
      </c>
      <c r="K560" s="18">
        <f t="shared" si="1156"/>
        <v>2605309.218</v>
      </c>
      <c r="L560" s="18">
        <f t="shared" si="1156"/>
        <v>2189979.638</v>
      </c>
      <c r="M560" s="18">
        <f t="shared" si="1156"/>
        <v>1794637.457</v>
      </c>
      <c r="N560" s="18">
        <f t="shared" si="1156"/>
        <v>1445951.491</v>
      </c>
      <c r="O560" s="18">
        <f t="shared" si="1156"/>
        <v>1421808.988</v>
      </c>
      <c r="P560">
        <f t="shared" si="1148"/>
        <v>23710424.52</v>
      </c>
      <c r="U560" s="97">
        <f t="shared" ref="U560:U561" si="1158">U558-U550</f>
        <v>836</v>
      </c>
      <c r="V560" s="97"/>
      <c r="W560" s="97">
        <f t="shared" ref="W560:W561" si="1159">W558-W550</f>
        <v>273</v>
      </c>
      <c r="X560" s="97"/>
      <c r="Y560" s="97">
        <f t="shared" ref="Y560:Y561" si="1160">Y558-Y550</f>
        <v>1377</v>
      </c>
      <c r="Z560" s="97"/>
      <c r="AA560" s="97">
        <f t="shared" ref="AA560:AA561" si="1161">AA558-AA550</f>
        <v>1049</v>
      </c>
      <c r="AB560" s="97"/>
      <c r="AC560" s="97">
        <f>AC558-AC550</f>
        <v>862</v>
      </c>
      <c r="AD560" s="97"/>
      <c r="AE560" s="97">
        <f t="shared" ref="AE560:AE561" si="1162">AE558-AE550</f>
        <v>1141</v>
      </c>
      <c r="AF560" s="97"/>
      <c r="AG560" s="97"/>
      <c r="AH560" s="97">
        <f>AH558-AH550</f>
        <v>139</v>
      </c>
    </row>
    <row r="561">
      <c r="B561" s="1" t="s">
        <v>5599</v>
      </c>
      <c r="D561">
        <f t="shared" ref="D561:O561" si="1157">SUM(D553,D557,D559)</f>
        <v>1778275.946</v>
      </c>
      <c r="E561">
        <f t="shared" si="1157"/>
        <v>2856304.25</v>
      </c>
      <c r="F561">
        <f t="shared" si="1157"/>
        <v>1639948.049</v>
      </c>
      <c r="G561">
        <f t="shared" si="1157"/>
        <v>1822718.206</v>
      </c>
      <c r="H561">
        <f t="shared" si="1157"/>
        <v>1149583.578</v>
      </c>
      <c r="I561">
        <f t="shared" si="1157"/>
        <v>3717484.199</v>
      </c>
      <c r="J561">
        <f t="shared" si="1157"/>
        <v>0</v>
      </c>
      <c r="K561">
        <f t="shared" si="1157"/>
        <v>2369259.707</v>
      </c>
      <c r="L561">
        <f t="shared" si="1157"/>
        <v>1991957.986</v>
      </c>
      <c r="M561">
        <f t="shared" si="1157"/>
        <v>1632032.974</v>
      </c>
      <c r="N561">
        <f t="shared" si="1157"/>
        <v>1315127.783</v>
      </c>
      <c r="O561">
        <f t="shared" si="1157"/>
        <v>1293032.341</v>
      </c>
      <c r="P561">
        <f t="shared" si="1148"/>
        <v>21565725.02</v>
      </c>
      <c r="U561" s="167">
        <f t="shared" si="1158"/>
        <v>153</v>
      </c>
      <c r="V561" s="167">
        <f>(V559-V551)</f>
        <v>646</v>
      </c>
      <c r="W561" s="167">
        <f t="shared" si="1159"/>
        <v>485</v>
      </c>
      <c r="X561" s="168">
        <f>W560</f>
        <v>273</v>
      </c>
      <c r="Y561" s="167">
        <f t="shared" si="1160"/>
        <v>540</v>
      </c>
      <c r="Z561" s="169">
        <f>Y560-Y561</f>
        <v>837</v>
      </c>
      <c r="AA561" s="167">
        <f t="shared" si="1161"/>
        <v>940</v>
      </c>
      <c r="AB561" s="167">
        <f>AB559-AB551</f>
        <v>198</v>
      </c>
      <c r="AC561" s="167">
        <f>(AC560)*73.9/(73.9+99)</f>
        <v>368.4314633</v>
      </c>
      <c r="AD561" s="167">
        <f>(AC560)*99/(73.9+99)</f>
        <v>493.5685367</v>
      </c>
      <c r="AE561" s="167">
        <f t="shared" si="1162"/>
        <v>588</v>
      </c>
      <c r="AF561" s="169">
        <f>AE560-AE561-AG561-48</f>
        <v>305</v>
      </c>
      <c r="AG561" s="167">
        <f>AG559-AG551</f>
        <v>200</v>
      </c>
      <c r="AH561" s="96">
        <v>139.0</v>
      </c>
      <c r="AI561" s="18">
        <f t="shared" ref="AI561:AI562" si="1165">SUM(U561:AH561)</f>
        <v>6166</v>
      </c>
    </row>
    <row r="562">
      <c r="B562" s="1" t="s">
        <v>5601</v>
      </c>
      <c r="D562">
        <f t="shared" ref="D562:O562" si="1163">SUM(D553,D557)</f>
        <v>1755148.805</v>
      </c>
      <c r="E562">
        <f t="shared" si="1163"/>
        <v>2846673.871</v>
      </c>
      <c r="F562">
        <f t="shared" si="1163"/>
        <v>1630317.67</v>
      </c>
      <c r="G562">
        <f t="shared" si="1163"/>
        <v>1813882.452</v>
      </c>
      <c r="H562">
        <f t="shared" si="1163"/>
        <v>1136869.581</v>
      </c>
      <c r="I562">
        <f t="shared" si="1163"/>
        <v>3701342.64</v>
      </c>
      <c r="J562">
        <f t="shared" si="1163"/>
        <v>0</v>
      </c>
      <c r="K562">
        <f t="shared" si="1163"/>
        <v>2360495.114</v>
      </c>
      <c r="L562">
        <f t="shared" si="1163"/>
        <v>1980216.514</v>
      </c>
      <c r="M562">
        <f t="shared" si="1163"/>
        <v>1626044.824</v>
      </c>
      <c r="N562">
        <f t="shared" si="1163"/>
        <v>1308237.081</v>
      </c>
      <c r="O562">
        <f t="shared" si="1163"/>
        <v>1287766.469</v>
      </c>
      <c r="P562">
        <f t="shared" si="1148"/>
        <v>21446995.02</v>
      </c>
      <c r="U562" s="162">
        <f t="shared" ref="U562:AH562" si="1164">U561*969260/6166</f>
        <v>24050.72657</v>
      </c>
      <c r="V562" s="162">
        <f t="shared" si="1164"/>
        <v>101547.5122</v>
      </c>
      <c r="W562" s="162">
        <f t="shared" si="1164"/>
        <v>76239.23127</v>
      </c>
      <c r="X562" s="162">
        <f t="shared" si="1164"/>
        <v>42914.04152</v>
      </c>
      <c r="Y562" s="162">
        <f t="shared" si="1164"/>
        <v>84884.91729</v>
      </c>
      <c r="Z562" s="162">
        <f t="shared" si="1164"/>
        <v>131571.6218</v>
      </c>
      <c r="AA562" s="162">
        <f t="shared" si="1164"/>
        <v>147762.6338</v>
      </c>
      <c r="AB562" s="162">
        <f t="shared" si="1164"/>
        <v>31124.46967</v>
      </c>
      <c r="AC562" s="162">
        <f t="shared" si="1164"/>
        <v>57915.32275</v>
      </c>
      <c r="AD562" s="162">
        <f t="shared" si="1164"/>
        <v>77586.15633</v>
      </c>
      <c r="AE562" s="162">
        <f t="shared" si="1164"/>
        <v>92430.24327</v>
      </c>
      <c r="AF562" s="162">
        <f t="shared" si="1164"/>
        <v>47944.25884</v>
      </c>
      <c r="AG562" s="162">
        <f t="shared" si="1164"/>
        <v>31438.85825</v>
      </c>
      <c r="AH562" s="162">
        <f t="shared" si="1164"/>
        <v>21850.00649</v>
      </c>
      <c r="AI562" s="18">
        <f t="shared" si="1165"/>
        <v>969260</v>
      </c>
    </row>
    <row r="563">
      <c r="B563" s="1" t="s">
        <v>5582</v>
      </c>
      <c r="D563">
        <f t="shared" ref="D563:O563" si="1166">SUM(D554,D558)</f>
        <v>175514.8805</v>
      </c>
      <c r="E563">
        <f t="shared" si="1166"/>
        <v>284667.3871</v>
      </c>
      <c r="F563">
        <f t="shared" si="1166"/>
        <v>163031.767</v>
      </c>
      <c r="G563">
        <f t="shared" si="1166"/>
        <v>181388.2452</v>
      </c>
      <c r="H563">
        <f t="shared" si="1166"/>
        <v>113686.9581</v>
      </c>
      <c r="I563">
        <f t="shared" si="1166"/>
        <v>370134.264</v>
      </c>
      <c r="J563">
        <f t="shared" si="1166"/>
        <v>0</v>
      </c>
      <c r="K563">
        <f t="shared" si="1166"/>
        <v>236049.5114</v>
      </c>
      <c r="L563">
        <f t="shared" si="1166"/>
        <v>198021.6514</v>
      </c>
      <c r="M563">
        <f t="shared" si="1166"/>
        <v>162604.4824</v>
      </c>
      <c r="N563">
        <f t="shared" si="1166"/>
        <v>130823.7081</v>
      </c>
      <c r="O563">
        <f t="shared" si="1166"/>
        <v>128776.6469</v>
      </c>
      <c r="P563">
        <f t="shared" si="1148"/>
        <v>2144699.502</v>
      </c>
      <c r="U563">
        <v>24050.726565034056</v>
      </c>
      <c r="V563" s="136">
        <v>101547.51216347713</v>
      </c>
      <c r="W563" s="136">
        <v>76239.23126824522</v>
      </c>
      <c r="X563" s="136">
        <v>42914.04151800195</v>
      </c>
      <c r="Y563" s="164">
        <f t="shared" ref="Y563:AG563" si="1167">Y562+2427</f>
        <v>87311.91729</v>
      </c>
      <c r="Z563" s="164">
        <f t="shared" si="1167"/>
        <v>133998.6218</v>
      </c>
      <c r="AA563" s="165">
        <f t="shared" si="1167"/>
        <v>150189.6338</v>
      </c>
      <c r="AB563" s="164">
        <f t="shared" si="1167"/>
        <v>33551.46967</v>
      </c>
      <c r="AC563" s="164">
        <f t="shared" si="1167"/>
        <v>60342.32275</v>
      </c>
      <c r="AD563" s="164">
        <f t="shared" si="1167"/>
        <v>80013.15633</v>
      </c>
      <c r="AE563" s="164">
        <f t="shared" si="1167"/>
        <v>94857.24327</v>
      </c>
      <c r="AF563" s="164">
        <f t="shared" si="1167"/>
        <v>50371.25884</v>
      </c>
      <c r="AG563" s="164">
        <f t="shared" si="1167"/>
        <v>33865.85825</v>
      </c>
      <c r="AH563">
        <f>AH562/9</f>
        <v>2427.778499</v>
      </c>
      <c r="AI563" s="18">
        <f>SUM(U563:AG563)</f>
        <v>969252.9935</v>
      </c>
    </row>
    <row r="564">
      <c r="B564" s="1" t="s">
        <v>5602</v>
      </c>
      <c r="D564">
        <f t="shared" ref="D564:O564" si="1168">SUM(D562:D563)</f>
        <v>1930663.685</v>
      </c>
      <c r="E564">
        <f t="shared" si="1168"/>
        <v>3131341.258</v>
      </c>
      <c r="F564">
        <f t="shared" si="1168"/>
        <v>1793349.438</v>
      </c>
      <c r="G564">
        <f t="shared" si="1168"/>
        <v>1995270.697</v>
      </c>
      <c r="H564">
        <f t="shared" si="1168"/>
        <v>1250556.539</v>
      </c>
      <c r="I564">
        <f t="shared" si="1168"/>
        <v>4071476.904</v>
      </c>
      <c r="J564">
        <f t="shared" si="1168"/>
        <v>0</v>
      </c>
      <c r="K564">
        <f t="shared" si="1168"/>
        <v>2596544.625</v>
      </c>
      <c r="L564">
        <f t="shared" si="1168"/>
        <v>2178238.166</v>
      </c>
      <c r="M564">
        <f t="shared" si="1168"/>
        <v>1788649.306</v>
      </c>
      <c r="N564">
        <f t="shared" si="1168"/>
        <v>1439060.789</v>
      </c>
      <c r="O564">
        <f t="shared" si="1168"/>
        <v>1416543.116</v>
      </c>
      <c r="P564">
        <f t="shared" si="1148"/>
        <v>23591694.52</v>
      </c>
      <c r="AA564" s="166">
        <f>AA563+U563</f>
        <v>174240.3604</v>
      </c>
    </row>
    <row r="565">
      <c r="D565" s="1" t="s">
        <v>5566</v>
      </c>
      <c r="E565" s="1" t="s">
        <v>5566</v>
      </c>
      <c r="F565" s="1" t="s">
        <v>5566</v>
      </c>
      <c r="G565" s="1" t="s">
        <v>5566</v>
      </c>
      <c r="H565" s="1" t="s">
        <v>5566</v>
      </c>
      <c r="I565" s="1" t="s">
        <v>5566</v>
      </c>
      <c r="K565" s="33" t="s">
        <v>5566</v>
      </c>
      <c r="L565" s="1" t="s">
        <v>5566</v>
      </c>
      <c r="M565" s="1" t="s">
        <v>5566</v>
      </c>
      <c r="N565" s="33" t="s">
        <v>5566</v>
      </c>
      <c r="O565" s="1" t="s">
        <v>5566</v>
      </c>
    </row>
    <row r="566">
      <c r="H566" s="1"/>
      <c r="N566" s="33"/>
      <c r="T566" s="1" t="s">
        <v>5761</v>
      </c>
      <c r="U566" s="1">
        <v>77582.0</v>
      </c>
      <c r="W566" s="1">
        <v>42792.0</v>
      </c>
      <c r="Y566" s="1">
        <v>106017.0</v>
      </c>
      <c r="AA566" s="1">
        <v>20525.0</v>
      </c>
      <c r="AC566" s="1">
        <v>118868.0</v>
      </c>
      <c r="AE566" s="1">
        <v>150177.0</v>
      </c>
      <c r="AH566" s="1">
        <v>12125.0</v>
      </c>
      <c r="AJ566" s="1">
        <v>901520.0</v>
      </c>
      <c r="AL566" s="1">
        <v>5699.0</v>
      </c>
    </row>
    <row r="567">
      <c r="D567" s="5" t="s">
        <v>5762</v>
      </c>
      <c r="H567" s="1"/>
      <c r="J567" s="1" t="s">
        <v>5763</v>
      </c>
      <c r="M567" s="5" t="s">
        <v>5764</v>
      </c>
      <c r="N567" s="33"/>
      <c r="U567" s="1">
        <v>13150.0</v>
      </c>
      <c r="V567" s="1">
        <v>66519.0</v>
      </c>
      <c r="W567" s="1">
        <v>104215.0</v>
      </c>
      <c r="Y567" s="1">
        <v>31897.0</v>
      </c>
      <c r="AA567" s="1">
        <v>63600.0</v>
      </c>
      <c r="AB567" s="1">
        <v>7603.0</v>
      </c>
      <c r="AE567" s="1">
        <v>117689.0</v>
      </c>
      <c r="AG567" s="1">
        <v>22385.0</v>
      </c>
    </row>
    <row r="568">
      <c r="B568" s="1" t="s">
        <v>5765</v>
      </c>
      <c r="D568" s="71">
        <f>1900000*0.8</f>
        <v>1520000</v>
      </c>
      <c r="E568" s="1">
        <v>2700000.0</v>
      </c>
      <c r="F568" s="1">
        <v>1550000.0</v>
      </c>
      <c r="G568" s="1">
        <v>1800000.0</v>
      </c>
      <c r="H568" s="1">
        <v>2000000.0</v>
      </c>
      <c r="I568" s="1">
        <v>3500000.0</v>
      </c>
      <c r="J568" s="93">
        <v>83000.0</v>
      </c>
      <c r="K568" s="1">
        <v>2300000.0</v>
      </c>
      <c r="L568" s="1">
        <v>1900000.0</v>
      </c>
      <c r="M568" s="2">
        <v>1200000.0</v>
      </c>
      <c r="N568" s="33">
        <v>1260000.0</v>
      </c>
      <c r="O568" s="1">
        <v>1240000.0</v>
      </c>
      <c r="P568">
        <f t="shared" ref="P568:P576" si="1170">SUM(D568:O568)</f>
        <v>21053000</v>
      </c>
      <c r="U568" s="97">
        <f t="shared" ref="U568:U569" si="1171">U566-U558</f>
        <v>694</v>
      </c>
      <c r="V568" s="97"/>
      <c r="W568" s="97">
        <f t="shared" ref="W568:W569" si="1172">W566-W558</f>
        <v>148</v>
      </c>
      <c r="X568" s="97"/>
      <c r="Y568" s="97">
        <f t="shared" ref="Y568:Y569" si="1173">Y566-Y558</f>
        <v>1266</v>
      </c>
      <c r="Z568" s="97"/>
      <c r="AA568" s="97">
        <f t="shared" ref="AA568:AA569" si="1174">AA566-AA558</f>
        <v>723</v>
      </c>
      <c r="AB568" s="97"/>
      <c r="AC568" s="97">
        <f>AC566-AC558</f>
        <v>713</v>
      </c>
      <c r="AD568" s="97"/>
      <c r="AE568" s="97">
        <f t="shared" ref="AE568:AE569" si="1175">AE566-AE558</f>
        <v>913</v>
      </c>
      <c r="AF568" s="97"/>
      <c r="AG568" s="97"/>
      <c r="AH568" s="97">
        <f>AH566-AH558</f>
        <v>137</v>
      </c>
    </row>
    <row r="569">
      <c r="B569" s="1" t="s">
        <v>5499</v>
      </c>
      <c r="D569" s="74">
        <f t="shared" ref="D569:O569" si="1169">D568*0.1</f>
        <v>152000</v>
      </c>
      <c r="E569" s="1">
        <f t="shared" si="1169"/>
        <v>270000</v>
      </c>
      <c r="F569" s="1">
        <f t="shared" si="1169"/>
        <v>155000</v>
      </c>
      <c r="G569" s="1">
        <f t="shared" si="1169"/>
        <v>180000</v>
      </c>
      <c r="H569" s="1">
        <f t="shared" si="1169"/>
        <v>200000</v>
      </c>
      <c r="I569" s="1">
        <f t="shared" si="1169"/>
        <v>350000</v>
      </c>
      <c r="J569" s="93">
        <f t="shared" si="1169"/>
        <v>8300</v>
      </c>
      <c r="K569" s="1">
        <f t="shared" si="1169"/>
        <v>230000</v>
      </c>
      <c r="L569" s="1">
        <f t="shared" si="1169"/>
        <v>190000</v>
      </c>
      <c r="M569" s="2">
        <f t="shared" si="1169"/>
        <v>120000</v>
      </c>
      <c r="N569" s="1">
        <f t="shared" si="1169"/>
        <v>126000</v>
      </c>
      <c r="O569" s="1">
        <f t="shared" si="1169"/>
        <v>124000</v>
      </c>
      <c r="P569">
        <f t="shared" si="1170"/>
        <v>2105300</v>
      </c>
      <c r="U569" s="167">
        <f t="shared" si="1171"/>
        <v>135</v>
      </c>
      <c r="V569" s="167">
        <f>(V567-V559)</f>
        <v>520</v>
      </c>
      <c r="W569" s="167">
        <f t="shared" si="1172"/>
        <v>355</v>
      </c>
      <c r="X569" s="168">
        <f>W568</f>
        <v>148</v>
      </c>
      <c r="Y569" s="167">
        <f t="shared" si="1173"/>
        <v>291</v>
      </c>
      <c r="Z569" s="169">
        <f>Y568-Y569</f>
        <v>975</v>
      </c>
      <c r="AA569" s="167">
        <f t="shared" si="1174"/>
        <v>575</v>
      </c>
      <c r="AB569" s="167">
        <f>AB567-AB559</f>
        <v>166</v>
      </c>
      <c r="AC569" s="167">
        <f>(AC568)*73.9/(73.9+99)</f>
        <v>304.7466744</v>
      </c>
      <c r="AD569" s="167">
        <f>(AC568)*99/(73.9+99)</f>
        <v>408.2533256</v>
      </c>
      <c r="AE569" s="167">
        <f t="shared" si="1175"/>
        <v>485</v>
      </c>
      <c r="AF569" s="169">
        <f>AE568-AE569-AG569-48</f>
        <v>195</v>
      </c>
      <c r="AG569" s="167">
        <f>AG567-AG559</f>
        <v>185</v>
      </c>
      <c r="AH569" s="96">
        <v>137.0</v>
      </c>
      <c r="AI569" s="18">
        <f t="shared" ref="AI569:AI570" si="1178">SUM(U569:AH569)</f>
        <v>4880</v>
      </c>
    </row>
    <row r="570">
      <c r="B570" s="1" t="s">
        <v>5520</v>
      </c>
      <c r="D570" s="71">
        <f t="shared" ref="D570:O570" si="1176">D568+D569</f>
        <v>1672000</v>
      </c>
      <c r="E570">
        <f t="shared" si="1176"/>
        <v>2970000</v>
      </c>
      <c r="F570">
        <f t="shared" si="1176"/>
        <v>1705000</v>
      </c>
      <c r="G570">
        <f t="shared" si="1176"/>
        <v>1980000</v>
      </c>
      <c r="H570">
        <f t="shared" si="1176"/>
        <v>2200000</v>
      </c>
      <c r="I570">
        <f t="shared" si="1176"/>
        <v>3850000</v>
      </c>
      <c r="J570" s="172">
        <f t="shared" si="1176"/>
        <v>91300</v>
      </c>
      <c r="K570">
        <f t="shared" si="1176"/>
        <v>2530000</v>
      </c>
      <c r="L570">
        <f t="shared" si="1176"/>
        <v>2090000</v>
      </c>
      <c r="M570" s="29">
        <f t="shared" si="1176"/>
        <v>1320000</v>
      </c>
      <c r="N570">
        <f t="shared" si="1176"/>
        <v>1386000</v>
      </c>
      <c r="O570">
        <f t="shared" si="1176"/>
        <v>1364000</v>
      </c>
      <c r="P570">
        <f t="shared" si="1170"/>
        <v>23158300</v>
      </c>
      <c r="U570" s="162">
        <f t="shared" ref="U570:AH570" si="1177">U569*901520/4880</f>
        <v>24939.59016</v>
      </c>
      <c r="V570" s="162">
        <f t="shared" si="1177"/>
        <v>96063.60656</v>
      </c>
      <c r="W570" s="162">
        <f t="shared" si="1177"/>
        <v>65581.88525</v>
      </c>
      <c r="X570" s="162">
        <f t="shared" si="1177"/>
        <v>27341.18033</v>
      </c>
      <c r="Y570" s="162">
        <f t="shared" si="1177"/>
        <v>53758.67213</v>
      </c>
      <c r="Z570" s="162">
        <f t="shared" si="1177"/>
        <v>180119.2623</v>
      </c>
      <c r="AA570" s="162">
        <f t="shared" si="1177"/>
        <v>106224.1803</v>
      </c>
      <c r="AB570" s="162">
        <f t="shared" si="1177"/>
        <v>30666.45902</v>
      </c>
      <c r="AC570" s="162">
        <f t="shared" si="1177"/>
        <v>56298.20121</v>
      </c>
      <c r="AD570" s="162">
        <f t="shared" si="1177"/>
        <v>75419.7824</v>
      </c>
      <c r="AE570" s="162">
        <f t="shared" si="1177"/>
        <v>89597.78689</v>
      </c>
      <c r="AF570" s="162">
        <f t="shared" si="1177"/>
        <v>36023.85246</v>
      </c>
      <c r="AG570" s="162">
        <f t="shared" si="1177"/>
        <v>34176.47541</v>
      </c>
      <c r="AH570" s="162">
        <f t="shared" si="1177"/>
        <v>25309.06557</v>
      </c>
      <c r="AI570" s="18">
        <f t="shared" si="1178"/>
        <v>901520</v>
      </c>
    </row>
    <row r="571">
      <c r="B571" s="1" t="s">
        <v>5545</v>
      </c>
      <c r="D571">
        <v>163952.25674183882</v>
      </c>
      <c r="E571">
        <v>111896.65194764233</v>
      </c>
      <c r="F571">
        <v>68542.42390790096</v>
      </c>
      <c r="G571">
        <v>34290.04809966882</v>
      </c>
      <c r="H571" s="134">
        <v>116113.52073805394</v>
      </c>
      <c r="I571">
        <v>209996.7962466488</v>
      </c>
      <c r="J571" s="93">
        <v>8500.0</v>
      </c>
      <c r="K571">
        <v>44926.24135080219</v>
      </c>
      <c r="L571">
        <v>59375.29626156179</v>
      </c>
      <c r="M571" s="134">
        <v>84513.78410345371</v>
      </c>
      <c r="N571" s="159">
        <v>29252.408926036904</v>
      </c>
      <c r="O571">
        <v>45128.60510960416</v>
      </c>
      <c r="P571">
        <f t="shared" si="1170"/>
        <v>976488.0334</v>
      </c>
      <c r="U571">
        <v>24939.590163934427</v>
      </c>
      <c r="V571" s="136">
        <v>96063.60655737705</v>
      </c>
      <c r="W571" s="136">
        <v>65581.88524590163</v>
      </c>
      <c r="X571" s="136">
        <v>27341.180327868853</v>
      </c>
      <c r="Y571" s="164">
        <f t="shared" ref="Y571:AG571" si="1179">Y570+2812</f>
        <v>56570.67213</v>
      </c>
      <c r="Z571" s="164">
        <f t="shared" si="1179"/>
        <v>182931.2623</v>
      </c>
      <c r="AA571" s="165">
        <f t="shared" si="1179"/>
        <v>109036.1803</v>
      </c>
      <c r="AB571" s="164">
        <f t="shared" si="1179"/>
        <v>33478.45902</v>
      </c>
      <c r="AC571" s="164">
        <f t="shared" si="1179"/>
        <v>59110.20121</v>
      </c>
      <c r="AD571" s="164">
        <f t="shared" si="1179"/>
        <v>78231.7824</v>
      </c>
      <c r="AE571" s="164">
        <f t="shared" si="1179"/>
        <v>92409.78689</v>
      </c>
      <c r="AF571" s="164">
        <f t="shared" si="1179"/>
        <v>38835.85246</v>
      </c>
      <c r="AG571" s="164">
        <f t="shared" si="1179"/>
        <v>36988.47541</v>
      </c>
      <c r="AH571">
        <f>AH570/9</f>
        <v>2812.118397</v>
      </c>
      <c r="AI571" s="18">
        <f>SUM(U571:AG571)</f>
        <v>901518.9344</v>
      </c>
    </row>
    <row r="572">
      <c r="D572">
        <f t="shared" ref="D572:O572" si="1180">D571-D573</f>
        <v>149047.5061</v>
      </c>
      <c r="E572">
        <f t="shared" si="1180"/>
        <v>101724.229</v>
      </c>
      <c r="F572">
        <f t="shared" si="1180"/>
        <v>62311.29446</v>
      </c>
      <c r="G572">
        <f t="shared" si="1180"/>
        <v>31172.771</v>
      </c>
      <c r="H572">
        <f t="shared" si="1180"/>
        <v>105557.7461</v>
      </c>
      <c r="I572">
        <f t="shared" si="1180"/>
        <v>190906.1784</v>
      </c>
      <c r="J572" s="172">
        <f t="shared" si="1180"/>
        <v>7727.272727</v>
      </c>
      <c r="K572">
        <f t="shared" si="1180"/>
        <v>40842.03759</v>
      </c>
      <c r="L572">
        <f t="shared" si="1180"/>
        <v>53977.54206</v>
      </c>
      <c r="M572">
        <f t="shared" si="1180"/>
        <v>76830.71282</v>
      </c>
      <c r="N572">
        <f t="shared" si="1180"/>
        <v>26593.09902</v>
      </c>
      <c r="O572">
        <f t="shared" si="1180"/>
        <v>41026.00465</v>
      </c>
      <c r="P572">
        <f t="shared" si="1170"/>
        <v>887716.394</v>
      </c>
      <c r="AA572" s="166">
        <f>AA571+U571</f>
        <v>133975.7705</v>
      </c>
    </row>
    <row r="573">
      <c r="B573" s="1" t="s">
        <v>5499</v>
      </c>
      <c r="D573">
        <f t="shared" ref="D573:O573" si="1181">D571/11</f>
        <v>14904.75061</v>
      </c>
      <c r="E573">
        <f t="shared" si="1181"/>
        <v>10172.4229</v>
      </c>
      <c r="F573">
        <f t="shared" si="1181"/>
        <v>6231.129446</v>
      </c>
      <c r="G573">
        <f t="shared" si="1181"/>
        <v>3117.2771</v>
      </c>
      <c r="H573">
        <f t="shared" si="1181"/>
        <v>10555.77461</v>
      </c>
      <c r="I573">
        <f t="shared" si="1181"/>
        <v>19090.61784</v>
      </c>
      <c r="J573" s="172">
        <f t="shared" si="1181"/>
        <v>772.7272727</v>
      </c>
      <c r="K573">
        <f t="shared" si="1181"/>
        <v>4084.203759</v>
      </c>
      <c r="L573">
        <f t="shared" si="1181"/>
        <v>5397.754206</v>
      </c>
      <c r="M573">
        <f t="shared" si="1181"/>
        <v>7683.071282</v>
      </c>
      <c r="N573">
        <f t="shared" si="1181"/>
        <v>2659.309902</v>
      </c>
      <c r="O573">
        <f t="shared" si="1181"/>
        <v>4102.600465</v>
      </c>
      <c r="P573">
        <f t="shared" si="1170"/>
        <v>88771.6394</v>
      </c>
    </row>
    <row r="574">
      <c r="B574" s="23" t="s">
        <v>5528</v>
      </c>
      <c r="D574" s="145">
        <f t="shared" ref="D574:O574" si="1182">SUM(D570,D571)</f>
        <v>1835952.257</v>
      </c>
      <c r="E574" s="145">
        <f t="shared" si="1182"/>
        <v>3081896.652</v>
      </c>
      <c r="F574" s="145">
        <f t="shared" si="1182"/>
        <v>1773542.424</v>
      </c>
      <c r="G574" s="145">
        <f t="shared" si="1182"/>
        <v>2014290.048</v>
      </c>
      <c r="H574" s="145">
        <f t="shared" si="1182"/>
        <v>2316113.521</v>
      </c>
      <c r="I574" s="145">
        <f t="shared" si="1182"/>
        <v>4059996.796</v>
      </c>
      <c r="J574" s="172">
        <f t="shared" si="1182"/>
        <v>99800</v>
      </c>
      <c r="K574" s="145">
        <f t="shared" si="1182"/>
        <v>2574926.241</v>
      </c>
      <c r="L574" s="145">
        <f t="shared" si="1182"/>
        <v>2149375.296</v>
      </c>
      <c r="M574" s="145">
        <f t="shared" si="1182"/>
        <v>1404513.784</v>
      </c>
      <c r="N574" s="145">
        <f t="shared" si="1182"/>
        <v>1415252.409</v>
      </c>
      <c r="O574" s="145">
        <f t="shared" si="1182"/>
        <v>1409128.605</v>
      </c>
      <c r="P574">
        <f t="shared" si="1170"/>
        <v>24134788.03</v>
      </c>
      <c r="T574" s="1" t="s">
        <v>2997</v>
      </c>
      <c r="U574" s="1">
        <v>78308.0</v>
      </c>
      <c r="W574" s="1">
        <v>42943.0</v>
      </c>
      <c r="Y574" s="1">
        <v>107441.0</v>
      </c>
      <c r="AA574" s="1">
        <v>21537.0</v>
      </c>
      <c r="AC574" s="1">
        <v>119676.0</v>
      </c>
      <c r="AE574" s="1">
        <v>151398.0</v>
      </c>
      <c r="AH574" s="1">
        <v>12277.0</v>
      </c>
      <c r="AJ574" s="1">
        <v>1069630.0</v>
      </c>
      <c r="AL574" s="1">
        <v>6459.0</v>
      </c>
    </row>
    <row r="575">
      <c r="B575" s="1" t="s">
        <v>5580</v>
      </c>
      <c r="D575">
        <f t="shared" ref="D575:O575" si="1183">D568+D572</f>
        <v>1669047.506</v>
      </c>
      <c r="E575">
        <f t="shared" si="1183"/>
        <v>2801724.229</v>
      </c>
      <c r="F575">
        <f t="shared" si="1183"/>
        <v>1612311.294</v>
      </c>
      <c r="G575">
        <f t="shared" si="1183"/>
        <v>1831172.771</v>
      </c>
      <c r="H575">
        <f t="shared" si="1183"/>
        <v>2105557.746</v>
      </c>
      <c r="I575">
        <f t="shared" si="1183"/>
        <v>3690906.178</v>
      </c>
      <c r="J575" s="172">
        <f t="shared" si="1183"/>
        <v>90727.27273</v>
      </c>
      <c r="K575">
        <f t="shared" si="1183"/>
        <v>2340842.038</v>
      </c>
      <c r="L575">
        <f t="shared" si="1183"/>
        <v>1953977.542</v>
      </c>
      <c r="M575">
        <f t="shared" si="1183"/>
        <v>1276830.713</v>
      </c>
      <c r="N575">
        <f t="shared" si="1183"/>
        <v>1286593.099</v>
      </c>
      <c r="O575">
        <f t="shared" si="1183"/>
        <v>1281026.005</v>
      </c>
      <c r="P575">
        <f t="shared" si="1170"/>
        <v>21940716.39</v>
      </c>
      <c r="U575" s="1">
        <v>13296.0</v>
      </c>
      <c r="V575" s="1">
        <v>67056.0</v>
      </c>
      <c r="W575" s="1">
        <v>104628.0</v>
      </c>
      <c r="Y575" s="1">
        <v>32293.0</v>
      </c>
      <c r="AA575" s="1">
        <v>64315.0</v>
      </c>
      <c r="AB575" s="1">
        <v>7943.0</v>
      </c>
      <c r="AE575" s="1">
        <v>118344.0</v>
      </c>
      <c r="AG575" s="1">
        <v>22585.0</v>
      </c>
    </row>
    <row r="576">
      <c r="B576" s="1" t="s">
        <v>5582</v>
      </c>
      <c r="D576">
        <f t="shared" ref="D576:O576" si="1184">D569+D573</f>
        <v>166904.7506</v>
      </c>
      <c r="E576">
        <f t="shared" si="1184"/>
        <v>280172.4229</v>
      </c>
      <c r="F576">
        <f t="shared" si="1184"/>
        <v>161231.1294</v>
      </c>
      <c r="G576">
        <f t="shared" si="1184"/>
        <v>183117.2771</v>
      </c>
      <c r="H576">
        <f t="shared" si="1184"/>
        <v>210555.7746</v>
      </c>
      <c r="I576">
        <f t="shared" si="1184"/>
        <v>369090.6178</v>
      </c>
      <c r="J576" s="172">
        <f t="shared" si="1184"/>
        <v>9072.727273</v>
      </c>
      <c r="K576">
        <f t="shared" si="1184"/>
        <v>234084.2038</v>
      </c>
      <c r="L576">
        <f t="shared" si="1184"/>
        <v>195397.7542</v>
      </c>
      <c r="M576">
        <f t="shared" si="1184"/>
        <v>127683.0713</v>
      </c>
      <c r="N576">
        <f t="shared" si="1184"/>
        <v>128659.3099</v>
      </c>
      <c r="O576">
        <f t="shared" si="1184"/>
        <v>128102.6005</v>
      </c>
      <c r="P576">
        <f t="shared" si="1170"/>
        <v>2194071.639</v>
      </c>
      <c r="U576" s="97">
        <f t="shared" ref="U576:U577" si="1185">U574-U566</f>
        <v>726</v>
      </c>
      <c r="V576" s="97"/>
      <c r="W576" s="97">
        <f t="shared" ref="W576:W577" si="1186">W574-W566</f>
        <v>151</v>
      </c>
      <c r="X576" s="97"/>
      <c r="Y576" s="97">
        <f t="shared" ref="Y576:Y577" si="1187">Y574-Y566</f>
        <v>1424</v>
      </c>
      <c r="Z576" s="97"/>
      <c r="AA576" s="97">
        <f t="shared" ref="AA576:AA577" si="1188">AA574-AA566</f>
        <v>1012</v>
      </c>
      <c r="AB576" s="97"/>
      <c r="AC576" s="97">
        <f>AC574-AC566</f>
        <v>808</v>
      </c>
      <c r="AD576" s="97"/>
      <c r="AE576" s="97">
        <f t="shared" ref="AE576:AE577" si="1189">AE574-AE566</f>
        <v>1221</v>
      </c>
      <c r="AF576" s="97"/>
      <c r="AG576" s="97"/>
      <c r="AH576" s="97">
        <f>AH574-AH566</f>
        <v>152</v>
      </c>
    </row>
    <row r="577">
      <c r="D577" s="1" t="s">
        <v>5566</v>
      </c>
      <c r="E577" s="1" t="s">
        <v>5566</v>
      </c>
      <c r="F577" s="1" t="s">
        <v>5566</v>
      </c>
      <c r="G577" s="1" t="s">
        <v>5566</v>
      </c>
      <c r="H577" s="1" t="s">
        <v>5566</v>
      </c>
      <c r="I577" s="1" t="s">
        <v>5566</v>
      </c>
      <c r="J577" s="1" t="s">
        <v>5766</v>
      </c>
      <c r="K577" s="33" t="s">
        <v>5566</v>
      </c>
      <c r="L577" s="1" t="s">
        <v>5566</v>
      </c>
      <c r="M577" s="1" t="s">
        <v>5566</v>
      </c>
      <c r="N577" s="33" t="s">
        <v>5566</v>
      </c>
      <c r="O577" s="1" t="s">
        <v>5566</v>
      </c>
      <c r="U577" s="167">
        <f t="shared" si="1185"/>
        <v>146</v>
      </c>
      <c r="V577" s="167">
        <f>(V575-V567)</f>
        <v>537</v>
      </c>
      <c r="W577" s="167">
        <f t="shared" si="1186"/>
        <v>413</v>
      </c>
      <c r="X577" s="168">
        <f>W576</f>
        <v>151</v>
      </c>
      <c r="Y577" s="167">
        <f t="shared" si="1187"/>
        <v>396</v>
      </c>
      <c r="Z577" s="169">
        <f>Y576-Y577</f>
        <v>1028</v>
      </c>
      <c r="AA577" s="167">
        <f t="shared" si="1188"/>
        <v>715</v>
      </c>
      <c r="AB577" s="167">
        <f>AB575-AB567</f>
        <v>340</v>
      </c>
      <c r="AC577" s="167">
        <f>(AC576)*73.9/(73.9+99)</f>
        <v>345.35107</v>
      </c>
      <c r="AD577" s="167">
        <f>(AC576)*99/(73.9+99)</f>
        <v>462.64893</v>
      </c>
      <c r="AE577" s="167">
        <f t="shared" si="1189"/>
        <v>655</v>
      </c>
      <c r="AF577" s="169">
        <f>AE576-AE577-AG577-48</f>
        <v>318</v>
      </c>
      <c r="AG577" s="167">
        <f>AG575-AG567</f>
        <v>200</v>
      </c>
      <c r="AH577" s="96">
        <v>152.0</v>
      </c>
      <c r="AI577" s="18">
        <f t="shared" ref="AI577:AI578" si="1191">SUM(U577:AH577)</f>
        <v>5859</v>
      </c>
    </row>
    <row r="578">
      <c r="H578" s="1"/>
      <c r="M578" s="1"/>
      <c r="N578" s="33"/>
      <c r="U578" s="162">
        <f t="shared" ref="U578:AH578" si="1190">U577*1069630/5859</f>
        <v>26654.03311</v>
      </c>
      <c r="V578" s="162">
        <f t="shared" si="1190"/>
        <v>98035.72453</v>
      </c>
      <c r="W578" s="162">
        <f t="shared" si="1190"/>
        <v>75398.05257</v>
      </c>
      <c r="X578" s="162">
        <f t="shared" si="1190"/>
        <v>27566.84246</v>
      </c>
      <c r="Y578" s="162">
        <f t="shared" si="1190"/>
        <v>72294.50077</v>
      </c>
      <c r="Z578" s="162">
        <f t="shared" si="1190"/>
        <v>187673.603</v>
      </c>
      <c r="AA578" s="162">
        <f t="shared" si="1190"/>
        <v>130531.7375</v>
      </c>
      <c r="AB578" s="162">
        <f t="shared" si="1190"/>
        <v>62071.03601</v>
      </c>
      <c r="AC578" s="162">
        <f t="shared" si="1190"/>
        <v>63047.93736</v>
      </c>
      <c r="AD578" s="162">
        <f t="shared" si="1190"/>
        <v>84462.05411</v>
      </c>
      <c r="AE578" s="162">
        <f t="shared" si="1190"/>
        <v>119578.0253</v>
      </c>
      <c r="AF578" s="162">
        <f t="shared" si="1190"/>
        <v>58054.67486</v>
      </c>
      <c r="AG578" s="162">
        <f t="shared" si="1190"/>
        <v>36512.37413</v>
      </c>
      <c r="AH578" s="162">
        <f t="shared" si="1190"/>
        <v>27749.40434</v>
      </c>
      <c r="AI578" s="18">
        <f t="shared" si="1191"/>
        <v>1069630</v>
      </c>
    </row>
    <row r="579">
      <c r="D579" s="5" t="s">
        <v>5767</v>
      </c>
      <c r="H579" s="1"/>
      <c r="J579" s="1" t="s">
        <v>5768</v>
      </c>
      <c r="M579" s="5" t="s">
        <v>5769</v>
      </c>
      <c r="N579" s="33"/>
      <c r="O579" s="1" t="s">
        <v>5770</v>
      </c>
      <c r="U579">
        <v>26654.033111452467</v>
      </c>
      <c r="V579" s="136">
        <v>98035.72452636968</v>
      </c>
      <c r="W579" s="136">
        <v>75398.05256869773</v>
      </c>
      <c r="X579" s="136">
        <v>27566.8424645844</v>
      </c>
      <c r="Y579" s="164">
        <f t="shared" ref="Y579:AG579" si="1192">Y578+3083</f>
        <v>75377.50077</v>
      </c>
      <c r="Z579" s="164">
        <f t="shared" si="1192"/>
        <v>190756.603</v>
      </c>
      <c r="AA579" s="165">
        <f t="shared" si="1192"/>
        <v>133614.7375</v>
      </c>
      <c r="AB579" s="164">
        <f t="shared" si="1192"/>
        <v>65154.03601</v>
      </c>
      <c r="AC579" s="164">
        <f t="shared" si="1192"/>
        <v>66130.93736</v>
      </c>
      <c r="AD579" s="164">
        <f t="shared" si="1192"/>
        <v>87545.05411</v>
      </c>
      <c r="AE579" s="164">
        <f t="shared" si="1192"/>
        <v>122661.0253</v>
      </c>
      <c r="AF579" s="164">
        <f t="shared" si="1192"/>
        <v>61137.67486</v>
      </c>
      <c r="AG579" s="164">
        <f t="shared" si="1192"/>
        <v>39595.37413</v>
      </c>
      <c r="AH579">
        <f>AH578/9</f>
        <v>3083.267148</v>
      </c>
      <c r="AI579" s="18">
        <f>SUM(U579:AG579)</f>
        <v>1069627.596</v>
      </c>
    </row>
    <row r="580">
      <c r="B580" s="1" t="s">
        <v>5771</v>
      </c>
      <c r="D580" s="71">
        <f>1900000*0.8-50000</f>
        <v>1470000</v>
      </c>
      <c r="E580" s="1">
        <v>2700000.0</v>
      </c>
      <c r="F580" s="1">
        <v>1550000.0</v>
      </c>
      <c r="G580" s="1">
        <v>1800000.0</v>
      </c>
      <c r="H580" s="1">
        <v>2000000.0</v>
      </c>
      <c r="I580" s="1">
        <v>3500000.0</v>
      </c>
      <c r="J580" s="93">
        <f>2100000*12/31+250000*19/31</f>
        <v>966129.0323</v>
      </c>
      <c r="K580" s="1">
        <v>2300000.0</v>
      </c>
      <c r="L580" s="1">
        <v>1900000.0</v>
      </c>
      <c r="M580" s="2">
        <v>1200000.0</v>
      </c>
      <c r="N580" s="33">
        <v>1260000.0</v>
      </c>
      <c r="O580" s="1">
        <f>1240000*19/31</f>
        <v>760000</v>
      </c>
      <c r="P580">
        <f t="shared" ref="P580:P591" si="1194">SUM(D580:O580)</f>
        <v>21406129.03</v>
      </c>
      <c r="AA580" s="166">
        <f>AA579+U579</f>
        <v>160268.7706</v>
      </c>
    </row>
    <row r="581">
      <c r="B581" s="1" t="s">
        <v>5499</v>
      </c>
      <c r="D581" s="74">
        <f t="shared" ref="D581:O581" si="1193">D580*0.1</f>
        <v>147000</v>
      </c>
      <c r="E581" s="1">
        <f t="shared" si="1193"/>
        <v>270000</v>
      </c>
      <c r="F581" s="1">
        <f t="shared" si="1193"/>
        <v>155000</v>
      </c>
      <c r="G581" s="1">
        <f t="shared" si="1193"/>
        <v>180000</v>
      </c>
      <c r="H581" s="1">
        <f t="shared" si="1193"/>
        <v>200000</v>
      </c>
      <c r="I581" s="1">
        <f t="shared" si="1193"/>
        <v>350000</v>
      </c>
      <c r="J581" s="93">
        <f t="shared" si="1193"/>
        <v>96612.90323</v>
      </c>
      <c r="K581" s="1">
        <f t="shared" si="1193"/>
        <v>230000</v>
      </c>
      <c r="L581" s="1">
        <f t="shared" si="1193"/>
        <v>190000</v>
      </c>
      <c r="M581" s="2">
        <f t="shared" si="1193"/>
        <v>120000</v>
      </c>
      <c r="N581" s="1">
        <f t="shared" si="1193"/>
        <v>126000</v>
      </c>
      <c r="O581" s="1">
        <f t="shared" si="1193"/>
        <v>76000</v>
      </c>
      <c r="P581">
        <f t="shared" si="1194"/>
        <v>2140612.903</v>
      </c>
    </row>
    <row r="582">
      <c r="B582" s="1" t="s">
        <v>5520</v>
      </c>
      <c r="D582" s="71">
        <f t="shared" ref="D582:O582" si="1195">D580+D581</f>
        <v>1617000</v>
      </c>
      <c r="E582">
        <f t="shared" si="1195"/>
        <v>2970000</v>
      </c>
      <c r="F582">
        <f t="shared" si="1195"/>
        <v>1705000</v>
      </c>
      <c r="G582">
        <f t="shared" si="1195"/>
        <v>1980000</v>
      </c>
      <c r="H582">
        <f t="shared" si="1195"/>
        <v>2200000</v>
      </c>
      <c r="I582">
        <f t="shared" si="1195"/>
        <v>3850000</v>
      </c>
      <c r="J582" s="172">
        <f t="shared" si="1195"/>
        <v>1062741.935</v>
      </c>
      <c r="K582">
        <f t="shared" si="1195"/>
        <v>2530000</v>
      </c>
      <c r="L582">
        <f t="shared" si="1195"/>
        <v>2090000</v>
      </c>
      <c r="M582" s="29">
        <f t="shared" si="1195"/>
        <v>1320000</v>
      </c>
      <c r="N582">
        <f t="shared" si="1195"/>
        <v>1386000</v>
      </c>
      <c r="O582">
        <f t="shared" si="1195"/>
        <v>836000</v>
      </c>
      <c r="P582">
        <f t="shared" si="1194"/>
        <v>23546741.94</v>
      </c>
      <c r="T582" s="1" t="s">
        <v>5772</v>
      </c>
      <c r="U582" s="1">
        <v>79066.0</v>
      </c>
      <c r="W582" s="1">
        <v>43089.0</v>
      </c>
      <c r="Y582" s="1">
        <v>109059.0</v>
      </c>
      <c r="AA582" s="1">
        <v>22874.0</v>
      </c>
      <c r="AC582" s="1">
        <v>121055.0</v>
      </c>
      <c r="AE582" s="1">
        <v>152625.0</v>
      </c>
      <c r="AH582" s="1">
        <v>12424.0</v>
      </c>
      <c r="AJ582" s="1">
        <v>1545560.0</v>
      </c>
      <c r="AL582" s="1">
        <v>8304.0</v>
      </c>
    </row>
    <row r="583">
      <c r="B583" s="1" t="s">
        <v>5545</v>
      </c>
      <c r="D583">
        <v>159207.1733387523</v>
      </c>
      <c r="E583">
        <v>87432.00568990043</v>
      </c>
      <c r="F583">
        <v>49081.54846575899</v>
      </c>
      <c r="G583">
        <v>43979.00873806137</v>
      </c>
      <c r="H583" s="134">
        <v>107837.7976021134</v>
      </c>
      <c r="I583">
        <v>137744.11745580166</v>
      </c>
      <c r="J583">
        <v>10730.217841902053</v>
      </c>
      <c r="K583">
        <v>51787.02760504343</v>
      </c>
      <c r="L583">
        <v>68540.18312448308</v>
      </c>
      <c r="M583" s="134">
        <v>67728.14509246088</v>
      </c>
      <c r="N583" s="159">
        <v>51015.78988010567</v>
      </c>
      <c r="O583">
        <v>30609.124568177198</v>
      </c>
      <c r="P583">
        <f t="shared" si="1194"/>
        <v>865692.1394</v>
      </c>
      <c r="U583" s="1">
        <v>13486.0</v>
      </c>
      <c r="V583" s="1">
        <v>67586.0</v>
      </c>
      <c r="W583" s="1">
        <v>105082.0</v>
      </c>
      <c r="Y583" s="1">
        <v>32916.0</v>
      </c>
      <c r="AA583" s="1">
        <v>65058.0</v>
      </c>
      <c r="AB583" s="1">
        <v>8639.0</v>
      </c>
      <c r="AE583" s="1">
        <v>119016.0</v>
      </c>
      <c r="AG583" s="1">
        <v>22609.0</v>
      </c>
    </row>
    <row r="584">
      <c r="D584">
        <f t="shared" ref="D584:O584" si="1196">D583-D585</f>
        <v>144733.7939</v>
      </c>
      <c r="E584">
        <f t="shared" si="1196"/>
        <v>79483.64154</v>
      </c>
      <c r="F584">
        <f t="shared" si="1196"/>
        <v>44619.58951</v>
      </c>
      <c r="G584">
        <f t="shared" si="1196"/>
        <v>39980.91703</v>
      </c>
      <c r="H584">
        <f t="shared" si="1196"/>
        <v>98034.36146</v>
      </c>
      <c r="I584">
        <f t="shared" si="1196"/>
        <v>125221.925</v>
      </c>
      <c r="J584" s="172">
        <f t="shared" si="1196"/>
        <v>9754.743493</v>
      </c>
      <c r="K584">
        <f t="shared" si="1196"/>
        <v>47079.116</v>
      </c>
      <c r="L584">
        <f t="shared" si="1196"/>
        <v>62309.25739</v>
      </c>
      <c r="M584">
        <f t="shared" si="1196"/>
        <v>61571.04099</v>
      </c>
      <c r="N584">
        <f t="shared" si="1196"/>
        <v>46377.9908</v>
      </c>
      <c r="O584">
        <f t="shared" si="1196"/>
        <v>27826.47688</v>
      </c>
      <c r="P584">
        <f t="shared" si="1194"/>
        <v>786992.854</v>
      </c>
      <c r="U584" s="97">
        <f t="shared" ref="U584:U585" si="1198">U582-U574</f>
        <v>758</v>
      </c>
      <c r="V584" s="97"/>
      <c r="W584" s="97">
        <f t="shared" ref="W584:W585" si="1199">W582-W574</f>
        <v>146</v>
      </c>
      <c r="X584" s="97"/>
      <c r="Y584" s="97">
        <f t="shared" ref="Y584:Y585" si="1200">Y582-Y574</f>
        <v>1618</v>
      </c>
      <c r="Z584" s="97"/>
      <c r="AA584" s="97">
        <f t="shared" ref="AA584:AA585" si="1201">AA582-AA574</f>
        <v>1337</v>
      </c>
      <c r="AB584" s="97"/>
      <c r="AC584" s="97">
        <f>AC582-AC574</f>
        <v>1379</v>
      </c>
      <c r="AD584" s="97"/>
      <c r="AE584" s="97">
        <f t="shared" ref="AE584:AE585" si="1202">AE582-AE574</f>
        <v>1227</v>
      </c>
      <c r="AF584" s="97"/>
      <c r="AG584" s="97"/>
      <c r="AH584" s="97">
        <f>AH582-AH574</f>
        <v>147</v>
      </c>
    </row>
    <row r="585">
      <c r="B585" s="1" t="s">
        <v>5499</v>
      </c>
      <c r="D585">
        <f t="shared" ref="D585:O585" si="1197">D583/11</f>
        <v>14473.37939</v>
      </c>
      <c r="E585">
        <f t="shared" si="1197"/>
        <v>7948.364154</v>
      </c>
      <c r="F585">
        <f t="shared" si="1197"/>
        <v>4461.958951</v>
      </c>
      <c r="G585">
        <f t="shared" si="1197"/>
        <v>3998.091703</v>
      </c>
      <c r="H585">
        <f t="shared" si="1197"/>
        <v>9803.436146</v>
      </c>
      <c r="I585">
        <f t="shared" si="1197"/>
        <v>12522.1925</v>
      </c>
      <c r="J585" s="172">
        <f t="shared" si="1197"/>
        <v>975.4743493</v>
      </c>
      <c r="K585">
        <f t="shared" si="1197"/>
        <v>4707.9116</v>
      </c>
      <c r="L585">
        <f t="shared" si="1197"/>
        <v>6230.925739</v>
      </c>
      <c r="M585">
        <f t="shared" si="1197"/>
        <v>6157.104099</v>
      </c>
      <c r="N585">
        <f t="shared" si="1197"/>
        <v>4637.79908</v>
      </c>
      <c r="O585">
        <f t="shared" si="1197"/>
        <v>2782.647688</v>
      </c>
      <c r="P585">
        <f t="shared" si="1194"/>
        <v>78699.2854</v>
      </c>
      <c r="U585" s="167">
        <f t="shared" si="1198"/>
        <v>190</v>
      </c>
      <c r="V585" s="167">
        <f>(V583-V575)</f>
        <v>530</v>
      </c>
      <c r="W585" s="167">
        <f t="shared" si="1199"/>
        <v>454</v>
      </c>
      <c r="X585" s="168">
        <f>W584</f>
        <v>146</v>
      </c>
      <c r="Y585" s="167">
        <f t="shared" si="1200"/>
        <v>623</v>
      </c>
      <c r="Z585" s="169">
        <f>Y584-Y585</f>
        <v>995</v>
      </c>
      <c r="AA585" s="167">
        <f t="shared" si="1201"/>
        <v>743</v>
      </c>
      <c r="AB585" s="167">
        <f>AB583-AB575</f>
        <v>696</v>
      </c>
      <c r="AC585" s="167">
        <f>(AC584)*73.9/(73.9+99)</f>
        <v>589.4048583</v>
      </c>
      <c r="AD585" s="167">
        <f>(AC584)*99/(73.9+99)</f>
        <v>789.5951417</v>
      </c>
      <c r="AE585" s="167">
        <f t="shared" si="1202"/>
        <v>672</v>
      </c>
      <c r="AF585" s="169">
        <f>AE584-AE585-AG585-48</f>
        <v>483</v>
      </c>
      <c r="AG585" s="167">
        <f>AG583-AG575</f>
        <v>24</v>
      </c>
      <c r="AH585" s="96">
        <v>147.0</v>
      </c>
      <c r="AI585" s="18">
        <f t="shared" ref="AI585:AI586" si="1204">SUM(U585:AH585)</f>
        <v>7082</v>
      </c>
    </row>
    <row r="586">
      <c r="B586" s="1" t="s">
        <v>5729</v>
      </c>
      <c r="D586">
        <v>41333.945998861236</v>
      </c>
      <c r="E586">
        <v>17211.8790518335</v>
      </c>
      <c r="F586">
        <v>17211.8790518335</v>
      </c>
      <c r="G586">
        <v>15791.687061103396</v>
      </c>
      <c r="H586" s="134">
        <v>22723.071851681667</v>
      </c>
      <c r="I586">
        <v>28848.97461766674</v>
      </c>
      <c r="J586">
        <v>0.0</v>
      </c>
      <c r="K586">
        <v>15664.505688799209</v>
      </c>
      <c r="L586">
        <v>20984.92643019109</v>
      </c>
      <c r="M586" s="134">
        <v>10702.312479397457</v>
      </c>
      <c r="N586" s="159">
        <v>12315.396218122247</v>
      </c>
      <c r="O586">
        <v>9411.421550509944</v>
      </c>
      <c r="P586">
        <f t="shared" si="1194"/>
        <v>212200</v>
      </c>
      <c r="U586" s="162">
        <f t="shared" ref="U586:AH586" si="1203">U585*1545560/7082</f>
        <v>41465.17933</v>
      </c>
      <c r="V586" s="162">
        <f t="shared" si="1203"/>
        <v>115666.0265</v>
      </c>
      <c r="W586" s="162">
        <f t="shared" si="1203"/>
        <v>99079.95482</v>
      </c>
      <c r="X586" s="162">
        <f t="shared" si="1203"/>
        <v>31862.71675</v>
      </c>
      <c r="Y586" s="162">
        <f t="shared" si="1203"/>
        <v>135962.1406</v>
      </c>
      <c r="Z586" s="162">
        <f t="shared" si="1203"/>
        <v>217146.597</v>
      </c>
      <c r="AA586" s="162">
        <f t="shared" si="1203"/>
        <v>162150.675</v>
      </c>
      <c r="AB586" s="162">
        <f t="shared" si="1203"/>
        <v>151893.499</v>
      </c>
      <c r="AC586" s="162">
        <f t="shared" si="1203"/>
        <v>128630.4113</v>
      </c>
      <c r="AD586" s="162">
        <f t="shared" si="1203"/>
        <v>172319.4955</v>
      </c>
      <c r="AE586" s="162">
        <f t="shared" si="1203"/>
        <v>146655.7921</v>
      </c>
      <c r="AF586" s="162">
        <f t="shared" si="1203"/>
        <v>105408.8506</v>
      </c>
      <c r="AG586" s="162">
        <f t="shared" si="1203"/>
        <v>5237.706862</v>
      </c>
      <c r="AH586" s="162">
        <f t="shared" si="1203"/>
        <v>32080.95453</v>
      </c>
      <c r="AI586" s="18">
        <f t="shared" si="1204"/>
        <v>1545560</v>
      </c>
    </row>
    <row r="587">
      <c r="B587" s="23" t="s">
        <v>5598</v>
      </c>
      <c r="D587" s="18">
        <f t="shared" ref="D587:O587" si="1205">SUM(D582,D583,D586)</f>
        <v>1817541.119</v>
      </c>
      <c r="E587" s="18">
        <f t="shared" si="1205"/>
        <v>3074643.885</v>
      </c>
      <c r="F587" s="18">
        <f t="shared" si="1205"/>
        <v>1771293.428</v>
      </c>
      <c r="G587" s="18">
        <f t="shared" si="1205"/>
        <v>2039770.696</v>
      </c>
      <c r="H587" s="18">
        <f t="shared" si="1205"/>
        <v>2330560.869</v>
      </c>
      <c r="I587" s="18">
        <f t="shared" si="1205"/>
        <v>4016593.092</v>
      </c>
      <c r="J587" s="18">
        <f t="shared" si="1205"/>
        <v>1073472.153</v>
      </c>
      <c r="K587" s="18">
        <f t="shared" si="1205"/>
        <v>2597451.533</v>
      </c>
      <c r="L587" s="18">
        <f t="shared" si="1205"/>
        <v>2179525.11</v>
      </c>
      <c r="M587" s="18">
        <f t="shared" si="1205"/>
        <v>1398430.458</v>
      </c>
      <c r="N587" s="18">
        <f t="shared" si="1205"/>
        <v>1449331.186</v>
      </c>
      <c r="O587" s="18">
        <f t="shared" si="1205"/>
        <v>876020.5461</v>
      </c>
      <c r="P587">
        <f t="shared" si="1194"/>
        <v>24624634.07</v>
      </c>
      <c r="U587">
        <v>41465.179327873484</v>
      </c>
      <c r="V587" s="136">
        <v>115666.0265461734</v>
      </c>
      <c r="W587" s="136">
        <v>99079.954815024</v>
      </c>
      <c r="X587" s="136">
        <v>31862.71674668173</v>
      </c>
      <c r="Y587" s="164">
        <f t="shared" ref="Y587:AG587" si="1206">Y586+3564</f>
        <v>139526.1406</v>
      </c>
      <c r="Z587" s="164">
        <f t="shared" si="1206"/>
        <v>220710.597</v>
      </c>
      <c r="AA587" s="165">
        <f t="shared" si="1206"/>
        <v>165714.675</v>
      </c>
      <c r="AB587" s="164">
        <f t="shared" si="1206"/>
        <v>155457.499</v>
      </c>
      <c r="AC587" s="164">
        <f t="shared" si="1206"/>
        <v>132194.4113</v>
      </c>
      <c r="AD587" s="164">
        <f t="shared" si="1206"/>
        <v>175883.4955</v>
      </c>
      <c r="AE587" s="164">
        <f t="shared" si="1206"/>
        <v>150219.7921</v>
      </c>
      <c r="AF587" s="164">
        <f t="shared" si="1206"/>
        <v>108972.8506</v>
      </c>
      <c r="AG587" s="164">
        <f t="shared" si="1206"/>
        <v>8801.706862</v>
      </c>
      <c r="AH587">
        <f>AH586/9</f>
        <v>3564.550504</v>
      </c>
      <c r="AI587" s="18">
        <f>SUM(U587:AG587)</f>
        <v>1545555.045</v>
      </c>
    </row>
    <row r="588">
      <c r="B588" s="1" t="s">
        <v>5599</v>
      </c>
      <c r="D588">
        <f t="shared" ref="D588:O588" si="1207">SUM(D580,D584,D586)</f>
        <v>1656067.74</v>
      </c>
      <c r="E588">
        <f t="shared" si="1207"/>
        <v>2796695.521</v>
      </c>
      <c r="F588">
        <f t="shared" si="1207"/>
        <v>1611831.469</v>
      </c>
      <c r="G588">
        <f t="shared" si="1207"/>
        <v>1855772.604</v>
      </c>
      <c r="H588">
        <f t="shared" si="1207"/>
        <v>2120757.433</v>
      </c>
      <c r="I588">
        <f t="shared" si="1207"/>
        <v>3654070.9</v>
      </c>
      <c r="J588">
        <f t="shared" si="1207"/>
        <v>975883.7758</v>
      </c>
      <c r="K588">
        <f t="shared" si="1207"/>
        <v>2362743.622</v>
      </c>
      <c r="L588">
        <f t="shared" si="1207"/>
        <v>1983294.184</v>
      </c>
      <c r="M588">
        <f t="shared" si="1207"/>
        <v>1272273.353</v>
      </c>
      <c r="N588">
        <f t="shared" si="1207"/>
        <v>1318693.387</v>
      </c>
      <c r="O588">
        <f t="shared" si="1207"/>
        <v>797237.8984</v>
      </c>
      <c r="P588">
        <f t="shared" si="1194"/>
        <v>22405321.89</v>
      </c>
      <c r="AA588" s="166">
        <f>AA587+U587</f>
        <v>207179.8543</v>
      </c>
    </row>
    <row r="589">
      <c r="B589" s="1" t="s">
        <v>5601</v>
      </c>
      <c r="D589">
        <f t="shared" ref="D589:O589" si="1208">SUM(D580,D584)</f>
        <v>1614733.794</v>
      </c>
      <c r="E589">
        <f t="shared" si="1208"/>
        <v>2779483.642</v>
      </c>
      <c r="F589">
        <f t="shared" si="1208"/>
        <v>1594619.59</v>
      </c>
      <c r="G589">
        <f t="shared" si="1208"/>
        <v>1839980.917</v>
      </c>
      <c r="H589">
        <f t="shared" si="1208"/>
        <v>2098034.361</v>
      </c>
      <c r="I589">
        <f t="shared" si="1208"/>
        <v>3625221.925</v>
      </c>
      <c r="J589">
        <f t="shared" si="1208"/>
        <v>975883.7758</v>
      </c>
      <c r="K589">
        <f t="shared" si="1208"/>
        <v>2347079.116</v>
      </c>
      <c r="L589">
        <f t="shared" si="1208"/>
        <v>1962309.257</v>
      </c>
      <c r="M589">
        <f t="shared" si="1208"/>
        <v>1261571.041</v>
      </c>
      <c r="N589">
        <f t="shared" si="1208"/>
        <v>1306377.991</v>
      </c>
      <c r="O589">
        <f t="shared" si="1208"/>
        <v>787826.4769</v>
      </c>
      <c r="P589">
        <f t="shared" si="1194"/>
        <v>22193121.89</v>
      </c>
    </row>
    <row r="590">
      <c r="B590" s="1" t="s">
        <v>5582</v>
      </c>
      <c r="D590">
        <f t="shared" ref="D590:O590" si="1209">SUM(D581,D585)</f>
        <v>161473.3794</v>
      </c>
      <c r="E590">
        <f t="shared" si="1209"/>
        <v>277948.3642</v>
      </c>
      <c r="F590">
        <f t="shared" si="1209"/>
        <v>159461.959</v>
      </c>
      <c r="G590">
        <f t="shared" si="1209"/>
        <v>183998.0917</v>
      </c>
      <c r="H590">
        <f t="shared" si="1209"/>
        <v>209803.4361</v>
      </c>
      <c r="I590">
        <f t="shared" si="1209"/>
        <v>362522.1925</v>
      </c>
      <c r="J590">
        <f t="shared" si="1209"/>
        <v>97588.37758</v>
      </c>
      <c r="K590">
        <f t="shared" si="1209"/>
        <v>234707.9116</v>
      </c>
      <c r="L590">
        <f t="shared" si="1209"/>
        <v>196230.9257</v>
      </c>
      <c r="M590">
        <f t="shared" si="1209"/>
        <v>126157.1041</v>
      </c>
      <c r="N590">
        <f t="shared" si="1209"/>
        <v>130637.7991</v>
      </c>
      <c r="O590">
        <f t="shared" si="1209"/>
        <v>78782.64769</v>
      </c>
      <c r="P590">
        <f t="shared" si="1194"/>
        <v>2219312.189</v>
      </c>
      <c r="T590" s="1" t="s">
        <v>5262</v>
      </c>
      <c r="U590" s="1">
        <v>79741.0</v>
      </c>
      <c r="W590" s="1">
        <v>43220.0</v>
      </c>
      <c r="Y590" s="1">
        <v>110830.0</v>
      </c>
      <c r="AA590" s="1">
        <v>24054.0</v>
      </c>
      <c r="AC590" s="1">
        <v>122662.0</v>
      </c>
      <c r="AE590" s="1">
        <v>154240.0</v>
      </c>
      <c r="AH590" s="1">
        <v>12584.0</v>
      </c>
      <c r="AJ590" s="1">
        <v>1605340.0</v>
      </c>
      <c r="AL590" s="1">
        <v>8750.0</v>
      </c>
    </row>
    <row r="591">
      <c r="B591" s="1" t="s">
        <v>5602</v>
      </c>
      <c r="D591">
        <f t="shared" ref="D591:O591" si="1210">SUM(D589:D590)</f>
        <v>1776207.173</v>
      </c>
      <c r="E591">
        <f t="shared" si="1210"/>
        <v>3057432.006</v>
      </c>
      <c r="F591">
        <f t="shared" si="1210"/>
        <v>1754081.548</v>
      </c>
      <c r="G591">
        <f t="shared" si="1210"/>
        <v>2023979.009</v>
      </c>
      <c r="H591">
        <f t="shared" si="1210"/>
        <v>2307837.798</v>
      </c>
      <c r="I591">
        <f t="shared" si="1210"/>
        <v>3987744.117</v>
      </c>
      <c r="J591">
        <f t="shared" si="1210"/>
        <v>1073472.153</v>
      </c>
      <c r="K591">
        <f t="shared" si="1210"/>
        <v>2581787.028</v>
      </c>
      <c r="L591">
        <f t="shared" si="1210"/>
        <v>2158540.183</v>
      </c>
      <c r="M591">
        <f t="shared" si="1210"/>
        <v>1387728.145</v>
      </c>
      <c r="N591">
        <f t="shared" si="1210"/>
        <v>1437015.79</v>
      </c>
      <c r="O591">
        <f t="shared" si="1210"/>
        <v>866609.1246</v>
      </c>
      <c r="P591">
        <f t="shared" si="1194"/>
        <v>24412434.07</v>
      </c>
      <c r="U591" s="1">
        <v>13596.0</v>
      </c>
      <c r="V591" s="1">
        <v>68109.0</v>
      </c>
      <c r="W591" s="1">
        <v>105511.0</v>
      </c>
      <c r="Y591" s="1">
        <v>33642.0</v>
      </c>
      <c r="AA591" s="1">
        <v>65751.0</v>
      </c>
      <c r="AB591" s="1">
        <v>9116.0</v>
      </c>
      <c r="AE591" s="1">
        <v>119780.0</v>
      </c>
      <c r="AG591" s="1">
        <v>22800.0</v>
      </c>
    </row>
    <row r="592">
      <c r="D592" s="1" t="s">
        <v>5566</v>
      </c>
      <c r="E592" s="1" t="s">
        <v>5566</v>
      </c>
      <c r="F592" s="1" t="s">
        <v>5566</v>
      </c>
      <c r="G592" s="1" t="s">
        <v>5566</v>
      </c>
      <c r="H592" s="1" t="s">
        <v>5566</v>
      </c>
      <c r="I592" s="1" t="s">
        <v>5566</v>
      </c>
      <c r="J592" s="1" t="s">
        <v>5566</v>
      </c>
      <c r="K592" s="33" t="s">
        <v>5566</v>
      </c>
      <c r="L592" s="1" t="s">
        <v>5566</v>
      </c>
      <c r="M592" s="1" t="s">
        <v>5566</v>
      </c>
      <c r="N592" s="33" t="s">
        <v>5566</v>
      </c>
      <c r="O592" s="1" t="s">
        <v>5566</v>
      </c>
      <c r="U592" s="97">
        <f t="shared" ref="U592:U593" si="1211">U590-U582</f>
        <v>675</v>
      </c>
      <c r="V592" s="97"/>
      <c r="W592" s="97">
        <f t="shared" ref="W592:W593" si="1212">W590-W582</f>
        <v>131</v>
      </c>
      <c r="X592" s="97"/>
      <c r="Y592" s="97">
        <f t="shared" ref="Y592:Y593" si="1213">Y590-Y582</f>
        <v>1771</v>
      </c>
      <c r="Z592" s="97"/>
      <c r="AA592" s="97">
        <f t="shared" ref="AA592:AA593" si="1214">AA590-AA582</f>
        <v>1180</v>
      </c>
      <c r="AB592" s="97"/>
      <c r="AC592" s="97">
        <f>AC590-AC582</f>
        <v>1607</v>
      </c>
      <c r="AD592" s="97"/>
      <c r="AE592" s="97">
        <f t="shared" ref="AE592:AE593" si="1215">AE590-AE582</f>
        <v>1615</v>
      </c>
      <c r="AF592" s="97"/>
      <c r="AG592" s="97"/>
      <c r="AH592" s="97">
        <f>AH590-AH582</f>
        <v>160</v>
      </c>
    </row>
    <row r="593">
      <c r="H593" s="1"/>
      <c r="M593" s="1"/>
      <c r="N593" s="33"/>
      <c r="U593" s="167">
        <f t="shared" si="1211"/>
        <v>110</v>
      </c>
      <c r="V593" s="167">
        <f>(V591-V583)</f>
        <v>523</v>
      </c>
      <c r="W593" s="167">
        <f t="shared" si="1212"/>
        <v>429</v>
      </c>
      <c r="X593" s="168">
        <f>W592</f>
        <v>131</v>
      </c>
      <c r="Y593" s="167">
        <f t="shared" si="1213"/>
        <v>726</v>
      </c>
      <c r="Z593" s="169">
        <f>Y592-Y593</f>
        <v>1045</v>
      </c>
      <c r="AA593" s="167">
        <f t="shared" si="1214"/>
        <v>693</v>
      </c>
      <c r="AB593" s="167">
        <f>AB591-AB583</f>
        <v>477</v>
      </c>
      <c r="AC593" s="167">
        <f>(AC592)*73.9/(73.9+99)</f>
        <v>686.8554078</v>
      </c>
      <c r="AD593" s="167">
        <f>(AC592)*99/(73.9+99)</f>
        <v>920.1445922</v>
      </c>
      <c r="AE593" s="167">
        <f t="shared" si="1215"/>
        <v>764</v>
      </c>
      <c r="AF593" s="169">
        <f>AE592-AE593-AG593-48</f>
        <v>612</v>
      </c>
      <c r="AG593" s="167">
        <f>AG591-AG583</f>
        <v>191</v>
      </c>
      <c r="AH593" s="96">
        <v>160.0</v>
      </c>
      <c r="AI593" s="18">
        <f t="shared" ref="AI593:AI594" si="1217">SUM(U593:AH593)</f>
        <v>7468</v>
      </c>
    </row>
    <row r="594">
      <c r="H594" s="1"/>
      <c r="M594" s="1"/>
      <c r="N594" s="33"/>
      <c r="U594" s="162">
        <f t="shared" ref="U594:AH594" si="1216">U593*1605340/7468</f>
        <v>23645.87574</v>
      </c>
      <c r="V594" s="162">
        <f t="shared" si="1216"/>
        <v>112425.391</v>
      </c>
      <c r="W594" s="162">
        <f t="shared" si="1216"/>
        <v>92218.91537</v>
      </c>
      <c r="X594" s="162">
        <f t="shared" si="1216"/>
        <v>28160.08838</v>
      </c>
      <c r="Y594" s="162">
        <f t="shared" si="1216"/>
        <v>156062.7799</v>
      </c>
      <c r="Z594" s="162">
        <f t="shared" si="1216"/>
        <v>224635.8195</v>
      </c>
      <c r="AA594" s="162">
        <f t="shared" si="1216"/>
        <v>148969.0171</v>
      </c>
      <c r="AB594" s="162">
        <f t="shared" si="1216"/>
        <v>102537.1157</v>
      </c>
      <c r="AC594" s="162">
        <f t="shared" si="1216"/>
        <v>147648.1602</v>
      </c>
      <c r="AD594" s="162">
        <f t="shared" si="1216"/>
        <v>197796.5881</v>
      </c>
      <c r="AE594" s="162">
        <f t="shared" si="1216"/>
        <v>164231.3551</v>
      </c>
      <c r="AF594" s="162">
        <f t="shared" si="1216"/>
        <v>131557.0541</v>
      </c>
      <c r="AG594" s="162">
        <f t="shared" si="1216"/>
        <v>41057.83878</v>
      </c>
      <c r="AH594" s="162">
        <f t="shared" si="1216"/>
        <v>34394.00107</v>
      </c>
      <c r="AI594" s="18">
        <f t="shared" si="1217"/>
        <v>1605340</v>
      </c>
    </row>
    <row r="595">
      <c r="B595" s="1" t="s">
        <v>5773</v>
      </c>
      <c r="D595" s="99">
        <v>1900000.0</v>
      </c>
      <c r="E595" s="1">
        <v>2700000.0</v>
      </c>
      <c r="F595" s="1">
        <v>1550000.0</v>
      </c>
      <c r="G595" s="1">
        <v>1800000.0</v>
      </c>
      <c r="H595" s="1">
        <v>2000000.0</v>
      </c>
      <c r="I595" s="1">
        <v>3500000.0</v>
      </c>
      <c r="J595" s="99">
        <v>2100000.0</v>
      </c>
      <c r="K595" s="1">
        <v>2300000.0</v>
      </c>
      <c r="L595" s="1">
        <v>1900000.0</v>
      </c>
      <c r="M595" s="99">
        <v>1500000.0</v>
      </c>
      <c r="N595" s="33">
        <v>1260000.0</v>
      </c>
      <c r="P595">
        <f t="shared" ref="P595:P603" si="1220">SUM(D595:O595)</f>
        <v>22510000</v>
      </c>
      <c r="U595">
        <v>23645.87573647563</v>
      </c>
      <c r="V595" s="136">
        <v>112425.39100160685</v>
      </c>
      <c r="W595" s="136">
        <v>92218.91537225495</v>
      </c>
      <c r="X595" s="136">
        <v>28160.08837707552</v>
      </c>
      <c r="Y595" s="164">
        <f t="shared" ref="Y595:AG595" si="1218">Y594+3821</f>
        <v>159883.7799</v>
      </c>
      <c r="Z595" s="164">
        <f t="shared" si="1218"/>
        <v>228456.8195</v>
      </c>
      <c r="AA595" s="165">
        <f t="shared" si="1218"/>
        <v>152790.0171</v>
      </c>
      <c r="AB595" s="164">
        <f t="shared" si="1218"/>
        <v>106358.1157</v>
      </c>
      <c r="AC595" s="164">
        <f t="shared" si="1218"/>
        <v>151469.1602</v>
      </c>
      <c r="AD595" s="164">
        <f t="shared" si="1218"/>
        <v>201617.5881</v>
      </c>
      <c r="AE595" s="164">
        <f t="shared" si="1218"/>
        <v>168052.3551</v>
      </c>
      <c r="AF595" s="164">
        <f t="shared" si="1218"/>
        <v>135378.0541</v>
      </c>
      <c r="AG595" s="164">
        <f t="shared" si="1218"/>
        <v>44878.83878</v>
      </c>
      <c r="AH595">
        <f>AH594/9</f>
        <v>3821.555675</v>
      </c>
      <c r="AI595" s="18">
        <f>SUM(U595:AG595)</f>
        <v>1605334.999</v>
      </c>
    </row>
    <row r="596">
      <c r="B596" s="1" t="s">
        <v>5499</v>
      </c>
      <c r="D596" s="99">
        <f t="shared" ref="D596:N596" si="1219">D595*0.1</f>
        <v>190000</v>
      </c>
      <c r="E596" s="1">
        <f t="shared" si="1219"/>
        <v>270000</v>
      </c>
      <c r="F596" s="1">
        <f t="shared" si="1219"/>
        <v>155000</v>
      </c>
      <c r="G596" s="1">
        <f t="shared" si="1219"/>
        <v>180000</v>
      </c>
      <c r="H596" s="1">
        <f t="shared" si="1219"/>
        <v>200000</v>
      </c>
      <c r="I596" s="1">
        <f t="shared" si="1219"/>
        <v>350000</v>
      </c>
      <c r="J596" s="99">
        <f t="shared" si="1219"/>
        <v>210000</v>
      </c>
      <c r="K596" s="1">
        <f t="shared" si="1219"/>
        <v>230000</v>
      </c>
      <c r="L596" s="1">
        <f t="shared" si="1219"/>
        <v>190000</v>
      </c>
      <c r="M596" s="99">
        <f t="shared" si="1219"/>
        <v>150000</v>
      </c>
      <c r="N596" s="1">
        <f t="shared" si="1219"/>
        <v>126000</v>
      </c>
      <c r="P596">
        <f t="shared" si="1220"/>
        <v>2251000</v>
      </c>
      <c r="AA596" s="166">
        <f>AA595+U595</f>
        <v>176435.8929</v>
      </c>
    </row>
    <row r="597">
      <c r="B597" s="1" t="s">
        <v>5520</v>
      </c>
      <c r="D597" s="145">
        <f t="shared" ref="D597:N597" si="1221">D595+D596</f>
        <v>2090000</v>
      </c>
      <c r="E597">
        <f t="shared" si="1221"/>
        <v>2970000</v>
      </c>
      <c r="F597">
        <f t="shared" si="1221"/>
        <v>1705000</v>
      </c>
      <c r="G597">
        <f t="shared" si="1221"/>
        <v>1980000</v>
      </c>
      <c r="H597">
        <f t="shared" si="1221"/>
        <v>2200000</v>
      </c>
      <c r="I597">
        <f t="shared" si="1221"/>
        <v>3850000</v>
      </c>
      <c r="J597" s="145">
        <f t="shared" si="1221"/>
        <v>2310000</v>
      </c>
      <c r="K597">
        <f t="shared" si="1221"/>
        <v>2530000</v>
      </c>
      <c r="L597">
        <f t="shared" si="1221"/>
        <v>2090000</v>
      </c>
      <c r="M597" s="145">
        <f t="shared" si="1221"/>
        <v>1650000</v>
      </c>
      <c r="N597">
        <f t="shared" si="1221"/>
        <v>1386000</v>
      </c>
      <c r="P597">
        <f t="shared" si="1220"/>
        <v>24761000</v>
      </c>
    </row>
    <row r="598">
      <c r="B598" s="1" t="s">
        <v>5545</v>
      </c>
      <c r="D598">
        <v>159175.57623478884</v>
      </c>
      <c r="E598">
        <v>85516.44953471725</v>
      </c>
      <c r="F598">
        <v>36829.563350035794</v>
      </c>
      <c r="G598">
        <v>56411.29634931997</v>
      </c>
      <c r="H598" s="134">
        <v>124141.76163206872</v>
      </c>
      <c r="I598">
        <v>165462.735146743</v>
      </c>
      <c r="J598" s="34">
        <v>55153.701503221186</v>
      </c>
      <c r="K598">
        <v>73109.88656142862</v>
      </c>
      <c r="L598">
        <v>96843.44343141318</v>
      </c>
      <c r="M598" s="134">
        <v>92701.89047959914</v>
      </c>
      <c r="N598" s="159">
        <v>58567.17322834646</v>
      </c>
      <c r="P598">
        <f t="shared" si="1220"/>
        <v>1003913.477</v>
      </c>
      <c r="T598" s="1" t="s">
        <v>5774</v>
      </c>
      <c r="U598" s="1">
        <v>80380.0</v>
      </c>
      <c r="W598" s="1">
        <v>43360.0</v>
      </c>
      <c r="Y598" s="1">
        <v>112530.0</v>
      </c>
      <c r="AA598" s="1">
        <v>25056.0</v>
      </c>
      <c r="AC598" s="1">
        <v>123582.0</v>
      </c>
      <c r="AE598" s="1">
        <v>155164.0</v>
      </c>
      <c r="AH598" s="1">
        <v>12738.0</v>
      </c>
      <c r="AJ598" s="1">
        <v>1247210.0</v>
      </c>
      <c r="AL598" s="1">
        <v>6922.0</v>
      </c>
    </row>
    <row r="599">
      <c r="D599">
        <f t="shared" ref="D599:N599" si="1222">D598-D600</f>
        <v>144705.0693</v>
      </c>
      <c r="E599">
        <f t="shared" si="1222"/>
        <v>77742.22685</v>
      </c>
      <c r="F599">
        <f t="shared" si="1222"/>
        <v>33481.42123</v>
      </c>
      <c r="G599">
        <f t="shared" si="1222"/>
        <v>51282.99668</v>
      </c>
      <c r="H599">
        <f t="shared" si="1222"/>
        <v>112856.1469</v>
      </c>
      <c r="I599">
        <f t="shared" si="1222"/>
        <v>150420.6683</v>
      </c>
      <c r="J599" s="145">
        <f t="shared" si="1222"/>
        <v>50139.72864</v>
      </c>
      <c r="K599">
        <f t="shared" si="1222"/>
        <v>66463.53324</v>
      </c>
      <c r="L599">
        <f t="shared" si="1222"/>
        <v>88039.49403</v>
      </c>
      <c r="M599">
        <f t="shared" si="1222"/>
        <v>84274.44589</v>
      </c>
      <c r="N599">
        <f t="shared" si="1222"/>
        <v>53242.88475</v>
      </c>
      <c r="P599">
        <f t="shared" si="1220"/>
        <v>912648.6159</v>
      </c>
      <c r="U599" s="1">
        <v>13716.0</v>
      </c>
      <c r="V599" s="1">
        <v>68588.0</v>
      </c>
      <c r="W599" s="18">
        <f>W591+410</f>
        <v>105921</v>
      </c>
      <c r="Y599" s="1">
        <v>34171.0</v>
      </c>
      <c r="AA599" s="1">
        <v>66496.0</v>
      </c>
      <c r="AB599" s="1">
        <v>9380.0</v>
      </c>
      <c r="AE599" s="1">
        <v>120438.0</v>
      </c>
      <c r="AG599" s="1">
        <v>23100.0</v>
      </c>
    </row>
    <row r="600">
      <c r="B600" s="1" t="s">
        <v>5499</v>
      </c>
      <c r="D600">
        <f t="shared" ref="D600:N600" si="1223">D598/11</f>
        <v>14470.50693</v>
      </c>
      <c r="E600">
        <f t="shared" si="1223"/>
        <v>7774.222685</v>
      </c>
      <c r="F600">
        <f t="shared" si="1223"/>
        <v>3348.142123</v>
      </c>
      <c r="G600">
        <f t="shared" si="1223"/>
        <v>5128.299668</v>
      </c>
      <c r="H600">
        <f t="shared" si="1223"/>
        <v>11285.61469</v>
      </c>
      <c r="I600">
        <f t="shared" si="1223"/>
        <v>15042.06683</v>
      </c>
      <c r="J600" s="145">
        <f t="shared" si="1223"/>
        <v>5013.972864</v>
      </c>
      <c r="K600">
        <f t="shared" si="1223"/>
        <v>6646.353324</v>
      </c>
      <c r="L600">
        <f t="shared" si="1223"/>
        <v>8803.949403</v>
      </c>
      <c r="M600">
        <f t="shared" si="1223"/>
        <v>8427.444589</v>
      </c>
      <c r="N600">
        <f t="shared" si="1223"/>
        <v>5324.288475</v>
      </c>
      <c r="P600">
        <f t="shared" si="1220"/>
        <v>91264.86159</v>
      </c>
      <c r="U600" s="97">
        <f t="shared" ref="U600:U601" si="1225">U598-U590</f>
        <v>639</v>
      </c>
      <c r="V600" s="97"/>
      <c r="W600" s="97">
        <f t="shared" ref="W600:W601" si="1226">W598-W590</f>
        <v>140</v>
      </c>
      <c r="X600" s="97"/>
      <c r="Y600" s="97">
        <f t="shared" ref="Y600:Y601" si="1227">Y598-Y590</f>
        <v>1700</v>
      </c>
      <c r="Z600" s="97"/>
      <c r="AA600" s="97">
        <f t="shared" ref="AA600:AA601" si="1228">AA598-AA590</f>
        <v>1002</v>
      </c>
      <c r="AB600" s="97"/>
      <c r="AC600" s="97">
        <f>AC598-AC590</f>
        <v>920</v>
      </c>
      <c r="AD600" s="97"/>
      <c r="AE600" s="97">
        <f t="shared" ref="AE600:AE601" si="1229">AE598-AE590</f>
        <v>924</v>
      </c>
      <c r="AF600" s="97"/>
      <c r="AG600" s="97"/>
      <c r="AH600" s="97">
        <f>AH598-AH590</f>
        <v>154</v>
      </c>
    </row>
    <row r="601">
      <c r="B601" s="23" t="s">
        <v>5528</v>
      </c>
      <c r="D601" s="145">
        <f t="shared" ref="D601:O601" si="1224">SUM(D597,D598)</f>
        <v>2249175.576</v>
      </c>
      <c r="E601" s="145">
        <f t="shared" si="1224"/>
        <v>3055516.45</v>
      </c>
      <c r="F601" s="145">
        <f t="shared" si="1224"/>
        <v>1741829.563</v>
      </c>
      <c r="G601" s="145">
        <f t="shared" si="1224"/>
        <v>2036411.296</v>
      </c>
      <c r="H601" s="145">
        <f t="shared" si="1224"/>
        <v>2324141.762</v>
      </c>
      <c r="I601" s="145">
        <f t="shared" si="1224"/>
        <v>4015462.735</v>
      </c>
      <c r="J601" s="145">
        <f t="shared" si="1224"/>
        <v>2365153.702</v>
      </c>
      <c r="K601" s="145">
        <f t="shared" si="1224"/>
        <v>2603109.887</v>
      </c>
      <c r="L601" s="145">
        <f t="shared" si="1224"/>
        <v>2186843.443</v>
      </c>
      <c r="M601" s="145">
        <f t="shared" si="1224"/>
        <v>1742701.89</v>
      </c>
      <c r="N601" s="145">
        <f t="shared" si="1224"/>
        <v>1444567.173</v>
      </c>
      <c r="O601" s="145">
        <f t="shared" si="1224"/>
        <v>0</v>
      </c>
      <c r="P601">
        <f t="shared" si="1220"/>
        <v>25764913.48</v>
      </c>
      <c r="U601" s="167">
        <f t="shared" si="1225"/>
        <v>120</v>
      </c>
      <c r="V601" s="167">
        <f>(V599-V591)</f>
        <v>479</v>
      </c>
      <c r="W601" s="167">
        <f t="shared" si="1226"/>
        <v>410</v>
      </c>
      <c r="X601" s="168">
        <f>W600</f>
        <v>140</v>
      </c>
      <c r="Y601" s="167">
        <f t="shared" si="1227"/>
        <v>529</v>
      </c>
      <c r="Z601" s="169">
        <f>Y600-Y601</f>
        <v>1171</v>
      </c>
      <c r="AA601" s="167">
        <f t="shared" si="1228"/>
        <v>745</v>
      </c>
      <c r="AB601" s="167">
        <f>AB599-AB591</f>
        <v>264</v>
      </c>
      <c r="AC601" s="167">
        <f>(AC600)*73.9/(73.9+99)</f>
        <v>393.2215153</v>
      </c>
      <c r="AD601" s="167">
        <f>(AC600)*99/(73.9+99)</f>
        <v>526.7784847</v>
      </c>
      <c r="AE601" s="167">
        <f t="shared" si="1229"/>
        <v>658</v>
      </c>
      <c r="AF601" s="168">
        <v>0.0</v>
      </c>
      <c r="AG601" s="167">
        <f>AG599-AG591</f>
        <v>300</v>
      </c>
      <c r="AH601" s="96">
        <v>154.0</v>
      </c>
      <c r="AI601" s="18">
        <f t="shared" ref="AI601:AI602" si="1232">SUM(U601:AH601)</f>
        <v>5890</v>
      </c>
    </row>
    <row r="602">
      <c r="B602" s="1" t="s">
        <v>5580</v>
      </c>
      <c r="D602">
        <f t="shared" ref="D602:O602" si="1230">D595+D599</f>
        <v>2044705.069</v>
      </c>
      <c r="E602">
        <f t="shared" si="1230"/>
        <v>2777742.227</v>
      </c>
      <c r="F602">
        <f t="shared" si="1230"/>
        <v>1583481.421</v>
      </c>
      <c r="G602">
        <f t="shared" si="1230"/>
        <v>1851282.997</v>
      </c>
      <c r="H602">
        <f t="shared" si="1230"/>
        <v>2112856.147</v>
      </c>
      <c r="I602">
        <f t="shared" si="1230"/>
        <v>3650420.668</v>
      </c>
      <c r="J602" s="145">
        <f t="shared" si="1230"/>
        <v>2150139.729</v>
      </c>
      <c r="K602">
        <f t="shared" si="1230"/>
        <v>2366463.533</v>
      </c>
      <c r="L602">
        <f t="shared" si="1230"/>
        <v>1988039.494</v>
      </c>
      <c r="M602">
        <f t="shared" si="1230"/>
        <v>1584274.446</v>
      </c>
      <c r="N602">
        <f t="shared" si="1230"/>
        <v>1313242.885</v>
      </c>
      <c r="O602">
        <f t="shared" si="1230"/>
        <v>0</v>
      </c>
      <c r="P602">
        <f t="shared" si="1220"/>
        <v>23422648.62</v>
      </c>
      <c r="U602" s="162">
        <f t="shared" ref="U602:AH602" si="1231">U601*1247210/5890</f>
        <v>25410.05093</v>
      </c>
      <c r="V602" s="162">
        <f t="shared" si="1231"/>
        <v>101428.4533</v>
      </c>
      <c r="W602" s="162">
        <f t="shared" si="1231"/>
        <v>86817.67402</v>
      </c>
      <c r="X602" s="162">
        <f t="shared" si="1231"/>
        <v>29645.05942</v>
      </c>
      <c r="Y602" s="162">
        <f t="shared" si="1231"/>
        <v>112015.9745</v>
      </c>
      <c r="Z602" s="162">
        <f t="shared" si="1231"/>
        <v>247959.747</v>
      </c>
      <c r="AA602" s="162">
        <f t="shared" si="1231"/>
        <v>157754.0662</v>
      </c>
      <c r="AB602" s="162">
        <f t="shared" si="1231"/>
        <v>55902.11205</v>
      </c>
      <c r="AC602" s="162">
        <f t="shared" si="1231"/>
        <v>83264.82277</v>
      </c>
      <c r="AD602" s="162">
        <f t="shared" si="1231"/>
        <v>111545.5677</v>
      </c>
      <c r="AE602" s="162">
        <f t="shared" si="1231"/>
        <v>139331.7793</v>
      </c>
      <c r="AF602" s="162">
        <f t="shared" si="1231"/>
        <v>0</v>
      </c>
      <c r="AG602" s="162">
        <f t="shared" si="1231"/>
        <v>63525.12733</v>
      </c>
      <c r="AH602" s="162">
        <f t="shared" si="1231"/>
        <v>32609.56537</v>
      </c>
      <c r="AI602" s="18">
        <f t="shared" si="1232"/>
        <v>1247210</v>
      </c>
    </row>
    <row r="603">
      <c r="B603" s="1" t="s">
        <v>5582</v>
      </c>
      <c r="D603">
        <f t="shared" ref="D603:O603" si="1233">D596+D600</f>
        <v>204470.5069</v>
      </c>
      <c r="E603">
        <f t="shared" si="1233"/>
        <v>277774.2227</v>
      </c>
      <c r="F603">
        <f t="shared" si="1233"/>
        <v>158348.1421</v>
      </c>
      <c r="G603">
        <f t="shared" si="1233"/>
        <v>185128.2997</v>
      </c>
      <c r="H603">
        <f t="shared" si="1233"/>
        <v>211285.6147</v>
      </c>
      <c r="I603">
        <f t="shared" si="1233"/>
        <v>365042.0668</v>
      </c>
      <c r="J603" s="145">
        <f t="shared" si="1233"/>
        <v>215013.9729</v>
      </c>
      <c r="K603">
        <f t="shared" si="1233"/>
        <v>236646.3533</v>
      </c>
      <c r="L603">
        <f t="shared" si="1233"/>
        <v>198803.9494</v>
      </c>
      <c r="M603">
        <f t="shared" si="1233"/>
        <v>158427.4446</v>
      </c>
      <c r="N603">
        <f t="shared" si="1233"/>
        <v>131324.2885</v>
      </c>
      <c r="O603">
        <f t="shared" si="1233"/>
        <v>0</v>
      </c>
      <c r="P603">
        <f t="shared" si="1220"/>
        <v>2342264.862</v>
      </c>
      <c r="U603">
        <v>25410.05093378608</v>
      </c>
      <c r="V603" s="136">
        <v>101428.45331069609</v>
      </c>
      <c r="W603" s="136">
        <v>86817.6740237691</v>
      </c>
      <c r="X603" s="136">
        <v>29645.059422750426</v>
      </c>
      <c r="Y603" s="164">
        <f t="shared" ref="Y603:AG603" si="1234">Y602+3623</f>
        <v>115638.9745</v>
      </c>
      <c r="Z603" s="164">
        <f t="shared" si="1234"/>
        <v>251582.747</v>
      </c>
      <c r="AA603" s="165">
        <f t="shared" si="1234"/>
        <v>161377.0662</v>
      </c>
      <c r="AB603" s="164">
        <f t="shared" si="1234"/>
        <v>59525.11205</v>
      </c>
      <c r="AC603" s="164">
        <f t="shared" si="1234"/>
        <v>86887.82277</v>
      </c>
      <c r="AD603" s="164">
        <f t="shared" si="1234"/>
        <v>115168.5677</v>
      </c>
      <c r="AE603" s="164">
        <f t="shared" si="1234"/>
        <v>142954.7793</v>
      </c>
      <c r="AF603" s="164">
        <f t="shared" si="1234"/>
        <v>3623</v>
      </c>
      <c r="AG603" s="164">
        <f t="shared" si="1234"/>
        <v>67148.12733</v>
      </c>
      <c r="AH603">
        <f>AH602/9</f>
        <v>3623.285041</v>
      </c>
      <c r="AI603" s="18">
        <f>SUM(U603:AG603)</f>
        <v>1247207.435</v>
      </c>
    </row>
    <row r="604">
      <c r="D604" s="1" t="s">
        <v>5566</v>
      </c>
      <c r="E604" s="1" t="s">
        <v>5566</v>
      </c>
      <c r="F604" s="1" t="s">
        <v>5566</v>
      </c>
      <c r="G604" s="1" t="s">
        <v>5566</v>
      </c>
      <c r="H604" s="1" t="s">
        <v>5566</v>
      </c>
      <c r="I604" s="1" t="s">
        <v>5566</v>
      </c>
      <c r="J604" s="1" t="s">
        <v>5566</v>
      </c>
      <c r="K604" s="33" t="s">
        <v>5566</v>
      </c>
      <c r="L604" s="1" t="s">
        <v>5566</v>
      </c>
      <c r="M604" s="1" t="s">
        <v>5566</v>
      </c>
      <c r="N604" s="33" t="s">
        <v>5566</v>
      </c>
      <c r="AA604" s="166">
        <f>AA603+U603</f>
        <v>186787.1171</v>
      </c>
    </row>
    <row r="605">
      <c r="H605" s="1"/>
      <c r="M605" s="1"/>
      <c r="N605" s="33"/>
    </row>
    <row r="606">
      <c r="H606" s="1"/>
      <c r="M606" s="1"/>
      <c r="N606" s="33"/>
      <c r="T606" s="1" t="s">
        <v>5775</v>
      </c>
      <c r="U606" s="1">
        <v>81007.0</v>
      </c>
      <c r="W606" s="1">
        <v>43400.0</v>
      </c>
      <c r="Y606" s="1">
        <v>113859.0</v>
      </c>
      <c r="AA606" s="1">
        <v>25766.0</v>
      </c>
      <c r="AC606" s="1">
        <v>124255.0</v>
      </c>
      <c r="AE606" s="1">
        <v>155847.0</v>
      </c>
      <c r="AH606" s="1">
        <v>12878.0</v>
      </c>
      <c r="AJ606" s="1">
        <v>952240.0</v>
      </c>
      <c r="AL606" s="1">
        <v>5707.0</v>
      </c>
    </row>
    <row r="607">
      <c r="B607" s="1" t="s">
        <v>5776</v>
      </c>
      <c r="D607" s="99">
        <v>1900000.0</v>
      </c>
      <c r="E607" s="1">
        <v>2700000.0</v>
      </c>
      <c r="F607" s="1">
        <v>1550000.0</v>
      </c>
      <c r="G607" s="1">
        <v>1800000.0</v>
      </c>
      <c r="H607" s="1">
        <v>2000000.0</v>
      </c>
      <c r="I607" s="1">
        <v>3500000.0</v>
      </c>
      <c r="J607" s="99">
        <v>2100000.0</v>
      </c>
      <c r="K607" s="1">
        <v>2300000.0</v>
      </c>
      <c r="L607" s="1">
        <v>1900000.0</v>
      </c>
      <c r="M607" s="99">
        <v>1500000.0</v>
      </c>
      <c r="N607" s="33">
        <v>1260000.0</v>
      </c>
      <c r="O607" s="1">
        <v>112000.0</v>
      </c>
      <c r="P607">
        <f t="shared" ref="P607:P618" si="1236">SUM(D607:O607)</f>
        <v>22622000</v>
      </c>
      <c r="U607" s="1">
        <v>13824.0</v>
      </c>
      <c r="V607" s="1">
        <v>69074.0</v>
      </c>
      <c r="W607" s="1">
        <v>106335.0</v>
      </c>
      <c r="Y607" s="1">
        <v>34555.0</v>
      </c>
      <c r="AA607" s="1">
        <v>67134.0</v>
      </c>
      <c r="AB607" s="1">
        <v>9501.0</v>
      </c>
      <c r="AE607" s="1">
        <v>120974.0</v>
      </c>
      <c r="AG607" s="1">
        <v>23300.0</v>
      </c>
    </row>
    <row r="608">
      <c r="B608" s="1" t="s">
        <v>5499</v>
      </c>
      <c r="D608" s="99">
        <f t="shared" ref="D608:O608" si="1235">D607*0.1</f>
        <v>190000</v>
      </c>
      <c r="E608" s="1">
        <f t="shared" si="1235"/>
        <v>270000</v>
      </c>
      <c r="F608" s="1">
        <f t="shared" si="1235"/>
        <v>155000</v>
      </c>
      <c r="G608" s="1">
        <f t="shared" si="1235"/>
        <v>180000</v>
      </c>
      <c r="H608" s="1">
        <f t="shared" si="1235"/>
        <v>200000</v>
      </c>
      <c r="I608" s="1">
        <f t="shared" si="1235"/>
        <v>350000</v>
      </c>
      <c r="J608" s="99">
        <f t="shared" si="1235"/>
        <v>210000</v>
      </c>
      <c r="K608" s="1">
        <f t="shared" si="1235"/>
        <v>230000</v>
      </c>
      <c r="L608" s="1">
        <f t="shared" si="1235"/>
        <v>190000</v>
      </c>
      <c r="M608" s="99">
        <f t="shared" si="1235"/>
        <v>150000</v>
      </c>
      <c r="N608" s="1">
        <f t="shared" si="1235"/>
        <v>126000</v>
      </c>
      <c r="O608" s="1">
        <f t="shared" si="1235"/>
        <v>11200</v>
      </c>
      <c r="P608">
        <f t="shared" si="1236"/>
        <v>2262200</v>
      </c>
      <c r="U608" s="97">
        <f t="shared" ref="U608:U609" si="1238">U606-U598</f>
        <v>627</v>
      </c>
      <c r="V608" s="97"/>
      <c r="W608" s="97">
        <f t="shared" ref="W608:W609" si="1239">W606-W598</f>
        <v>40</v>
      </c>
      <c r="X608" s="97"/>
      <c r="Y608" s="97">
        <f t="shared" ref="Y608:Y609" si="1240">Y606-Y598</f>
        <v>1329</v>
      </c>
      <c r="Z608" s="97"/>
      <c r="AA608" s="97">
        <f t="shared" ref="AA608:AA609" si="1241">AA606-AA598</f>
        <v>710</v>
      </c>
      <c r="AB608" s="97"/>
      <c r="AC608" s="97">
        <f>AC606-AC598</f>
        <v>673</v>
      </c>
      <c r="AD608" s="97"/>
      <c r="AE608" s="97">
        <f t="shared" ref="AE608:AE609" si="1242">AE606-AE598</f>
        <v>683</v>
      </c>
      <c r="AF608" s="97"/>
      <c r="AG608" s="97"/>
      <c r="AH608" s="97">
        <f>AH606-AH598</f>
        <v>140</v>
      </c>
    </row>
    <row r="609">
      <c r="B609" s="1" t="s">
        <v>5520</v>
      </c>
      <c r="D609" s="145">
        <f t="shared" ref="D609:O609" si="1237">D607+D608</f>
        <v>2090000</v>
      </c>
      <c r="E609">
        <f t="shared" si="1237"/>
        <v>2970000</v>
      </c>
      <c r="F609">
        <f t="shared" si="1237"/>
        <v>1705000</v>
      </c>
      <c r="G609">
        <f t="shared" si="1237"/>
        <v>1980000</v>
      </c>
      <c r="H609">
        <f t="shared" si="1237"/>
        <v>2200000</v>
      </c>
      <c r="I609">
        <f t="shared" si="1237"/>
        <v>3850000</v>
      </c>
      <c r="J609" s="145">
        <f t="shared" si="1237"/>
        <v>2310000</v>
      </c>
      <c r="K609">
        <f t="shared" si="1237"/>
        <v>2530000</v>
      </c>
      <c r="L609">
        <f t="shared" si="1237"/>
        <v>2090000</v>
      </c>
      <c r="M609" s="145">
        <f t="shared" si="1237"/>
        <v>1650000</v>
      </c>
      <c r="N609">
        <f t="shared" si="1237"/>
        <v>1386000</v>
      </c>
      <c r="O609">
        <f t="shared" si="1237"/>
        <v>123200</v>
      </c>
      <c r="P609">
        <f t="shared" si="1236"/>
        <v>24884200</v>
      </c>
      <c r="U609" s="167">
        <f t="shared" si="1238"/>
        <v>108</v>
      </c>
      <c r="V609" s="167">
        <f>(V607-V599)</f>
        <v>486</v>
      </c>
      <c r="W609" s="167">
        <f t="shared" si="1239"/>
        <v>414</v>
      </c>
      <c r="X609" s="168">
        <f>W608</f>
        <v>40</v>
      </c>
      <c r="Y609" s="167">
        <f t="shared" si="1240"/>
        <v>384</v>
      </c>
      <c r="Z609" s="169">
        <f>Y608-Y609</f>
        <v>945</v>
      </c>
      <c r="AA609" s="167">
        <f t="shared" si="1241"/>
        <v>638</v>
      </c>
      <c r="AB609" s="167">
        <f>AB607-AB599</f>
        <v>121</v>
      </c>
      <c r="AC609" s="167">
        <f>(AC608)*73.9/(73.9+99)</f>
        <v>287.6500868</v>
      </c>
      <c r="AD609" s="167">
        <f>(AC608)*99/(73.9+99)</f>
        <v>385.3499132</v>
      </c>
      <c r="AE609" s="167">
        <f t="shared" si="1242"/>
        <v>536</v>
      </c>
      <c r="AF609" s="168">
        <v>0.0</v>
      </c>
      <c r="AG609" s="167">
        <f>AG607-AG599</f>
        <v>200</v>
      </c>
      <c r="AH609" s="96">
        <v>140.0</v>
      </c>
      <c r="AI609" s="18">
        <f t="shared" ref="AI609:AI610" si="1244">SUM(U609:AH609)</f>
        <v>4685</v>
      </c>
    </row>
    <row r="610">
      <c r="B610" s="1" t="s">
        <v>5545</v>
      </c>
      <c r="D610">
        <v>160899.6535966981</v>
      </c>
      <c r="E610">
        <v>112967.86556603774</v>
      </c>
      <c r="F610">
        <v>37987.43366745283</v>
      </c>
      <c r="G610">
        <v>88106.6733490566</v>
      </c>
      <c r="H610" s="134">
        <v>158711.58932783018</v>
      </c>
      <c r="I610">
        <v>210422.23201650946</v>
      </c>
      <c r="J610" s="34">
        <v>128082.97788915095</v>
      </c>
      <c r="K610">
        <v>105416.75174857726</v>
      </c>
      <c r="L610">
        <v>140208.1884047246</v>
      </c>
      <c r="M610" s="134">
        <v>107398.72081367925</v>
      </c>
      <c r="N610" s="159">
        <v>68217.9646226415</v>
      </c>
      <c r="O610">
        <v>30827.192216981133</v>
      </c>
      <c r="P610">
        <f t="shared" si="1236"/>
        <v>1349247.243</v>
      </c>
      <c r="U610" s="162">
        <f t="shared" ref="U610:AH610" si="1243">U609*952240/4685</f>
        <v>21951.31697</v>
      </c>
      <c r="V610" s="162">
        <f t="shared" si="1243"/>
        <v>98780.92636</v>
      </c>
      <c r="W610" s="162">
        <f t="shared" si="1243"/>
        <v>84146.71505</v>
      </c>
      <c r="X610" s="162">
        <f t="shared" si="1243"/>
        <v>8130.117396</v>
      </c>
      <c r="Y610" s="162">
        <f t="shared" si="1243"/>
        <v>78049.127</v>
      </c>
      <c r="Z610" s="162">
        <f t="shared" si="1243"/>
        <v>192074.0235</v>
      </c>
      <c r="AA610" s="162">
        <f t="shared" si="1243"/>
        <v>129675.3725</v>
      </c>
      <c r="AB610" s="162">
        <f t="shared" si="1243"/>
        <v>24593.60512</v>
      </c>
      <c r="AC610" s="162">
        <f t="shared" si="1243"/>
        <v>58465.72436</v>
      </c>
      <c r="AD610" s="162">
        <f t="shared" si="1243"/>
        <v>78323.50083</v>
      </c>
      <c r="AE610" s="162">
        <f t="shared" si="1243"/>
        <v>108943.5731</v>
      </c>
      <c r="AF610" s="162">
        <f t="shared" si="1243"/>
        <v>0</v>
      </c>
      <c r="AG610" s="162">
        <f t="shared" si="1243"/>
        <v>40650.58698</v>
      </c>
      <c r="AH610" s="162">
        <f t="shared" si="1243"/>
        <v>28455.41089</v>
      </c>
      <c r="AI610" s="18">
        <f t="shared" si="1244"/>
        <v>952240</v>
      </c>
    </row>
    <row r="611">
      <c r="D611">
        <f t="shared" ref="D611:O611" si="1245">D610-D612</f>
        <v>146272.4124</v>
      </c>
      <c r="E611">
        <f t="shared" si="1245"/>
        <v>102698.0596</v>
      </c>
      <c r="F611">
        <f t="shared" si="1245"/>
        <v>34534.03061</v>
      </c>
      <c r="G611">
        <f t="shared" si="1245"/>
        <v>80096.97577</v>
      </c>
      <c r="H611">
        <f t="shared" si="1245"/>
        <v>144283.263</v>
      </c>
      <c r="I611">
        <f t="shared" si="1245"/>
        <v>191292.9382</v>
      </c>
      <c r="J611" s="145">
        <f t="shared" si="1245"/>
        <v>116439.0708</v>
      </c>
      <c r="K611">
        <f t="shared" si="1245"/>
        <v>95833.41068</v>
      </c>
      <c r="L611">
        <f t="shared" si="1245"/>
        <v>127461.9895</v>
      </c>
      <c r="M611">
        <f t="shared" si="1245"/>
        <v>97635.20074</v>
      </c>
      <c r="N611">
        <f t="shared" si="1245"/>
        <v>62016.33148</v>
      </c>
      <c r="O611">
        <f t="shared" si="1245"/>
        <v>28024.7202</v>
      </c>
      <c r="P611">
        <f t="shared" si="1236"/>
        <v>1226588.403</v>
      </c>
      <c r="U611">
        <v>21951.31696905016</v>
      </c>
      <c r="V611" s="136">
        <v>98780.92636072572</v>
      </c>
      <c r="W611" s="136">
        <v>84146.71504802561</v>
      </c>
      <c r="X611" s="136">
        <v>8130.117395944504</v>
      </c>
      <c r="Y611" s="164">
        <f t="shared" ref="Y611:AG611" si="1246">Y610+3161</f>
        <v>81210.127</v>
      </c>
      <c r="Z611" s="164">
        <f t="shared" si="1246"/>
        <v>195235.0235</v>
      </c>
      <c r="AA611" s="165">
        <f t="shared" si="1246"/>
        <v>132836.3725</v>
      </c>
      <c r="AB611" s="164">
        <f t="shared" si="1246"/>
        <v>27754.60512</v>
      </c>
      <c r="AC611" s="164">
        <f t="shared" si="1246"/>
        <v>61626.72436</v>
      </c>
      <c r="AD611" s="164">
        <f t="shared" si="1246"/>
        <v>81484.50083</v>
      </c>
      <c r="AE611" s="164">
        <f t="shared" si="1246"/>
        <v>112104.5731</v>
      </c>
      <c r="AF611" s="164">
        <f t="shared" si="1246"/>
        <v>3161</v>
      </c>
      <c r="AG611" s="164">
        <f t="shared" si="1246"/>
        <v>43811.58698</v>
      </c>
      <c r="AH611">
        <f>AH610/9</f>
        <v>3161.712321</v>
      </c>
      <c r="AI611" s="18">
        <f>SUM(U611:AG611)</f>
        <v>952233.5891</v>
      </c>
    </row>
    <row r="612">
      <c r="B612" s="1" t="s">
        <v>5499</v>
      </c>
      <c r="D612">
        <f t="shared" ref="D612:O612" si="1247">D610/11</f>
        <v>14627.24124</v>
      </c>
      <c r="E612">
        <f t="shared" si="1247"/>
        <v>10269.80596</v>
      </c>
      <c r="F612">
        <f t="shared" si="1247"/>
        <v>3453.403061</v>
      </c>
      <c r="G612">
        <f t="shared" si="1247"/>
        <v>8009.697577</v>
      </c>
      <c r="H612">
        <f t="shared" si="1247"/>
        <v>14428.3263</v>
      </c>
      <c r="I612">
        <f t="shared" si="1247"/>
        <v>19129.29382</v>
      </c>
      <c r="J612" s="145">
        <f t="shared" si="1247"/>
        <v>11643.90708</v>
      </c>
      <c r="K612">
        <f t="shared" si="1247"/>
        <v>9583.341068</v>
      </c>
      <c r="L612">
        <f t="shared" si="1247"/>
        <v>12746.19895</v>
      </c>
      <c r="M612">
        <f t="shared" si="1247"/>
        <v>9763.520074</v>
      </c>
      <c r="N612">
        <f t="shared" si="1247"/>
        <v>6201.633148</v>
      </c>
      <c r="O612">
        <f t="shared" si="1247"/>
        <v>2802.47202</v>
      </c>
      <c r="P612">
        <f t="shared" si="1236"/>
        <v>122658.8403</v>
      </c>
      <c r="AA612" s="166">
        <f>AA611+U611</f>
        <v>154787.6894</v>
      </c>
    </row>
    <row r="613">
      <c r="B613" s="1" t="s">
        <v>5777</v>
      </c>
      <c r="D613">
        <v>48004.30467535573</v>
      </c>
      <c r="E613">
        <v>19989.484818660952</v>
      </c>
      <c r="F613">
        <v>19989.484818660952</v>
      </c>
      <c r="G613">
        <v>18340.10614520001</v>
      </c>
      <c r="H613" s="134">
        <v>26390.058775375048</v>
      </c>
      <c r="I613">
        <v>33504.54290418418</v>
      </c>
      <c r="J613">
        <v>26660.852288928338</v>
      </c>
      <c r="K613">
        <v>18192.400592352766</v>
      </c>
      <c r="L613">
        <v>24371.41621979599</v>
      </c>
      <c r="M613" s="134">
        <v>12429.422272095953</v>
      </c>
      <c r="N613" s="159">
        <v>14302.821034041888</v>
      </c>
      <c r="O613">
        <v>5465.105455348191</v>
      </c>
      <c r="P613">
        <f t="shared" si="1236"/>
        <v>267640</v>
      </c>
    </row>
    <row r="614">
      <c r="B614" s="23" t="s">
        <v>5598</v>
      </c>
      <c r="D614" s="18">
        <f t="shared" ref="D614:O614" si="1248">SUM(D609,D610,D613)</f>
        <v>2298903.958</v>
      </c>
      <c r="E614" s="18">
        <f t="shared" si="1248"/>
        <v>3102957.35</v>
      </c>
      <c r="F614" s="18">
        <f t="shared" si="1248"/>
        <v>1762976.918</v>
      </c>
      <c r="G614" s="18">
        <f t="shared" si="1248"/>
        <v>2086446.779</v>
      </c>
      <c r="H614" s="18">
        <f t="shared" si="1248"/>
        <v>2385101.648</v>
      </c>
      <c r="I614" s="18">
        <f t="shared" si="1248"/>
        <v>4093926.775</v>
      </c>
      <c r="J614" s="18">
        <f t="shared" si="1248"/>
        <v>2464743.83</v>
      </c>
      <c r="K614" s="18">
        <f t="shared" si="1248"/>
        <v>2653609.152</v>
      </c>
      <c r="L614" s="18">
        <f t="shared" si="1248"/>
        <v>2254579.605</v>
      </c>
      <c r="M614" s="18">
        <f t="shared" si="1248"/>
        <v>1769828.143</v>
      </c>
      <c r="N614" s="18">
        <f t="shared" si="1248"/>
        <v>1468520.786</v>
      </c>
      <c r="O614" s="18">
        <f t="shared" si="1248"/>
        <v>159492.2977</v>
      </c>
      <c r="P614">
        <f t="shared" si="1236"/>
        <v>26501087.24</v>
      </c>
      <c r="T614" s="1" t="s">
        <v>5778</v>
      </c>
      <c r="U614" s="1">
        <v>81557.0</v>
      </c>
      <c r="W614" s="1">
        <v>43634.0</v>
      </c>
      <c r="Y614" s="1">
        <v>115008.0</v>
      </c>
      <c r="AA614" s="1">
        <v>26415.0</v>
      </c>
      <c r="AC614" s="1">
        <v>124763.0</v>
      </c>
      <c r="AE614" s="1">
        <v>156839.0</v>
      </c>
      <c r="AH614" s="1">
        <v>13015.0</v>
      </c>
      <c r="AJ614" s="1">
        <v>1035920.0</v>
      </c>
      <c r="AL614" s="1">
        <v>5622.0</v>
      </c>
    </row>
    <row r="615">
      <c r="B615" s="1" t="s">
        <v>5599</v>
      </c>
      <c r="D615">
        <f t="shared" ref="D615:O615" si="1249">SUM(D607,D611,D613)</f>
        <v>2094276.717</v>
      </c>
      <c r="E615">
        <f t="shared" si="1249"/>
        <v>2822687.544</v>
      </c>
      <c r="F615">
        <f t="shared" si="1249"/>
        <v>1604523.515</v>
      </c>
      <c r="G615">
        <f t="shared" si="1249"/>
        <v>1898437.082</v>
      </c>
      <c r="H615">
        <f t="shared" si="1249"/>
        <v>2170673.322</v>
      </c>
      <c r="I615">
        <f t="shared" si="1249"/>
        <v>3724797.481</v>
      </c>
      <c r="J615">
        <f t="shared" si="1249"/>
        <v>2243099.923</v>
      </c>
      <c r="K615">
        <f t="shared" si="1249"/>
        <v>2414025.811</v>
      </c>
      <c r="L615">
        <f t="shared" si="1249"/>
        <v>2051833.406</v>
      </c>
      <c r="M615">
        <f t="shared" si="1249"/>
        <v>1610064.623</v>
      </c>
      <c r="N615">
        <f t="shared" si="1249"/>
        <v>1336319.153</v>
      </c>
      <c r="O615">
        <f t="shared" si="1249"/>
        <v>145489.8257</v>
      </c>
      <c r="P615">
        <f t="shared" si="1236"/>
        <v>24116228.4</v>
      </c>
      <c r="U615" s="1">
        <v>13915.0</v>
      </c>
      <c r="V615" s="1">
        <v>69502.0</v>
      </c>
      <c r="W615" s="1">
        <v>106672.0</v>
      </c>
      <c r="Y615" s="1">
        <v>34956.0</v>
      </c>
      <c r="AA615" s="1">
        <v>67693.0</v>
      </c>
      <c r="AB615" s="1">
        <v>9615.0</v>
      </c>
      <c r="AE615" s="1">
        <v>121615.0</v>
      </c>
      <c r="AG615" s="1">
        <v>23448.0</v>
      </c>
    </row>
    <row r="616">
      <c r="B616" s="1" t="s">
        <v>5601</v>
      </c>
      <c r="D616">
        <f t="shared" ref="D616:O616" si="1250">SUM(D607,D611)</f>
        <v>2046272.412</v>
      </c>
      <c r="E616">
        <f t="shared" si="1250"/>
        <v>2802698.06</v>
      </c>
      <c r="F616">
        <f t="shared" si="1250"/>
        <v>1584534.031</v>
      </c>
      <c r="G616">
        <f t="shared" si="1250"/>
        <v>1880096.976</v>
      </c>
      <c r="H616">
        <f t="shared" si="1250"/>
        <v>2144283.263</v>
      </c>
      <c r="I616">
        <f t="shared" si="1250"/>
        <v>3691292.938</v>
      </c>
      <c r="J616">
        <f t="shared" si="1250"/>
        <v>2216439.071</v>
      </c>
      <c r="K616">
        <f t="shared" si="1250"/>
        <v>2395833.411</v>
      </c>
      <c r="L616">
        <f t="shared" si="1250"/>
        <v>2027461.989</v>
      </c>
      <c r="M616">
        <f t="shared" si="1250"/>
        <v>1597635.201</v>
      </c>
      <c r="N616">
        <f t="shared" si="1250"/>
        <v>1322016.331</v>
      </c>
      <c r="O616">
        <f t="shared" si="1250"/>
        <v>140024.7202</v>
      </c>
      <c r="P616">
        <f t="shared" si="1236"/>
        <v>23848588.4</v>
      </c>
      <c r="U616" s="97">
        <f t="shared" ref="U616:U617" si="1252">U614-U606</f>
        <v>550</v>
      </c>
      <c r="V616" s="97"/>
      <c r="W616" s="97">
        <f t="shared" ref="W616:W617" si="1253">W614-W606</f>
        <v>234</v>
      </c>
      <c r="X616" s="97"/>
      <c r="Y616" s="97">
        <f t="shared" ref="Y616:Y617" si="1254">Y614-Y606</f>
        <v>1149</v>
      </c>
      <c r="Z616" s="97"/>
      <c r="AA616" s="97">
        <f t="shared" ref="AA616:AA617" si="1255">AA614-AA606</f>
        <v>649</v>
      </c>
      <c r="AB616" s="97"/>
      <c r="AC616" s="97">
        <f>AC614-AC606</f>
        <v>508</v>
      </c>
      <c r="AD616" s="97"/>
      <c r="AE616" s="97">
        <f t="shared" ref="AE616:AE617" si="1256">AE614-AE606</f>
        <v>992</v>
      </c>
      <c r="AF616" s="97"/>
      <c r="AG616" s="97"/>
      <c r="AH616" s="97">
        <f>AH614-AH606</f>
        <v>137</v>
      </c>
    </row>
    <row r="617">
      <c r="B617" s="1" t="s">
        <v>5582</v>
      </c>
      <c r="D617">
        <f t="shared" ref="D617:O617" si="1251">SUM(D608,D612)</f>
        <v>204627.2412</v>
      </c>
      <c r="E617">
        <f t="shared" si="1251"/>
        <v>280269.806</v>
      </c>
      <c r="F617">
        <f t="shared" si="1251"/>
        <v>158453.4031</v>
      </c>
      <c r="G617">
        <f t="shared" si="1251"/>
        <v>188009.6976</v>
      </c>
      <c r="H617">
        <f t="shared" si="1251"/>
        <v>214428.3263</v>
      </c>
      <c r="I617">
        <f t="shared" si="1251"/>
        <v>369129.2938</v>
      </c>
      <c r="J617">
        <f t="shared" si="1251"/>
        <v>221643.9071</v>
      </c>
      <c r="K617">
        <f t="shared" si="1251"/>
        <v>239583.3411</v>
      </c>
      <c r="L617">
        <f t="shared" si="1251"/>
        <v>202746.1989</v>
      </c>
      <c r="M617">
        <f t="shared" si="1251"/>
        <v>159763.5201</v>
      </c>
      <c r="N617">
        <f t="shared" si="1251"/>
        <v>132201.6331</v>
      </c>
      <c r="O617">
        <f t="shared" si="1251"/>
        <v>14002.47202</v>
      </c>
      <c r="P617">
        <f t="shared" si="1236"/>
        <v>2384858.84</v>
      </c>
      <c r="U617" s="167">
        <f t="shared" si="1252"/>
        <v>91</v>
      </c>
      <c r="V617" s="167">
        <f>(V615-V607)</f>
        <v>428</v>
      </c>
      <c r="W617" s="167">
        <f t="shared" si="1253"/>
        <v>337</v>
      </c>
      <c r="X617" s="168">
        <f>W616</f>
        <v>234</v>
      </c>
      <c r="Y617" s="167">
        <f t="shared" si="1254"/>
        <v>401</v>
      </c>
      <c r="Z617" s="169">
        <f>Y616-Y617</f>
        <v>748</v>
      </c>
      <c r="AA617" s="167">
        <f t="shared" si="1255"/>
        <v>559</v>
      </c>
      <c r="AB617" s="167">
        <f>AB615-AB607</f>
        <v>114</v>
      </c>
      <c r="AC617" s="167">
        <f>(AC616)*73.9/(73.9+99)</f>
        <v>217.1266628</v>
      </c>
      <c r="AD617" s="167">
        <f>(AC616)*99/(73.9+99)</f>
        <v>290.8733372</v>
      </c>
      <c r="AE617" s="167">
        <f t="shared" si="1256"/>
        <v>641</v>
      </c>
      <c r="AF617" s="169">
        <f>AE616-AE617-AG617-48</f>
        <v>155</v>
      </c>
      <c r="AG617" s="167">
        <f>AG615-AG607</f>
        <v>148</v>
      </c>
      <c r="AH617" s="96">
        <v>137.0</v>
      </c>
      <c r="AI617" s="18">
        <f t="shared" ref="AI617:AI618" si="1259">SUM(U617:AH617)</f>
        <v>4501</v>
      </c>
    </row>
    <row r="618">
      <c r="B618" s="1" t="s">
        <v>5602</v>
      </c>
      <c r="D618">
        <f t="shared" ref="D618:O618" si="1257">SUM(D616:D617)</f>
        <v>2250899.654</v>
      </c>
      <c r="E618">
        <f t="shared" si="1257"/>
        <v>3082967.866</v>
      </c>
      <c r="F618">
        <f t="shared" si="1257"/>
        <v>1742987.434</v>
      </c>
      <c r="G618">
        <f t="shared" si="1257"/>
        <v>2068106.673</v>
      </c>
      <c r="H618">
        <f t="shared" si="1257"/>
        <v>2358711.589</v>
      </c>
      <c r="I618">
        <f t="shared" si="1257"/>
        <v>4060422.232</v>
      </c>
      <c r="J618">
        <f t="shared" si="1257"/>
        <v>2438082.978</v>
      </c>
      <c r="K618">
        <f t="shared" si="1257"/>
        <v>2635416.752</v>
      </c>
      <c r="L618">
        <f t="shared" si="1257"/>
        <v>2230208.188</v>
      </c>
      <c r="M618">
        <f t="shared" si="1257"/>
        <v>1757398.721</v>
      </c>
      <c r="N618">
        <f t="shared" si="1257"/>
        <v>1454217.965</v>
      </c>
      <c r="O618">
        <f t="shared" si="1257"/>
        <v>154027.1922</v>
      </c>
      <c r="P618">
        <f t="shared" si="1236"/>
        <v>26233447.24</v>
      </c>
      <c r="U618" s="162">
        <f t="shared" ref="U618:AH618" si="1258">U617*1035920/4501</f>
        <v>20943.95023</v>
      </c>
      <c r="V618" s="162">
        <f t="shared" si="1258"/>
        <v>98505.61209</v>
      </c>
      <c r="W618" s="162">
        <f t="shared" si="1258"/>
        <v>77561.66185</v>
      </c>
      <c r="X618" s="162">
        <f t="shared" si="1258"/>
        <v>53855.87203</v>
      </c>
      <c r="Y618" s="162">
        <f t="shared" si="1258"/>
        <v>92291.47301</v>
      </c>
      <c r="Z618" s="162">
        <f t="shared" si="1258"/>
        <v>172154.6679</v>
      </c>
      <c r="AA618" s="162">
        <f t="shared" si="1258"/>
        <v>128655.6943</v>
      </c>
      <c r="AB618" s="162">
        <f t="shared" si="1258"/>
        <v>26237.47612</v>
      </c>
      <c r="AC618" s="162">
        <f t="shared" si="1258"/>
        <v>49972.4178</v>
      </c>
      <c r="AD618" s="162">
        <f t="shared" si="1258"/>
        <v>66945.45822</v>
      </c>
      <c r="AE618" s="162">
        <f t="shared" si="1258"/>
        <v>147528.2648</v>
      </c>
      <c r="AF618" s="162">
        <f t="shared" si="1258"/>
        <v>35673.76139</v>
      </c>
      <c r="AG618" s="162">
        <f t="shared" si="1258"/>
        <v>34062.68829</v>
      </c>
      <c r="AH618" s="162">
        <f t="shared" si="1258"/>
        <v>31531.002</v>
      </c>
      <c r="AI618" s="18">
        <f t="shared" si="1259"/>
        <v>1035920</v>
      </c>
    </row>
    <row r="619">
      <c r="D619" s="1" t="s">
        <v>5566</v>
      </c>
      <c r="E619" s="1" t="s">
        <v>5566</v>
      </c>
      <c r="F619" s="1" t="s">
        <v>5566</v>
      </c>
      <c r="G619" s="1" t="s">
        <v>5566</v>
      </c>
      <c r="H619" s="1" t="s">
        <v>5566</v>
      </c>
      <c r="I619" s="1" t="s">
        <v>5566</v>
      </c>
      <c r="J619" s="1" t="s">
        <v>5566</v>
      </c>
      <c r="K619" s="33" t="s">
        <v>5566</v>
      </c>
      <c r="L619" s="1" t="s">
        <v>5566</v>
      </c>
      <c r="M619" s="33" t="s">
        <v>5566</v>
      </c>
      <c r="N619" s="33" t="s">
        <v>5566</v>
      </c>
      <c r="O619" s="1" t="s">
        <v>5566</v>
      </c>
      <c r="U619">
        <v>20943.950233281492</v>
      </c>
      <c r="V619" s="136">
        <v>98505.61208620307</v>
      </c>
      <c r="W619" s="136">
        <v>77561.66185292158</v>
      </c>
      <c r="X619" s="136">
        <v>53855.87202843813</v>
      </c>
      <c r="Y619" s="164">
        <f t="shared" ref="Y619:AG619" si="1260">Y618+3503</f>
        <v>95794.47301</v>
      </c>
      <c r="Z619" s="164">
        <f t="shared" si="1260"/>
        <v>175657.6679</v>
      </c>
      <c r="AA619" s="165">
        <f t="shared" si="1260"/>
        <v>132158.6943</v>
      </c>
      <c r="AB619" s="164">
        <f t="shared" si="1260"/>
        <v>29740.47612</v>
      </c>
      <c r="AC619" s="164">
        <f t="shared" si="1260"/>
        <v>53475.4178</v>
      </c>
      <c r="AD619" s="164">
        <f t="shared" si="1260"/>
        <v>70448.45822</v>
      </c>
      <c r="AE619" s="164">
        <f t="shared" si="1260"/>
        <v>151031.2648</v>
      </c>
      <c r="AF619" s="164">
        <f t="shared" si="1260"/>
        <v>39176.76139</v>
      </c>
      <c r="AG619" s="164">
        <f t="shared" si="1260"/>
        <v>37565.68829</v>
      </c>
      <c r="AH619">
        <f>AH618/9</f>
        <v>3503.444667</v>
      </c>
      <c r="AI619" s="18">
        <f>SUM(U619:AG619)</f>
        <v>1035915.998</v>
      </c>
    </row>
    <row r="620">
      <c r="H620" s="1"/>
      <c r="M620" s="1"/>
      <c r="N620" s="33"/>
      <c r="AA620" s="166">
        <f>AA619+U619</f>
        <v>153102.6445</v>
      </c>
    </row>
    <row r="621">
      <c r="H621" s="1"/>
      <c r="M621" s="1"/>
      <c r="N621" s="33"/>
    </row>
    <row r="622">
      <c r="B622" s="1" t="s">
        <v>5779</v>
      </c>
      <c r="D622" s="33">
        <v>1900000.0</v>
      </c>
      <c r="E622" s="1">
        <v>2700000.0</v>
      </c>
      <c r="F622" s="1">
        <v>1550000.0</v>
      </c>
      <c r="G622" s="1">
        <v>1800000.0</v>
      </c>
      <c r="H622" s="1">
        <v>2000000.0</v>
      </c>
      <c r="I622" s="1">
        <v>3500000.0</v>
      </c>
      <c r="J622" s="33">
        <v>2100000.0</v>
      </c>
      <c r="K622" s="1">
        <v>2300000.0</v>
      </c>
      <c r="L622" s="1">
        <v>1900000.0</v>
      </c>
      <c r="M622" s="33">
        <v>1500000.0</v>
      </c>
      <c r="N622" s="33">
        <v>1260000.0</v>
      </c>
      <c r="O622" s="1">
        <v>1150000.0</v>
      </c>
      <c r="P622">
        <f t="shared" ref="P622:P630" si="1262">SUM(D622:O622)</f>
        <v>23660000</v>
      </c>
      <c r="T622" s="1" t="s">
        <v>5780</v>
      </c>
      <c r="U622" s="1">
        <v>82426.0</v>
      </c>
      <c r="W622" s="1">
        <v>43912.0</v>
      </c>
      <c r="Y622" s="1">
        <v>116777.0</v>
      </c>
      <c r="AA622" s="1">
        <v>27293.0</v>
      </c>
      <c r="AC622" s="1">
        <v>125725.0</v>
      </c>
      <c r="AE622" s="1">
        <v>158150.0</v>
      </c>
      <c r="AH622" s="1">
        <v>13151.0</v>
      </c>
      <c r="AJ622" s="1">
        <v>1438400.0</v>
      </c>
      <c r="AL622" s="1">
        <v>7907.0</v>
      </c>
    </row>
    <row r="623">
      <c r="B623" s="1" t="s">
        <v>5499</v>
      </c>
      <c r="D623" s="33">
        <f t="shared" ref="D623:O623" si="1261">D622*0.1</f>
        <v>190000</v>
      </c>
      <c r="E623" s="1">
        <f t="shared" si="1261"/>
        <v>270000</v>
      </c>
      <c r="F623" s="1">
        <f t="shared" si="1261"/>
        <v>155000</v>
      </c>
      <c r="G623" s="1">
        <f t="shared" si="1261"/>
        <v>180000</v>
      </c>
      <c r="H623" s="1">
        <f t="shared" si="1261"/>
        <v>200000</v>
      </c>
      <c r="I623" s="1">
        <f t="shared" si="1261"/>
        <v>350000</v>
      </c>
      <c r="J623" s="33">
        <f t="shared" si="1261"/>
        <v>210000</v>
      </c>
      <c r="K623" s="1">
        <f t="shared" si="1261"/>
        <v>230000</v>
      </c>
      <c r="L623" s="1">
        <f t="shared" si="1261"/>
        <v>190000</v>
      </c>
      <c r="M623" s="33">
        <f t="shared" si="1261"/>
        <v>150000</v>
      </c>
      <c r="N623" s="1">
        <f t="shared" si="1261"/>
        <v>126000</v>
      </c>
      <c r="O623" s="1">
        <f t="shared" si="1261"/>
        <v>115000</v>
      </c>
      <c r="P623">
        <f t="shared" si="1262"/>
        <v>2366000</v>
      </c>
      <c r="U623" s="1">
        <v>14009.0</v>
      </c>
      <c r="V623" s="1">
        <v>70199.0</v>
      </c>
      <c r="W623" s="1">
        <v>107210.0</v>
      </c>
      <c r="Y623" s="1">
        <v>35656.0</v>
      </c>
      <c r="AA623" s="1">
        <v>68512.0</v>
      </c>
      <c r="AB623" s="1">
        <v>9721.0</v>
      </c>
      <c r="AE623" s="1">
        <v>122400.0</v>
      </c>
      <c r="AG623" s="1">
        <v>23591.0</v>
      </c>
    </row>
    <row r="624">
      <c r="B624" s="1" t="s">
        <v>5520</v>
      </c>
      <c r="D624" s="34">
        <f t="shared" ref="D624:O624" si="1263">D622+D623</f>
        <v>2090000</v>
      </c>
      <c r="E624">
        <f t="shared" si="1263"/>
        <v>2970000</v>
      </c>
      <c r="F624">
        <f t="shared" si="1263"/>
        <v>1705000</v>
      </c>
      <c r="G624">
        <f t="shared" si="1263"/>
        <v>1980000</v>
      </c>
      <c r="H624">
        <f t="shared" si="1263"/>
        <v>2200000</v>
      </c>
      <c r="I624">
        <f t="shared" si="1263"/>
        <v>3850000</v>
      </c>
      <c r="J624" s="34">
        <f t="shared" si="1263"/>
        <v>2310000</v>
      </c>
      <c r="K624">
        <f t="shared" si="1263"/>
        <v>2530000</v>
      </c>
      <c r="L624">
        <f t="shared" si="1263"/>
        <v>2090000</v>
      </c>
      <c r="M624" s="34">
        <f t="shared" si="1263"/>
        <v>1650000</v>
      </c>
      <c r="N624">
        <f t="shared" si="1263"/>
        <v>1386000</v>
      </c>
      <c r="O624">
        <f t="shared" si="1263"/>
        <v>1265000</v>
      </c>
      <c r="P624">
        <f t="shared" si="1262"/>
        <v>26026000</v>
      </c>
      <c r="U624" s="97">
        <f t="shared" ref="U624:U625" si="1264">U622-U614</f>
        <v>869</v>
      </c>
      <c r="V624" s="97"/>
      <c r="W624" s="97">
        <f t="shared" ref="W624:W625" si="1265">W622-W614</f>
        <v>278</v>
      </c>
      <c r="X624" s="97"/>
      <c r="Y624" s="97">
        <f t="shared" ref="Y624:Y625" si="1266">Y622-Y614</f>
        <v>1769</v>
      </c>
      <c r="Z624" s="97"/>
      <c r="AA624" s="97">
        <f t="shared" ref="AA624:AA625" si="1267">AA622-AA614</f>
        <v>878</v>
      </c>
      <c r="AB624" s="97"/>
      <c r="AC624" s="97">
        <f>AC622-AC614</f>
        <v>962</v>
      </c>
      <c r="AD624" s="97"/>
      <c r="AE624" s="97">
        <f t="shared" ref="AE624:AE625" si="1268">AE622-AE614</f>
        <v>1311</v>
      </c>
      <c r="AF624" s="97"/>
      <c r="AG624" s="97"/>
      <c r="AH624" s="97">
        <f>AH622-AH614</f>
        <v>136</v>
      </c>
    </row>
    <row r="625">
      <c r="B625" s="1" t="s">
        <v>5545</v>
      </c>
      <c r="D625">
        <v>161324.126619649</v>
      </c>
      <c r="E625">
        <v>95704.44808922421</v>
      </c>
      <c r="F625">
        <v>35534.90897162539</v>
      </c>
      <c r="G625">
        <v>93451.30309988519</v>
      </c>
      <c r="H625" s="134">
        <v>152748.81991143184</v>
      </c>
      <c r="I625">
        <v>206378.19173363948</v>
      </c>
      <c r="J625" s="34">
        <v>110891.74922092832</v>
      </c>
      <c r="K625">
        <v>101718.61925998176</v>
      </c>
      <c r="L625">
        <v>135107.2639612746</v>
      </c>
      <c r="M625" s="134">
        <v>93451.30309988519</v>
      </c>
      <c r="N625" s="159">
        <v>112417.7882565196</v>
      </c>
      <c r="O625">
        <v>30447.69148761686</v>
      </c>
      <c r="P625">
        <f t="shared" si="1262"/>
        <v>1329176.214</v>
      </c>
      <c r="U625" s="167">
        <f t="shared" si="1264"/>
        <v>94</v>
      </c>
      <c r="V625" s="167">
        <f>(V623-V615)</f>
        <v>697</v>
      </c>
      <c r="W625" s="167">
        <f t="shared" si="1265"/>
        <v>538</v>
      </c>
      <c r="X625" s="168">
        <f>W624</f>
        <v>278</v>
      </c>
      <c r="Y625" s="167">
        <f t="shared" si="1266"/>
        <v>700</v>
      </c>
      <c r="Z625" s="169">
        <f>Y624-Y625</f>
        <v>1069</v>
      </c>
      <c r="AA625" s="167">
        <f t="shared" si="1267"/>
        <v>819</v>
      </c>
      <c r="AB625" s="167">
        <f>AB623-AB615</f>
        <v>106</v>
      </c>
      <c r="AC625" s="167">
        <f>(AC624)*73.9/(73.9+99)</f>
        <v>411.1729323</v>
      </c>
      <c r="AD625" s="167">
        <f>(AC624)*99/(73.9+99)</f>
        <v>550.8270677</v>
      </c>
      <c r="AE625" s="167">
        <f t="shared" si="1268"/>
        <v>785</v>
      </c>
      <c r="AF625" s="169">
        <f>AE624-AE625-AG625-48</f>
        <v>335</v>
      </c>
      <c r="AG625" s="167">
        <f>AG623-AG615</f>
        <v>143</v>
      </c>
      <c r="AH625" s="96">
        <v>136.0</v>
      </c>
      <c r="AI625" s="18">
        <f t="shared" ref="AI625:AI626" si="1271">SUM(U625:AH625)</f>
        <v>6662</v>
      </c>
    </row>
    <row r="626">
      <c r="D626">
        <f t="shared" ref="D626:O626" si="1269">D625-D627</f>
        <v>146658.2969</v>
      </c>
      <c r="E626">
        <f t="shared" si="1269"/>
        <v>87004.04372</v>
      </c>
      <c r="F626">
        <f t="shared" si="1269"/>
        <v>32304.4627</v>
      </c>
      <c r="G626">
        <f t="shared" si="1269"/>
        <v>84955.73009</v>
      </c>
      <c r="H626">
        <f t="shared" si="1269"/>
        <v>138862.5636</v>
      </c>
      <c r="I626">
        <f t="shared" si="1269"/>
        <v>187616.5379</v>
      </c>
      <c r="J626" s="34">
        <f t="shared" si="1269"/>
        <v>100810.6811</v>
      </c>
      <c r="K626">
        <f t="shared" si="1269"/>
        <v>92471.47205</v>
      </c>
      <c r="L626">
        <f t="shared" si="1269"/>
        <v>122824.7854</v>
      </c>
      <c r="M626">
        <f t="shared" si="1269"/>
        <v>84955.73009</v>
      </c>
      <c r="N626">
        <f t="shared" si="1269"/>
        <v>102197.9893</v>
      </c>
      <c r="O626">
        <f t="shared" si="1269"/>
        <v>27679.71953</v>
      </c>
      <c r="P626">
        <f t="shared" si="1262"/>
        <v>1208342.012</v>
      </c>
      <c r="U626" s="162">
        <f t="shared" ref="U626:AH626" si="1270">U625*1438400/6662</f>
        <v>20295.64695</v>
      </c>
      <c r="V626" s="162">
        <f t="shared" si="1270"/>
        <v>150490.063</v>
      </c>
      <c r="W626" s="162">
        <f t="shared" si="1270"/>
        <v>116160.1921</v>
      </c>
      <c r="X626" s="162">
        <f t="shared" si="1270"/>
        <v>60023.29631</v>
      </c>
      <c r="Y626" s="162">
        <f t="shared" si="1270"/>
        <v>151137.7965</v>
      </c>
      <c r="Z626" s="162">
        <f t="shared" si="1270"/>
        <v>230809.0063</v>
      </c>
      <c r="AA626" s="162">
        <f t="shared" si="1270"/>
        <v>176831.2219</v>
      </c>
      <c r="AB626" s="162">
        <f t="shared" si="1270"/>
        <v>22886.58061</v>
      </c>
      <c r="AC626" s="162">
        <f t="shared" si="1270"/>
        <v>88776.81565</v>
      </c>
      <c r="AD626" s="162">
        <f t="shared" si="1270"/>
        <v>118929.6989</v>
      </c>
      <c r="AE626" s="162">
        <f t="shared" si="1270"/>
        <v>169490.2432</v>
      </c>
      <c r="AF626" s="162">
        <f t="shared" si="1270"/>
        <v>72330.23116</v>
      </c>
      <c r="AG626" s="162">
        <f t="shared" si="1270"/>
        <v>30875.2927</v>
      </c>
      <c r="AH626" s="162">
        <f t="shared" si="1270"/>
        <v>29363.91474</v>
      </c>
      <c r="AI626" s="18">
        <f t="shared" si="1271"/>
        <v>1438400</v>
      </c>
    </row>
    <row r="627">
      <c r="B627" s="1" t="s">
        <v>5499</v>
      </c>
      <c r="D627">
        <f t="shared" ref="D627:O627" si="1272">D625/11</f>
        <v>14665.82969</v>
      </c>
      <c r="E627">
        <f t="shared" si="1272"/>
        <v>8700.404372</v>
      </c>
      <c r="F627">
        <f t="shared" si="1272"/>
        <v>3230.44627</v>
      </c>
      <c r="G627">
        <f t="shared" si="1272"/>
        <v>8495.573009</v>
      </c>
      <c r="H627">
        <f t="shared" si="1272"/>
        <v>13886.25636</v>
      </c>
      <c r="I627">
        <f t="shared" si="1272"/>
        <v>18761.65379</v>
      </c>
      <c r="J627" s="34">
        <f t="shared" si="1272"/>
        <v>10081.06811</v>
      </c>
      <c r="K627">
        <f t="shared" si="1272"/>
        <v>9247.147205</v>
      </c>
      <c r="L627">
        <f t="shared" si="1272"/>
        <v>12282.47854</v>
      </c>
      <c r="M627">
        <f t="shared" si="1272"/>
        <v>8495.573009</v>
      </c>
      <c r="N627">
        <f t="shared" si="1272"/>
        <v>10219.79893</v>
      </c>
      <c r="O627">
        <f t="shared" si="1272"/>
        <v>2767.971953</v>
      </c>
      <c r="P627">
        <f t="shared" si="1262"/>
        <v>120834.2012</v>
      </c>
      <c r="U627">
        <v>20295.646952867006</v>
      </c>
      <c r="V627" s="136">
        <v>150490.0630441309</v>
      </c>
      <c r="W627" s="136">
        <v>116160.19213449415</v>
      </c>
      <c r="X627" s="136">
        <v>60023.29630741519</v>
      </c>
      <c r="Y627" s="164">
        <f t="shared" ref="Y627:AG627" si="1273">Y626+3262</f>
        <v>154399.7965</v>
      </c>
      <c r="Z627" s="164">
        <f t="shared" si="1273"/>
        <v>234071.0063</v>
      </c>
      <c r="AA627" s="165">
        <f t="shared" si="1273"/>
        <v>180093.2219</v>
      </c>
      <c r="AB627" s="164">
        <f t="shared" si="1273"/>
        <v>26148.58061</v>
      </c>
      <c r="AC627" s="164">
        <f t="shared" si="1273"/>
        <v>92038.81565</v>
      </c>
      <c r="AD627" s="164">
        <f t="shared" si="1273"/>
        <v>122191.6989</v>
      </c>
      <c r="AE627" s="164">
        <f t="shared" si="1273"/>
        <v>172752.2432</v>
      </c>
      <c r="AF627" s="164">
        <f t="shared" si="1273"/>
        <v>75592.23116</v>
      </c>
      <c r="AG627" s="164">
        <f t="shared" si="1273"/>
        <v>34137.2927</v>
      </c>
      <c r="AH627">
        <f>AH626/9</f>
        <v>3262.657193</v>
      </c>
      <c r="AI627" s="18">
        <f>SUM(U627:AG627)</f>
        <v>1438394.085</v>
      </c>
    </row>
    <row r="628">
      <c r="B628" s="23" t="s">
        <v>5528</v>
      </c>
      <c r="D628" s="145">
        <f t="shared" ref="D628:O628" si="1274">SUM(D624,D625)</f>
        <v>2251324.127</v>
      </c>
      <c r="E628" s="145">
        <f t="shared" si="1274"/>
        <v>3065704.448</v>
      </c>
      <c r="F628" s="145">
        <f t="shared" si="1274"/>
        <v>1740534.909</v>
      </c>
      <c r="G628" s="145">
        <f t="shared" si="1274"/>
        <v>2073451.303</v>
      </c>
      <c r="H628" s="145">
        <f t="shared" si="1274"/>
        <v>2352748.82</v>
      </c>
      <c r="I628" s="173">
        <f t="shared" si="1274"/>
        <v>4056378.192</v>
      </c>
      <c r="J628" s="145">
        <f t="shared" si="1274"/>
        <v>2420891.749</v>
      </c>
      <c r="K628" s="174">
        <f t="shared" si="1274"/>
        <v>2631718.619</v>
      </c>
      <c r="L628" s="145">
        <f t="shared" si="1274"/>
        <v>2225107.264</v>
      </c>
      <c r="M628" s="145">
        <f t="shared" si="1274"/>
        <v>1743451.303</v>
      </c>
      <c r="N628" s="145">
        <f t="shared" si="1274"/>
        <v>1498417.788</v>
      </c>
      <c r="O628" s="145">
        <f t="shared" si="1274"/>
        <v>1295447.691</v>
      </c>
      <c r="P628">
        <f t="shared" si="1262"/>
        <v>27355176.21</v>
      </c>
      <c r="AA628" s="166">
        <f>AA627+U627</f>
        <v>200388.8688</v>
      </c>
    </row>
    <row r="629">
      <c r="B629" s="1" t="s">
        <v>5580</v>
      </c>
      <c r="D629">
        <f t="shared" ref="D629:O629" si="1275">D622+D626</f>
        <v>2046658.297</v>
      </c>
      <c r="E629">
        <f t="shared" si="1275"/>
        <v>2787004.044</v>
      </c>
      <c r="F629">
        <f t="shared" si="1275"/>
        <v>1582304.463</v>
      </c>
      <c r="G629">
        <f t="shared" si="1275"/>
        <v>1884955.73</v>
      </c>
      <c r="H629">
        <f t="shared" si="1275"/>
        <v>2138862.564</v>
      </c>
      <c r="I629">
        <f t="shared" si="1275"/>
        <v>3687616.538</v>
      </c>
      <c r="J629" s="34">
        <f t="shared" si="1275"/>
        <v>2200810.681</v>
      </c>
      <c r="K629">
        <f t="shared" si="1275"/>
        <v>2392471.472</v>
      </c>
      <c r="L629">
        <f t="shared" si="1275"/>
        <v>2022824.785</v>
      </c>
      <c r="M629">
        <f t="shared" si="1275"/>
        <v>1584955.73</v>
      </c>
      <c r="N629">
        <f t="shared" si="1275"/>
        <v>1362197.989</v>
      </c>
      <c r="O629">
        <f t="shared" si="1275"/>
        <v>1177679.72</v>
      </c>
      <c r="P629">
        <f t="shared" si="1262"/>
        <v>24868342.01</v>
      </c>
    </row>
    <row r="630">
      <c r="B630" s="1" t="s">
        <v>5582</v>
      </c>
      <c r="D630">
        <f t="shared" ref="D630:O630" si="1276">D623+D627</f>
        <v>204665.8297</v>
      </c>
      <c r="E630">
        <f t="shared" si="1276"/>
        <v>278700.4044</v>
      </c>
      <c r="F630">
        <f t="shared" si="1276"/>
        <v>158230.4463</v>
      </c>
      <c r="G630">
        <f t="shared" si="1276"/>
        <v>188495.573</v>
      </c>
      <c r="H630">
        <f t="shared" si="1276"/>
        <v>213886.2564</v>
      </c>
      <c r="I630">
        <f t="shared" si="1276"/>
        <v>368761.6538</v>
      </c>
      <c r="J630" s="34">
        <f t="shared" si="1276"/>
        <v>220081.0681</v>
      </c>
      <c r="K630">
        <f t="shared" si="1276"/>
        <v>239247.1472</v>
      </c>
      <c r="L630">
        <f t="shared" si="1276"/>
        <v>202282.4785</v>
      </c>
      <c r="M630">
        <f t="shared" si="1276"/>
        <v>158495.573</v>
      </c>
      <c r="N630">
        <f t="shared" si="1276"/>
        <v>136219.7989</v>
      </c>
      <c r="O630">
        <f t="shared" si="1276"/>
        <v>117767.972</v>
      </c>
      <c r="P630">
        <f t="shared" si="1262"/>
        <v>2486834.201</v>
      </c>
      <c r="T630" s="1" t="s">
        <v>5781</v>
      </c>
      <c r="U630" s="1">
        <v>83839.0</v>
      </c>
      <c r="W630" s="1">
        <v>44392.0</v>
      </c>
      <c r="Y630" s="1">
        <v>119540.0</v>
      </c>
      <c r="AA630" s="1">
        <v>29068.0</v>
      </c>
      <c r="AC630" s="1">
        <v>127713.0</v>
      </c>
      <c r="AE630" s="1">
        <v>159913.0</v>
      </c>
      <c r="AH630" s="1">
        <v>13281.0</v>
      </c>
      <c r="AJ630" s="1">
        <v>2372820.0</v>
      </c>
      <c r="AL630" s="1">
        <v>14643.0</v>
      </c>
    </row>
    <row r="631">
      <c r="D631" s="1" t="s">
        <v>5566</v>
      </c>
      <c r="E631" s="1" t="s">
        <v>5566</v>
      </c>
      <c r="F631" s="1" t="s">
        <v>5566</v>
      </c>
      <c r="G631" s="1" t="s">
        <v>5566</v>
      </c>
      <c r="H631" s="1" t="s">
        <v>5566</v>
      </c>
      <c r="I631" s="1" t="s">
        <v>5566</v>
      </c>
      <c r="J631" s="1" t="s">
        <v>5566</v>
      </c>
      <c r="K631" s="33" t="s">
        <v>5566</v>
      </c>
      <c r="L631" s="1" t="s">
        <v>5566</v>
      </c>
      <c r="M631" s="1" t="s">
        <v>5566</v>
      </c>
      <c r="N631" s="33" t="s">
        <v>5566</v>
      </c>
      <c r="O631" s="1" t="s">
        <v>5782</v>
      </c>
      <c r="U631" s="1">
        <v>14086.0</v>
      </c>
      <c r="V631" s="1">
        <v>71269.0</v>
      </c>
      <c r="W631" s="1">
        <v>108228.0</v>
      </c>
      <c r="Y631" s="1">
        <v>36663.0</v>
      </c>
      <c r="AA631" s="1">
        <v>70011.0</v>
      </c>
      <c r="AB631" s="1">
        <v>10042.0</v>
      </c>
      <c r="AE631" s="1">
        <v>123528.0</v>
      </c>
      <c r="AG631" s="1">
        <v>23800.0</v>
      </c>
    </row>
    <row r="632">
      <c r="H632" s="1"/>
      <c r="M632" s="1"/>
      <c r="N632" s="33"/>
      <c r="U632" s="97">
        <f t="shared" ref="U632:U633" si="1277">U630-U622</f>
        <v>1413</v>
      </c>
      <c r="V632" s="97"/>
      <c r="W632" s="97">
        <f t="shared" ref="W632:W633" si="1278">W630-W622</f>
        <v>480</v>
      </c>
      <c r="X632" s="97"/>
      <c r="Y632" s="97">
        <f t="shared" ref="Y632:Y633" si="1279">Y630-Y622</f>
        <v>2763</v>
      </c>
      <c r="Z632" s="97"/>
      <c r="AA632" s="97">
        <f t="shared" ref="AA632:AA633" si="1280">AA630-AA622</f>
        <v>1775</v>
      </c>
      <c r="AB632" s="97"/>
      <c r="AC632" s="97">
        <f>AC630-AC622</f>
        <v>1988</v>
      </c>
      <c r="AD632" s="97"/>
      <c r="AE632" s="97">
        <f t="shared" ref="AE632:AE633" si="1281">AE630-AE622</f>
        <v>1763</v>
      </c>
      <c r="AF632" s="97"/>
      <c r="AG632" s="97"/>
      <c r="AH632" s="97">
        <f>AH630-AH622</f>
        <v>130</v>
      </c>
    </row>
    <row r="633">
      <c r="H633" s="1"/>
      <c r="M633" s="1"/>
      <c r="N633" s="33"/>
      <c r="U633" s="167">
        <f t="shared" si="1277"/>
        <v>77</v>
      </c>
      <c r="V633" s="167">
        <f>(V631-V623)</f>
        <v>1070</v>
      </c>
      <c r="W633" s="167">
        <f t="shared" si="1278"/>
        <v>1018</v>
      </c>
      <c r="X633" s="168">
        <f>W632</f>
        <v>480</v>
      </c>
      <c r="Y633" s="167">
        <f t="shared" si="1279"/>
        <v>1007</v>
      </c>
      <c r="Z633" s="169">
        <f>Y632-Y633</f>
        <v>1756</v>
      </c>
      <c r="AA633" s="167">
        <f t="shared" si="1280"/>
        <v>1499</v>
      </c>
      <c r="AB633" s="167">
        <f>AB631-AB623</f>
        <v>321</v>
      </c>
      <c r="AC633" s="167">
        <f>(AC632)*73.9/(73.9+99)</f>
        <v>849.7004049</v>
      </c>
      <c r="AD633" s="167">
        <f>(AC632)*99/(73.9+99)</f>
        <v>1138.299595</v>
      </c>
      <c r="AE633" s="167">
        <f t="shared" si="1281"/>
        <v>1128</v>
      </c>
      <c r="AF633" s="169">
        <f>AE632-AE633-AG633-48</f>
        <v>378</v>
      </c>
      <c r="AG633" s="167">
        <f>AG631-AG623</f>
        <v>209</v>
      </c>
      <c r="AH633" s="96">
        <v>130.0</v>
      </c>
      <c r="AI633" s="18">
        <f t="shared" ref="AI633:AI634" si="1283">SUM(U633:AH633)</f>
        <v>11061</v>
      </c>
    </row>
    <row r="634">
      <c r="B634" s="1" t="s">
        <v>5783</v>
      </c>
      <c r="D634" s="33">
        <v>1900000.0</v>
      </c>
      <c r="E634" s="1">
        <v>2700000.0</v>
      </c>
      <c r="F634" s="1">
        <v>1550000.0</v>
      </c>
      <c r="G634" s="1">
        <v>1800000.0</v>
      </c>
      <c r="H634" s="1">
        <v>2000000.0</v>
      </c>
      <c r="I634" s="1">
        <v>3500000.0</v>
      </c>
      <c r="J634" s="33">
        <v>2100000.0</v>
      </c>
      <c r="K634" s="1">
        <v>2300000.0</v>
      </c>
      <c r="L634" s="1">
        <v>1900000.0</v>
      </c>
      <c r="M634" s="33">
        <v>1500000.0</v>
      </c>
      <c r="N634" s="33">
        <v>1260000.0</v>
      </c>
      <c r="O634" s="1">
        <v>1150000.0</v>
      </c>
      <c r="P634">
        <f t="shared" ref="P634:P645" si="1285">SUM(D634:O634)</f>
        <v>23660000</v>
      </c>
      <c r="U634" s="162">
        <f t="shared" ref="U634:AH634" si="1282">U633*2372820/11061</f>
        <v>16518.13941</v>
      </c>
      <c r="V634" s="162">
        <f t="shared" si="1282"/>
        <v>229537.7814</v>
      </c>
      <c r="W634" s="162">
        <f t="shared" si="1282"/>
        <v>218382.6743</v>
      </c>
      <c r="X634" s="162">
        <f t="shared" si="1282"/>
        <v>102970.2197</v>
      </c>
      <c r="Y634" s="162">
        <f t="shared" si="1282"/>
        <v>216022.9401</v>
      </c>
      <c r="Z634" s="162">
        <f t="shared" si="1282"/>
        <v>376699.387</v>
      </c>
      <c r="AA634" s="162">
        <f t="shared" si="1282"/>
        <v>321567.4152</v>
      </c>
      <c r="AB634" s="162">
        <f t="shared" si="1282"/>
        <v>68861.33442</v>
      </c>
      <c r="AC634" s="162">
        <f t="shared" si="1282"/>
        <v>182278.8278</v>
      </c>
      <c r="AD634" s="162">
        <f t="shared" si="1282"/>
        <v>244189.4987</v>
      </c>
      <c r="AE634" s="162">
        <f t="shared" si="1282"/>
        <v>241980.0163</v>
      </c>
      <c r="AF634" s="162">
        <f t="shared" si="1282"/>
        <v>81089.04801</v>
      </c>
      <c r="AG634" s="162">
        <f t="shared" si="1282"/>
        <v>44834.94982</v>
      </c>
      <c r="AH634" s="162">
        <f t="shared" si="1282"/>
        <v>27887.76783</v>
      </c>
      <c r="AI634" s="18">
        <f t="shared" si="1283"/>
        <v>2372820</v>
      </c>
    </row>
    <row r="635">
      <c r="B635" s="1" t="s">
        <v>5499</v>
      </c>
      <c r="D635" s="33">
        <f t="shared" ref="D635:O635" si="1284">D634*0.1</f>
        <v>190000</v>
      </c>
      <c r="E635" s="1">
        <f t="shared" si="1284"/>
        <v>270000</v>
      </c>
      <c r="F635" s="1">
        <f t="shared" si="1284"/>
        <v>155000</v>
      </c>
      <c r="G635" s="1">
        <f t="shared" si="1284"/>
        <v>180000</v>
      </c>
      <c r="H635" s="1">
        <f t="shared" si="1284"/>
        <v>200000</v>
      </c>
      <c r="I635" s="1">
        <f t="shared" si="1284"/>
        <v>350000</v>
      </c>
      <c r="J635" s="33">
        <f t="shared" si="1284"/>
        <v>210000</v>
      </c>
      <c r="K635" s="1">
        <f t="shared" si="1284"/>
        <v>230000</v>
      </c>
      <c r="L635" s="1">
        <f t="shared" si="1284"/>
        <v>190000</v>
      </c>
      <c r="M635" s="33">
        <f t="shared" si="1284"/>
        <v>150000</v>
      </c>
      <c r="N635" s="1">
        <f t="shared" si="1284"/>
        <v>126000</v>
      </c>
      <c r="O635" s="1">
        <f t="shared" si="1284"/>
        <v>115000</v>
      </c>
      <c r="P635">
        <f t="shared" si="1285"/>
        <v>2366000</v>
      </c>
      <c r="U635">
        <v>16518.139408733387</v>
      </c>
      <c r="V635" s="136">
        <v>229537.78139408733</v>
      </c>
      <c r="W635" s="136">
        <v>218382.67426091674</v>
      </c>
      <c r="X635" s="136">
        <v>102970.21969080553</v>
      </c>
      <c r="Y635" s="164">
        <f t="shared" ref="Y635:AG635" si="1286">Y634+3098</f>
        <v>219120.9401</v>
      </c>
      <c r="Z635" s="164">
        <f t="shared" si="1286"/>
        <v>379797.387</v>
      </c>
      <c r="AA635" s="165">
        <f t="shared" si="1286"/>
        <v>324665.4152</v>
      </c>
      <c r="AB635" s="164">
        <f t="shared" si="1286"/>
        <v>71959.33442</v>
      </c>
      <c r="AC635" s="164">
        <f t="shared" si="1286"/>
        <v>185376.8278</v>
      </c>
      <c r="AD635" s="164">
        <f t="shared" si="1286"/>
        <v>247287.4987</v>
      </c>
      <c r="AE635" s="164">
        <f t="shared" si="1286"/>
        <v>245078.0163</v>
      </c>
      <c r="AF635" s="164">
        <f t="shared" si="1286"/>
        <v>84187.04801</v>
      </c>
      <c r="AG635" s="164">
        <f t="shared" si="1286"/>
        <v>47932.94982</v>
      </c>
      <c r="AH635">
        <f>AH634/9</f>
        <v>3098.64087</v>
      </c>
      <c r="AI635" s="18">
        <f>SUM(U635:AG635)</f>
        <v>2372814.232</v>
      </c>
    </row>
    <row r="636">
      <c r="B636" s="1" t="s">
        <v>5520</v>
      </c>
      <c r="D636" s="34">
        <f t="shared" ref="D636:O636" si="1287">D634+D635</f>
        <v>2090000</v>
      </c>
      <c r="E636">
        <f t="shared" si="1287"/>
        <v>2970000</v>
      </c>
      <c r="F636">
        <f t="shared" si="1287"/>
        <v>1705000</v>
      </c>
      <c r="G636">
        <f t="shared" si="1287"/>
        <v>1980000</v>
      </c>
      <c r="H636">
        <f t="shared" si="1287"/>
        <v>2200000</v>
      </c>
      <c r="I636">
        <f t="shared" si="1287"/>
        <v>3850000</v>
      </c>
      <c r="J636" s="34">
        <f t="shared" si="1287"/>
        <v>2310000</v>
      </c>
      <c r="K636">
        <f t="shared" si="1287"/>
        <v>2530000</v>
      </c>
      <c r="L636">
        <f t="shared" si="1287"/>
        <v>2090000</v>
      </c>
      <c r="M636" s="34">
        <f t="shared" si="1287"/>
        <v>1650000</v>
      </c>
      <c r="N636">
        <f t="shared" si="1287"/>
        <v>1386000</v>
      </c>
      <c r="O636">
        <f t="shared" si="1287"/>
        <v>1265000</v>
      </c>
      <c r="P636">
        <f t="shared" si="1285"/>
        <v>26026000</v>
      </c>
      <c r="AA636" s="166">
        <f>AA635+U635</f>
        <v>341183.5547</v>
      </c>
    </row>
    <row r="637">
      <c r="B637" s="1" t="s">
        <v>5545</v>
      </c>
      <c r="D637">
        <v>94377.32663947286</v>
      </c>
      <c r="E637">
        <v>111466.22529024161</v>
      </c>
      <c r="F637">
        <v>35342.94948227173</v>
      </c>
      <c r="G637">
        <v>95499.5983683715</v>
      </c>
      <c r="H637" s="134">
        <v>168127.4176341387</v>
      </c>
      <c r="I637">
        <v>218617.34546595544</v>
      </c>
      <c r="J637" s="34">
        <v>86760.95701286476</v>
      </c>
      <c r="K637">
        <v>70847.43117599458</v>
      </c>
      <c r="L637">
        <v>93935.8414942282</v>
      </c>
      <c r="M637" s="134">
        <v>124434.21085660496</v>
      </c>
      <c r="N637" s="159">
        <v>105985.96799497961</v>
      </c>
      <c r="O637">
        <v>32387.188578600566</v>
      </c>
      <c r="P637">
        <f t="shared" si="1285"/>
        <v>1237782.46</v>
      </c>
    </row>
    <row r="638">
      <c r="D638">
        <f t="shared" ref="D638:O638" si="1288">D637-D639</f>
        <v>85797.56967</v>
      </c>
      <c r="E638">
        <f t="shared" si="1288"/>
        <v>101332.9321</v>
      </c>
      <c r="F638">
        <f t="shared" si="1288"/>
        <v>32129.95407</v>
      </c>
      <c r="G638">
        <f t="shared" si="1288"/>
        <v>86817.8167</v>
      </c>
      <c r="H638">
        <f t="shared" si="1288"/>
        <v>152843.1069</v>
      </c>
      <c r="I638">
        <f t="shared" si="1288"/>
        <v>198743.0413</v>
      </c>
      <c r="J638" s="34">
        <f t="shared" si="1288"/>
        <v>78873.59728</v>
      </c>
      <c r="K638">
        <f t="shared" si="1288"/>
        <v>64406.75561</v>
      </c>
      <c r="L638">
        <f t="shared" si="1288"/>
        <v>85396.21954</v>
      </c>
      <c r="M638">
        <f t="shared" si="1288"/>
        <v>113122.0099</v>
      </c>
      <c r="N638">
        <f t="shared" si="1288"/>
        <v>96350.88</v>
      </c>
      <c r="O638">
        <f t="shared" si="1288"/>
        <v>29442.89871</v>
      </c>
      <c r="P638">
        <f t="shared" si="1285"/>
        <v>1125256.782</v>
      </c>
      <c r="T638" s="1" t="s">
        <v>5784</v>
      </c>
      <c r="U638" s="1">
        <v>85425.0</v>
      </c>
      <c r="W638" s="1">
        <v>44806.0</v>
      </c>
      <c r="Y638" s="1">
        <v>122078.0</v>
      </c>
      <c r="AA638" s="1">
        <v>30330.0</v>
      </c>
      <c r="AC638" s="1">
        <v>129434.0</v>
      </c>
      <c r="AE638" s="1">
        <v>161162.0</v>
      </c>
      <c r="AH638" s="1">
        <v>13410.0</v>
      </c>
      <c r="AJ638" s="1">
        <v>2161630.0</v>
      </c>
      <c r="AL638" s="1">
        <v>12167.0</v>
      </c>
    </row>
    <row r="639">
      <c r="B639" s="1" t="s">
        <v>5499</v>
      </c>
      <c r="D639">
        <f t="shared" ref="D639:O639" si="1289">D637/11</f>
        <v>8579.756967</v>
      </c>
      <c r="E639">
        <f t="shared" si="1289"/>
        <v>10133.29321</v>
      </c>
      <c r="F639">
        <f t="shared" si="1289"/>
        <v>3212.995407</v>
      </c>
      <c r="G639">
        <f t="shared" si="1289"/>
        <v>8681.78167</v>
      </c>
      <c r="H639">
        <f t="shared" si="1289"/>
        <v>15284.31069</v>
      </c>
      <c r="I639">
        <f t="shared" si="1289"/>
        <v>19874.30413</v>
      </c>
      <c r="J639" s="34">
        <f t="shared" si="1289"/>
        <v>7887.359728</v>
      </c>
      <c r="K639">
        <f t="shared" si="1289"/>
        <v>6440.675561</v>
      </c>
      <c r="L639">
        <f t="shared" si="1289"/>
        <v>8539.621954</v>
      </c>
      <c r="M639">
        <f t="shared" si="1289"/>
        <v>11312.20099</v>
      </c>
      <c r="N639">
        <f t="shared" si="1289"/>
        <v>9635.088</v>
      </c>
      <c r="O639">
        <f t="shared" si="1289"/>
        <v>2944.289871</v>
      </c>
      <c r="P639">
        <f t="shared" si="1285"/>
        <v>112525.6782</v>
      </c>
      <c r="U639" s="1">
        <v>14165.0</v>
      </c>
      <c r="V639" s="1">
        <v>72436.0</v>
      </c>
      <c r="W639" s="1">
        <v>109022.0</v>
      </c>
      <c r="Y639" s="1">
        <v>37617.0</v>
      </c>
      <c r="AA639" s="1">
        <v>71193.0</v>
      </c>
      <c r="AB639" s="1">
        <v>10215.0</v>
      </c>
      <c r="AE639" s="1">
        <v>124501.0</v>
      </c>
      <c r="AG639" s="1">
        <v>24030.0</v>
      </c>
    </row>
    <row r="640">
      <c r="B640" s="1" t="s">
        <v>5785</v>
      </c>
      <c r="D640">
        <v>47507.7294729536</v>
      </c>
      <c r="E640">
        <v>19782.705811301705</v>
      </c>
      <c r="F640">
        <v>19782.705811301705</v>
      </c>
      <c r="G640">
        <v>18150.388952487403</v>
      </c>
      <c r="H640" s="134">
        <v>26117.069741028852</v>
      </c>
      <c r="I640">
        <v>33157.95887830249</v>
      </c>
      <c r="J640">
        <v>26385.062061132692</v>
      </c>
      <c r="K640">
        <v>18004.211323339852</v>
      </c>
      <c r="L640">
        <v>24119.308809345675</v>
      </c>
      <c r="M640" s="134">
        <v>12300.847492766296</v>
      </c>
      <c r="N640" s="159">
        <v>14154.867089121048</v>
      </c>
      <c r="O640">
        <v>10817.144556918665</v>
      </c>
      <c r="P640">
        <f t="shared" si="1285"/>
        <v>270280</v>
      </c>
      <c r="U640" s="97">
        <f t="shared" ref="U640:U641" si="1291">U638-U630</f>
        <v>1586</v>
      </c>
      <c r="V640" s="97"/>
      <c r="W640" s="97">
        <f t="shared" ref="W640:W641" si="1292">W638-W630</f>
        <v>414</v>
      </c>
      <c r="X640" s="97"/>
      <c r="Y640" s="97">
        <f t="shared" ref="Y640:Y641" si="1293">Y638-Y630</f>
        <v>2538</v>
      </c>
      <c r="Z640" s="97"/>
      <c r="AA640" s="97">
        <f t="shared" ref="AA640:AA641" si="1294">AA638-AA630</f>
        <v>1262</v>
      </c>
      <c r="AB640" s="97"/>
      <c r="AC640" s="97">
        <f>AC638-AC630</f>
        <v>1721</v>
      </c>
      <c r="AD640" s="97"/>
      <c r="AE640" s="97">
        <f t="shared" ref="AE640:AE641" si="1295">AE638-AE630</f>
        <v>1249</v>
      </c>
      <c r="AF640" s="97"/>
      <c r="AG640" s="97"/>
      <c r="AH640" s="97">
        <f>AH638-AH630</f>
        <v>129</v>
      </c>
    </row>
    <row r="641">
      <c r="B641" s="23" t="s">
        <v>5598</v>
      </c>
      <c r="D641" s="18">
        <f t="shared" ref="D641:O641" si="1290">SUM(D636,D637,D640)</f>
        <v>2231885.056</v>
      </c>
      <c r="E641" s="18">
        <f t="shared" si="1290"/>
        <v>3101248.931</v>
      </c>
      <c r="F641" s="18">
        <f t="shared" si="1290"/>
        <v>1760125.655</v>
      </c>
      <c r="G641" s="18">
        <f t="shared" si="1290"/>
        <v>2093649.987</v>
      </c>
      <c r="H641" s="18">
        <f t="shared" si="1290"/>
        <v>2394244.487</v>
      </c>
      <c r="I641" s="18">
        <f t="shared" si="1290"/>
        <v>4101775.304</v>
      </c>
      <c r="J641" s="18">
        <f t="shared" si="1290"/>
        <v>2423146.019</v>
      </c>
      <c r="K641" s="18">
        <f t="shared" si="1290"/>
        <v>2618851.642</v>
      </c>
      <c r="L641" s="18">
        <f t="shared" si="1290"/>
        <v>2208055.15</v>
      </c>
      <c r="M641" s="18">
        <f t="shared" si="1290"/>
        <v>1786735.058</v>
      </c>
      <c r="N641" s="18">
        <f t="shared" si="1290"/>
        <v>1506140.835</v>
      </c>
      <c r="O641" s="18">
        <f t="shared" si="1290"/>
        <v>1308204.333</v>
      </c>
      <c r="P641">
        <f t="shared" si="1285"/>
        <v>27534062.46</v>
      </c>
      <c r="U641" s="167">
        <f t="shared" si="1291"/>
        <v>79</v>
      </c>
      <c r="V641" s="167">
        <f>(V639-V631)</f>
        <v>1167</v>
      </c>
      <c r="W641" s="167">
        <f t="shared" si="1292"/>
        <v>794</v>
      </c>
      <c r="X641" s="168">
        <f>W640</f>
        <v>414</v>
      </c>
      <c r="Y641" s="167">
        <f t="shared" si="1293"/>
        <v>954</v>
      </c>
      <c r="Z641" s="169">
        <f>Y640-Y641</f>
        <v>1584</v>
      </c>
      <c r="AA641" s="167">
        <f t="shared" si="1294"/>
        <v>1182</v>
      </c>
      <c r="AB641" s="167">
        <f>AB639-AB631</f>
        <v>173</v>
      </c>
      <c r="AC641" s="167">
        <f>(AC640)*73.9/(73.9+99)</f>
        <v>735.5806825</v>
      </c>
      <c r="AD641" s="167">
        <f>(AC640)*99/(73.9+99)</f>
        <v>985.4193175</v>
      </c>
      <c r="AE641" s="167">
        <f t="shared" si="1295"/>
        <v>973</v>
      </c>
      <c r="AF641" s="169">
        <f>AE640-AE641-AG641-30</f>
        <v>16</v>
      </c>
      <c r="AG641" s="167">
        <f>AG639-AG631</f>
        <v>230</v>
      </c>
      <c r="AH641" s="96">
        <v>129.0</v>
      </c>
      <c r="AI641" s="18">
        <f t="shared" ref="AI641:AI642" si="1298">SUM(U641:AH641)</f>
        <v>9416</v>
      </c>
    </row>
    <row r="642">
      <c r="B642" s="1" t="s">
        <v>5599</v>
      </c>
      <c r="D642">
        <f t="shared" ref="D642:O642" si="1296">SUM(D634,D638,D640)</f>
        <v>2033305.299</v>
      </c>
      <c r="E642">
        <f t="shared" si="1296"/>
        <v>2821115.638</v>
      </c>
      <c r="F642">
        <f t="shared" si="1296"/>
        <v>1601912.66</v>
      </c>
      <c r="G642">
        <f t="shared" si="1296"/>
        <v>1904968.206</v>
      </c>
      <c r="H642">
        <f t="shared" si="1296"/>
        <v>2178960.177</v>
      </c>
      <c r="I642">
        <f t="shared" si="1296"/>
        <v>3731901</v>
      </c>
      <c r="J642">
        <f t="shared" si="1296"/>
        <v>2205258.659</v>
      </c>
      <c r="K642">
        <f t="shared" si="1296"/>
        <v>2382410.967</v>
      </c>
      <c r="L642">
        <f t="shared" si="1296"/>
        <v>2009515.528</v>
      </c>
      <c r="M642">
        <f t="shared" si="1296"/>
        <v>1625422.857</v>
      </c>
      <c r="N642">
        <f t="shared" si="1296"/>
        <v>1370505.747</v>
      </c>
      <c r="O642">
        <f t="shared" si="1296"/>
        <v>1190260.043</v>
      </c>
      <c r="P642">
        <f t="shared" si="1285"/>
        <v>25055536.78</v>
      </c>
      <c r="U642" s="162">
        <f t="shared" ref="U642:AH642" si="1297">U641*2161630/9416</f>
        <v>18136.0206</v>
      </c>
      <c r="V642" s="162">
        <f t="shared" si="1297"/>
        <v>267908.0512</v>
      </c>
      <c r="W642" s="162">
        <f t="shared" si="1297"/>
        <v>182278.4856</v>
      </c>
      <c r="X642" s="162">
        <f t="shared" si="1297"/>
        <v>95041.93076</v>
      </c>
      <c r="Y642" s="162">
        <f t="shared" si="1297"/>
        <v>219009.6665</v>
      </c>
      <c r="Z642" s="162">
        <f t="shared" si="1297"/>
        <v>363638.6916</v>
      </c>
      <c r="AA642" s="162">
        <f t="shared" si="1297"/>
        <v>271351.5994</v>
      </c>
      <c r="AB642" s="162">
        <f t="shared" si="1297"/>
        <v>39715.58942</v>
      </c>
      <c r="AC642" s="162">
        <f t="shared" si="1297"/>
        <v>168867.1698</v>
      </c>
      <c r="AD642" s="162">
        <f t="shared" si="1297"/>
        <v>226222.5955</v>
      </c>
      <c r="AE642" s="162">
        <f t="shared" si="1297"/>
        <v>223371.4943</v>
      </c>
      <c r="AF642" s="162">
        <f t="shared" si="1297"/>
        <v>3673.118097</v>
      </c>
      <c r="AG642" s="162">
        <f t="shared" si="1297"/>
        <v>52801.07264</v>
      </c>
      <c r="AH642" s="162">
        <f t="shared" si="1297"/>
        <v>29614.51466</v>
      </c>
      <c r="AI642" s="18">
        <f t="shared" si="1298"/>
        <v>2161630</v>
      </c>
    </row>
    <row r="643">
      <c r="B643" s="1" t="s">
        <v>5601</v>
      </c>
      <c r="D643">
        <f t="shared" ref="D643:O643" si="1299">SUM(D634,D638)</f>
        <v>1985797.57</v>
      </c>
      <c r="E643">
        <f t="shared" si="1299"/>
        <v>2801332.932</v>
      </c>
      <c r="F643">
        <f t="shared" si="1299"/>
        <v>1582129.954</v>
      </c>
      <c r="G643">
        <f t="shared" si="1299"/>
        <v>1886817.817</v>
      </c>
      <c r="H643">
        <f t="shared" si="1299"/>
        <v>2152843.107</v>
      </c>
      <c r="I643">
        <f t="shared" si="1299"/>
        <v>3698743.041</v>
      </c>
      <c r="J643">
        <f t="shared" si="1299"/>
        <v>2178873.597</v>
      </c>
      <c r="K643">
        <f t="shared" si="1299"/>
        <v>2364406.756</v>
      </c>
      <c r="L643">
        <f t="shared" si="1299"/>
        <v>1985396.22</v>
      </c>
      <c r="M643">
        <f t="shared" si="1299"/>
        <v>1613122.01</v>
      </c>
      <c r="N643">
        <f t="shared" si="1299"/>
        <v>1356350.88</v>
      </c>
      <c r="O643">
        <f t="shared" si="1299"/>
        <v>1179442.899</v>
      </c>
      <c r="P643">
        <f t="shared" si="1285"/>
        <v>24785256.78</v>
      </c>
      <c r="U643">
        <v>18136.020603228546</v>
      </c>
      <c r="V643" s="151">
        <v>267908.05118946475</v>
      </c>
      <c r="W643" s="151">
        <v>182278.48555649957</v>
      </c>
      <c r="X643" s="151">
        <v>95041.93075615972</v>
      </c>
      <c r="Y643" s="164">
        <f t="shared" ref="Y643:AG643" si="1300">Y642+3290</f>
        <v>222299.6665</v>
      </c>
      <c r="Z643" s="164">
        <f t="shared" si="1300"/>
        <v>366928.6916</v>
      </c>
      <c r="AA643" s="165">
        <f t="shared" si="1300"/>
        <v>274641.5994</v>
      </c>
      <c r="AB643" s="164">
        <f t="shared" si="1300"/>
        <v>43005.58942</v>
      </c>
      <c r="AC643" s="164">
        <f t="shared" si="1300"/>
        <v>172157.1698</v>
      </c>
      <c r="AD643" s="164">
        <f t="shared" si="1300"/>
        <v>229512.5955</v>
      </c>
      <c r="AE643" s="164">
        <f t="shared" si="1300"/>
        <v>226661.4943</v>
      </c>
      <c r="AF643" s="164">
        <f t="shared" si="1300"/>
        <v>6963.118097</v>
      </c>
      <c r="AG643" s="164">
        <f t="shared" si="1300"/>
        <v>56091.07264</v>
      </c>
      <c r="AH643">
        <f>AH642/9</f>
        <v>3290.501628</v>
      </c>
      <c r="AI643" s="18">
        <f>SUM(U643:AG643)</f>
        <v>2161625.485</v>
      </c>
    </row>
    <row r="644">
      <c r="B644" s="1" t="s">
        <v>5582</v>
      </c>
      <c r="D644">
        <f t="shared" ref="D644:O644" si="1301">SUM(D635,D639)</f>
        <v>198579.757</v>
      </c>
      <c r="E644">
        <f t="shared" si="1301"/>
        <v>280133.2932</v>
      </c>
      <c r="F644">
        <f t="shared" si="1301"/>
        <v>158212.9954</v>
      </c>
      <c r="G644">
        <f t="shared" si="1301"/>
        <v>188681.7817</v>
      </c>
      <c r="H644">
        <f t="shared" si="1301"/>
        <v>215284.3107</v>
      </c>
      <c r="I644">
        <f t="shared" si="1301"/>
        <v>369874.3041</v>
      </c>
      <c r="J644">
        <f t="shared" si="1301"/>
        <v>217887.3597</v>
      </c>
      <c r="K644">
        <f t="shared" si="1301"/>
        <v>236440.6756</v>
      </c>
      <c r="L644">
        <f t="shared" si="1301"/>
        <v>198539.622</v>
      </c>
      <c r="M644">
        <f t="shared" si="1301"/>
        <v>161312.201</v>
      </c>
      <c r="N644">
        <f t="shared" si="1301"/>
        <v>135635.088</v>
      </c>
      <c r="O644">
        <f t="shared" si="1301"/>
        <v>117944.2899</v>
      </c>
      <c r="P644">
        <f t="shared" si="1285"/>
        <v>2478525.678</v>
      </c>
      <c r="AA644" s="166">
        <f>AA643+U643</f>
        <v>292777.62</v>
      </c>
    </row>
    <row r="645">
      <c r="B645" s="1" t="s">
        <v>5602</v>
      </c>
      <c r="D645">
        <f t="shared" ref="D645:O645" si="1302">SUM(D643:D644)</f>
        <v>2184377.327</v>
      </c>
      <c r="E645">
        <f t="shared" si="1302"/>
        <v>3081466.225</v>
      </c>
      <c r="F645">
        <f t="shared" si="1302"/>
        <v>1740342.949</v>
      </c>
      <c r="G645">
        <f t="shared" si="1302"/>
        <v>2075499.598</v>
      </c>
      <c r="H645">
        <f t="shared" si="1302"/>
        <v>2368127.418</v>
      </c>
      <c r="I645">
        <f t="shared" si="1302"/>
        <v>4068617.345</v>
      </c>
      <c r="J645">
        <f t="shared" si="1302"/>
        <v>2396760.957</v>
      </c>
      <c r="K645">
        <f t="shared" si="1302"/>
        <v>2600847.431</v>
      </c>
      <c r="L645">
        <f t="shared" si="1302"/>
        <v>2183935.841</v>
      </c>
      <c r="M645">
        <f t="shared" si="1302"/>
        <v>1774434.211</v>
      </c>
      <c r="N645">
        <f t="shared" si="1302"/>
        <v>1491985.968</v>
      </c>
      <c r="O645">
        <f t="shared" si="1302"/>
        <v>1297387.189</v>
      </c>
      <c r="P645">
        <f t="shared" si="1285"/>
        <v>27263782.46</v>
      </c>
    </row>
    <row r="646">
      <c r="D646" s="1" t="s">
        <v>5566</v>
      </c>
      <c r="E646" s="1" t="s">
        <v>5566</v>
      </c>
      <c r="F646" s="1" t="s">
        <v>5566</v>
      </c>
      <c r="G646" s="1" t="s">
        <v>5566</v>
      </c>
      <c r="H646" s="1" t="s">
        <v>5566</v>
      </c>
      <c r="I646" s="1" t="s">
        <v>5566</v>
      </c>
      <c r="J646" s="1" t="s">
        <v>5566</v>
      </c>
      <c r="K646" s="33" t="s">
        <v>5566</v>
      </c>
      <c r="L646" s="1" t="s">
        <v>5566</v>
      </c>
      <c r="M646" s="1" t="s">
        <v>5566</v>
      </c>
      <c r="N646" s="33" t="s">
        <v>5566</v>
      </c>
      <c r="O646" s="1" t="s">
        <v>5566</v>
      </c>
      <c r="T646" s="1" t="s">
        <v>5786</v>
      </c>
      <c r="U646" s="1">
        <v>86548.0</v>
      </c>
      <c r="W646" s="1">
        <v>45184.0</v>
      </c>
      <c r="Y646" s="1">
        <v>123981.0</v>
      </c>
      <c r="AA646" s="1">
        <v>31372.0</v>
      </c>
      <c r="AC646" s="1">
        <v>130395.0</v>
      </c>
      <c r="AE646" s="1">
        <v>162302.0</v>
      </c>
      <c r="AH646" s="1">
        <v>13539.0</v>
      </c>
      <c r="AJ646" s="1">
        <v>1502320.0</v>
      </c>
      <c r="AL646" s="1">
        <v>8229.0</v>
      </c>
    </row>
    <row r="647">
      <c r="H647" s="1"/>
      <c r="M647" s="1"/>
      <c r="N647" s="33"/>
      <c r="U647" s="1">
        <v>14242.0</v>
      </c>
      <c r="V647" s="1">
        <v>73356.0</v>
      </c>
      <c r="W647" s="1">
        <v>109606.0</v>
      </c>
      <c r="Y647" s="1">
        <v>38159.0</v>
      </c>
      <c r="AA647" s="1">
        <v>72103.0</v>
      </c>
      <c r="AB647" s="1">
        <v>10370.0</v>
      </c>
      <c r="AE647" s="1">
        <v>125314.0</v>
      </c>
      <c r="AG647" s="1">
        <v>24154.0</v>
      </c>
    </row>
    <row r="648">
      <c r="H648" s="1"/>
      <c r="M648" s="1"/>
      <c r="N648" s="33"/>
      <c r="U648" s="97">
        <f t="shared" ref="U648:U649" si="1303">U646-U638</f>
        <v>1123</v>
      </c>
      <c r="V648" s="97"/>
      <c r="W648" s="97">
        <f t="shared" ref="W648:W649" si="1304">W646-W638</f>
        <v>378</v>
      </c>
      <c r="X648" s="97"/>
      <c r="Y648" s="97">
        <f t="shared" ref="Y648:Y649" si="1305">Y646-Y638</f>
        <v>1903</v>
      </c>
      <c r="Z648" s="97"/>
      <c r="AA648" s="97">
        <f t="shared" ref="AA648:AA649" si="1306">AA646-AA638</f>
        <v>1042</v>
      </c>
      <c r="AB648" s="97"/>
      <c r="AC648" s="97">
        <f>AC646-AC638</f>
        <v>961</v>
      </c>
      <c r="AD648" s="97"/>
      <c r="AE648" s="97">
        <f t="shared" ref="AE648:AE649" si="1307">AE646-AE638</f>
        <v>1140</v>
      </c>
      <c r="AF648" s="97"/>
      <c r="AG648" s="97"/>
      <c r="AH648" s="97">
        <f>AH646-AH638</f>
        <v>129</v>
      </c>
    </row>
    <row r="649">
      <c r="B649" s="1" t="s">
        <v>5787</v>
      </c>
      <c r="D649" s="33">
        <v>1900000.0</v>
      </c>
      <c r="E649" s="1">
        <v>2700000.0</v>
      </c>
      <c r="F649" s="1">
        <v>1550000.0</v>
      </c>
      <c r="G649" s="1">
        <v>1800000.0</v>
      </c>
      <c r="H649" s="1">
        <v>2000000.0</v>
      </c>
      <c r="I649" s="1">
        <v>3500000.0</v>
      </c>
      <c r="J649" s="33">
        <v>2100000.0</v>
      </c>
      <c r="K649" s="1">
        <v>2300000.0</v>
      </c>
      <c r="L649" s="1">
        <v>1900000.0</v>
      </c>
      <c r="M649" s="33">
        <v>1500000.0</v>
      </c>
      <c r="N649" s="33">
        <v>1260000.0</v>
      </c>
      <c r="O649" s="1">
        <v>1150000.0</v>
      </c>
      <c r="P649">
        <f t="shared" ref="P649:P657" si="1309">SUM(D649:O649)</f>
        <v>23660000</v>
      </c>
      <c r="U649" s="167">
        <f t="shared" si="1303"/>
        <v>77</v>
      </c>
      <c r="V649" s="167">
        <f>(V647-V639)</f>
        <v>920</v>
      </c>
      <c r="W649" s="167">
        <f t="shared" si="1304"/>
        <v>584</v>
      </c>
      <c r="X649" s="168">
        <f>W648</f>
        <v>378</v>
      </c>
      <c r="Y649" s="167">
        <f t="shared" si="1305"/>
        <v>542</v>
      </c>
      <c r="Z649" s="169">
        <f>Y648-Y649</f>
        <v>1361</v>
      </c>
      <c r="AA649" s="167">
        <f t="shared" si="1306"/>
        <v>910</v>
      </c>
      <c r="AB649" s="167">
        <f>AB647-AB639</f>
        <v>155</v>
      </c>
      <c r="AC649" s="167">
        <f>(AC648)*73.9/(73.9+99)</f>
        <v>410.7455176</v>
      </c>
      <c r="AD649" s="167">
        <f>(AC648)*99/(73.9+99)</f>
        <v>550.2544824</v>
      </c>
      <c r="AE649" s="167">
        <f t="shared" si="1307"/>
        <v>813</v>
      </c>
      <c r="AF649" s="169">
        <f>AE648-AE649-AG649-30</f>
        <v>173</v>
      </c>
      <c r="AG649" s="167">
        <f>AG647-AG639</f>
        <v>124</v>
      </c>
      <c r="AH649" s="96">
        <v>129.0</v>
      </c>
      <c r="AI649" s="18">
        <f t="shared" ref="AI649:AI650" si="1311">SUM(U649:AH649)</f>
        <v>7127</v>
      </c>
    </row>
    <row r="650">
      <c r="B650" s="1" t="s">
        <v>5499</v>
      </c>
      <c r="D650" s="33">
        <f t="shared" ref="D650:O650" si="1308">D649*0.1</f>
        <v>190000</v>
      </c>
      <c r="E650" s="1">
        <f t="shared" si="1308"/>
        <v>270000</v>
      </c>
      <c r="F650" s="1">
        <f t="shared" si="1308"/>
        <v>155000</v>
      </c>
      <c r="G650" s="1">
        <f t="shared" si="1308"/>
        <v>180000</v>
      </c>
      <c r="H650" s="1">
        <f t="shared" si="1308"/>
        <v>200000</v>
      </c>
      <c r="I650" s="1">
        <f t="shared" si="1308"/>
        <v>350000</v>
      </c>
      <c r="J650" s="33">
        <f t="shared" si="1308"/>
        <v>210000</v>
      </c>
      <c r="K650" s="1">
        <f t="shared" si="1308"/>
        <v>230000</v>
      </c>
      <c r="L650" s="1">
        <f t="shared" si="1308"/>
        <v>190000</v>
      </c>
      <c r="M650" s="33">
        <f t="shared" si="1308"/>
        <v>150000</v>
      </c>
      <c r="N650" s="1">
        <f t="shared" si="1308"/>
        <v>126000</v>
      </c>
      <c r="O650" s="1">
        <f t="shared" si="1308"/>
        <v>115000</v>
      </c>
      <c r="P650">
        <f t="shared" si="1309"/>
        <v>2366000</v>
      </c>
      <c r="U650" s="162">
        <f t="shared" ref="U650:AH650" si="1310">U649*1502320/7127</f>
        <v>16231.04251</v>
      </c>
      <c r="V650" s="162">
        <f t="shared" si="1310"/>
        <v>193929.3391</v>
      </c>
      <c r="W650" s="162">
        <f t="shared" si="1310"/>
        <v>123102.9718</v>
      </c>
      <c r="X650" s="162">
        <f t="shared" si="1310"/>
        <v>79679.66325</v>
      </c>
      <c r="Y650" s="162">
        <f t="shared" si="1310"/>
        <v>114249.6759</v>
      </c>
      <c r="Z650" s="162">
        <f t="shared" si="1310"/>
        <v>286888.9463</v>
      </c>
      <c r="AA650" s="162">
        <f t="shared" si="1310"/>
        <v>191821.4115</v>
      </c>
      <c r="AB650" s="162">
        <f t="shared" si="1310"/>
        <v>32672.87779</v>
      </c>
      <c r="AC650" s="162">
        <f t="shared" si="1310"/>
        <v>86582.18129</v>
      </c>
      <c r="AD650" s="162">
        <f t="shared" si="1310"/>
        <v>115989.661</v>
      </c>
      <c r="AE650" s="162">
        <f t="shared" si="1310"/>
        <v>171374.5138</v>
      </c>
      <c r="AF650" s="162">
        <f t="shared" si="1310"/>
        <v>36467.14747</v>
      </c>
      <c r="AG650" s="162">
        <f t="shared" si="1310"/>
        <v>26138.30223</v>
      </c>
      <c r="AH650" s="162">
        <f t="shared" si="1310"/>
        <v>27192.26603</v>
      </c>
      <c r="AI650" s="18">
        <f t="shared" si="1311"/>
        <v>1502320</v>
      </c>
    </row>
    <row r="651">
      <c r="B651" s="1" t="s">
        <v>5520</v>
      </c>
      <c r="D651" s="34">
        <f t="shared" ref="D651:O651" si="1312">D649+D650</f>
        <v>2090000</v>
      </c>
      <c r="E651">
        <f t="shared" si="1312"/>
        <v>2970000</v>
      </c>
      <c r="F651">
        <f t="shared" si="1312"/>
        <v>1705000</v>
      </c>
      <c r="G651">
        <f t="shared" si="1312"/>
        <v>1980000</v>
      </c>
      <c r="H651">
        <f t="shared" si="1312"/>
        <v>2200000</v>
      </c>
      <c r="I651">
        <f t="shared" si="1312"/>
        <v>3850000</v>
      </c>
      <c r="J651" s="34">
        <f t="shared" si="1312"/>
        <v>2310000</v>
      </c>
      <c r="K651">
        <f t="shared" si="1312"/>
        <v>2530000</v>
      </c>
      <c r="L651">
        <f t="shared" si="1312"/>
        <v>2090000</v>
      </c>
      <c r="M651" s="34">
        <f t="shared" si="1312"/>
        <v>1650000</v>
      </c>
      <c r="N651">
        <f t="shared" si="1312"/>
        <v>1386000</v>
      </c>
      <c r="O651">
        <f t="shared" si="1312"/>
        <v>1265000</v>
      </c>
      <c r="P651">
        <f t="shared" si="1309"/>
        <v>26026000</v>
      </c>
      <c r="U651">
        <v>16231.042514381928</v>
      </c>
      <c r="V651" s="136">
        <v>193929.33913287497</v>
      </c>
      <c r="W651" s="136">
        <v>123102.9717973902</v>
      </c>
      <c r="X651" s="136">
        <v>79679.66325242037</v>
      </c>
      <c r="Y651" s="164">
        <f t="shared" ref="Y651:AG651" si="1313">Y650+3021</f>
        <v>117270.6759</v>
      </c>
      <c r="Z651" s="164">
        <f t="shared" si="1313"/>
        <v>289909.9463</v>
      </c>
      <c r="AA651" s="165">
        <f t="shared" si="1313"/>
        <v>194842.4115</v>
      </c>
      <c r="AB651" s="164">
        <f t="shared" si="1313"/>
        <v>35693.87779</v>
      </c>
      <c r="AC651" s="164">
        <f t="shared" si="1313"/>
        <v>89603.18129</v>
      </c>
      <c r="AD651" s="164">
        <f t="shared" si="1313"/>
        <v>119010.661</v>
      </c>
      <c r="AE651" s="164">
        <f t="shared" si="1313"/>
        <v>174395.5138</v>
      </c>
      <c r="AF651" s="164">
        <f t="shared" si="1313"/>
        <v>39488.14747</v>
      </c>
      <c r="AG651" s="164">
        <f t="shared" si="1313"/>
        <v>29159.30223</v>
      </c>
      <c r="AH651">
        <f>AH650/9</f>
        <v>3021.362892</v>
      </c>
      <c r="AI651" s="18">
        <f>SUM(U651:AG651)</f>
        <v>1502316.734</v>
      </c>
    </row>
    <row r="652">
      <c r="B652" s="1" t="s">
        <v>5545</v>
      </c>
      <c r="D652">
        <v>92556.23742454729</v>
      </c>
      <c r="E652">
        <v>76977.4647887324</v>
      </c>
      <c r="F652">
        <v>30424.426559356136</v>
      </c>
      <c r="G652">
        <v>55105.987927565395</v>
      </c>
      <c r="H652" s="134">
        <v>118887.31589537223</v>
      </c>
      <c r="I652">
        <v>154993.4124748491</v>
      </c>
      <c r="J652" s="34">
        <v>32745.867203219317</v>
      </c>
      <c r="K652">
        <v>40524.49418779887</v>
      </c>
      <c r="L652">
        <v>53375.5903192434</v>
      </c>
      <c r="M652" s="134">
        <v>77832.66800804829</v>
      </c>
      <c r="N652" s="159">
        <v>51806.953722334</v>
      </c>
      <c r="O652">
        <v>34578.66398390342</v>
      </c>
      <c r="P652">
        <f t="shared" si="1309"/>
        <v>819809.0825</v>
      </c>
      <c r="AA652" s="166">
        <f>AA651+U651</f>
        <v>211073.454</v>
      </c>
    </row>
    <row r="653">
      <c r="D653">
        <f t="shared" ref="D653:O653" si="1314">D652-D654</f>
        <v>84142.03402</v>
      </c>
      <c r="E653">
        <f t="shared" si="1314"/>
        <v>69979.51344</v>
      </c>
      <c r="F653">
        <f t="shared" si="1314"/>
        <v>27658.5696</v>
      </c>
      <c r="G653">
        <f t="shared" si="1314"/>
        <v>50096.35266</v>
      </c>
      <c r="H653">
        <f t="shared" si="1314"/>
        <v>108079.3781</v>
      </c>
      <c r="I653">
        <f t="shared" si="1314"/>
        <v>140903.1022</v>
      </c>
      <c r="J653" s="34">
        <f t="shared" si="1314"/>
        <v>29768.97018</v>
      </c>
      <c r="K653">
        <f t="shared" si="1314"/>
        <v>36840.44926</v>
      </c>
      <c r="L653">
        <f t="shared" si="1314"/>
        <v>48523.26393</v>
      </c>
      <c r="M653">
        <f t="shared" si="1314"/>
        <v>70756.97092</v>
      </c>
      <c r="N653">
        <f t="shared" si="1314"/>
        <v>47097.23066</v>
      </c>
      <c r="O653">
        <f t="shared" si="1314"/>
        <v>31435.14908</v>
      </c>
      <c r="P653">
        <f t="shared" si="1309"/>
        <v>745280.9841</v>
      </c>
    </row>
    <row r="654">
      <c r="B654" s="1" t="s">
        <v>5499</v>
      </c>
      <c r="D654">
        <f t="shared" ref="D654:O654" si="1315">D652/11</f>
        <v>8414.203402</v>
      </c>
      <c r="E654">
        <f t="shared" si="1315"/>
        <v>6997.951344</v>
      </c>
      <c r="F654">
        <f t="shared" si="1315"/>
        <v>2765.85696</v>
      </c>
      <c r="G654">
        <f t="shared" si="1315"/>
        <v>5009.635266</v>
      </c>
      <c r="H654">
        <f t="shared" si="1315"/>
        <v>10807.93781</v>
      </c>
      <c r="I654">
        <f t="shared" si="1315"/>
        <v>14090.31022</v>
      </c>
      <c r="J654" s="34">
        <f t="shared" si="1315"/>
        <v>2976.897018</v>
      </c>
      <c r="K654">
        <f t="shared" si="1315"/>
        <v>3684.044926</v>
      </c>
      <c r="L654">
        <f t="shared" si="1315"/>
        <v>4852.326393</v>
      </c>
      <c r="M654">
        <f t="shared" si="1315"/>
        <v>7075.697092</v>
      </c>
      <c r="N654">
        <f t="shared" si="1315"/>
        <v>4709.723066</v>
      </c>
      <c r="O654">
        <f t="shared" si="1315"/>
        <v>3143.514908</v>
      </c>
      <c r="P654">
        <f t="shared" si="1309"/>
        <v>74528.09841</v>
      </c>
      <c r="T654" s="1" t="s">
        <v>5788</v>
      </c>
      <c r="U654" s="1">
        <v>87192.0</v>
      </c>
      <c r="W654" s="1">
        <v>45444.0</v>
      </c>
      <c r="Y654" s="1">
        <v>125177.0</v>
      </c>
      <c r="AA654" s="1">
        <v>32144.0</v>
      </c>
      <c r="AC654" s="1">
        <v>131326.0</v>
      </c>
      <c r="AE654" s="1">
        <v>163171.0</v>
      </c>
      <c r="AH654" s="1">
        <v>13665.0</v>
      </c>
      <c r="AJ654" s="1">
        <v>1141680.0</v>
      </c>
      <c r="AL654" s="1">
        <v>6372.0</v>
      </c>
    </row>
    <row r="655">
      <c r="B655" s="23" t="s">
        <v>5528</v>
      </c>
      <c r="D655" s="145">
        <f t="shared" ref="D655:O655" si="1316">SUM(D651,D652)</f>
        <v>2182556.237</v>
      </c>
      <c r="E655" s="145">
        <f t="shared" si="1316"/>
        <v>3046977.465</v>
      </c>
      <c r="F655" s="145">
        <f t="shared" si="1316"/>
        <v>1735424.427</v>
      </c>
      <c r="G655" s="145">
        <f t="shared" si="1316"/>
        <v>2035105.988</v>
      </c>
      <c r="H655" s="145">
        <f t="shared" si="1316"/>
        <v>2318887.316</v>
      </c>
      <c r="I655" s="173">
        <f t="shared" si="1316"/>
        <v>4004993.412</v>
      </c>
      <c r="J655" s="145">
        <f t="shared" si="1316"/>
        <v>2342745.867</v>
      </c>
      <c r="K655" s="174">
        <f t="shared" si="1316"/>
        <v>2570524.494</v>
      </c>
      <c r="L655" s="145">
        <f t="shared" si="1316"/>
        <v>2143375.59</v>
      </c>
      <c r="M655" s="145">
        <f t="shared" si="1316"/>
        <v>1727832.668</v>
      </c>
      <c r="N655" s="145">
        <f t="shared" si="1316"/>
        <v>1437806.954</v>
      </c>
      <c r="O655" s="145">
        <f t="shared" si="1316"/>
        <v>1299578.664</v>
      </c>
      <c r="P655">
        <f t="shared" si="1309"/>
        <v>26845809.08</v>
      </c>
      <c r="U655" s="1">
        <v>14341.0</v>
      </c>
      <c r="V655" s="1">
        <v>73870.0</v>
      </c>
      <c r="W655" s="1">
        <v>110049.0</v>
      </c>
      <c r="Y655" s="1">
        <v>38514.0</v>
      </c>
      <c r="AA655" s="1">
        <v>72779.0</v>
      </c>
      <c r="AB655" s="1">
        <v>10472.0</v>
      </c>
      <c r="AE655" s="1">
        <v>125918.0</v>
      </c>
      <c r="AG655" s="1">
        <v>24241.0</v>
      </c>
    </row>
    <row r="656">
      <c r="B656" s="1" t="s">
        <v>5580</v>
      </c>
      <c r="D656">
        <f t="shared" ref="D656:O656" si="1317">D649+D653</f>
        <v>1984142.034</v>
      </c>
      <c r="E656">
        <f t="shared" si="1317"/>
        <v>2769979.513</v>
      </c>
      <c r="F656">
        <f t="shared" si="1317"/>
        <v>1577658.57</v>
      </c>
      <c r="G656">
        <f t="shared" si="1317"/>
        <v>1850096.353</v>
      </c>
      <c r="H656">
        <f t="shared" si="1317"/>
        <v>2108079.378</v>
      </c>
      <c r="I656">
        <f t="shared" si="1317"/>
        <v>3640903.102</v>
      </c>
      <c r="J656" s="34">
        <f t="shared" si="1317"/>
        <v>2129768.97</v>
      </c>
      <c r="K656">
        <f t="shared" si="1317"/>
        <v>2336840.449</v>
      </c>
      <c r="L656">
        <f t="shared" si="1317"/>
        <v>1948523.264</v>
      </c>
      <c r="M656">
        <f t="shared" si="1317"/>
        <v>1570756.971</v>
      </c>
      <c r="N656">
        <f t="shared" si="1317"/>
        <v>1307097.231</v>
      </c>
      <c r="O656">
        <f t="shared" si="1317"/>
        <v>1181435.149</v>
      </c>
      <c r="P656">
        <f t="shared" si="1309"/>
        <v>24405280.98</v>
      </c>
      <c r="U656" s="97">
        <f t="shared" ref="U656:U657" si="1319">U654-U646</f>
        <v>644</v>
      </c>
      <c r="V656" s="97"/>
      <c r="W656" s="97">
        <f t="shared" ref="W656:W657" si="1320">W654-W646</f>
        <v>260</v>
      </c>
      <c r="X656" s="97"/>
      <c r="Y656" s="97">
        <f t="shared" ref="Y656:Y657" si="1321">Y654-Y646</f>
        <v>1196</v>
      </c>
      <c r="Z656" s="97"/>
      <c r="AA656" s="97">
        <f t="shared" ref="AA656:AA657" si="1322">AA654-AA646</f>
        <v>772</v>
      </c>
      <c r="AB656" s="97"/>
      <c r="AC656" s="97">
        <f>AC654-AC646</f>
        <v>931</v>
      </c>
      <c r="AD656" s="97"/>
      <c r="AE656" s="97">
        <f t="shared" ref="AE656:AE657" si="1323">AE654-AE646</f>
        <v>869</v>
      </c>
      <c r="AF656" s="97"/>
      <c r="AG656" s="97"/>
      <c r="AH656" s="97">
        <f>AH654-AH646</f>
        <v>126</v>
      </c>
    </row>
    <row r="657">
      <c r="B657" s="1" t="s">
        <v>5582</v>
      </c>
      <c r="D657">
        <f t="shared" ref="D657:O657" si="1318">D650+D654</f>
        <v>198414.2034</v>
      </c>
      <c r="E657">
        <f t="shared" si="1318"/>
        <v>276997.9513</v>
      </c>
      <c r="F657">
        <f t="shared" si="1318"/>
        <v>157765.857</v>
      </c>
      <c r="G657">
        <f t="shared" si="1318"/>
        <v>185009.6353</v>
      </c>
      <c r="H657">
        <f t="shared" si="1318"/>
        <v>210807.9378</v>
      </c>
      <c r="I657">
        <f t="shared" si="1318"/>
        <v>364090.3102</v>
      </c>
      <c r="J657" s="34">
        <f t="shared" si="1318"/>
        <v>212976.897</v>
      </c>
      <c r="K657">
        <f t="shared" si="1318"/>
        <v>233684.0449</v>
      </c>
      <c r="L657">
        <f t="shared" si="1318"/>
        <v>194852.3264</v>
      </c>
      <c r="M657">
        <f t="shared" si="1318"/>
        <v>157075.6971</v>
      </c>
      <c r="N657">
        <f t="shared" si="1318"/>
        <v>130709.7231</v>
      </c>
      <c r="O657">
        <f t="shared" si="1318"/>
        <v>118143.5149</v>
      </c>
      <c r="P657">
        <f t="shared" si="1309"/>
        <v>2440528.098</v>
      </c>
      <c r="U657" s="167">
        <f t="shared" si="1319"/>
        <v>99</v>
      </c>
      <c r="V657" s="167">
        <f>(V655-V647)</f>
        <v>514</v>
      </c>
      <c r="W657" s="167">
        <f t="shared" si="1320"/>
        <v>443</v>
      </c>
      <c r="X657" s="168">
        <f>W656</f>
        <v>260</v>
      </c>
      <c r="Y657" s="167">
        <f t="shared" si="1321"/>
        <v>355</v>
      </c>
      <c r="Z657" s="169">
        <f>Y656-Y657</f>
        <v>841</v>
      </c>
      <c r="AA657" s="167">
        <f t="shared" si="1322"/>
        <v>676</v>
      </c>
      <c r="AB657" s="167">
        <f>AB655-AB647</f>
        <v>102</v>
      </c>
      <c r="AC657" s="167">
        <f>(AC656)*73.9/(73.9+99)</f>
        <v>397.9230769</v>
      </c>
      <c r="AD657" s="167">
        <f>(AC656)*99/(73.9+99)</f>
        <v>533.0769231</v>
      </c>
      <c r="AE657" s="167">
        <f t="shared" si="1323"/>
        <v>604</v>
      </c>
      <c r="AF657" s="169">
        <f>AE656-AE657-AG657-30</f>
        <v>148</v>
      </c>
      <c r="AG657" s="167">
        <f>AG655-AG647</f>
        <v>87</v>
      </c>
      <c r="AH657" s="96">
        <v>126.0</v>
      </c>
      <c r="AI657" s="18">
        <f t="shared" ref="AI657:AI658" si="1325">SUM(U657:AH657)</f>
        <v>5186</v>
      </c>
    </row>
    <row r="658">
      <c r="D658" s="1" t="s">
        <v>5566</v>
      </c>
      <c r="E658" s="1" t="s">
        <v>5566</v>
      </c>
      <c r="F658" s="1" t="s">
        <v>5566</v>
      </c>
      <c r="G658" s="1" t="s">
        <v>5566</v>
      </c>
      <c r="H658" s="1" t="s">
        <v>5566</v>
      </c>
      <c r="I658" s="1" t="s">
        <v>5566</v>
      </c>
      <c r="J658" s="1" t="s">
        <v>5566</v>
      </c>
      <c r="K658" s="33" t="s">
        <v>5566</v>
      </c>
      <c r="L658" s="1" t="s">
        <v>5566</v>
      </c>
      <c r="M658" s="1" t="s">
        <v>5566</v>
      </c>
      <c r="N658" s="33" t="s">
        <v>5566</v>
      </c>
      <c r="O658" s="1" t="s">
        <v>5566</v>
      </c>
      <c r="U658" s="162">
        <f t="shared" ref="U658:AH658" si="1324">U657*1141680/5186</f>
        <v>21794.50829</v>
      </c>
      <c r="V658" s="162">
        <f t="shared" si="1324"/>
        <v>113155.3259</v>
      </c>
      <c r="W658" s="162">
        <f t="shared" si="1324"/>
        <v>97524.92094</v>
      </c>
      <c r="X658" s="162">
        <f t="shared" si="1324"/>
        <v>57238.10258</v>
      </c>
      <c r="Y658" s="162">
        <f t="shared" si="1324"/>
        <v>78152.02468</v>
      </c>
      <c r="Z658" s="162">
        <f t="shared" si="1324"/>
        <v>185143.2472</v>
      </c>
      <c r="AA658" s="162">
        <f t="shared" si="1324"/>
        <v>148819.0667</v>
      </c>
      <c r="AB658" s="162">
        <f t="shared" si="1324"/>
        <v>22454.94794</v>
      </c>
      <c r="AC658" s="162">
        <f t="shared" si="1324"/>
        <v>87601.39191</v>
      </c>
      <c r="AD658" s="162">
        <f t="shared" si="1324"/>
        <v>117355.0446</v>
      </c>
      <c r="AE658" s="162">
        <f t="shared" si="1324"/>
        <v>132968.5152</v>
      </c>
      <c r="AF658" s="162">
        <f t="shared" si="1324"/>
        <v>32581.68916</v>
      </c>
      <c r="AG658" s="162">
        <f t="shared" si="1324"/>
        <v>19152.74971</v>
      </c>
      <c r="AH658" s="162">
        <f t="shared" si="1324"/>
        <v>27738.4651</v>
      </c>
      <c r="AI658" s="18">
        <f t="shared" si="1325"/>
        <v>1141680</v>
      </c>
    </row>
    <row r="659">
      <c r="H659" s="1"/>
      <c r="M659" s="1"/>
      <c r="N659" s="33"/>
      <c r="U659">
        <v>21794.508291554186</v>
      </c>
      <c r="V659" s="136">
        <v>113155.32587736213</v>
      </c>
      <c r="W659" s="136">
        <v>97524.92094099498</v>
      </c>
      <c r="X659" s="136">
        <v>57238.10258387968</v>
      </c>
      <c r="Y659" s="164">
        <f t="shared" ref="Y659:AG659" si="1326">Y658+3082</f>
        <v>81234.02468</v>
      </c>
      <c r="Z659" s="164">
        <f t="shared" si="1326"/>
        <v>188225.2472</v>
      </c>
      <c r="AA659" s="165">
        <f t="shared" si="1326"/>
        <v>151901.0667</v>
      </c>
      <c r="AB659" s="164">
        <f t="shared" si="1326"/>
        <v>25536.94794</v>
      </c>
      <c r="AC659" s="164">
        <f t="shared" si="1326"/>
        <v>90683.39191</v>
      </c>
      <c r="AD659" s="164">
        <f t="shared" si="1326"/>
        <v>120437.0446</v>
      </c>
      <c r="AE659" s="164">
        <f t="shared" si="1326"/>
        <v>136050.5152</v>
      </c>
      <c r="AF659" s="164">
        <f t="shared" si="1326"/>
        <v>35663.68916</v>
      </c>
      <c r="AG659" s="164">
        <f t="shared" si="1326"/>
        <v>22234.74971</v>
      </c>
      <c r="AH659">
        <f>AH658/9</f>
        <v>3082.051678</v>
      </c>
      <c r="AI659" s="18">
        <f>SUM(U659:AG659)</f>
        <v>1141679.535</v>
      </c>
    </row>
    <row r="660">
      <c r="H660" s="1"/>
      <c r="M660" s="1"/>
      <c r="N660" s="33"/>
      <c r="AA660" s="166">
        <f>AA659+U659</f>
        <v>173695.575</v>
      </c>
    </row>
    <row r="661">
      <c r="B661" s="1" t="s">
        <v>5789</v>
      </c>
      <c r="D661" s="33">
        <v>1900000.0</v>
      </c>
      <c r="E661" s="1">
        <v>2700000.0</v>
      </c>
      <c r="F661" s="1">
        <v>1550000.0</v>
      </c>
      <c r="G661" s="1">
        <v>1800000.0</v>
      </c>
      <c r="H661" s="1">
        <v>2000000.0</v>
      </c>
      <c r="I661" s="1">
        <v>3500000.0</v>
      </c>
      <c r="J661" s="33">
        <v>2100000.0</v>
      </c>
      <c r="K661" s="1">
        <v>2300000.0</v>
      </c>
      <c r="L661" s="1">
        <v>1900000.0</v>
      </c>
      <c r="M661" s="33">
        <v>1500000.0</v>
      </c>
      <c r="N661" s="33">
        <v>1260000.0</v>
      </c>
      <c r="O661" s="1">
        <v>1150000.0</v>
      </c>
      <c r="P661">
        <f t="shared" ref="P661:P672" si="1328">SUM(D661:O661)</f>
        <v>23660000</v>
      </c>
    </row>
    <row r="662">
      <c r="B662" s="1" t="s">
        <v>5499</v>
      </c>
      <c r="D662" s="33">
        <f t="shared" ref="D662:O662" si="1327">D661*0.1</f>
        <v>190000</v>
      </c>
      <c r="E662" s="1">
        <f t="shared" si="1327"/>
        <v>270000</v>
      </c>
      <c r="F662" s="1">
        <f t="shared" si="1327"/>
        <v>155000</v>
      </c>
      <c r="G662" s="1">
        <f t="shared" si="1327"/>
        <v>180000</v>
      </c>
      <c r="H662" s="1">
        <f t="shared" si="1327"/>
        <v>200000</v>
      </c>
      <c r="I662" s="1">
        <f t="shared" si="1327"/>
        <v>350000</v>
      </c>
      <c r="J662" s="33">
        <f t="shared" si="1327"/>
        <v>210000</v>
      </c>
      <c r="K662" s="1">
        <f t="shared" si="1327"/>
        <v>230000</v>
      </c>
      <c r="L662" s="1">
        <f t="shared" si="1327"/>
        <v>190000</v>
      </c>
      <c r="M662" s="33">
        <f t="shared" si="1327"/>
        <v>150000</v>
      </c>
      <c r="N662" s="1">
        <f t="shared" si="1327"/>
        <v>126000</v>
      </c>
      <c r="O662" s="1">
        <f t="shared" si="1327"/>
        <v>115000</v>
      </c>
      <c r="P662">
        <f t="shared" si="1328"/>
        <v>2366000</v>
      </c>
      <c r="T662" s="1" t="s">
        <v>5790</v>
      </c>
      <c r="U662" s="1">
        <v>87769.0</v>
      </c>
      <c r="W662" s="1">
        <v>45665.0</v>
      </c>
      <c r="Y662" s="1">
        <v>126257.0</v>
      </c>
      <c r="AA662" s="1">
        <v>32776.0</v>
      </c>
      <c r="AC662" s="1">
        <v>132085.0</v>
      </c>
      <c r="AE662" s="1">
        <v>163892.0</v>
      </c>
      <c r="AH662" s="1">
        <v>13795.0</v>
      </c>
      <c r="AJ662" s="1">
        <v>1004760.0</v>
      </c>
      <c r="AL662" s="1">
        <v>5142.0</v>
      </c>
    </row>
    <row r="663">
      <c r="B663" s="1" t="s">
        <v>5520</v>
      </c>
      <c r="D663" s="34">
        <f t="shared" ref="D663:O663" si="1329">D661+D662</f>
        <v>2090000</v>
      </c>
      <c r="E663">
        <f t="shared" si="1329"/>
        <v>2970000</v>
      </c>
      <c r="F663">
        <f t="shared" si="1329"/>
        <v>1705000</v>
      </c>
      <c r="G663">
        <f t="shared" si="1329"/>
        <v>1980000</v>
      </c>
      <c r="H663">
        <f t="shared" si="1329"/>
        <v>2200000</v>
      </c>
      <c r="I663">
        <f t="shared" si="1329"/>
        <v>3850000</v>
      </c>
      <c r="J663" s="34">
        <f t="shared" si="1329"/>
        <v>2310000</v>
      </c>
      <c r="K663">
        <f t="shared" si="1329"/>
        <v>2530000</v>
      </c>
      <c r="L663">
        <f t="shared" si="1329"/>
        <v>2090000</v>
      </c>
      <c r="M663" s="34">
        <f t="shared" si="1329"/>
        <v>1650000</v>
      </c>
      <c r="N663">
        <f t="shared" si="1329"/>
        <v>1386000</v>
      </c>
      <c r="O663">
        <f t="shared" si="1329"/>
        <v>1265000</v>
      </c>
      <c r="P663">
        <f t="shared" si="1328"/>
        <v>26026000</v>
      </c>
      <c r="U663" s="1">
        <v>14447.0</v>
      </c>
      <c r="V663" s="1">
        <v>74312.0</v>
      </c>
      <c r="W663" s="1">
        <v>110438.0</v>
      </c>
      <c r="Y663" s="1">
        <v>38807.0</v>
      </c>
      <c r="AA663" s="1">
        <v>73395.0</v>
      </c>
      <c r="AB663" s="1">
        <v>10603.0</v>
      </c>
      <c r="AE663" s="1">
        <v>126472.0</v>
      </c>
      <c r="AG663" s="1">
        <v>24320.0</v>
      </c>
    </row>
    <row r="664">
      <c r="B664" s="1" t="s">
        <v>5545</v>
      </c>
      <c r="D664">
        <v>100225.07369081216</v>
      </c>
      <c r="E664">
        <v>99411.55848228285</v>
      </c>
      <c r="F664">
        <v>61013.64063969896</v>
      </c>
      <c r="G664">
        <v>55047.37942928818</v>
      </c>
      <c r="H664" s="134">
        <v>98000.98243963625</v>
      </c>
      <c r="I664">
        <v>238413.7074317968</v>
      </c>
      <c r="J664" s="34">
        <v>38614.37221699592</v>
      </c>
      <c r="K664">
        <v>75119.42037541934</v>
      </c>
      <c r="L664">
        <v>99731.14908209085</v>
      </c>
      <c r="M664" s="134">
        <v>87913.3938538727</v>
      </c>
      <c r="N664" s="159">
        <v>52606.83380370022</v>
      </c>
      <c r="O664">
        <v>31618.141423643774</v>
      </c>
      <c r="P664">
        <f t="shared" si="1328"/>
        <v>1037715.653</v>
      </c>
      <c r="U664" s="97">
        <f t="shared" ref="U664:U665" si="1331">U662-U654</f>
        <v>577</v>
      </c>
      <c r="V664" s="97"/>
      <c r="W664" s="97">
        <f t="shared" ref="W664:W665" si="1332">W662-W654</f>
        <v>221</v>
      </c>
      <c r="X664" s="97"/>
      <c r="Y664" s="97">
        <f t="shared" ref="Y664:Y665" si="1333">Y662-Y654</f>
        <v>1080</v>
      </c>
      <c r="Z664" s="97"/>
      <c r="AA664" s="97">
        <f t="shared" ref="AA664:AA665" si="1334">AA662-AA654</f>
        <v>632</v>
      </c>
      <c r="AB664" s="97"/>
      <c r="AC664" s="97">
        <f>AC662-AC654</f>
        <v>759</v>
      </c>
      <c r="AD664" s="97"/>
      <c r="AE664" s="97">
        <f t="shared" ref="AE664:AE665" si="1335">AE662-AE654</f>
        <v>721</v>
      </c>
      <c r="AF664" s="97"/>
      <c r="AG664" s="97"/>
      <c r="AH664" s="97">
        <f>AH662-AH654</f>
        <v>130</v>
      </c>
    </row>
    <row r="665">
      <c r="D665">
        <f t="shared" ref="D665:O665" si="1330">D664-D666</f>
        <v>91113.70336</v>
      </c>
      <c r="E665">
        <f t="shared" si="1330"/>
        <v>90374.14407</v>
      </c>
      <c r="F665">
        <f t="shared" si="1330"/>
        <v>55466.94604</v>
      </c>
      <c r="G665">
        <f t="shared" si="1330"/>
        <v>50043.07221</v>
      </c>
      <c r="H665">
        <f t="shared" si="1330"/>
        <v>89091.80222</v>
      </c>
      <c r="I665">
        <f t="shared" si="1330"/>
        <v>216739.734</v>
      </c>
      <c r="J665" s="34">
        <f t="shared" si="1330"/>
        <v>35103.97474</v>
      </c>
      <c r="K665">
        <f t="shared" si="1330"/>
        <v>68290.38216</v>
      </c>
      <c r="L665">
        <f t="shared" si="1330"/>
        <v>90664.68098</v>
      </c>
      <c r="M665">
        <f t="shared" si="1330"/>
        <v>79921.26714</v>
      </c>
      <c r="N665">
        <f t="shared" si="1330"/>
        <v>47824.39437</v>
      </c>
      <c r="O665">
        <f t="shared" si="1330"/>
        <v>28743.76493</v>
      </c>
      <c r="P665">
        <f t="shared" si="1328"/>
        <v>943377.8662</v>
      </c>
      <c r="U665" s="167">
        <f t="shared" si="1331"/>
        <v>106</v>
      </c>
      <c r="V665" s="167">
        <f>(V663-V655)</f>
        <v>442</v>
      </c>
      <c r="W665" s="167">
        <f t="shared" si="1332"/>
        <v>389</v>
      </c>
      <c r="X665" s="168">
        <f>W664</f>
        <v>221</v>
      </c>
      <c r="Y665" s="167">
        <f t="shared" si="1333"/>
        <v>293</v>
      </c>
      <c r="Z665" s="169">
        <f>Y664-Y665</f>
        <v>787</v>
      </c>
      <c r="AA665" s="167">
        <f t="shared" si="1334"/>
        <v>616</v>
      </c>
      <c r="AB665" s="167">
        <f>AB663-AB655</f>
        <v>131</v>
      </c>
      <c r="AC665" s="167">
        <f>(AC664)*73.9/(73.9+99)</f>
        <v>324.4077501</v>
      </c>
      <c r="AD665" s="167">
        <f>(AC664)*99/(73.9+99)</f>
        <v>434.5922499</v>
      </c>
      <c r="AE665" s="167">
        <f t="shared" si="1335"/>
        <v>554</v>
      </c>
      <c r="AF665" s="169">
        <f>AE664-AE665-AG665-30</f>
        <v>58</v>
      </c>
      <c r="AG665" s="167">
        <f>AG663-AG655</f>
        <v>79</v>
      </c>
      <c r="AH665" s="96">
        <v>130.0</v>
      </c>
      <c r="AI665" s="18">
        <f t="shared" ref="AI665:AI666" si="1338">SUM(U665:AH665)</f>
        <v>4565</v>
      </c>
    </row>
    <row r="666">
      <c r="B666" s="1" t="s">
        <v>5499</v>
      </c>
      <c r="D666">
        <f t="shared" ref="D666:O666" si="1336">D664/11</f>
        <v>9111.370336</v>
      </c>
      <c r="E666">
        <f t="shared" si="1336"/>
        <v>9037.414407</v>
      </c>
      <c r="F666">
        <f t="shared" si="1336"/>
        <v>5546.694604</v>
      </c>
      <c r="G666">
        <f t="shared" si="1336"/>
        <v>5004.307221</v>
      </c>
      <c r="H666">
        <f t="shared" si="1336"/>
        <v>8909.180222</v>
      </c>
      <c r="I666">
        <f t="shared" si="1336"/>
        <v>21673.9734</v>
      </c>
      <c r="J666" s="34">
        <f t="shared" si="1336"/>
        <v>3510.397474</v>
      </c>
      <c r="K666">
        <f t="shared" si="1336"/>
        <v>6829.038216</v>
      </c>
      <c r="L666">
        <f t="shared" si="1336"/>
        <v>9066.468098</v>
      </c>
      <c r="M666">
        <f t="shared" si="1336"/>
        <v>7992.126714</v>
      </c>
      <c r="N666">
        <f t="shared" si="1336"/>
        <v>4782.439437</v>
      </c>
      <c r="O666">
        <f t="shared" si="1336"/>
        <v>2874.376493</v>
      </c>
      <c r="P666">
        <f t="shared" si="1328"/>
        <v>94337.78662</v>
      </c>
      <c r="U666" s="162">
        <f t="shared" ref="U666:AH666" si="1337">U665*1004760/4565</f>
        <v>23330.68127</v>
      </c>
      <c r="V666" s="162">
        <f t="shared" si="1337"/>
        <v>97284.53888</v>
      </c>
      <c r="W666" s="162">
        <f t="shared" si="1337"/>
        <v>85619.19825</v>
      </c>
      <c r="X666" s="162">
        <f t="shared" si="1337"/>
        <v>48642.26944</v>
      </c>
      <c r="Y666" s="162">
        <f t="shared" si="1337"/>
        <v>64489.52464</v>
      </c>
      <c r="Z666" s="162">
        <f t="shared" si="1337"/>
        <v>173219.3034</v>
      </c>
      <c r="AA666" s="162">
        <f t="shared" si="1337"/>
        <v>135582.0723</v>
      </c>
      <c r="AB666" s="162">
        <f t="shared" si="1337"/>
        <v>28833.20044</v>
      </c>
      <c r="AC666" s="162">
        <f t="shared" si="1337"/>
        <v>71402.39453</v>
      </c>
      <c r="AD666" s="162">
        <f t="shared" si="1337"/>
        <v>95654.0874</v>
      </c>
      <c r="AE666" s="162">
        <f t="shared" si="1337"/>
        <v>121935.8248</v>
      </c>
      <c r="AF666" s="162">
        <f t="shared" si="1337"/>
        <v>12765.84447</v>
      </c>
      <c r="AG666" s="162">
        <f t="shared" si="1337"/>
        <v>17387.96057</v>
      </c>
      <c r="AH666" s="162">
        <f t="shared" si="1337"/>
        <v>28613.09967</v>
      </c>
      <c r="AI666" s="18">
        <f t="shared" si="1338"/>
        <v>1004760</v>
      </c>
    </row>
    <row r="667">
      <c r="B667" s="1" t="s">
        <v>5791</v>
      </c>
      <c r="D667">
        <v>37762.914754955425</v>
      </c>
      <c r="E667">
        <v>15724.865015909641</v>
      </c>
      <c r="F667">
        <v>15724.865015909641</v>
      </c>
      <c r="G667">
        <v>14427.369996123996</v>
      </c>
      <c r="H667" s="134">
        <v>20759.920316570366</v>
      </c>
      <c r="I667">
        <v>26356.577939227864</v>
      </c>
      <c r="J667">
        <v>20972.941886982935</v>
      </c>
      <c r="K667">
        <v>14311.176412262595</v>
      </c>
      <c r="L667">
        <v>19171.941337131215</v>
      </c>
      <c r="M667" s="134">
        <v>9777.69008193692</v>
      </c>
      <c r="N667" s="159">
        <v>11251.412037245693</v>
      </c>
      <c r="O667">
        <v>8598.325205743697</v>
      </c>
      <c r="P667">
        <f t="shared" si="1328"/>
        <v>214840</v>
      </c>
      <c r="U667">
        <v>23330.681270536694</v>
      </c>
      <c r="V667" s="136">
        <v>97284.53888280394</v>
      </c>
      <c r="W667" s="136">
        <v>85619.19824753559</v>
      </c>
      <c r="X667" s="136">
        <v>48642.26944140197</v>
      </c>
      <c r="Y667" s="164">
        <f t="shared" ref="Y667:AG667" si="1339">Y666+3179</f>
        <v>67668.52464</v>
      </c>
      <c r="Z667" s="164">
        <f t="shared" si="1339"/>
        <v>176398.3034</v>
      </c>
      <c r="AA667" s="165">
        <f t="shared" si="1339"/>
        <v>138761.0723</v>
      </c>
      <c r="AB667" s="164">
        <f t="shared" si="1339"/>
        <v>32012.20044</v>
      </c>
      <c r="AC667" s="164">
        <f t="shared" si="1339"/>
        <v>74581.39453</v>
      </c>
      <c r="AD667" s="164">
        <f t="shared" si="1339"/>
        <v>98833.0874</v>
      </c>
      <c r="AE667" s="164">
        <f t="shared" si="1339"/>
        <v>125114.8248</v>
      </c>
      <c r="AF667" s="164">
        <f t="shared" si="1339"/>
        <v>15944.84447</v>
      </c>
      <c r="AG667" s="164">
        <f t="shared" si="1339"/>
        <v>20566.96057</v>
      </c>
      <c r="AH667">
        <f>AH666/9</f>
        <v>3179.233297</v>
      </c>
      <c r="AI667" s="18">
        <f>SUM(U667:AG667)</f>
        <v>1004757.9</v>
      </c>
    </row>
    <row r="668">
      <c r="B668" s="23" t="s">
        <v>5598</v>
      </c>
      <c r="D668" s="18">
        <f t="shared" ref="D668:O668" si="1340">SUM(D663,D664,D667)</f>
        <v>2227987.988</v>
      </c>
      <c r="E668" s="18">
        <f t="shared" si="1340"/>
        <v>3085136.423</v>
      </c>
      <c r="F668" s="18">
        <f t="shared" si="1340"/>
        <v>1781738.506</v>
      </c>
      <c r="G668" s="18">
        <f t="shared" si="1340"/>
        <v>2049474.749</v>
      </c>
      <c r="H668" s="18">
        <f t="shared" si="1340"/>
        <v>2318760.903</v>
      </c>
      <c r="I668" s="18">
        <f t="shared" si="1340"/>
        <v>4114770.285</v>
      </c>
      <c r="J668" s="18">
        <f t="shared" si="1340"/>
        <v>2369587.314</v>
      </c>
      <c r="K668" s="18">
        <f t="shared" si="1340"/>
        <v>2619430.597</v>
      </c>
      <c r="L668" s="18">
        <f t="shared" si="1340"/>
        <v>2208903.09</v>
      </c>
      <c r="M668" s="18">
        <f t="shared" si="1340"/>
        <v>1747691.084</v>
      </c>
      <c r="N668" s="18">
        <f t="shared" si="1340"/>
        <v>1449858.246</v>
      </c>
      <c r="O668" s="18">
        <f t="shared" si="1340"/>
        <v>1305216.467</v>
      </c>
      <c r="P668">
        <f t="shared" si="1328"/>
        <v>27278555.65</v>
      </c>
      <c r="AA668" s="166">
        <f>AA667+U667</f>
        <v>162091.7536</v>
      </c>
    </row>
    <row r="669">
      <c r="B669" s="1" t="s">
        <v>5599</v>
      </c>
      <c r="D669">
        <f t="shared" ref="D669:O669" si="1341">SUM(D661,D665,D667)</f>
        <v>2028876.618</v>
      </c>
      <c r="E669">
        <f t="shared" si="1341"/>
        <v>2806099.009</v>
      </c>
      <c r="F669">
        <f t="shared" si="1341"/>
        <v>1621191.811</v>
      </c>
      <c r="G669">
        <f t="shared" si="1341"/>
        <v>1864470.442</v>
      </c>
      <c r="H669">
        <f t="shared" si="1341"/>
        <v>2109851.723</v>
      </c>
      <c r="I669">
        <f t="shared" si="1341"/>
        <v>3743096.312</v>
      </c>
      <c r="J669">
        <f t="shared" si="1341"/>
        <v>2156076.917</v>
      </c>
      <c r="K669">
        <f t="shared" si="1341"/>
        <v>2382601.559</v>
      </c>
      <c r="L669">
        <f t="shared" si="1341"/>
        <v>2009836.622</v>
      </c>
      <c r="M669">
        <f t="shared" si="1341"/>
        <v>1589698.957</v>
      </c>
      <c r="N669">
        <f t="shared" si="1341"/>
        <v>1319075.806</v>
      </c>
      <c r="O669">
        <f t="shared" si="1341"/>
        <v>1187342.09</v>
      </c>
      <c r="P669">
        <f t="shared" si="1328"/>
        <v>24818217.87</v>
      </c>
    </row>
    <row r="670">
      <c r="B670" s="1" t="s">
        <v>5601</v>
      </c>
      <c r="D670">
        <f t="shared" ref="D670:O670" si="1342">SUM(D661,D665)</f>
        <v>1991113.703</v>
      </c>
      <c r="E670">
        <f t="shared" si="1342"/>
        <v>2790374.144</v>
      </c>
      <c r="F670">
        <f t="shared" si="1342"/>
        <v>1605466.946</v>
      </c>
      <c r="G670">
        <f t="shared" si="1342"/>
        <v>1850043.072</v>
      </c>
      <c r="H670">
        <f t="shared" si="1342"/>
        <v>2089091.802</v>
      </c>
      <c r="I670">
        <f t="shared" si="1342"/>
        <v>3716739.734</v>
      </c>
      <c r="J670">
        <f t="shared" si="1342"/>
        <v>2135103.975</v>
      </c>
      <c r="K670">
        <f t="shared" si="1342"/>
        <v>2368290.382</v>
      </c>
      <c r="L670">
        <f t="shared" si="1342"/>
        <v>1990664.681</v>
      </c>
      <c r="M670">
        <f t="shared" si="1342"/>
        <v>1579921.267</v>
      </c>
      <c r="N670">
        <f t="shared" si="1342"/>
        <v>1307824.394</v>
      </c>
      <c r="O670">
        <f t="shared" si="1342"/>
        <v>1178743.765</v>
      </c>
      <c r="P670">
        <f t="shared" si="1328"/>
        <v>24603377.87</v>
      </c>
      <c r="T670" s="1" t="s">
        <v>5792</v>
      </c>
      <c r="U670" s="1">
        <v>88331.0</v>
      </c>
      <c r="W670" s="1">
        <v>45826.0</v>
      </c>
      <c r="Y670" s="1">
        <v>127762.0</v>
      </c>
      <c r="AA670" s="1">
        <v>33682.0</v>
      </c>
      <c r="AC670" s="1">
        <v>132894.0</v>
      </c>
      <c r="AE670" s="1">
        <v>164678.0</v>
      </c>
      <c r="AH670" s="1">
        <v>13925.0</v>
      </c>
      <c r="AJ670" s="1">
        <v>1256260.0</v>
      </c>
      <c r="AL670" s="1">
        <v>6077.0</v>
      </c>
    </row>
    <row r="671">
      <c r="B671" s="1" t="s">
        <v>5582</v>
      </c>
      <c r="D671">
        <f t="shared" ref="D671:O671" si="1343">SUM(D662,D666)</f>
        <v>199111.3703</v>
      </c>
      <c r="E671">
        <f t="shared" si="1343"/>
        <v>279037.4144</v>
      </c>
      <c r="F671">
        <f t="shared" si="1343"/>
        <v>160546.6946</v>
      </c>
      <c r="G671">
        <f t="shared" si="1343"/>
        <v>185004.3072</v>
      </c>
      <c r="H671">
        <f t="shared" si="1343"/>
        <v>208909.1802</v>
      </c>
      <c r="I671">
        <f t="shared" si="1343"/>
        <v>371673.9734</v>
      </c>
      <c r="J671">
        <f t="shared" si="1343"/>
        <v>213510.3975</v>
      </c>
      <c r="K671">
        <f t="shared" si="1343"/>
        <v>236829.0382</v>
      </c>
      <c r="L671">
        <f t="shared" si="1343"/>
        <v>199066.4681</v>
      </c>
      <c r="M671">
        <f t="shared" si="1343"/>
        <v>157992.1267</v>
      </c>
      <c r="N671">
        <f t="shared" si="1343"/>
        <v>130782.4394</v>
      </c>
      <c r="O671">
        <f t="shared" si="1343"/>
        <v>117874.3765</v>
      </c>
      <c r="P671">
        <f t="shared" si="1328"/>
        <v>2460337.787</v>
      </c>
      <c r="U671" s="1">
        <v>14563.0</v>
      </c>
      <c r="V671" s="1">
        <v>74731.0</v>
      </c>
      <c r="W671" s="1">
        <v>110780.0</v>
      </c>
      <c r="Y671" s="1">
        <v>39130.0</v>
      </c>
      <c r="AA671" s="1">
        <v>73993.0</v>
      </c>
      <c r="AB671" s="1">
        <v>10901.0</v>
      </c>
      <c r="AE671" s="1">
        <v>127032.0</v>
      </c>
      <c r="AG671" s="1">
        <v>24443.0</v>
      </c>
    </row>
    <row r="672">
      <c r="B672" s="1" t="s">
        <v>5602</v>
      </c>
      <c r="D672">
        <f t="shared" ref="D672:O672" si="1344">SUM(D670:D671)</f>
        <v>2190225.074</v>
      </c>
      <c r="E672">
        <f t="shared" si="1344"/>
        <v>3069411.558</v>
      </c>
      <c r="F672">
        <f t="shared" si="1344"/>
        <v>1766013.641</v>
      </c>
      <c r="G672">
        <f t="shared" si="1344"/>
        <v>2035047.379</v>
      </c>
      <c r="H672">
        <f t="shared" si="1344"/>
        <v>2298000.982</v>
      </c>
      <c r="I672">
        <f t="shared" si="1344"/>
        <v>4088413.707</v>
      </c>
      <c r="J672">
        <f t="shared" si="1344"/>
        <v>2348614.372</v>
      </c>
      <c r="K672">
        <f t="shared" si="1344"/>
        <v>2605119.42</v>
      </c>
      <c r="L672">
        <f t="shared" si="1344"/>
        <v>2189731.149</v>
      </c>
      <c r="M672">
        <f t="shared" si="1344"/>
        <v>1737913.394</v>
      </c>
      <c r="N672">
        <f t="shared" si="1344"/>
        <v>1438606.834</v>
      </c>
      <c r="O672">
        <f t="shared" si="1344"/>
        <v>1296618.141</v>
      </c>
      <c r="P672">
        <f t="shared" si="1328"/>
        <v>27063715.65</v>
      </c>
      <c r="U672" s="97">
        <f t="shared" ref="U672:U673" si="1345">U670-U662</f>
        <v>562</v>
      </c>
      <c r="V672" s="97"/>
      <c r="W672" s="97">
        <f t="shared" ref="W672:W673" si="1346">W670-W662</f>
        <v>161</v>
      </c>
      <c r="X672" s="97"/>
      <c r="Y672" s="97">
        <f t="shared" ref="Y672:Y673" si="1347">Y670-Y662</f>
        <v>1505</v>
      </c>
      <c r="Z672" s="97"/>
      <c r="AA672" s="97">
        <f t="shared" ref="AA672:AA673" si="1348">AA670-AA662</f>
        <v>906</v>
      </c>
      <c r="AB672" s="97"/>
      <c r="AC672" s="97">
        <f>AC670-AC662</f>
        <v>809</v>
      </c>
      <c r="AD672" s="97"/>
      <c r="AE672" s="97">
        <f t="shared" ref="AE672:AE673" si="1349">AE670-AE662</f>
        <v>786</v>
      </c>
      <c r="AF672" s="97"/>
      <c r="AG672" s="97"/>
      <c r="AH672" s="97">
        <f>AH670-AH662</f>
        <v>130</v>
      </c>
    </row>
    <row r="673">
      <c r="D673" s="1" t="s">
        <v>5566</v>
      </c>
      <c r="E673" s="1" t="s">
        <v>5566</v>
      </c>
      <c r="F673" s="1" t="s">
        <v>5566</v>
      </c>
      <c r="G673" s="1" t="s">
        <v>5566</v>
      </c>
      <c r="H673" s="1" t="s">
        <v>5566</v>
      </c>
      <c r="I673" s="1" t="s">
        <v>5566</v>
      </c>
      <c r="J673" s="1" t="s">
        <v>5566</v>
      </c>
      <c r="K673" s="33" t="s">
        <v>5566</v>
      </c>
      <c r="L673" s="1" t="s">
        <v>5566</v>
      </c>
      <c r="M673" s="1" t="s">
        <v>5566</v>
      </c>
      <c r="N673" s="33" t="s">
        <v>5566</v>
      </c>
      <c r="O673" s="1" t="s">
        <v>5566</v>
      </c>
      <c r="U673" s="167">
        <f t="shared" si="1345"/>
        <v>116</v>
      </c>
      <c r="V673" s="167">
        <f>(V671-V663)</f>
        <v>419</v>
      </c>
      <c r="W673" s="167">
        <f t="shared" si="1346"/>
        <v>342</v>
      </c>
      <c r="X673" s="168">
        <f>W672</f>
        <v>161</v>
      </c>
      <c r="Y673" s="167">
        <f t="shared" si="1347"/>
        <v>323</v>
      </c>
      <c r="Z673" s="169">
        <f>Y672-Y673</f>
        <v>1182</v>
      </c>
      <c r="AA673" s="167">
        <f t="shared" si="1348"/>
        <v>598</v>
      </c>
      <c r="AB673" s="167">
        <f>AB671-AB663</f>
        <v>298</v>
      </c>
      <c r="AC673" s="167">
        <f>(AC672)*73.9/(73.9+99)</f>
        <v>345.7784847</v>
      </c>
      <c r="AD673" s="167">
        <f>(AC672)*99/(73.9+99)</f>
        <v>463.2215153</v>
      </c>
      <c r="AE673" s="167">
        <f t="shared" si="1349"/>
        <v>560</v>
      </c>
      <c r="AF673" s="169">
        <f>AE672-AE673-AG673-30</f>
        <v>73</v>
      </c>
      <c r="AG673" s="167">
        <f>AG671-AG663</f>
        <v>123</v>
      </c>
      <c r="AH673" s="96">
        <v>130.0</v>
      </c>
      <c r="AI673" s="18">
        <f t="shared" ref="AI673:AI674" si="1351">SUM(U673:AH673)</f>
        <v>5134</v>
      </c>
    </row>
    <row r="674">
      <c r="H674" s="1"/>
      <c r="M674" s="1"/>
      <c r="N674" s="33"/>
      <c r="U674" s="162">
        <f t="shared" ref="U674:AH674" si="1350">U673*1256260/5134</f>
        <v>28384.52668</v>
      </c>
      <c r="V674" s="162">
        <f t="shared" si="1350"/>
        <v>102526.8679</v>
      </c>
      <c r="W674" s="162">
        <f t="shared" si="1350"/>
        <v>83685.41488</v>
      </c>
      <c r="X674" s="162">
        <f t="shared" si="1350"/>
        <v>39395.76549</v>
      </c>
      <c r="Y674" s="162">
        <f t="shared" si="1350"/>
        <v>79036.22517</v>
      </c>
      <c r="Z674" s="162">
        <f t="shared" si="1350"/>
        <v>289228.5392</v>
      </c>
      <c r="AA674" s="162">
        <f t="shared" si="1350"/>
        <v>146327.1289</v>
      </c>
      <c r="AB674" s="162">
        <f t="shared" si="1350"/>
        <v>72918.87028</v>
      </c>
      <c r="AC674" s="162">
        <f t="shared" si="1350"/>
        <v>84609.98815</v>
      </c>
      <c r="AD674" s="162">
        <f t="shared" si="1350"/>
        <v>113347.6161</v>
      </c>
      <c r="AE674" s="162">
        <f t="shared" si="1350"/>
        <v>137028.7495</v>
      </c>
      <c r="AF674" s="162">
        <f t="shared" si="1350"/>
        <v>17862.67628</v>
      </c>
      <c r="AG674" s="162">
        <f t="shared" si="1350"/>
        <v>30097.38605</v>
      </c>
      <c r="AH674" s="162">
        <f t="shared" si="1350"/>
        <v>31810.24542</v>
      </c>
      <c r="AI674" s="18">
        <f t="shared" si="1351"/>
        <v>1256260</v>
      </c>
    </row>
    <row r="675">
      <c r="H675" s="1"/>
      <c r="M675" s="1"/>
      <c r="N675" s="33"/>
      <c r="U675">
        <v>28384.526684846125</v>
      </c>
      <c r="V675" s="136">
        <v>102526.86793922867</v>
      </c>
      <c r="W675" s="136">
        <v>83685.41488118426</v>
      </c>
      <c r="X675" s="136">
        <v>39395.765485001946</v>
      </c>
      <c r="Y675" s="164">
        <f t="shared" ref="Y675:AG675" si="1352">Y674+3534</f>
        <v>82570.22517</v>
      </c>
      <c r="Z675" s="164">
        <f t="shared" si="1352"/>
        <v>292762.5392</v>
      </c>
      <c r="AA675" s="165">
        <f t="shared" si="1352"/>
        <v>149861.1289</v>
      </c>
      <c r="AB675" s="164">
        <f t="shared" si="1352"/>
        <v>76452.87028</v>
      </c>
      <c r="AC675" s="164">
        <f t="shared" si="1352"/>
        <v>88143.98815</v>
      </c>
      <c r="AD675" s="164">
        <f t="shared" si="1352"/>
        <v>116881.6161</v>
      </c>
      <c r="AE675" s="164">
        <f t="shared" si="1352"/>
        <v>140562.7495</v>
      </c>
      <c r="AF675" s="164">
        <f t="shared" si="1352"/>
        <v>21396.67628</v>
      </c>
      <c r="AG675" s="164">
        <f t="shared" si="1352"/>
        <v>33631.38605</v>
      </c>
      <c r="AH675">
        <f>AH674/9</f>
        <v>3534.471714</v>
      </c>
      <c r="AI675" s="18">
        <f>SUM(U675:AG675)</f>
        <v>1256255.755</v>
      </c>
    </row>
    <row r="676">
      <c r="B676" s="1" t="s">
        <v>5793</v>
      </c>
      <c r="D676" s="33">
        <v>1900000.0</v>
      </c>
      <c r="E676" s="1">
        <v>2700000.0</v>
      </c>
      <c r="F676" s="1">
        <v>1550000.0</v>
      </c>
      <c r="G676" s="1">
        <v>1800000.0</v>
      </c>
      <c r="H676" s="1">
        <v>2000000.0</v>
      </c>
      <c r="I676" s="1">
        <v>3500000.0</v>
      </c>
      <c r="J676" s="33">
        <v>2100000.0</v>
      </c>
      <c r="K676" s="1">
        <v>2300000.0</v>
      </c>
      <c r="L676" s="1">
        <v>1900000.0</v>
      </c>
      <c r="M676" s="33">
        <v>1500000.0</v>
      </c>
      <c r="N676" s="33">
        <v>1260000.0</v>
      </c>
      <c r="O676" s="1">
        <v>1150000.0</v>
      </c>
      <c r="P676">
        <f t="shared" ref="P676:P684" si="1354">SUM(D676:O676)</f>
        <v>23660000</v>
      </c>
      <c r="AA676" s="166">
        <f>AA675+U675</f>
        <v>178245.6556</v>
      </c>
    </row>
    <row r="677">
      <c r="B677" s="1" t="s">
        <v>5499</v>
      </c>
      <c r="D677" s="33">
        <f t="shared" ref="D677:O677" si="1353">D676*0.1</f>
        <v>190000</v>
      </c>
      <c r="E677" s="1">
        <f t="shared" si="1353"/>
        <v>270000</v>
      </c>
      <c r="F677" s="1">
        <f t="shared" si="1353"/>
        <v>155000</v>
      </c>
      <c r="G677" s="1">
        <f t="shared" si="1353"/>
        <v>180000</v>
      </c>
      <c r="H677" s="1">
        <f t="shared" si="1353"/>
        <v>200000</v>
      </c>
      <c r="I677" s="1">
        <f t="shared" si="1353"/>
        <v>350000</v>
      </c>
      <c r="J677" s="33">
        <f t="shared" si="1353"/>
        <v>210000</v>
      </c>
      <c r="K677" s="1">
        <f t="shared" si="1353"/>
        <v>230000</v>
      </c>
      <c r="L677" s="1">
        <f t="shared" si="1353"/>
        <v>190000</v>
      </c>
      <c r="M677" s="33">
        <f t="shared" si="1353"/>
        <v>150000</v>
      </c>
      <c r="N677" s="1">
        <f t="shared" si="1353"/>
        <v>126000</v>
      </c>
      <c r="O677" s="1">
        <f t="shared" si="1353"/>
        <v>115000</v>
      </c>
      <c r="P677">
        <f t="shared" si="1354"/>
        <v>2366000</v>
      </c>
    </row>
    <row r="678">
      <c r="B678" s="1" t="s">
        <v>5520</v>
      </c>
      <c r="D678" s="34">
        <f t="shared" ref="D678:O678" si="1355">D676+D677</f>
        <v>2090000</v>
      </c>
      <c r="E678">
        <f t="shared" si="1355"/>
        <v>2970000</v>
      </c>
      <c r="F678">
        <f t="shared" si="1355"/>
        <v>1705000</v>
      </c>
      <c r="G678">
        <f t="shared" si="1355"/>
        <v>1980000</v>
      </c>
      <c r="H678">
        <f t="shared" si="1355"/>
        <v>2200000</v>
      </c>
      <c r="I678">
        <f t="shared" si="1355"/>
        <v>3850000</v>
      </c>
      <c r="J678" s="34">
        <f t="shared" si="1355"/>
        <v>2310000</v>
      </c>
      <c r="K678">
        <f t="shared" si="1355"/>
        <v>2530000</v>
      </c>
      <c r="L678">
        <f t="shared" si="1355"/>
        <v>2090000</v>
      </c>
      <c r="M678" s="34">
        <f t="shared" si="1355"/>
        <v>1650000</v>
      </c>
      <c r="N678">
        <f t="shared" si="1355"/>
        <v>1386000</v>
      </c>
      <c r="O678">
        <f t="shared" si="1355"/>
        <v>1265000</v>
      </c>
      <c r="P678">
        <f t="shared" si="1354"/>
        <v>26026000</v>
      </c>
      <c r="T678" s="1" t="s">
        <v>5794</v>
      </c>
      <c r="U678" s="1">
        <v>88884.0</v>
      </c>
      <c r="W678" s="1">
        <v>45977.0</v>
      </c>
      <c r="Y678" s="1">
        <v>129492.0</v>
      </c>
      <c r="AA678" s="1">
        <v>34901.0</v>
      </c>
      <c r="AC678" s="1">
        <v>134074.0</v>
      </c>
      <c r="AE678" s="1">
        <v>166230.0</v>
      </c>
      <c r="AH678" s="1">
        <v>14068.0</v>
      </c>
      <c r="AJ678" s="1">
        <v>1748230.0</v>
      </c>
      <c r="AL678" s="1">
        <v>7905.0</v>
      </c>
    </row>
    <row r="679">
      <c r="B679" s="1" t="s">
        <v>5545</v>
      </c>
      <c r="D679">
        <v>160850.16875340228</v>
      </c>
      <c r="E679">
        <v>153512.46597713663</v>
      </c>
      <c r="F679">
        <v>86893.84866630376</v>
      </c>
      <c r="G679">
        <v>103735.86445291236</v>
      </c>
      <c r="H679" s="134">
        <v>157223.85574305934</v>
      </c>
      <c r="I679">
        <v>206270.60587915077</v>
      </c>
      <c r="J679" s="34">
        <v>51599.5552531301</v>
      </c>
      <c r="K679">
        <v>98594.3798297511</v>
      </c>
      <c r="L679">
        <v>131083.55484635124</v>
      </c>
      <c r="M679" s="134">
        <v>148920.6657593903</v>
      </c>
      <c r="N679" s="159">
        <v>56426.99129014698</v>
      </c>
      <c r="O679">
        <v>63764.69406641263</v>
      </c>
      <c r="P679">
        <f t="shared" si="1354"/>
        <v>1418876.651</v>
      </c>
      <c r="U679" s="1">
        <v>14686.0</v>
      </c>
      <c r="V679" s="1">
        <v>75126.0</v>
      </c>
      <c r="W679" s="1">
        <v>111210.0</v>
      </c>
      <c r="Y679" s="1">
        <v>39644.0</v>
      </c>
      <c r="AA679" s="1">
        <v>74730.0</v>
      </c>
      <c r="AB679" s="1">
        <v>11500.0</v>
      </c>
      <c r="AE679" s="1">
        <v>127818.0</v>
      </c>
      <c r="AG679" s="1">
        <v>24600.0</v>
      </c>
    </row>
    <row r="680">
      <c r="D680">
        <f t="shared" ref="D680:O680" si="1356">D679-D681</f>
        <v>146227.4261</v>
      </c>
      <c r="E680">
        <f t="shared" si="1356"/>
        <v>139556.7873</v>
      </c>
      <c r="F680">
        <f t="shared" si="1356"/>
        <v>78994.40788</v>
      </c>
      <c r="G680">
        <f t="shared" si="1356"/>
        <v>94305.33132</v>
      </c>
      <c r="H680">
        <f t="shared" si="1356"/>
        <v>142930.7779</v>
      </c>
      <c r="I680">
        <f t="shared" si="1356"/>
        <v>187518.7326</v>
      </c>
      <c r="J680" s="34">
        <f t="shared" si="1356"/>
        <v>46908.68659</v>
      </c>
      <c r="K680">
        <f t="shared" si="1356"/>
        <v>89631.25439</v>
      </c>
      <c r="L680">
        <f t="shared" si="1356"/>
        <v>119166.868</v>
      </c>
      <c r="M680">
        <f t="shared" si="1356"/>
        <v>135382.4234</v>
      </c>
      <c r="N680">
        <f t="shared" si="1356"/>
        <v>51297.26481</v>
      </c>
      <c r="O680">
        <f t="shared" si="1356"/>
        <v>57967.9037</v>
      </c>
      <c r="P680">
        <f t="shared" si="1354"/>
        <v>1289887.864</v>
      </c>
      <c r="U680" s="97">
        <f t="shared" ref="U680:U681" si="1358">U678-U670</f>
        <v>553</v>
      </c>
      <c r="V680" s="97"/>
      <c r="W680" s="97">
        <f t="shared" ref="W680:W681" si="1359">W678-W670</f>
        <v>151</v>
      </c>
      <c r="X680" s="97"/>
      <c r="Y680" s="97">
        <f t="shared" ref="Y680:Y681" si="1360">Y678-Y670</f>
        <v>1730</v>
      </c>
      <c r="Z680" s="97"/>
      <c r="AA680" s="97">
        <f t="shared" ref="AA680:AA681" si="1361">AA678-AA670</f>
        <v>1219</v>
      </c>
      <c r="AB680" s="97"/>
      <c r="AC680" s="97">
        <f>AC678-AC670</f>
        <v>1180</v>
      </c>
      <c r="AD680" s="97"/>
      <c r="AE680" s="97">
        <f t="shared" ref="AE680:AE681" si="1362">AE678-AE670</f>
        <v>1552</v>
      </c>
      <c r="AF680" s="97"/>
      <c r="AG680" s="97"/>
      <c r="AH680" s="97">
        <f>AH678-AH670</f>
        <v>143</v>
      </c>
    </row>
    <row r="681">
      <c r="B681" s="1" t="s">
        <v>5499</v>
      </c>
      <c r="D681">
        <f t="shared" ref="D681:O681" si="1357">D679/11</f>
        <v>14622.74261</v>
      </c>
      <c r="E681">
        <f t="shared" si="1357"/>
        <v>13955.67873</v>
      </c>
      <c r="F681">
        <f t="shared" si="1357"/>
        <v>7899.440788</v>
      </c>
      <c r="G681">
        <f t="shared" si="1357"/>
        <v>9430.533132</v>
      </c>
      <c r="H681">
        <f t="shared" si="1357"/>
        <v>14293.07779</v>
      </c>
      <c r="I681">
        <f t="shared" si="1357"/>
        <v>18751.87326</v>
      </c>
      <c r="J681" s="34">
        <f t="shared" si="1357"/>
        <v>4690.868659</v>
      </c>
      <c r="K681">
        <f t="shared" si="1357"/>
        <v>8963.125439</v>
      </c>
      <c r="L681">
        <f t="shared" si="1357"/>
        <v>11916.6868</v>
      </c>
      <c r="M681">
        <f t="shared" si="1357"/>
        <v>13538.24234</v>
      </c>
      <c r="N681">
        <f t="shared" si="1357"/>
        <v>5129.726481</v>
      </c>
      <c r="O681">
        <f t="shared" si="1357"/>
        <v>5796.79037</v>
      </c>
      <c r="P681">
        <f t="shared" si="1354"/>
        <v>128988.7864</v>
      </c>
      <c r="U681" s="167">
        <f t="shared" si="1358"/>
        <v>123</v>
      </c>
      <c r="V681" s="167">
        <f>(V679-V671)</f>
        <v>395</v>
      </c>
      <c r="W681" s="167">
        <f t="shared" si="1359"/>
        <v>430</v>
      </c>
      <c r="X681" s="168">
        <f>W680</f>
        <v>151</v>
      </c>
      <c r="Y681" s="167">
        <f t="shared" si="1360"/>
        <v>514</v>
      </c>
      <c r="Z681" s="169">
        <f>Y680-Y681</f>
        <v>1216</v>
      </c>
      <c r="AA681" s="167">
        <f t="shared" si="1361"/>
        <v>737</v>
      </c>
      <c r="AB681" s="167">
        <f>AB679-AB671</f>
        <v>599</v>
      </c>
      <c r="AC681" s="167">
        <f>(AC680)*73.9/(73.9+99)</f>
        <v>504.3493349</v>
      </c>
      <c r="AD681" s="167">
        <f>(AC680)*99/(73.9+99)</f>
        <v>675.6506651</v>
      </c>
      <c r="AE681" s="167">
        <f t="shared" si="1362"/>
        <v>786</v>
      </c>
      <c r="AF681" s="169">
        <f>AE680-AE681-AG681-30</f>
        <v>579</v>
      </c>
      <c r="AG681" s="167">
        <f>AG679-AG671</f>
        <v>157</v>
      </c>
      <c r="AH681" s="96">
        <v>143.0</v>
      </c>
      <c r="AI681" s="18">
        <f t="shared" ref="AI681:AI682" si="1365">SUM(U681:AH681)</f>
        <v>7010</v>
      </c>
    </row>
    <row r="682">
      <c r="B682" s="23" t="s">
        <v>5528</v>
      </c>
      <c r="D682" s="145">
        <f t="shared" ref="D682:O682" si="1363">SUM(D678,D679)</f>
        <v>2250850.169</v>
      </c>
      <c r="E682" s="145">
        <f t="shared" si="1363"/>
        <v>3123512.466</v>
      </c>
      <c r="F682" s="145">
        <f t="shared" si="1363"/>
        <v>1791893.849</v>
      </c>
      <c r="G682" s="145">
        <f t="shared" si="1363"/>
        <v>2083735.864</v>
      </c>
      <c r="H682" s="145">
        <f t="shared" si="1363"/>
        <v>2357223.856</v>
      </c>
      <c r="I682" s="173">
        <f t="shared" si="1363"/>
        <v>4056270.606</v>
      </c>
      <c r="J682" s="145">
        <f t="shared" si="1363"/>
        <v>2361599.555</v>
      </c>
      <c r="K682" s="174">
        <f t="shared" si="1363"/>
        <v>2628594.38</v>
      </c>
      <c r="L682" s="145">
        <f t="shared" si="1363"/>
        <v>2221083.555</v>
      </c>
      <c r="M682" s="145">
        <f t="shared" si="1363"/>
        <v>1798920.666</v>
      </c>
      <c r="N682" s="145">
        <f t="shared" si="1363"/>
        <v>1442426.991</v>
      </c>
      <c r="O682" s="145">
        <f t="shared" si="1363"/>
        <v>1328764.694</v>
      </c>
      <c r="P682">
        <f t="shared" si="1354"/>
        <v>27444876.65</v>
      </c>
      <c r="U682" s="162">
        <f t="shared" ref="U682:AH682" si="1364">U681*1748230/7010</f>
        <v>30675.07703</v>
      </c>
      <c r="V682" s="162">
        <f t="shared" si="1364"/>
        <v>98509.39372</v>
      </c>
      <c r="W682" s="162">
        <f t="shared" si="1364"/>
        <v>107238.0742</v>
      </c>
      <c r="X682" s="162">
        <f t="shared" si="1364"/>
        <v>37658.0214</v>
      </c>
      <c r="Y682" s="162">
        <f t="shared" si="1364"/>
        <v>128186.9073</v>
      </c>
      <c r="Z682" s="162">
        <f t="shared" si="1364"/>
        <v>303259.2981</v>
      </c>
      <c r="AA682" s="162">
        <f t="shared" si="1364"/>
        <v>183801.0713</v>
      </c>
      <c r="AB682" s="162">
        <f t="shared" si="1364"/>
        <v>149385.1312</v>
      </c>
      <c r="AC682" s="162">
        <f t="shared" si="1364"/>
        <v>125780.1195</v>
      </c>
      <c r="AD682" s="162">
        <f t="shared" si="1364"/>
        <v>168501.1073</v>
      </c>
      <c r="AE682" s="162">
        <f t="shared" si="1364"/>
        <v>196021.224</v>
      </c>
      <c r="AF682" s="162">
        <f t="shared" si="1364"/>
        <v>144397.3138</v>
      </c>
      <c r="AG682" s="162">
        <f t="shared" si="1364"/>
        <v>39154.36662</v>
      </c>
      <c r="AH682" s="162">
        <f t="shared" si="1364"/>
        <v>35662.89444</v>
      </c>
      <c r="AI682" s="18">
        <f t="shared" si="1365"/>
        <v>1748230</v>
      </c>
    </row>
    <row r="683">
      <c r="B683" s="1" t="s">
        <v>5580</v>
      </c>
      <c r="D683">
        <f t="shared" ref="D683:O683" si="1366">D676+D680</f>
        <v>2046227.426</v>
      </c>
      <c r="E683">
        <f t="shared" si="1366"/>
        <v>2839556.787</v>
      </c>
      <c r="F683">
        <f t="shared" si="1366"/>
        <v>1628994.408</v>
      </c>
      <c r="G683">
        <f t="shared" si="1366"/>
        <v>1894305.331</v>
      </c>
      <c r="H683">
        <f t="shared" si="1366"/>
        <v>2142930.778</v>
      </c>
      <c r="I683">
        <f t="shared" si="1366"/>
        <v>3687518.733</v>
      </c>
      <c r="J683" s="34">
        <f t="shared" si="1366"/>
        <v>2146908.687</v>
      </c>
      <c r="K683">
        <f t="shared" si="1366"/>
        <v>2389631.254</v>
      </c>
      <c r="L683">
        <f t="shared" si="1366"/>
        <v>2019166.868</v>
      </c>
      <c r="M683">
        <f t="shared" si="1366"/>
        <v>1635382.423</v>
      </c>
      <c r="N683">
        <f t="shared" si="1366"/>
        <v>1311297.265</v>
      </c>
      <c r="O683">
        <f t="shared" si="1366"/>
        <v>1207967.904</v>
      </c>
      <c r="P683">
        <f t="shared" si="1354"/>
        <v>24949887.86</v>
      </c>
      <c r="U683">
        <v>30675.07703281027</v>
      </c>
      <c r="V683" s="136">
        <v>98509.39372325249</v>
      </c>
      <c r="W683" s="136">
        <v>107238.07417974323</v>
      </c>
      <c r="X683" s="136">
        <v>37658.02139800286</v>
      </c>
      <c r="Y683" s="164">
        <f t="shared" ref="Y683:AG683" si="1367">Y682+3962</f>
        <v>132148.9073</v>
      </c>
      <c r="Z683" s="164">
        <f t="shared" si="1367"/>
        <v>307221.2981</v>
      </c>
      <c r="AA683" s="165">
        <f t="shared" si="1367"/>
        <v>187763.0713</v>
      </c>
      <c r="AB683" s="164">
        <f t="shared" si="1367"/>
        <v>153347.1312</v>
      </c>
      <c r="AC683" s="164">
        <f t="shared" si="1367"/>
        <v>129742.1195</v>
      </c>
      <c r="AD683" s="164">
        <f t="shared" si="1367"/>
        <v>172463.1073</v>
      </c>
      <c r="AE683" s="164">
        <f t="shared" si="1367"/>
        <v>199983.224</v>
      </c>
      <c r="AF683" s="164">
        <f t="shared" si="1367"/>
        <v>148359.3138</v>
      </c>
      <c r="AG683" s="164">
        <f t="shared" si="1367"/>
        <v>43116.36662</v>
      </c>
      <c r="AH683">
        <f>AH682/9</f>
        <v>3962.543826</v>
      </c>
      <c r="AI683" s="18">
        <f>SUM(U683:AG683)</f>
        <v>1748225.106</v>
      </c>
    </row>
    <row r="684">
      <c r="B684" s="1" t="s">
        <v>5582</v>
      </c>
      <c r="D684">
        <f t="shared" ref="D684:O684" si="1368">D677+D681</f>
        <v>204622.7426</v>
      </c>
      <c r="E684">
        <f t="shared" si="1368"/>
        <v>283955.6787</v>
      </c>
      <c r="F684">
        <f t="shared" si="1368"/>
        <v>162899.4408</v>
      </c>
      <c r="G684">
        <f t="shared" si="1368"/>
        <v>189430.5331</v>
      </c>
      <c r="H684">
        <f t="shared" si="1368"/>
        <v>214293.0778</v>
      </c>
      <c r="I684">
        <f t="shared" si="1368"/>
        <v>368751.8733</v>
      </c>
      <c r="J684" s="34">
        <f t="shared" si="1368"/>
        <v>214690.8687</v>
      </c>
      <c r="K684">
        <f t="shared" si="1368"/>
        <v>238963.1254</v>
      </c>
      <c r="L684">
        <f t="shared" si="1368"/>
        <v>201916.6868</v>
      </c>
      <c r="M684">
        <f t="shared" si="1368"/>
        <v>163538.2423</v>
      </c>
      <c r="N684">
        <f t="shared" si="1368"/>
        <v>131129.7265</v>
      </c>
      <c r="O684">
        <f t="shared" si="1368"/>
        <v>120796.7904</v>
      </c>
      <c r="P684">
        <f t="shared" si="1354"/>
        <v>2494988.786</v>
      </c>
      <c r="AA684" s="166">
        <f>AA683+U683</f>
        <v>218438.1484</v>
      </c>
    </row>
    <row r="685">
      <c r="D685" s="33" t="s">
        <v>5566</v>
      </c>
      <c r="E685" s="1" t="s">
        <v>5566</v>
      </c>
      <c r="F685" s="1" t="s">
        <v>5566</v>
      </c>
      <c r="G685" s="1" t="s">
        <v>5566</v>
      </c>
      <c r="H685" s="1" t="s">
        <v>5566</v>
      </c>
      <c r="I685" s="1" t="s">
        <v>5566</v>
      </c>
      <c r="J685" s="1" t="s">
        <v>5566</v>
      </c>
      <c r="K685" s="33" t="s">
        <v>5566</v>
      </c>
      <c r="L685" s="1" t="s">
        <v>5566</v>
      </c>
      <c r="M685" s="1" t="s">
        <v>5566</v>
      </c>
      <c r="N685" s="33" t="s">
        <v>5566</v>
      </c>
      <c r="O685" s="1" t="s">
        <v>5566</v>
      </c>
    </row>
    <row r="686">
      <c r="H686" s="1"/>
      <c r="M686" s="1" t="s">
        <v>5795</v>
      </c>
      <c r="N686" s="33"/>
      <c r="T686" s="1" t="s">
        <v>5796</v>
      </c>
      <c r="U686" s="1">
        <v>89676.0</v>
      </c>
      <c r="W686" s="1">
        <v>46135.0</v>
      </c>
      <c r="Y686" s="1">
        <v>131639.0</v>
      </c>
      <c r="AA686" s="1">
        <v>36426.0</v>
      </c>
      <c r="AC686" s="1">
        <v>135574.0</v>
      </c>
      <c r="AE686" s="1">
        <v>168046.0</v>
      </c>
      <c r="AH686" s="1">
        <v>14232.0</v>
      </c>
      <c r="AJ686" s="1">
        <v>1929670.0</v>
      </c>
      <c r="AL686" s="1">
        <v>8995.0</v>
      </c>
    </row>
    <row r="687">
      <c r="H687" s="1"/>
      <c r="K687" s="175" t="s">
        <v>5797</v>
      </c>
      <c r="M687" s="23" t="s">
        <v>5795</v>
      </c>
      <c r="N687" s="33"/>
      <c r="Q687" s="23" t="s">
        <v>5798</v>
      </c>
      <c r="U687" s="1">
        <v>14823.0</v>
      </c>
      <c r="V687" s="1">
        <v>75742.0</v>
      </c>
      <c r="W687" s="1">
        <v>111725.0</v>
      </c>
      <c r="Y687" s="1">
        <v>40389.0</v>
      </c>
      <c r="AA687" s="1">
        <v>75368.0</v>
      </c>
      <c r="AB687" s="1">
        <v>12440.0</v>
      </c>
      <c r="AE687" s="1">
        <v>128602.0</v>
      </c>
      <c r="AG687" s="1">
        <v>24786.0</v>
      </c>
    </row>
    <row r="688">
      <c r="B688" s="1" t="s">
        <v>5799</v>
      </c>
      <c r="D688" s="33">
        <v>1900000.0</v>
      </c>
      <c r="E688" s="1">
        <v>2700000.0</v>
      </c>
      <c r="F688" s="1">
        <v>1550000.0</v>
      </c>
      <c r="G688" s="1">
        <v>1800000.0</v>
      </c>
      <c r="H688" s="1">
        <v>2000000.0</v>
      </c>
      <c r="I688" s="1">
        <v>3500000.0</v>
      </c>
      <c r="J688" s="33">
        <v>2100000.0</v>
      </c>
      <c r="K688" s="1">
        <v>2300000.0</v>
      </c>
      <c r="L688" s="1">
        <v>1900000.0</v>
      </c>
      <c r="M688" s="33">
        <v>1500000.0</v>
      </c>
      <c r="N688" s="33">
        <v>1260000.0</v>
      </c>
      <c r="O688" s="1">
        <v>1150000.0</v>
      </c>
      <c r="P688">
        <f t="shared" ref="P688:P699" si="1370">SUM(D688:O688)</f>
        <v>23660000</v>
      </c>
      <c r="Q688" s="18">
        <f t="shared" ref="Q688:Q699" si="1371">M688*0.5</f>
        <v>750000</v>
      </c>
      <c r="U688" s="97">
        <f t="shared" ref="U688:U689" si="1372">U686-U678</f>
        <v>792</v>
      </c>
      <c r="V688" s="97"/>
      <c r="W688" s="97">
        <f t="shared" ref="W688:W689" si="1373">W686-W678</f>
        <v>158</v>
      </c>
      <c r="X688" s="97"/>
      <c r="Y688" s="97">
        <f t="shared" ref="Y688:Y689" si="1374">Y686-Y678</f>
        <v>2147</v>
      </c>
      <c r="Z688" s="97"/>
      <c r="AA688" s="97">
        <f t="shared" ref="AA688:AA689" si="1375">AA686-AA678</f>
        <v>1525</v>
      </c>
      <c r="AB688" s="97"/>
      <c r="AC688" s="97">
        <f>AC686-AC678</f>
        <v>1500</v>
      </c>
      <c r="AD688" s="97"/>
      <c r="AE688" s="97">
        <f t="shared" ref="AE688:AE689" si="1376">AE686-AE678</f>
        <v>1816</v>
      </c>
      <c r="AF688" s="97"/>
      <c r="AG688" s="97"/>
      <c r="AH688" s="97">
        <f>AH686-AH678</f>
        <v>164</v>
      </c>
    </row>
    <row r="689">
      <c r="B689" s="1" t="s">
        <v>5499</v>
      </c>
      <c r="D689" s="33">
        <f t="shared" ref="D689:O689" si="1369">D688*0.1</f>
        <v>190000</v>
      </c>
      <c r="E689" s="1">
        <f t="shared" si="1369"/>
        <v>270000</v>
      </c>
      <c r="F689" s="1">
        <f t="shared" si="1369"/>
        <v>155000</v>
      </c>
      <c r="G689" s="1">
        <f t="shared" si="1369"/>
        <v>180000</v>
      </c>
      <c r="H689" s="1">
        <f t="shared" si="1369"/>
        <v>200000</v>
      </c>
      <c r="I689" s="1">
        <f t="shared" si="1369"/>
        <v>350000</v>
      </c>
      <c r="J689" s="33">
        <f t="shared" si="1369"/>
        <v>210000</v>
      </c>
      <c r="K689" s="1">
        <f t="shared" si="1369"/>
        <v>230000</v>
      </c>
      <c r="L689" s="1">
        <f t="shared" si="1369"/>
        <v>190000</v>
      </c>
      <c r="M689" s="33">
        <f t="shared" si="1369"/>
        <v>150000</v>
      </c>
      <c r="N689" s="1">
        <f t="shared" si="1369"/>
        <v>126000</v>
      </c>
      <c r="O689" s="1">
        <f t="shared" si="1369"/>
        <v>115000</v>
      </c>
      <c r="P689">
        <f t="shared" si="1370"/>
        <v>2366000</v>
      </c>
      <c r="Q689" s="18">
        <f t="shared" si="1371"/>
        <v>75000</v>
      </c>
      <c r="U689" s="167">
        <f t="shared" si="1372"/>
        <v>137</v>
      </c>
      <c r="V689" s="167">
        <f>(V687-V679)</f>
        <v>616</v>
      </c>
      <c r="W689" s="167">
        <f t="shared" si="1373"/>
        <v>515</v>
      </c>
      <c r="X689" s="168">
        <f>W688</f>
        <v>158</v>
      </c>
      <c r="Y689" s="167">
        <f t="shared" si="1374"/>
        <v>745</v>
      </c>
      <c r="Z689" s="169">
        <f>Y688-Y689</f>
        <v>1402</v>
      </c>
      <c r="AA689" s="167">
        <f t="shared" si="1375"/>
        <v>638</v>
      </c>
      <c r="AB689" s="167">
        <f>AB687-AB679</f>
        <v>940</v>
      </c>
      <c r="AC689" s="167">
        <f>(AC688)*73.9/(73.9+99)</f>
        <v>641.1220359</v>
      </c>
      <c r="AD689" s="167">
        <f>(AC688)*99/(73.9+99)</f>
        <v>858.8779641</v>
      </c>
      <c r="AE689" s="167">
        <f t="shared" si="1376"/>
        <v>784</v>
      </c>
      <c r="AF689" s="169">
        <f>AE688-AE689-AG689-30</f>
        <v>816</v>
      </c>
      <c r="AG689" s="167">
        <f>AG687-AG679</f>
        <v>186</v>
      </c>
      <c r="AH689" s="96">
        <v>164.0</v>
      </c>
      <c r="AI689" s="18">
        <f t="shared" ref="AI689:AI690" si="1379">SUM(U689:AH689)</f>
        <v>8601</v>
      </c>
    </row>
    <row r="690">
      <c r="B690" s="1" t="s">
        <v>5520</v>
      </c>
      <c r="D690" s="34">
        <f t="shared" ref="D690:O690" si="1377">D688+D689</f>
        <v>2090000</v>
      </c>
      <c r="E690">
        <f t="shared" si="1377"/>
        <v>2970000</v>
      </c>
      <c r="F690">
        <f t="shared" si="1377"/>
        <v>1705000</v>
      </c>
      <c r="G690">
        <f t="shared" si="1377"/>
        <v>1980000</v>
      </c>
      <c r="H690">
        <f t="shared" si="1377"/>
        <v>2200000</v>
      </c>
      <c r="I690">
        <f t="shared" si="1377"/>
        <v>3850000</v>
      </c>
      <c r="J690" s="34">
        <f t="shared" si="1377"/>
        <v>2310000</v>
      </c>
      <c r="K690">
        <f t="shared" si="1377"/>
        <v>2530000</v>
      </c>
      <c r="L690">
        <f t="shared" si="1377"/>
        <v>2090000</v>
      </c>
      <c r="M690" s="34">
        <f t="shared" si="1377"/>
        <v>1650000</v>
      </c>
      <c r="N690">
        <f t="shared" si="1377"/>
        <v>1386000</v>
      </c>
      <c r="O690">
        <f t="shared" si="1377"/>
        <v>1265000</v>
      </c>
      <c r="P690">
        <f t="shared" si="1370"/>
        <v>26026000</v>
      </c>
      <c r="Q690" s="18">
        <f t="shared" si="1371"/>
        <v>825000</v>
      </c>
      <c r="U690" s="162">
        <f t="shared" ref="U690:AH690" si="1378">U689*1929670/8601</f>
        <v>30736.51785</v>
      </c>
      <c r="V690" s="162">
        <f t="shared" si="1378"/>
        <v>138202.1532</v>
      </c>
      <c r="W690" s="162">
        <f t="shared" si="1378"/>
        <v>115542.3846</v>
      </c>
      <c r="X690" s="162">
        <f t="shared" si="1378"/>
        <v>35447.95489</v>
      </c>
      <c r="Y690" s="162">
        <f t="shared" si="1378"/>
        <v>167143.8379</v>
      </c>
      <c r="Z690" s="162">
        <f t="shared" si="1378"/>
        <v>314544.5111</v>
      </c>
      <c r="AA690" s="162">
        <f t="shared" si="1378"/>
        <v>143137.9444</v>
      </c>
      <c r="AB690" s="162">
        <f t="shared" si="1378"/>
        <v>210892.8962</v>
      </c>
      <c r="AC690" s="162">
        <f t="shared" si="1378"/>
        <v>143838.3861</v>
      </c>
      <c r="AD690" s="162">
        <f t="shared" si="1378"/>
        <v>192692.8312</v>
      </c>
      <c r="AE690" s="162">
        <f t="shared" si="1378"/>
        <v>175893.6496</v>
      </c>
      <c r="AF690" s="162">
        <f t="shared" si="1378"/>
        <v>183072.9822</v>
      </c>
      <c r="AG690" s="162">
        <f t="shared" si="1378"/>
        <v>41729.87095</v>
      </c>
      <c r="AH690" s="162">
        <f t="shared" si="1378"/>
        <v>36794.07976</v>
      </c>
      <c r="AI690" s="18">
        <f t="shared" si="1379"/>
        <v>1929670</v>
      </c>
    </row>
    <row r="691">
      <c r="B691" s="1" t="s">
        <v>5545</v>
      </c>
      <c r="D691">
        <v>61521.00995342891</v>
      </c>
      <c r="E691">
        <v>189759.6274312848</v>
      </c>
      <c r="F691">
        <v>80966.34279974432</v>
      </c>
      <c r="G691">
        <v>140977.91608072323</v>
      </c>
      <c r="H691" s="134">
        <v>224626.37375582138</v>
      </c>
      <c r="I691">
        <v>341130.73865400424</v>
      </c>
      <c r="J691" s="34">
        <v>96220.12409825587</v>
      </c>
      <c r="K691">
        <v>138264.58225692142</v>
      </c>
      <c r="L691">
        <v>184258.23739425198</v>
      </c>
      <c r="M691" s="134">
        <v>189758.88037622135</v>
      </c>
      <c r="N691" s="159">
        <v>109965.96283444435</v>
      </c>
      <c r="O691">
        <v>78283.480869327</v>
      </c>
      <c r="P691">
        <f t="shared" si="1370"/>
        <v>1835733.277</v>
      </c>
      <c r="Q691" s="18">
        <f t="shared" si="1371"/>
        <v>94879.44019</v>
      </c>
      <c r="U691">
        <v>30736.517846762006</v>
      </c>
      <c r="V691" s="136">
        <v>138202.15323799558</v>
      </c>
      <c r="W691" s="136">
        <v>115542.3846064411</v>
      </c>
      <c r="X691" s="136">
        <v>35447.9548889664</v>
      </c>
      <c r="Y691" s="164">
        <f t="shared" ref="Y691:AG691" si="1380">Y690+4088</f>
        <v>171231.8379</v>
      </c>
      <c r="Z691" s="164">
        <f t="shared" si="1380"/>
        <v>318632.5111</v>
      </c>
      <c r="AA691" s="165">
        <f t="shared" si="1380"/>
        <v>147225.9444</v>
      </c>
      <c r="AB691" s="164">
        <f t="shared" si="1380"/>
        <v>214980.8962</v>
      </c>
      <c r="AC691" s="164">
        <f t="shared" si="1380"/>
        <v>147926.3861</v>
      </c>
      <c r="AD691" s="164">
        <f t="shared" si="1380"/>
        <v>196780.8312</v>
      </c>
      <c r="AE691" s="164">
        <f t="shared" si="1380"/>
        <v>179981.6496</v>
      </c>
      <c r="AF691" s="164">
        <f t="shared" si="1380"/>
        <v>187160.9822</v>
      </c>
      <c r="AG691" s="164">
        <f t="shared" si="1380"/>
        <v>45817.87095</v>
      </c>
      <c r="AH691">
        <f>AH690/9</f>
        <v>4088.231084</v>
      </c>
      <c r="AI691" s="18">
        <f>SUM(U691:AG691)</f>
        <v>1929667.92</v>
      </c>
    </row>
    <row r="692">
      <c r="D692">
        <f t="shared" ref="D692:O692" si="1381">D691-D693</f>
        <v>55928.19087</v>
      </c>
      <c r="E692">
        <f t="shared" si="1381"/>
        <v>172508.7522</v>
      </c>
      <c r="F692">
        <f t="shared" si="1381"/>
        <v>73605.76618</v>
      </c>
      <c r="G692">
        <f t="shared" si="1381"/>
        <v>128161.7419</v>
      </c>
      <c r="H692">
        <f t="shared" si="1381"/>
        <v>204205.7943</v>
      </c>
      <c r="I692">
        <f t="shared" si="1381"/>
        <v>310118.8533</v>
      </c>
      <c r="J692" s="34">
        <f t="shared" si="1381"/>
        <v>87472.84009</v>
      </c>
      <c r="K692">
        <f t="shared" si="1381"/>
        <v>125695.0748</v>
      </c>
      <c r="L692">
        <f t="shared" si="1381"/>
        <v>167507.4885</v>
      </c>
      <c r="M692">
        <f t="shared" si="1381"/>
        <v>172508.0731</v>
      </c>
      <c r="N692">
        <f t="shared" si="1381"/>
        <v>99969.05712</v>
      </c>
      <c r="O692">
        <f t="shared" si="1381"/>
        <v>71166.80079</v>
      </c>
      <c r="P692">
        <f t="shared" si="1370"/>
        <v>1668848.433</v>
      </c>
      <c r="Q692" s="18">
        <f t="shared" si="1371"/>
        <v>86254.03653</v>
      </c>
      <c r="AA692" s="166">
        <f>AA691+U691</f>
        <v>177962.4623</v>
      </c>
    </row>
    <row r="693">
      <c r="B693" s="1" t="s">
        <v>5499</v>
      </c>
      <c r="D693">
        <f t="shared" ref="D693:O693" si="1382">D691/11</f>
        <v>5592.819087</v>
      </c>
      <c r="E693">
        <f t="shared" si="1382"/>
        <v>17250.87522</v>
      </c>
      <c r="F693">
        <f t="shared" si="1382"/>
        <v>7360.576618</v>
      </c>
      <c r="G693">
        <f t="shared" si="1382"/>
        <v>12816.17419</v>
      </c>
      <c r="H693">
        <f t="shared" si="1382"/>
        <v>20420.57943</v>
      </c>
      <c r="I693">
        <f t="shared" si="1382"/>
        <v>31011.88533</v>
      </c>
      <c r="J693" s="34">
        <f t="shared" si="1382"/>
        <v>8747.284009</v>
      </c>
      <c r="K693">
        <f t="shared" si="1382"/>
        <v>12569.50748</v>
      </c>
      <c r="L693">
        <f t="shared" si="1382"/>
        <v>16750.74885</v>
      </c>
      <c r="M693">
        <f t="shared" si="1382"/>
        <v>17250.80731</v>
      </c>
      <c r="N693">
        <f t="shared" si="1382"/>
        <v>9996.905712</v>
      </c>
      <c r="O693">
        <f t="shared" si="1382"/>
        <v>7116.680079</v>
      </c>
      <c r="P693">
        <f t="shared" si="1370"/>
        <v>166884.8433</v>
      </c>
      <c r="Q693" s="18">
        <f t="shared" si="1371"/>
        <v>8625.403653</v>
      </c>
    </row>
    <row r="694">
      <c r="B694" s="1" t="s">
        <v>5800</v>
      </c>
      <c r="D694">
        <v>45651.57428857299</v>
      </c>
      <c r="E694">
        <v>19009.783755036548</v>
      </c>
      <c r="F694">
        <v>19009.783755036548</v>
      </c>
      <c r="G694">
        <v>17441.242484608658</v>
      </c>
      <c r="H694" s="134">
        <v>25096.660326846282</v>
      </c>
      <c r="I694">
        <v>31862.457747050175</v>
      </c>
      <c r="J694">
        <v>25354.18202796131</v>
      </c>
      <c r="K694">
        <v>17300.77610218228</v>
      </c>
      <c r="L694">
        <v>23176.953100352443</v>
      </c>
      <c r="M694" s="134">
        <v>11820.246081179748</v>
      </c>
      <c r="N694" s="159">
        <v>13601.82803162098</v>
      </c>
      <c r="O694">
        <v>10394.512299552005</v>
      </c>
      <c r="P694">
        <f t="shared" si="1370"/>
        <v>259720</v>
      </c>
      <c r="Q694" s="18">
        <f t="shared" si="1371"/>
        <v>5910.123041</v>
      </c>
      <c r="T694" s="1" t="s">
        <v>5801</v>
      </c>
      <c r="U694" s="1">
        <v>90351.0</v>
      </c>
      <c r="W694" s="1">
        <v>46286.0</v>
      </c>
      <c r="Y694" s="1">
        <v>133297.0</v>
      </c>
      <c r="AA694" s="1">
        <v>37406.0</v>
      </c>
      <c r="AC694" s="1">
        <v>136467.0</v>
      </c>
      <c r="AE694" s="1">
        <v>169210.0</v>
      </c>
      <c r="AH694" s="1">
        <v>14358.0</v>
      </c>
      <c r="AJ694" s="1">
        <v>1626730.0</v>
      </c>
      <c r="AL694" s="1">
        <v>7956.0</v>
      </c>
    </row>
    <row r="695">
      <c r="B695" s="23" t="s">
        <v>5598</v>
      </c>
      <c r="D695" s="18">
        <f t="shared" ref="D695:O695" si="1383">SUM(D690,D691,D694)</f>
        <v>2197172.584</v>
      </c>
      <c r="E695" s="18">
        <f t="shared" si="1383"/>
        <v>3178769.411</v>
      </c>
      <c r="F695" s="18">
        <f t="shared" si="1383"/>
        <v>1804976.127</v>
      </c>
      <c r="G695" s="18">
        <f t="shared" si="1383"/>
        <v>2138419.159</v>
      </c>
      <c r="H695" s="18">
        <f t="shared" si="1383"/>
        <v>2449723.034</v>
      </c>
      <c r="I695" s="18">
        <f t="shared" si="1383"/>
        <v>4222993.196</v>
      </c>
      <c r="J695" s="18">
        <f t="shared" si="1383"/>
        <v>2431574.306</v>
      </c>
      <c r="K695" s="18">
        <f t="shared" si="1383"/>
        <v>2685565.358</v>
      </c>
      <c r="L695" s="18">
        <f t="shared" si="1383"/>
        <v>2297435.19</v>
      </c>
      <c r="M695" s="18">
        <f t="shared" si="1383"/>
        <v>1851579.126</v>
      </c>
      <c r="N695" s="18">
        <f t="shared" si="1383"/>
        <v>1509567.791</v>
      </c>
      <c r="O695" s="18">
        <f t="shared" si="1383"/>
        <v>1353677.993</v>
      </c>
      <c r="P695">
        <f t="shared" si="1370"/>
        <v>28121453.28</v>
      </c>
      <c r="Q695" s="18">
        <f t="shared" si="1371"/>
        <v>925789.5632</v>
      </c>
      <c r="U695" s="1">
        <v>14954.0</v>
      </c>
      <c r="V695" s="1">
        <v>76257.0</v>
      </c>
      <c r="W695" s="1">
        <v>112151.0</v>
      </c>
      <c r="Y695" s="1">
        <v>40816.0</v>
      </c>
      <c r="AA695" s="1">
        <v>76159.0</v>
      </c>
      <c r="AB695" s="1">
        <v>12588.0</v>
      </c>
      <c r="AE695" s="1">
        <v>129266.0</v>
      </c>
      <c r="AG695" s="1">
        <v>25062.0</v>
      </c>
    </row>
    <row r="696">
      <c r="B696" s="1" t="s">
        <v>5599</v>
      </c>
      <c r="D696">
        <f t="shared" ref="D696:O696" si="1384">SUM(D688,D692,D694)</f>
        <v>2001579.765</v>
      </c>
      <c r="E696">
        <f t="shared" si="1384"/>
        <v>2891518.536</v>
      </c>
      <c r="F696">
        <f t="shared" si="1384"/>
        <v>1642615.55</v>
      </c>
      <c r="G696">
        <f t="shared" si="1384"/>
        <v>1945602.984</v>
      </c>
      <c r="H696">
        <f t="shared" si="1384"/>
        <v>2229302.455</v>
      </c>
      <c r="I696">
        <f t="shared" si="1384"/>
        <v>3841981.311</v>
      </c>
      <c r="J696">
        <f t="shared" si="1384"/>
        <v>2212827.022</v>
      </c>
      <c r="K696">
        <f t="shared" si="1384"/>
        <v>2442995.851</v>
      </c>
      <c r="L696">
        <f t="shared" si="1384"/>
        <v>2090684.442</v>
      </c>
      <c r="M696">
        <f t="shared" si="1384"/>
        <v>1684328.319</v>
      </c>
      <c r="N696">
        <f t="shared" si="1384"/>
        <v>1373570.885</v>
      </c>
      <c r="O696">
        <f t="shared" si="1384"/>
        <v>1231561.313</v>
      </c>
      <c r="P696">
        <f t="shared" si="1370"/>
        <v>25588568.43</v>
      </c>
      <c r="Q696" s="18">
        <f t="shared" si="1371"/>
        <v>842164.1596</v>
      </c>
      <c r="U696" s="97">
        <f t="shared" ref="U696:U697" si="1386">U694-U686</f>
        <v>675</v>
      </c>
      <c r="V696" s="97"/>
      <c r="W696" s="97">
        <f t="shared" ref="W696:W697" si="1387">W694-W686</f>
        <v>151</v>
      </c>
      <c r="X696" s="97"/>
      <c r="Y696" s="97">
        <f t="shared" ref="Y696:Y697" si="1388">Y694-Y686</f>
        <v>1658</v>
      </c>
      <c r="Z696" s="97"/>
      <c r="AA696" s="97">
        <f t="shared" ref="AA696:AA697" si="1389">AA694-AA686</f>
        <v>980</v>
      </c>
      <c r="AB696" s="97"/>
      <c r="AC696" s="97">
        <f>AC694-AC686</f>
        <v>893</v>
      </c>
      <c r="AD696" s="97"/>
      <c r="AE696" s="97">
        <f t="shared" ref="AE696:AE697" si="1390">AE694-AE686</f>
        <v>1164</v>
      </c>
      <c r="AF696" s="97"/>
      <c r="AG696" s="97"/>
      <c r="AH696" s="97">
        <f>AH694-AH686</f>
        <v>126</v>
      </c>
    </row>
    <row r="697">
      <c r="B697" s="1" t="s">
        <v>5601</v>
      </c>
      <c r="D697">
        <f t="shared" ref="D697:O697" si="1385">SUM(D688,D692)</f>
        <v>1955928.191</v>
      </c>
      <c r="E697">
        <f t="shared" si="1385"/>
        <v>2872508.752</v>
      </c>
      <c r="F697">
        <f t="shared" si="1385"/>
        <v>1623605.766</v>
      </c>
      <c r="G697">
        <f t="shared" si="1385"/>
        <v>1928161.742</v>
      </c>
      <c r="H697">
        <f t="shared" si="1385"/>
        <v>2204205.794</v>
      </c>
      <c r="I697">
        <f t="shared" si="1385"/>
        <v>3810118.853</v>
      </c>
      <c r="J697">
        <f t="shared" si="1385"/>
        <v>2187472.84</v>
      </c>
      <c r="K697">
        <f t="shared" si="1385"/>
        <v>2425695.075</v>
      </c>
      <c r="L697">
        <f t="shared" si="1385"/>
        <v>2067507.489</v>
      </c>
      <c r="M697">
        <f t="shared" si="1385"/>
        <v>1672508.073</v>
      </c>
      <c r="N697">
        <f t="shared" si="1385"/>
        <v>1359969.057</v>
      </c>
      <c r="O697">
        <f t="shared" si="1385"/>
        <v>1221166.801</v>
      </c>
      <c r="P697">
        <f t="shared" si="1370"/>
        <v>25328848.43</v>
      </c>
      <c r="Q697" s="18">
        <f t="shared" si="1371"/>
        <v>836254.0365</v>
      </c>
      <c r="U697" s="167">
        <f t="shared" si="1386"/>
        <v>131</v>
      </c>
      <c r="V697" s="167">
        <f>(V695-V687)</f>
        <v>515</v>
      </c>
      <c r="W697" s="167">
        <f t="shared" si="1387"/>
        <v>426</v>
      </c>
      <c r="X697" s="168">
        <f>W696</f>
        <v>151</v>
      </c>
      <c r="Y697" s="167">
        <f t="shared" si="1388"/>
        <v>427</v>
      </c>
      <c r="Z697" s="169">
        <f>Y696-Y697</f>
        <v>1231</v>
      </c>
      <c r="AA697" s="167">
        <f t="shared" si="1389"/>
        <v>791</v>
      </c>
      <c r="AB697" s="167">
        <f>AB695-AB687</f>
        <v>148</v>
      </c>
      <c r="AC697" s="167">
        <f>(AC696)*73.9/(73.9+99)</f>
        <v>381.6813187</v>
      </c>
      <c r="AD697" s="167">
        <f>(AC696)*99/(73.9+99)</f>
        <v>511.3186813</v>
      </c>
      <c r="AE697" s="167">
        <f t="shared" si="1390"/>
        <v>664</v>
      </c>
      <c r="AF697" s="169">
        <f>AE696-AE697-AG697-30</f>
        <v>194</v>
      </c>
      <c r="AG697" s="167">
        <f>AG695-AG687</f>
        <v>276</v>
      </c>
      <c r="AH697" s="96">
        <v>126.0</v>
      </c>
      <c r="AI697" s="18">
        <f t="shared" ref="AI697:AI698" si="1393">SUM(U697:AH697)</f>
        <v>5973</v>
      </c>
    </row>
    <row r="698">
      <c r="B698" s="1" t="s">
        <v>5582</v>
      </c>
      <c r="D698">
        <f t="shared" ref="D698:O698" si="1391">SUM(D689,D693)</f>
        <v>195592.8191</v>
      </c>
      <c r="E698">
        <f t="shared" si="1391"/>
        <v>287250.8752</v>
      </c>
      <c r="F698">
        <f t="shared" si="1391"/>
        <v>162360.5766</v>
      </c>
      <c r="G698">
        <f t="shared" si="1391"/>
        <v>192816.1742</v>
      </c>
      <c r="H698">
        <f t="shared" si="1391"/>
        <v>220420.5794</v>
      </c>
      <c r="I698">
        <f t="shared" si="1391"/>
        <v>381011.8853</v>
      </c>
      <c r="J698">
        <f t="shared" si="1391"/>
        <v>218747.284</v>
      </c>
      <c r="K698">
        <f t="shared" si="1391"/>
        <v>242569.5075</v>
      </c>
      <c r="L698">
        <f t="shared" si="1391"/>
        <v>206750.7489</v>
      </c>
      <c r="M698">
        <f t="shared" si="1391"/>
        <v>167250.8073</v>
      </c>
      <c r="N698">
        <f t="shared" si="1391"/>
        <v>135996.9057</v>
      </c>
      <c r="O698">
        <f t="shared" si="1391"/>
        <v>122116.6801</v>
      </c>
      <c r="P698">
        <f t="shared" si="1370"/>
        <v>2532884.843</v>
      </c>
      <c r="Q698" s="18">
        <f t="shared" si="1371"/>
        <v>83625.40365</v>
      </c>
      <c r="U698" s="162">
        <f t="shared" ref="U698:AH698" si="1392">U697*1626730/5973</f>
        <v>35677.48702</v>
      </c>
      <c r="V698" s="162">
        <f t="shared" si="1392"/>
        <v>140258.823</v>
      </c>
      <c r="W698" s="162">
        <f t="shared" si="1392"/>
        <v>116019.9196</v>
      </c>
      <c r="X698" s="162">
        <f t="shared" si="1392"/>
        <v>41124.43161</v>
      </c>
      <c r="Y698" s="162">
        <f t="shared" si="1392"/>
        <v>116292.2669</v>
      </c>
      <c r="Z698" s="162">
        <f t="shared" si="1392"/>
        <v>335259.4391</v>
      </c>
      <c r="AA698" s="162">
        <f t="shared" si="1392"/>
        <v>215426.6583</v>
      </c>
      <c r="AB698" s="162">
        <f t="shared" si="1392"/>
        <v>40307.38992</v>
      </c>
      <c r="AC698" s="162">
        <f t="shared" si="1392"/>
        <v>103949.8496</v>
      </c>
      <c r="AD698" s="162">
        <f t="shared" si="1392"/>
        <v>139256.2261</v>
      </c>
      <c r="AE698" s="162">
        <f t="shared" si="1392"/>
        <v>180838.5602</v>
      </c>
      <c r="AF698" s="162">
        <f t="shared" si="1392"/>
        <v>52835.36246</v>
      </c>
      <c r="AG698" s="162">
        <f t="shared" si="1392"/>
        <v>75167.83526</v>
      </c>
      <c r="AH698" s="162">
        <f t="shared" si="1392"/>
        <v>34315.75088</v>
      </c>
      <c r="AI698" s="18">
        <f t="shared" si="1393"/>
        <v>1626730</v>
      </c>
    </row>
    <row r="699">
      <c r="B699" s="1" t="s">
        <v>5602</v>
      </c>
      <c r="D699">
        <f t="shared" ref="D699:O699" si="1394">SUM(D697:D698)</f>
        <v>2151521.01</v>
      </c>
      <c r="E699">
        <f t="shared" si="1394"/>
        <v>3159759.627</v>
      </c>
      <c r="F699">
        <f t="shared" si="1394"/>
        <v>1785966.343</v>
      </c>
      <c r="G699">
        <f t="shared" si="1394"/>
        <v>2120977.916</v>
      </c>
      <c r="H699">
        <f t="shared" si="1394"/>
        <v>2424626.374</v>
      </c>
      <c r="I699">
        <f t="shared" si="1394"/>
        <v>4191130.739</v>
      </c>
      <c r="J699">
        <f t="shared" si="1394"/>
        <v>2406220.124</v>
      </c>
      <c r="K699">
        <f t="shared" si="1394"/>
        <v>2668264.582</v>
      </c>
      <c r="L699">
        <f t="shared" si="1394"/>
        <v>2274258.237</v>
      </c>
      <c r="M699">
        <f t="shared" si="1394"/>
        <v>1839758.88</v>
      </c>
      <c r="N699">
        <f t="shared" si="1394"/>
        <v>1495965.963</v>
      </c>
      <c r="O699">
        <f t="shared" si="1394"/>
        <v>1343283.481</v>
      </c>
      <c r="P699">
        <f t="shared" si="1370"/>
        <v>27861733.28</v>
      </c>
      <c r="Q699" s="18">
        <f t="shared" si="1371"/>
        <v>919879.4402</v>
      </c>
      <c r="U699">
        <v>35677.487024945585</v>
      </c>
      <c r="V699" s="136">
        <v>140258.82303699982</v>
      </c>
      <c r="W699" s="136">
        <v>116019.91963837268</v>
      </c>
      <c r="X699" s="136">
        <v>41124.43160890675</v>
      </c>
      <c r="Y699" s="164">
        <f t="shared" ref="Y699:AG699" si="1395">Y698+3812</f>
        <v>120104.2669</v>
      </c>
      <c r="Z699" s="164">
        <f t="shared" si="1395"/>
        <v>339071.4391</v>
      </c>
      <c r="AA699" s="165">
        <f t="shared" si="1395"/>
        <v>219238.6583</v>
      </c>
      <c r="AB699" s="164">
        <f t="shared" si="1395"/>
        <v>44119.38992</v>
      </c>
      <c r="AC699" s="164">
        <f t="shared" si="1395"/>
        <v>107761.8496</v>
      </c>
      <c r="AD699" s="164">
        <f t="shared" si="1395"/>
        <v>143068.2261</v>
      </c>
      <c r="AE699" s="164">
        <f t="shared" si="1395"/>
        <v>184650.5602</v>
      </c>
      <c r="AF699" s="164">
        <f t="shared" si="1395"/>
        <v>56647.36246</v>
      </c>
      <c r="AG699" s="164">
        <f t="shared" si="1395"/>
        <v>78979.83526</v>
      </c>
      <c r="AH699">
        <f>AH698/9</f>
        <v>3812.861209</v>
      </c>
      <c r="AI699" s="18">
        <f>SUM(U699:AG699)</f>
        <v>1626722.249</v>
      </c>
    </row>
    <row r="700">
      <c r="D700" s="1" t="s">
        <v>5566</v>
      </c>
      <c r="E700" s="1" t="s">
        <v>5566</v>
      </c>
      <c r="F700" s="1" t="s">
        <v>5566</v>
      </c>
      <c r="G700" s="1" t="s">
        <v>5566</v>
      </c>
      <c r="H700" s="1" t="s">
        <v>5566</v>
      </c>
      <c r="I700" s="1" t="s">
        <v>5566</v>
      </c>
      <c r="J700" s="1" t="s">
        <v>5566</v>
      </c>
      <c r="K700" s="1" t="s">
        <v>5566</v>
      </c>
      <c r="L700" s="1" t="s">
        <v>5566</v>
      </c>
      <c r="M700" s="1" t="s">
        <v>5566</v>
      </c>
      <c r="N700" s="33" t="s">
        <v>5566</v>
      </c>
      <c r="O700" s="1" t="s">
        <v>5566</v>
      </c>
      <c r="AA700" s="166">
        <f>AA699+U699</f>
        <v>254916.1453</v>
      </c>
    </row>
    <row r="701">
      <c r="H701" s="1"/>
      <c r="M701" s="1"/>
      <c r="N701" s="33"/>
    </row>
    <row r="702">
      <c r="H702" s="1"/>
      <c r="M702" s="23" t="s">
        <v>5795</v>
      </c>
      <c r="N702" s="33"/>
      <c r="Q702" s="23" t="s">
        <v>5802</v>
      </c>
      <c r="T702" s="1" t="s">
        <v>5803</v>
      </c>
      <c r="U702" s="1">
        <v>90894.0</v>
      </c>
      <c r="W702" s="1">
        <v>46431.0</v>
      </c>
      <c r="Y702" s="1">
        <v>134493.0</v>
      </c>
      <c r="AA702" s="1">
        <v>38071.0</v>
      </c>
      <c r="AC702" s="1">
        <v>137236.0</v>
      </c>
      <c r="AE702" s="1">
        <v>170024.0</v>
      </c>
      <c r="AH702" s="1">
        <v>14485.0</v>
      </c>
      <c r="AJ702" s="1">
        <v>1114860.0</v>
      </c>
      <c r="AL702" s="1">
        <v>5668.0</v>
      </c>
    </row>
    <row r="703">
      <c r="B703" s="1" t="s">
        <v>5804</v>
      </c>
      <c r="D703" s="33">
        <v>1900000.0</v>
      </c>
      <c r="E703" s="1">
        <v>2700000.0</v>
      </c>
      <c r="F703" s="1">
        <v>1550000.0</v>
      </c>
      <c r="G703" s="1">
        <v>1800000.0</v>
      </c>
      <c r="H703" s="1">
        <v>2000000.0</v>
      </c>
      <c r="I703" s="1">
        <v>3500000.0</v>
      </c>
      <c r="J703" s="33">
        <v>2100000.0</v>
      </c>
      <c r="K703" s="1">
        <v>2300000.0</v>
      </c>
      <c r="L703" s="1">
        <v>1900000.0</v>
      </c>
      <c r="M703" s="33">
        <v>1500000.0</v>
      </c>
      <c r="N703" s="33">
        <v>1260000.0</v>
      </c>
      <c r="O703" s="1">
        <v>1150000.0</v>
      </c>
      <c r="P703">
        <f t="shared" ref="P703:P711" si="1397">SUM(D703:O703)</f>
        <v>23660000</v>
      </c>
      <c r="Q703" s="18">
        <f t="shared" ref="Q703:Q711" si="1398">M703*0.5</f>
        <v>750000</v>
      </c>
      <c r="U703" s="1">
        <v>15083.0</v>
      </c>
      <c r="V703" s="1">
        <v>76642.0</v>
      </c>
      <c r="W703" s="1">
        <v>112490.0</v>
      </c>
      <c r="Y703" s="1">
        <v>41100.0</v>
      </c>
      <c r="AA703" s="1">
        <v>76755.0</v>
      </c>
      <c r="AB703" s="1">
        <v>12711.0</v>
      </c>
      <c r="AE703" s="1">
        <v>129736.0</v>
      </c>
      <c r="AG703" s="1">
        <v>25210.0</v>
      </c>
    </row>
    <row r="704">
      <c r="B704" s="1" t="s">
        <v>5499</v>
      </c>
      <c r="D704" s="33">
        <f t="shared" ref="D704:O704" si="1396">D703*0.1</f>
        <v>190000</v>
      </c>
      <c r="E704" s="1">
        <f t="shared" si="1396"/>
        <v>270000</v>
      </c>
      <c r="F704" s="1">
        <f t="shared" si="1396"/>
        <v>155000</v>
      </c>
      <c r="G704" s="1">
        <f t="shared" si="1396"/>
        <v>180000</v>
      </c>
      <c r="H704" s="1">
        <f t="shared" si="1396"/>
        <v>200000</v>
      </c>
      <c r="I704" s="1">
        <f t="shared" si="1396"/>
        <v>350000</v>
      </c>
      <c r="J704" s="33">
        <f t="shared" si="1396"/>
        <v>210000</v>
      </c>
      <c r="K704" s="1">
        <f t="shared" si="1396"/>
        <v>230000</v>
      </c>
      <c r="L704" s="1">
        <f t="shared" si="1396"/>
        <v>190000</v>
      </c>
      <c r="M704" s="33">
        <f t="shared" si="1396"/>
        <v>150000</v>
      </c>
      <c r="N704" s="1">
        <f t="shared" si="1396"/>
        <v>126000</v>
      </c>
      <c r="O704" s="1">
        <f t="shared" si="1396"/>
        <v>115000</v>
      </c>
      <c r="P704">
        <f t="shared" si="1397"/>
        <v>2366000</v>
      </c>
      <c r="Q704" s="18">
        <f t="shared" si="1398"/>
        <v>75000</v>
      </c>
      <c r="U704" s="97">
        <f t="shared" ref="U704:U705" si="1400">U702-U694</f>
        <v>543</v>
      </c>
      <c r="V704" s="97"/>
      <c r="W704" s="97">
        <f t="shared" ref="W704:W705" si="1401">W702-W694</f>
        <v>145</v>
      </c>
      <c r="X704" s="97"/>
      <c r="Y704" s="97">
        <f t="shared" ref="Y704:Y705" si="1402">Y702-Y694</f>
        <v>1196</v>
      </c>
      <c r="Z704" s="97"/>
      <c r="AA704" s="97">
        <f t="shared" ref="AA704:AA705" si="1403">AA702-AA694</f>
        <v>665</v>
      </c>
      <c r="AB704" s="97"/>
      <c r="AC704" s="97">
        <f>AC702-AC694</f>
        <v>769</v>
      </c>
      <c r="AD704" s="97"/>
      <c r="AE704" s="97">
        <f t="shared" ref="AE704:AE705" si="1404">AE702-AE694</f>
        <v>814</v>
      </c>
      <c r="AF704" s="97"/>
      <c r="AG704" s="97"/>
      <c r="AH704" s="97">
        <f>AH702-AH694</f>
        <v>127</v>
      </c>
    </row>
    <row r="705">
      <c r="B705" s="1" t="s">
        <v>5520</v>
      </c>
      <c r="D705" s="34">
        <f t="shared" ref="D705:O705" si="1399">D703+D704</f>
        <v>2090000</v>
      </c>
      <c r="E705">
        <f t="shared" si="1399"/>
        <v>2970000</v>
      </c>
      <c r="F705">
        <f t="shared" si="1399"/>
        <v>1705000</v>
      </c>
      <c r="G705">
        <f t="shared" si="1399"/>
        <v>1980000</v>
      </c>
      <c r="H705">
        <f t="shared" si="1399"/>
        <v>2200000</v>
      </c>
      <c r="I705">
        <f t="shared" si="1399"/>
        <v>3850000</v>
      </c>
      <c r="J705" s="34">
        <f t="shared" si="1399"/>
        <v>2310000</v>
      </c>
      <c r="K705">
        <f t="shared" si="1399"/>
        <v>2530000</v>
      </c>
      <c r="L705">
        <f t="shared" si="1399"/>
        <v>2090000</v>
      </c>
      <c r="M705" s="34">
        <f t="shared" si="1399"/>
        <v>1650000</v>
      </c>
      <c r="N705">
        <f t="shared" si="1399"/>
        <v>1386000</v>
      </c>
      <c r="O705">
        <f t="shared" si="1399"/>
        <v>1265000</v>
      </c>
      <c r="P705">
        <f t="shared" si="1397"/>
        <v>26026000</v>
      </c>
      <c r="Q705" s="18">
        <f t="shared" si="1398"/>
        <v>825000</v>
      </c>
      <c r="U705" s="167">
        <f t="shared" si="1400"/>
        <v>129</v>
      </c>
      <c r="V705" s="167">
        <f>(V703-V695)</f>
        <v>385</v>
      </c>
      <c r="W705" s="167">
        <f t="shared" si="1401"/>
        <v>339</v>
      </c>
      <c r="X705" s="168">
        <f>W704</f>
        <v>145</v>
      </c>
      <c r="Y705" s="167">
        <f t="shared" si="1402"/>
        <v>284</v>
      </c>
      <c r="Z705" s="169">
        <f>Y704-Y705</f>
        <v>912</v>
      </c>
      <c r="AA705" s="167">
        <f t="shared" si="1403"/>
        <v>596</v>
      </c>
      <c r="AB705" s="167">
        <f>AB703-AB695</f>
        <v>123</v>
      </c>
      <c r="AC705" s="167">
        <f>(AC704)*73.9/(73.9+99)</f>
        <v>328.6818971</v>
      </c>
      <c r="AD705" s="167">
        <f>(AC704)*99/(73.9+99)</f>
        <v>440.3181029</v>
      </c>
      <c r="AE705" s="167">
        <f t="shared" si="1404"/>
        <v>470</v>
      </c>
      <c r="AF705" s="169">
        <f>AE704-AE705-AG705-30</f>
        <v>166</v>
      </c>
      <c r="AG705" s="167">
        <f>AG703-AG695</f>
        <v>148</v>
      </c>
      <c r="AH705" s="96">
        <v>127.0</v>
      </c>
      <c r="AI705" s="18">
        <f t="shared" ref="AI705:AI706" si="1406">SUM(U705:AH705)</f>
        <v>4593</v>
      </c>
    </row>
    <row r="706">
      <c r="B706" s="1" t="s">
        <v>5545</v>
      </c>
      <c r="D706">
        <v>219706.06421858683</v>
      </c>
      <c r="E706">
        <v>181986.90132265925</v>
      </c>
      <c r="F706">
        <v>90751.6611555865</v>
      </c>
      <c r="G706">
        <v>119264.54176818657</v>
      </c>
      <c r="H706" s="134">
        <v>206631.1498433693</v>
      </c>
      <c r="I706">
        <v>316564.7784545771</v>
      </c>
      <c r="J706">
        <v>57688.8143056039</v>
      </c>
      <c r="K706">
        <v>134658.33379027774</v>
      </c>
      <c r="L706">
        <v>179470.26854177934</v>
      </c>
      <c r="M706" s="134">
        <v>168267.2149321267</v>
      </c>
      <c r="N706" s="159">
        <v>94118.4331709015</v>
      </c>
      <c r="O706">
        <v>83318.50191437521</v>
      </c>
      <c r="P706">
        <f t="shared" si="1397"/>
        <v>1852426.663</v>
      </c>
      <c r="Q706" s="18">
        <f t="shared" si="1398"/>
        <v>84133.60747</v>
      </c>
      <c r="U706" s="162">
        <f t="shared" ref="U706:AH706" si="1405">U705*1114860/4593</f>
        <v>31312.20118</v>
      </c>
      <c r="V706" s="162">
        <f t="shared" si="1405"/>
        <v>93451.14304</v>
      </c>
      <c r="W706" s="162">
        <f t="shared" si="1405"/>
        <v>82285.55193</v>
      </c>
      <c r="X706" s="162">
        <f t="shared" si="1405"/>
        <v>35195.88504</v>
      </c>
      <c r="Y706" s="162">
        <f t="shared" si="1405"/>
        <v>68935.38863</v>
      </c>
      <c r="Z706" s="162">
        <f t="shared" si="1405"/>
        <v>221369.9804</v>
      </c>
      <c r="AA706" s="162">
        <f t="shared" si="1405"/>
        <v>144667.224</v>
      </c>
      <c r="AB706" s="162">
        <f t="shared" si="1405"/>
        <v>29855.81973</v>
      </c>
      <c r="AC706" s="162">
        <f t="shared" si="1405"/>
        <v>79781.0363</v>
      </c>
      <c r="AD706" s="162">
        <f t="shared" si="1405"/>
        <v>106878.5195</v>
      </c>
      <c r="AE706" s="162">
        <f t="shared" si="1405"/>
        <v>114083.2136</v>
      </c>
      <c r="AF706" s="162">
        <f t="shared" si="1405"/>
        <v>40293.22012</v>
      </c>
      <c r="AG706" s="162">
        <f t="shared" si="1405"/>
        <v>35924.07577</v>
      </c>
      <c r="AH706" s="162">
        <f t="shared" si="1405"/>
        <v>30826.74069</v>
      </c>
      <c r="AI706" s="18">
        <f t="shared" si="1406"/>
        <v>1114860</v>
      </c>
    </row>
    <row r="707">
      <c r="D707">
        <f t="shared" ref="D707:O707" si="1407">D706-D708</f>
        <v>199732.7857</v>
      </c>
      <c r="E707">
        <f t="shared" si="1407"/>
        <v>165442.6376</v>
      </c>
      <c r="F707">
        <f t="shared" si="1407"/>
        <v>82501.51014</v>
      </c>
      <c r="G707">
        <f t="shared" si="1407"/>
        <v>108422.3107</v>
      </c>
      <c r="H707">
        <f t="shared" si="1407"/>
        <v>187846.4999</v>
      </c>
      <c r="I707">
        <f t="shared" si="1407"/>
        <v>287786.1622</v>
      </c>
      <c r="J707" s="34">
        <f t="shared" si="1407"/>
        <v>52444.37664</v>
      </c>
      <c r="K707">
        <f t="shared" si="1407"/>
        <v>122416.6671</v>
      </c>
      <c r="L707">
        <f t="shared" si="1407"/>
        <v>163154.7896</v>
      </c>
      <c r="M707">
        <f t="shared" si="1407"/>
        <v>152970.1954</v>
      </c>
      <c r="N707">
        <f t="shared" si="1407"/>
        <v>85562.21197</v>
      </c>
      <c r="O707">
        <f t="shared" si="1407"/>
        <v>75744.09265</v>
      </c>
      <c r="P707">
        <f t="shared" si="1397"/>
        <v>1684024.239</v>
      </c>
      <c r="Q707" s="18">
        <f t="shared" si="1398"/>
        <v>76485.0977</v>
      </c>
      <c r="U707">
        <v>31312.201175702154</v>
      </c>
      <c r="V707" s="136">
        <v>93451.14304376225</v>
      </c>
      <c r="W707" s="136">
        <v>82285.5519268452</v>
      </c>
      <c r="X707" s="136">
        <v>35195.88504245591</v>
      </c>
      <c r="Y707" s="164">
        <f t="shared" ref="Y707:AG707" si="1408">Y706+3425</f>
        <v>72360.38863</v>
      </c>
      <c r="Z707" s="164">
        <f t="shared" si="1408"/>
        <v>224794.9804</v>
      </c>
      <c r="AA707" s="165">
        <f t="shared" si="1408"/>
        <v>148092.224</v>
      </c>
      <c r="AB707" s="164">
        <f t="shared" si="1408"/>
        <v>33280.81973</v>
      </c>
      <c r="AC707" s="164">
        <f t="shared" si="1408"/>
        <v>83206.0363</v>
      </c>
      <c r="AD707" s="164">
        <f t="shared" si="1408"/>
        <v>110303.5195</v>
      </c>
      <c r="AE707" s="164">
        <f t="shared" si="1408"/>
        <v>117508.2136</v>
      </c>
      <c r="AF707" s="164">
        <f t="shared" si="1408"/>
        <v>43718.22012</v>
      </c>
      <c r="AG707" s="164">
        <f t="shared" si="1408"/>
        <v>39349.07577</v>
      </c>
      <c r="AH707">
        <f>AH706/9</f>
        <v>3425.19341</v>
      </c>
      <c r="AI707" s="18">
        <f>SUM(U707:AG707)</f>
        <v>1114858.259</v>
      </c>
    </row>
    <row r="708">
      <c r="B708" s="1" t="s">
        <v>5499</v>
      </c>
      <c r="D708">
        <f t="shared" ref="D708:O708" si="1409">D706/11</f>
        <v>19973.27857</v>
      </c>
      <c r="E708">
        <f t="shared" si="1409"/>
        <v>16544.26376</v>
      </c>
      <c r="F708">
        <f t="shared" si="1409"/>
        <v>8250.151014</v>
      </c>
      <c r="G708">
        <f t="shared" si="1409"/>
        <v>10842.23107</v>
      </c>
      <c r="H708">
        <f t="shared" si="1409"/>
        <v>18784.64999</v>
      </c>
      <c r="I708">
        <f t="shared" si="1409"/>
        <v>28778.61622</v>
      </c>
      <c r="J708" s="34">
        <f t="shared" si="1409"/>
        <v>5244.437664</v>
      </c>
      <c r="K708">
        <f t="shared" si="1409"/>
        <v>12241.66671</v>
      </c>
      <c r="L708">
        <f t="shared" si="1409"/>
        <v>16315.47896</v>
      </c>
      <c r="M708">
        <f t="shared" si="1409"/>
        <v>15297.01954</v>
      </c>
      <c r="N708">
        <f t="shared" si="1409"/>
        <v>8556.221197</v>
      </c>
      <c r="O708">
        <f t="shared" si="1409"/>
        <v>7574.409265</v>
      </c>
      <c r="P708">
        <f t="shared" si="1397"/>
        <v>168402.4239</v>
      </c>
      <c r="Q708" s="18">
        <f t="shared" si="1398"/>
        <v>7648.50977</v>
      </c>
      <c r="AA708" s="166">
        <f>AA707+U707</f>
        <v>179404.4252</v>
      </c>
    </row>
    <row r="709">
      <c r="B709" s="23" t="s">
        <v>5528</v>
      </c>
      <c r="D709" s="145">
        <f t="shared" ref="D709:O709" si="1410">SUM(D705,D706)</f>
        <v>2309706.064</v>
      </c>
      <c r="E709" s="145">
        <f t="shared" si="1410"/>
        <v>3151986.901</v>
      </c>
      <c r="F709" s="145">
        <f t="shared" si="1410"/>
        <v>1795751.661</v>
      </c>
      <c r="G709" s="145">
        <f t="shared" si="1410"/>
        <v>2099264.542</v>
      </c>
      <c r="H709" s="145">
        <f t="shared" si="1410"/>
        <v>2406631.15</v>
      </c>
      <c r="I709" s="173">
        <f t="shared" si="1410"/>
        <v>4166564.778</v>
      </c>
      <c r="J709" s="145">
        <f t="shared" si="1410"/>
        <v>2367688.814</v>
      </c>
      <c r="K709" s="174">
        <f t="shared" si="1410"/>
        <v>2664658.334</v>
      </c>
      <c r="L709" s="145">
        <f t="shared" si="1410"/>
        <v>2269470.269</v>
      </c>
      <c r="M709" s="145">
        <f t="shared" si="1410"/>
        <v>1818267.215</v>
      </c>
      <c r="N709" s="145">
        <f t="shared" si="1410"/>
        <v>1480118.433</v>
      </c>
      <c r="O709" s="145">
        <f t="shared" si="1410"/>
        <v>1348318.502</v>
      </c>
      <c r="P709">
        <f t="shared" si="1397"/>
        <v>27878426.66</v>
      </c>
      <c r="Q709" s="18">
        <f t="shared" si="1398"/>
        <v>909133.6075</v>
      </c>
    </row>
    <row r="710">
      <c r="B710" s="1" t="s">
        <v>5580</v>
      </c>
      <c r="D710">
        <f t="shared" ref="D710:O710" si="1411">D703+D707</f>
        <v>2099732.786</v>
      </c>
      <c r="E710">
        <f t="shared" si="1411"/>
        <v>2865442.638</v>
      </c>
      <c r="F710">
        <f t="shared" si="1411"/>
        <v>1632501.51</v>
      </c>
      <c r="G710">
        <f t="shared" si="1411"/>
        <v>1908422.311</v>
      </c>
      <c r="H710">
        <f t="shared" si="1411"/>
        <v>2187846.5</v>
      </c>
      <c r="I710">
        <f t="shared" si="1411"/>
        <v>3787786.162</v>
      </c>
      <c r="J710" s="34">
        <f t="shared" si="1411"/>
        <v>2152444.377</v>
      </c>
      <c r="K710">
        <f t="shared" si="1411"/>
        <v>2422416.667</v>
      </c>
      <c r="L710">
        <f t="shared" si="1411"/>
        <v>2063154.79</v>
      </c>
      <c r="M710">
        <f t="shared" si="1411"/>
        <v>1652970.195</v>
      </c>
      <c r="N710">
        <f t="shared" si="1411"/>
        <v>1345562.212</v>
      </c>
      <c r="O710">
        <f t="shared" si="1411"/>
        <v>1225744.093</v>
      </c>
      <c r="P710">
        <f t="shared" si="1397"/>
        <v>25344024.24</v>
      </c>
      <c r="Q710" s="18">
        <f t="shared" si="1398"/>
        <v>826485.0977</v>
      </c>
      <c r="T710" s="1" t="s">
        <v>5805</v>
      </c>
      <c r="U710" s="1">
        <v>91492.0</v>
      </c>
      <c r="W710" s="1">
        <v>46661.0</v>
      </c>
      <c r="Y710" s="1">
        <v>135799.0</v>
      </c>
      <c r="AA710" s="1">
        <v>38898.0</v>
      </c>
      <c r="AC710" s="1">
        <v>137927.0</v>
      </c>
      <c r="AE710" s="1">
        <v>171011.0</v>
      </c>
      <c r="AH710" s="1">
        <v>14634.0</v>
      </c>
      <c r="AJ710" s="1">
        <v>1141510.0</v>
      </c>
      <c r="AL710" s="1">
        <v>5399.0</v>
      </c>
    </row>
    <row r="711">
      <c r="B711" s="1" t="s">
        <v>5582</v>
      </c>
      <c r="D711">
        <f t="shared" ref="D711:O711" si="1412">D704+D708</f>
        <v>209973.2786</v>
      </c>
      <c r="E711">
        <f t="shared" si="1412"/>
        <v>286544.2638</v>
      </c>
      <c r="F711">
        <f t="shared" si="1412"/>
        <v>163250.151</v>
      </c>
      <c r="G711">
        <f t="shared" si="1412"/>
        <v>190842.2311</v>
      </c>
      <c r="H711">
        <f t="shared" si="1412"/>
        <v>218784.65</v>
      </c>
      <c r="I711">
        <f t="shared" si="1412"/>
        <v>378778.6162</v>
      </c>
      <c r="J711" s="34">
        <f t="shared" si="1412"/>
        <v>215244.4377</v>
      </c>
      <c r="K711">
        <f t="shared" si="1412"/>
        <v>242241.6667</v>
      </c>
      <c r="L711">
        <f t="shared" si="1412"/>
        <v>206315.479</v>
      </c>
      <c r="M711">
        <f t="shared" si="1412"/>
        <v>165297.0195</v>
      </c>
      <c r="N711">
        <f t="shared" si="1412"/>
        <v>134556.2212</v>
      </c>
      <c r="O711">
        <f t="shared" si="1412"/>
        <v>122574.4093</v>
      </c>
      <c r="P711">
        <f t="shared" si="1397"/>
        <v>2534402.424</v>
      </c>
      <c r="Q711" s="18">
        <f t="shared" si="1398"/>
        <v>82648.50977</v>
      </c>
      <c r="U711" s="1">
        <v>15220.0</v>
      </c>
      <c r="V711" s="1">
        <v>77067.0</v>
      </c>
      <c r="W711" s="1">
        <v>112903.0</v>
      </c>
      <c r="Y711" s="1">
        <v>41374.0</v>
      </c>
      <c r="AA711" s="1">
        <v>77480.0</v>
      </c>
      <c r="AB711" s="96">
        <v>12831.0</v>
      </c>
      <c r="AE711" s="1">
        <v>130340.0</v>
      </c>
      <c r="AG711" s="1">
        <v>25350.0</v>
      </c>
    </row>
    <row r="712">
      <c r="D712" s="1" t="s">
        <v>5566</v>
      </c>
      <c r="E712" s="1" t="s">
        <v>5566</v>
      </c>
      <c r="F712" s="1" t="s">
        <v>5566</v>
      </c>
      <c r="G712" s="1" t="s">
        <v>5566</v>
      </c>
      <c r="H712" s="1" t="s">
        <v>5566</v>
      </c>
      <c r="I712" s="1" t="s">
        <v>5566</v>
      </c>
      <c r="J712" s="1" t="s">
        <v>5566</v>
      </c>
      <c r="K712" s="1" t="s">
        <v>5566</v>
      </c>
      <c r="L712" s="1" t="s">
        <v>5566</v>
      </c>
      <c r="M712" s="1" t="s">
        <v>5566</v>
      </c>
      <c r="N712" s="1" t="s">
        <v>5566</v>
      </c>
      <c r="O712" s="56" t="s">
        <v>5806</v>
      </c>
      <c r="U712" s="97">
        <f t="shared" ref="U712:U713" si="1413">U710-U702</f>
        <v>598</v>
      </c>
      <c r="V712" s="97"/>
      <c r="W712" s="97">
        <f t="shared" ref="W712:W713" si="1414">W710-W702</f>
        <v>230</v>
      </c>
      <c r="X712" s="97"/>
      <c r="Y712" s="97">
        <f t="shared" ref="Y712:Y713" si="1415">Y710-Y702</f>
        <v>1306</v>
      </c>
      <c r="Z712" s="97"/>
      <c r="AA712" s="97">
        <f t="shared" ref="AA712:AA713" si="1416">AA710-AA702</f>
        <v>827</v>
      </c>
      <c r="AC712" s="97">
        <f>AC710-AC702</f>
        <v>691</v>
      </c>
      <c r="AD712" s="97"/>
      <c r="AE712" s="97">
        <f t="shared" ref="AE712:AE713" si="1417">AE710-AE702</f>
        <v>987</v>
      </c>
      <c r="AF712" s="97"/>
      <c r="AG712" s="97"/>
      <c r="AH712" s="97">
        <f>AH710-AH702</f>
        <v>149</v>
      </c>
    </row>
    <row r="713">
      <c r="C713" s="33"/>
      <c r="D713" s="34"/>
      <c r="E713" s="33"/>
      <c r="G713" s="33"/>
      <c r="H713" s="33"/>
      <c r="L713" s="33"/>
      <c r="O713" s="33"/>
      <c r="U713" s="167">
        <f t="shared" si="1413"/>
        <v>137</v>
      </c>
      <c r="V713" s="167">
        <f>(V711-V703)</f>
        <v>425</v>
      </c>
      <c r="W713" s="167">
        <f t="shared" si="1414"/>
        <v>413</v>
      </c>
      <c r="X713" s="168">
        <f>W712</f>
        <v>230</v>
      </c>
      <c r="Y713" s="167">
        <f t="shared" si="1415"/>
        <v>274</v>
      </c>
      <c r="Z713" s="169">
        <f>Y712-Y713</f>
        <v>1032</v>
      </c>
      <c r="AA713" s="167">
        <f t="shared" si="1416"/>
        <v>725</v>
      </c>
      <c r="AB713" s="167">
        <f>AB711-AB703</f>
        <v>120</v>
      </c>
      <c r="AC713" s="167">
        <f>(AC712)*73.9/(73.9+99)</f>
        <v>295.3435512</v>
      </c>
      <c r="AD713" s="167">
        <f>(AC712)*99/(73.9+99)</f>
        <v>395.6564488</v>
      </c>
      <c r="AE713" s="167">
        <f t="shared" si="1417"/>
        <v>604</v>
      </c>
      <c r="AF713" s="169">
        <f>AE712-AE713-AG713-30</f>
        <v>213</v>
      </c>
      <c r="AG713" s="167">
        <f>AG711-AG703</f>
        <v>140</v>
      </c>
      <c r="AH713" s="96">
        <v>149.0</v>
      </c>
      <c r="AI713" s="18">
        <f t="shared" ref="AI713:AI714" si="1419">SUM(U713:AH713)</f>
        <v>5153</v>
      </c>
    </row>
    <row r="714">
      <c r="H714" s="1"/>
      <c r="K714" s="175" t="s">
        <v>5797</v>
      </c>
      <c r="M714" s="23" t="s">
        <v>5795</v>
      </c>
      <c r="N714" s="33"/>
      <c r="O714" s="36">
        <f>O722+48318</f>
        <v>1369667.639</v>
      </c>
      <c r="Q714" s="23" t="s">
        <v>5802</v>
      </c>
      <c r="U714" s="162">
        <f t="shared" ref="U714:AH714" si="1418">U713*1141510/5153</f>
        <v>30348.70367</v>
      </c>
      <c r="V714" s="162">
        <f t="shared" si="1418"/>
        <v>94147.43839</v>
      </c>
      <c r="W714" s="162">
        <f t="shared" si="1418"/>
        <v>91489.15777</v>
      </c>
      <c r="X714" s="162">
        <f t="shared" si="1418"/>
        <v>50950.37842</v>
      </c>
      <c r="Y714" s="162">
        <f t="shared" si="1418"/>
        <v>60697.40734</v>
      </c>
      <c r="Z714" s="162">
        <f t="shared" si="1418"/>
        <v>228612.1327</v>
      </c>
      <c r="AA714" s="162">
        <f t="shared" si="1418"/>
        <v>160604.4537</v>
      </c>
      <c r="AB714" s="162">
        <f t="shared" si="1418"/>
        <v>26582.80613</v>
      </c>
      <c r="AC714" s="162">
        <f t="shared" si="1418"/>
        <v>65425.50303</v>
      </c>
      <c r="AD714" s="162">
        <f t="shared" si="1418"/>
        <v>87647.15562</v>
      </c>
      <c r="AE714" s="162">
        <f t="shared" si="1418"/>
        <v>133800.1242</v>
      </c>
      <c r="AF714" s="162">
        <f t="shared" si="1418"/>
        <v>47184.48088</v>
      </c>
      <c r="AG714" s="162">
        <f t="shared" si="1418"/>
        <v>31013.27382</v>
      </c>
      <c r="AH714" s="162">
        <f t="shared" si="1418"/>
        <v>33006.98428</v>
      </c>
      <c r="AI714" s="18">
        <f t="shared" si="1419"/>
        <v>1141510</v>
      </c>
    </row>
    <row r="715">
      <c r="B715" s="1" t="s">
        <v>5807</v>
      </c>
      <c r="D715" s="33">
        <v>1900000.0</v>
      </c>
      <c r="E715" s="1">
        <v>2700000.0</v>
      </c>
      <c r="F715" s="1">
        <v>1550000.0</v>
      </c>
      <c r="G715" s="1">
        <v>1800000.0</v>
      </c>
      <c r="H715" s="1">
        <v>2000000.0</v>
      </c>
      <c r="I715" s="1">
        <v>3500000.0</v>
      </c>
      <c r="J715" s="33">
        <v>2100000.0</v>
      </c>
      <c r="K715" s="1">
        <v>2300000.0</v>
      </c>
      <c r="L715" s="1">
        <v>1900000.0</v>
      </c>
      <c r="M715" s="33">
        <v>1500000.0</v>
      </c>
      <c r="N715" s="33">
        <v>1260000.0</v>
      </c>
      <c r="O715" s="1">
        <v>1150000.0</v>
      </c>
      <c r="P715">
        <f t="shared" ref="P715:P726" si="1422">SUM(D715:O715)</f>
        <v>23660000</v>
      </c>
      <c r="Q715" s="18">
        <f t="shared" ref="Q715:Q726" si="1423">M715*0.5</f>
        <v>750000</v>
      </c>
      <c r="U715">
        <v>30348.70366776635</v>
      </c>
      <c r="V715" s="136">
        <v>94147.43838540655</v>
      </c>
      <c r="W715" s="136">
        <v>91489.15777217154</v>
      </c>
      <c r="X715" s="136">
        <v>50950.37842033767</v>
      </c>
      <c r="Y715" s="164">
        <f t="shared" ref="Y715:AG715" si="1420">Y714+3667</f>
        <v>64364.40734</v>
      </c>
      <c r="Z715" s="164">
        <f t="shared" si="1420"/>
        <v>232279.1327</v>
      </c>
      <c r="AA715" s="165">
        <f t="shared" si="1420"/>
        <v>164271.4537</v>
      </c>
      <c r="AB715" s="164">
        <f t="shared" si="1420"/>
        <v>30249.80613</v>
      </c>
      <c r="AC715" s="164">
        <f t="shared" si="1420"/>
        <v>69092.50303</v>
      </c>
      <c r="AD715" s="165">
        <f t="shared" si="1420"/>
        <v>91314.15562</v>
      </c>
      <c r="AE715" s="164">
        <f t="shared" si="1420"/>
        <v>137467.1242</v>
      </c>
      <c r="AF715" s="164">
        <f t="shared" si="1420"/>
        <v>50851.48088</v>
      </c>
      <c r="AG715" s="164">
        <f t="shared" si="1420"/>
        <v>34680.27382</v>
      </c>
      <c r="AH715">
        <f>AH714/9</f>
        <v>3667.442698</v>
      </c>
      <c r="AI715" s="18">
        <f>SUM(U715:AG715)</f>
        <v>1141506.016</v>
      </c>
    </row>
    <row r="716">
      <c r="B716" s="1" t="s">
        <v>5499</v>
      </c>
      <c r="D716" s="33">
        <f t="shared" ref="D716:O716" si="1421">D715*0.1</f>
        <v>190000</v>
      </c>
      <c r="E716" s="1">
        <f t="shared" si="1421"/>
        <v>270000</v>
      </c>
      <c r="F716" s="1">
        <f t="shared" si="1421"/>
        <v>155000</v>
      </c>
      <c r="G716" s="1">
        <f t="shared" si="1421"/>
        <v>180000</v>
      </c>
      <c r="H716" s="1">
        <f t="shared" si="1421"/>
        <v>200000</v>
      </c>
      <c r="I716" s="1">
        <f t="shared" si="1421"/>
        <v>350000</v>
      </c>
      <c r="J716" s="33">
        <f t="shared" si="1421"/>
        <v>210000</v>
      </c>
      <c r="K716" s="1">
        <f t="shared" si="1421"/>
        <v>230000</v>
      </c>
      <c r="L716" s="1">
        <f t="shared" si="1421"/>
        <v>190000</v>
      </c>
      <c r="M716" s="33">
        <f t="shared" si="1421"/>
        <v>150000</v>
      </c>
      <c r="N716" s="1">
        <f t="shared" si="1421"/>
        <v>126000</v>
      </c>
      <c r="O716" s="1">
        <f t="shared" si="1421"/>
        <v>115000</v>
      </c>
      <c r="P716">
        <f t="shared" si="1422"/>
        <v>2366000</v>
      </c>
      <c r="Q716" s="18">
        <f t="shared" si="1423"/>
        <v>75000</v>
      </c>
      <c r="AA716" s="166">
        <f>AA715+U715</f>
        <v>194620.1574</v>
      </c>
      <c r="AC716" s="1" t="s">
        <v>5808</v>
      </c>
      <c r="AD716" s="136">
        <f>AD715*11/30</f>
        <v>33481.85706</v>
      </c>
    </row>
    <row r="717">
      <c r="B717" s="1" t="s">
        <v>5520</v>
      </c>
      <c r="D717" s="34">
        <f t="shared" ref="D717:O717" si="1424">D715+D716</f>
        <v>2090000</v>
      </c>
      <c r="E717">
        <f t="shared" si="1424"/>
        <v>2970000</v>
      </c>
      <c r="F717">
        <f t="shared" si="1424"/>
        <v>1705000</v>
      </c>
      <c r="G717">
        <f t="shared" si="1424"/>
        <v>1980000</v>
      </c>
      <c r="H717">
        <f t="shared" si="1424"/>
        <v>2200000</v>
      </c>
      <c r="I717">
        <f t="shared" si="1424"/>
        <v>3850000</v>
      </c>
      <c r="J717" s="34">
        <f t="shared" si="1424"/>
        <v>2310000</v>
      </c>
      <c r="K717">
        <f t="shared" si="1424"/>
        <v>2530000</v>
      </c>
      <c r="L717">
        <f t="shared" si="1424"/>
        <v>2090000</v>
      </c>
      <c r="M717" s="34">
        <f t="shared" si="1424"/>
        <v>1650000</v>
      </c>
      <c r="N717">
        <f t="shared" si="1424"/>
        <v>1386000</v>
      </c>
      <c r="O717">
        <f t="shared" si="1424"/>
        <v>1265000</v>
      </c>
      <c r="P717">
        <f t="shared" si="1422"/>
        <v>26026000</v>
      </c>
      <c r="Q717" s="18">
        <f t="shared" si="1423"/>
        <v>825000</v>
      </c>
    </row>
    <row r="718">
      <c r="B718" s="1" t="s">
        <v>5545</v>
      </c>
      <c r="D718">
        <v>165742.21754016328</v>
      </c>
      <c r="E718">
        <v>128852.88385567554</v>
      </c>
      <c r="F718">
        <v>69968.50144851199</v>
      </c>
      <c r="G718">
        <v>78781.61416908086</v>
      </c>
      <c r="H718" s="134">
        <v>144593.57097708716</v>
      </c>
      <c r="I718">
        <v>218718.61706610484</v>
      </c>
      <c r="J718" s="34">
        <v>36869.78904398209</v>
      </c>
      <c r="K718">
        <v>106733.81593928298</v>
      </c>
      <c r="L718">
        <v>141580.63704991902</v>
      </c>
      <c r="M718" s="134">
        <v>127274.63497498025</v>
      </c>
      <c r="N718" s="159">
        <v>48646.6655254148</v>
      </c>
      <c r="O718">
        <v>47434.34000526732</v>
      </c>
      <c r="P718">
        <f t="shared" si="1422"/>
        <v>1315197.288</v>
      </c>
      <c r="Q718" s="18">
        <f t="shared" si="1423"/>
        <v>63637.31749</v>
      </c>
      <c r="T718" s="1" t="s">
        <v>5000</v>
      </c>
      <c r="U718" s="1">
        <v>92390.0</v>
      </c>
      <c r="W718" s="1">
        <v>47000.0</v>
      </c>
      <c r="Y718" s="1">
        <v>137677.0</v>
      </c>
      <c r="AA718" s="1">
        <v>40076.0</v>
      </c>
      <c r="AC718" s="1">
        <v>139007.0</v>
      </c>
      <c r="AE718" s="1">
        <v>172277.0</v>
      </c>
      <c r="AH718" s="1">
        <v>14762.0</v>
      </c>
      <c r="AJ718" s="1">
        <v>1829520.0</v>
      </c>
      <c r="AL718" s="1">
        <v>9239.0</v>
      </c>
    </row>
    <row r="719">
      <c r="D719">
        <f t="shared" ref="D719:O719" si="1425">D718-D720</f>
        <v>150674.7432</v>
      </c>
      <c r="E719">
        <f t="shared" si="1425"/>
        <v>117138.9853</v>
      </c>
      <c r="F719">
        <f t="shared" si="1425"/>
        <v>63607.72859</v>
      </c>
      <c r="G719">
        <f t="shared" si="1425"/>
        <v>71619.64924</v>
      </c>
      <c r="H719">
        <f t="shared" si="1425"/>
        <v>131448.7009</v>
      </c>
      <c r="I719">
        <f t="shared" si="1425"/>
        <v>198835.1064</v>
      </c>
      <c r="J719" s="34">
        <f t="shared" si="1425"/>
        <v>33517.99004</v>
      </c>
      <c r="K719">
        <f t="shared" si="1425"/>
        <v>97030.74176</v>
      </c>
      <c r="L719">
        <f t="shared" si="1425"/>
        <v>128709.67</v>
      </c>
      <c r="M719">
        <f t="shared" si="1425"/>
        <v>115704.2136</v>
      </c>
      <c r="N719">
        <f t="shared" si="1425"/>
        <v>44224.24139</v>
      </c>
      <c r="O719">
        <f t="shared" si="1425"/>
        <v>43122.12728</v>
      </c>
      <c r="P719">
        <f t="shared" si="1422"/>
        <v>1195633.898</v>
      </c>
      <c r="Q719" s="18">
        <f t="shared" si="1423"/>
        <v>57852.10681</v>
      </c>
      <c r="U719" s="1">
        <v>15320.0</v>
      </c>
      <c r="V719" s="1">
        <v>77837.0</v>
      </c>
      <c r="W719" s="1">
        <v>113581.0</v>
      </c>
      <c r="Y719" s="1">
        <v>41941.0</v>
      </c>
      <c r="AA719" s="1">
        <v>78587.0</v>
      </c>
      <c r="AB719" s="1">
        <v>12991.0</v>
      </c>
      <c r="AE719" s="1">
        <v>131222.0</v>
      </c>
      <c r="AG719" s="1">
        <v>25560.0</v>
      </c>
    </row>
    <row r="720">
      <c r="B720" s="1" t="s">
        <v>5499</v>
      </c>
      <c r="D720">
        <f t="shared" ref="D720:O720" si="1426">D718/11</f>
        <v>15067.47432</v>
      </c>
      <c r="E720">
        <f t="shared" si="1426"/>
        <v>11713.89853</v>
      </c>
      <c r="F720">
        <f t="shared" si="1426"/>
        <v>6360.772859</v>
      </c>
      <c r="G720">
        <f t="shared" si="1426"/>
        <v>7161.964924</v>
      </c>
      <c r="H720">
        <f t="shared" si="1426"/>
        <v>13144.87009</v>
      </c>
      <c r="I720">
        <f t="shared" si="1426"/>
        <v>19883.51064</v>
      </c>
      <c r="J720" s="34">
        <f t="shared" si="1426"/>
        <v>3351.799004</v>
      </c>
      <c r="K720">
        <f t="shared" si="1426"/>
        <v>9703.074176</v>
      </c>
      <c r="L720">
        <f t="shared" si="1426"/>
        <v>12870.967</v>
      </c>
      <c r="M720">
        <f t="shared" si="1426"/>
        <v>11570.42136</v>
      </c>
      <c r="N720">
        <f t="shared" si="1426"/>
        <v>4422.424139</v>
      </c>
      <c r="O720">
        <f t="shared" si="1426"/>
        <v>4312.212728</v>
      </c>
      <c r="P720">
        <f t="shared" si="1422"/>
        <v>119563.3898</v>
      </c>
      <c r="Q720" s="18">
        <f t="shared" si="1423"/>
        <v>5785.210681</v>
      </c>
      <c r="U720" s="97">
        <f t="shared" ref="U720:U721" si="1427">U718-U710</f>
        <v>898</v>
      </c>
      <c r="V720" s="97"/>
      <c r="W720" s="97">
        <f t="shared" ref="W720:W721" si="1428">W718-W710</f>
        <v>339</v>
      </c>
      <c r="X720" s="97"/>
      <c r="Y720" s="97">
        <f t="shared" ref="Y720:Y721" si="1429">Y718-Y710</f>
        <v>1878</v>
      </c>
      <c r="Z720" s="97"/>
      <c r="AA720" s="97">
        <f t="shared" ref="AA720:AA721" si="1430">AA718-AA710</f>
        <v>1178</v>
      </c>
      <c r="AC720" s="97">
        <f>AC718-AC710</f>
        <v>1080</v>
      </c>
      <c r="AD720" s="97"/>
      <c r="AE720" s="97">
        <f t="shared" ref="AE720:AE721" si="1431">AE718-AE710</f>
        <v>1266</v>
      </c>
      <c r="AF720" s="97"/>
      <c r="AG720" s="97"/>
      <c r="AH720" s="97">
        <f>AH718-AH710</f>
        <v>128</v>
      </c>
    </row>
    <row r="721">
      <c r="B721" s="1" t="s">
        <v>5809</v>
      </c>
      <c r="D721">
        <v>39155.03114324088</v>
      </c>
      <c r="E721">
        <v>16304.556558108508</v>
      </c>
      <c r="F721">
        <v>16304.556558108508</v>
      </c>
      <c r="G721">
        <v>14959.229847033053</v>
      </c>
      <c r="H721" s="134">
        <v>21525.22737720729</v>
      </c>
      <c r="I721">
        <v>27328.203787667095</v>
      </c>
      <c r="J721">
        <v>21746.10191186147</v>
      </c>
      <c r="K721">
        <v>14838.752828130775</v>
      </c>
      <c r="L721">
        <v>19878.708118876137</v>
      </c>
      <c r="M721" s="134">
        <v>10138.14114062683</v>
      </c>
      <c r="N721" s="159">
        <v>11666.191330370744</v>
      </c>
      <c r="O721">
        <v>8915.299398768691</v>
      </c>
      <c r="P721">
        <f t="shared" si="1422"/>
        <v>222760</v>
      </c>
      <c r="Q721" s="18">
        <f t="shared" si="1423"/>
        <v>5069.07057</v>
      </c>
      <c r="U721" s="167">
        <f t="shared" si="1427"/>
        <v>100</v>
      </c>
      <c r="V721" s="167">
        <f>(V719-V711)</f>
        <v>770</v>
      </c>
      <c r="W721" s="167">
        <f t="shared" si="1428"/>
        <v>678</v>
      </c>
      <c r="X721" s="168">
        <f>W720</f>
        <v>339</v>
      </c>
      <c r="Y721" s="167">
        <f t="shared" si="1429"/>
        <v>567</v>
      </c>
      <c r="Z721" s="169">
        <f>Y720-Y721</f>
        <v>1311</v>
      </c>
      <c r="AA721" s="167">
        <f t="shared" si="1430"/>
        <v>1107</v>
      </c>
      <c r="AB721" s="167">
        <f>AB719-AB711</f>
        <v>160</v>
      </c>
      <c r="AC721" s="167">
        <f>(AC720)*73.9/(73.9+99)</f>
        <v>461.6078658</v>
      </c>
      <c r="AD721" s="167">
        <f>(AC720)*99/(73.9+99)</f>
        <v>618.3921342</v>
      </c>
      <c r="AE721" s="167">
        <f t="shared" si="1431"/>
        <v>882</v>
      </c>
      <c r="AF721" s="169">
        <f>AE720-AE721-AG721-30</f>
        <v>144</v>
      </c>
      <c r="AG721" s="167">
        <f>AG719-AG711</f>
        <v>210</v>
      </c>
      <c r="AH721" s="96">
        <v>128.0</v>
      </c>
      <c r="AI721" s="18">
        <f t="shared" ref="AI721:AI722" si="1434">SUM(U721:AH721)</f>
        <v>7476</v>
      </c>
    </row>
    <row r="722">
      <c r="B722" s="23" t="s">
        <v>5598</v>
      </c>
      <c r="D722" s="18">
        <f t="shared" ref="D722:O722" si="1432">SUM(D717,D718,D721)</f>
        <v>2294897.249</v>
      </c>
      <c r="E722" s="18">
        <f t="shared" si="1432"/>
        <v>3115157.44</v>
      </c>
      <c r="F722" s="18">
        <f t="shared" si="1432"/>
        <v>1791273.058</v>
      </c>
      <c r="G722" s="18">
        <f t="shared" si="1432"/>
        <v>2073740.844</v>
      </c>
      <c r="H722" s="18">
        <f t="shared" si="1432"/>
        <v>2366118.798</v>
      </c>
      <c r="I722" s="18">
        <f t="shared" si="1432"/>
        <v>4096046.821</v>
      </c>
      <c r="J722" s="18">
        <f t="shared" si="1432"/>
        <v>2368615.891</v>
      </c>
      <c r="K722" s="18">
        <f t="shared" si="1432"/>
        <v>2651572.569</v>
      </c>
      <c r="L722" s="18">
        <f t="shared" si="1432"/>
        <v>2251459.345</v>
      </c>
      <c r="M722" s="18">
        <f t="shared" si="1432"/>
        <v>1787412.776</v>
      </c>
      <c r="N722" s="18">
        <f t="shared" si="1432"/>
        <v>1446312.857</v>
      </c>
      <c r="O722" s="18">
        <f t="shared" si="1432"/>
        <v>1321349.639</v>
      </c>
      <c r="P722">
        <f t="shared" si="1422"/>
        <v>27563957.29</v>
      </c>
      <c r="Q722" s="18">
        <f t="shared" si="1423"/>
        <v>893706.3881</v>
      </c>
      <c r="U722" s="162">
        <f t="shared" ref="U722:AH722" si="1433">U721*1829520/7476</f>
        <v>24471.91011</v>
      </c>
      <c r="V722" s="162">
        <f t="shared" si="1433"/>
        <v>188433.7079</v>
      </c>
      <c r="W722" s="162">
        <f t="shared" si="1433"/>
        <v>165919.5506</v>
      </c>
      <c r="X722" s="162">
        <f t="shared" si="1433"/>
        <v>82959.77528</v>
      </c>
      <c r="Y722" s="162">
        <f t="shared" si="1433"/>
        <v>138755.7303</v>
      </c>
      <c r="Z722" s="162">
        <f t="shared" si="1433"/>
        <v>320826.7416</v>
      </c>
      <c r="AA722" s="162">
        <f t="shared" si="1433"/>
        <v>270904.0449</v>
      </c>
      <c r="AB722" s="162">
        <f t="shared" si="1433"/>
        <v>39155.05618</v>
      </c>
      <c r="AC722" s="162">
        <f t="shared" si="1433"/>
        <v>112964.262</v>
      </c>
      <c r="AD722" s="162">
        <f t="shared" si="1433"/>
        <v>151332.3672</v>
      </c>
      <c r="AE722" s="162">
        <f t="shared" si="1433"/>
        <v>215842.2472</v>
      </c>
      <c r="AF722" s="162">
        <f t="shared" si="1433"/>
        <v>35239.55056</v>
      </c>
      <c r="AG722" s="162">
        <f t="shared" si="1433"/>
        <v>51391.01124</v>
      </c>
      <c r="AH722" s="162">
        <f t="shared" si="1433"/>
        <v>31324.04494</v>
      </c>
      <c r="AI722" s="18">
        <f t="shared" si="1434"/>
        <v>1829520</v>
      </c>
    </row>
    <row r="723">
      <c r="B723" s="1" t="s">
        <v>5599</v>
      </c>
      <c r="D723">
        <f t="shared" ref="D723:O723" si="1435">SUM(D715,D719,D721)</f>
        <v>2089829.774</v>
      </c>
      <c r="E723">
        <f t="shared" si="1435"/>
        <v>2833443.542</v>
      </c>
      <c r="F723">
        <f t="shared" si="1435"/>
        <v>1629912.285</v>
      </c>
      <c r="G723">
        <f t="shared" si="1435"/>
        <v>1886578.879</v>
      </c>
      <c r="H723">
        <f t="shared" si="1435"/>
        <v>2152973.928</v>
      </c>
      <c r="I723">
        <f t="shared" si="1435"/>
        <v>3726163.31</v>
      </c>
      <c r="J723">
        <f t="shared" si="1435"/>
        <v>2155264.092</v>
      </c>
      <c r="K723">
        <f t="shared" si="1435"/>
        <v>2411869.495</v>
      </c>
      <c r="L723">
        <f t="shared" si="1435"/>
        <v>2048588.378</v>
      </c>
      <c r="M723">
        <f t="shared" si="1435"/>
        <v>1625842.355</v>
      </c>
      <c r="N723">
        <f t="shared" si="1435"/>
        <v>1315890.433</v>
      </c>
      <c r="O723">
        <f t="shared" si="1435"/>
        <v>1202037.427</v>
      </c>
      <c r="P723">
        <f t="shared" si="1422"/>
        <v>25078393.9</v>
      </c>
      <c r="Q723" s="18">
        <f t="shared" si="1423"/>
        <v>812921.1774</v>
      </c>
      <c r="U723">
        <v>24471.91011235955</v>
      </c>
      <c r="V723" s="136">
        <v>188433.70786516854</v>
      </c>
      <c r="W723" s="136">
        <v>165919.55056179775</v>
      </c>
      <c r="X723" s="136">
        <v>82959.77528089887</v>
      </c>
      <c r="Y723" s="164">
        <f t="shared" ref="Y723:AG723" si="1436">Y722+3480</f>
        <v>142235.7303</v>
      </c>
      <c r="Z723" s="164">
        <f t="shared" si="1436"/>
        <v>324306.7416</v>
      </c>
      <c r="AA723" s="165">
        <f t="shared" si="1436"/>
        <v>274384.0449</v>
      </c>
      <c r="AB723" s="164">
        <f t="shared" si="1436"/>
        <v>42635.05618</v>
      </c>
      <c r="AC723" s="164">
        <f t="shared" si="1436"/>
        <v>116444.262</v>
      </c>
      <c r="AD723" s="164">
        <f t="shared" si="1436"/>
        <v>154812.3672</v>
      </c>
      <c r="AE723" s="164">
        <f t="shared" si="1436"/>
        <v>219322.2472</v>
      </c>
      <c r="AF723" s="164">
        <f t="shared" si="1436"/>
        <v>38719.55056</v>
      </c>
      <c r="AG723" s="164">
        <f t="shared" si="1436"/>
        <v>54871.01124</v>
      </c>
      <c r="AH723">
        <f>AH722/9</f>
        <v>3480.449438</v>
      </c>
      <c r="AI723" s="18">
        <f>SUM(U723:AG723)</f>
        <v>1829515.955</v>
      </c>
    </row>
    <row r="724">
      <c r="B724" s="1" t="s">
        <v>5601</v>
      </c>
      <c r="D724">
        <f t="shared" ref="D724:O724" si="1437">SUM(D715,D719)</f>
        <v>2050674.743</v>
      </c>
      <c r="E724">
        <f t="shared" si="1437"/>
        <v>2817138.985</v>
      </c>
      <c r="F724">
        <f t="shared" si="1437"/>
        <v>1613607.729</v>
      </c>
      <c r="G724">
        <f t="shared" si="1437"/>
        <v>1871619.649</v>
      </c>
      <c r="H724">
        <f t="shared" si="1437"/>
        <v>2131448.701</v>
      </c>
      <c r="I724">
        <f t="shared" si="1437"/>
        <v>3698835.106</v>
      </c>
      <c r="J724">
        <f t="shared" si="1437"/>
        <v>2133517.99</v>
      </c>
      <c r="K724">
        <f t="shared" si="1437"/>
        <v>2397030.742</v>
      </c>
      <c r="L724">
        <f t="shared" si="1437"/>
        <v>2028709.67</v>
      </c>
      <c r="M724">
        <f t="shared" si="1437"/>
        <v>1615704.214</v>
      </c>
      <c r="N724">
        <f t="shared" si="1437"/>
        <v>1304224.241</v>
      </c>
      <c r="O724">
        <f t="shared" si="1437"/>
        <v>1193122.127</v>
      </c>
      <c r="P724">
        <f t="shared" si="1422"/>
        <v>24855633.9</v>
      </c>
      <c r="Q724" s="18">
        <f t="shared" si="1423"/>
        <v>807852.1068</v>
      </c>
      <c r="AA724" s="166">
        <f>AA723+U723</f>
        <v>298855.9551</v>
      </c>
    </row>
    <row r="725">
      <c r="B725" s="1" t="s">
        <v>5582</v>
      </c>
      <c r="D725">
        <f t="shared" ref="D725:O725" si="1438">SUM(D716,D720)</f>
        <v>205067.4743</v>
      </c>
      <c r="E725">
        <f t="shared" si="1438"/>
        <v>281713.8985</v>
      </c>
      <c r="F725">
        <f t="shared" si="1438"/>
        <v>161360.7729</v>
      </c>
      <c r="G725">
        <f t="shared" si="1438"/>
        <v>187161.9649</v>
      </c>
      <c r="H725">
        <f t="shared" si="1438"/>
        <v>213144.8701</v>
      </c>
      <c r="I725">
        <f t="shared" si="1438"/>
        <v>369883.5106</v>
      </c>
      <c r="J725">
        <f t="shared" si="1438"/>
        <v>213351.799</v>
      </c>
      <c r="K725">
        <f t="shared" si="1438"/>
        <v>239703.0742</v>
      </c>
      <c r="L725">
        <f t="shared" si="1438"/>
        <v>202870.967</v>
      </c>
      <c r="M725">
        <f t="shared" si="1438"/>
        <v>161570.4214</v>
      </c>
      <c r="N725">
        <f t="shared" si="1438"/>
        <v>130422.4241</v>
      </c>
      <c r="O725">
        <f t="shared" si="1438"/>
        <v>119312.2127</v>
      </c>
      <c r="P725">
        <f t="shared" si="1422"/>
        <v>2485563.39</v>
      </c>
      <c r="Q725" s="18">
        <f t="shared" si="1423"/>
        <v>80785.21068</v>
      </c>
    </row>
    <row r="726">
      <c r="B726" s="1" t="s">
        <v>5602</v>
      </c>
      <c r="D726">
        <f t="shared" ref="D726:O726" si="1439">SUM(D724:D725)</f>
        <v>2255742.218</v>
      </c>
      <c r="E726">
        <f t="shared" si="1439"/>
        <v>3098852.884</v>
      </c>
      <c r="F726">
        <f t="shared" si="1439"/>
        <v>1774968.501</v>
      </c>
      <c r="G726">
        <f t="shared" si="1439"/>
        <v>2058781.614</v>
      </c>
      <c r="H726">
        <f t="shared" si="1439"/>
        <v>2344593.571</v>
      </c>
      <c r="I726">
        <f t="shared" si="1439"/>
        <v>4068718.617</v>
      </c>
      <c r="J726">
        <f t="shared" si="1439"/>
        <v>2346869.789</v>
      </c>
      <c r="K726">
        <f t="shared" si="1439"/>
        <v>2636733.816</v>
      </c>
      <c r="L726">
        <f t="shared" si="1439"/>
        <v>2231580.637</v>
      </c>
      <c r="M726">
        <f t="shared" si="1439"/>
        <v>1777274.635</v>
      </c>
      <c r="N726">
        <f t="shared" si="1439"/>
        <v>1434646.666</v>
      </c>
      <c r="O726">
        <f t="shared" si="1439"/>
        <v>1312434.34</v>
      </c>
      <c r="P726">
        <f t="shared" si="1422"/>
        <v>27341197.29</v>
      </c>
      <c r="Q726" s="18">
        <f t="shared" si="1423"/>
        <v>888637.3175</v>
      </c>
      <c r="T726" s="1" t="s">
        <v>5810</v>
      </c>
      <c r="U726" s="1">
        <v>93582.0</v>
      </c>
      <c r="W726" s="1">
        <v>47328.0</v>
      </c>
      <c r="Y726" s="1">
        <v>140345.0</v>
      </c>
      <c r="AA726" s="1">
        <v>41515.0</v>
      </c>
      <c r="AC726" s="1">
        <v>141001.0</v>
      </c>
      <c r="AE726" s="1">
        <v>174073.0</v>
      </c>
      <c r="AH726" s="1">
        <v>14905.0</v>
      </c>
      <c r="AJ726" s="1">
        <v>2376190.0</v>
      </c>
      <c r="AL726" s="1">
        <v>12854.0</v>
      </c>
    </row>
    <row r="727">
      <c r="C727" s="33"/>
      <c r="D727" s="33" t="s">
        <v>5566</v>
      </c>
      <c r="E727" s="33" t="s">
        <v>5566</v>
      </c>
      <c r="F727" s="1" t="s">
        <v>5566</v>
      </c>
      <c r="G727" s="33" t="s">
        <v>5566</v>
      </c>
      <c r="H727" s="33" t="s">
        <v>5566</v>
      </c>
      <c r="I727" s="1" t="s">
        <v>5566</v>
      </c>
      <c r="J727" s="1" t="s">
        <v>5566</v>
      </c>
      <c r="K727" s="1" t="s">
        <v>5566</v>
      </c>
      <c r="L727" s="33" t="s">
        <v>5566</v>
      </c>
      <c r="M727" s="1" t="s">
        <v>5566</v>
      </c>
      <c r="N727" s="1" t="s">
        <v>5566</v>
      </c>
      <c r="O727" s="33" t="s">
        <v>5566</v>
      </c>
      <c r="U727" s="1">
        <v>15481.0</v>
      </c>
      <c r="V727" s="1">
        <v>78792.0</v>
      </c>
      <c r="W727" s="1">
        <v>114464.0</v>
      </c>
      <c r="Y727" s="1">
        <v>42791.0</v>
      </c>
      <c r="AA727" s="1">
        <v>79768.0</v>
      </c>
      <c r="AB727" s="1">
        <v>13410.0</v>
      </c>
      <c r="AE727" s="1">
        <v>132243.0</v>
      </c>
      <c r="AG727" s="1">
        <v>25880.0</v>
      </c>
    </row>
    <row r="728">
      <c r="C728" s="33"/>
      <c r="D728" s="34"/>
      <c r="E728" s="33"/>
      <c r="G728" s="33"/>
      <c r="H728" s="33"/>
      <c r="L728" s="33"/>
      <c r="O728" s="33"/>
      <c r="U728" s="97">
        <f t="shared" ref="U728:U729" si="1440">U726-U718</f>
        <v>1192</v>
      </c>
      <c r="V728" s="97"/>
      <c r="W728" s="97">
        <f t="shared" ref="W728:W729" si="1441">W726-W718</f>
        <v>328</v>
      </c>
      <c r="X728" s="97"/>
      <c r="Y728" s="97">
        <f t="shared" ref="Y728:Y729" si="1442">Y726-Y718</f>
        <v>2668</v>
      </c>
      <c r="Z728" s="97"/>
      <c r="AA728" s="97">
        <f t="shared" ref="AA728:AA729" si="1443">AA726-AA718</f>
        <v>1439</v>
      </c>
      <c r="AC728" s="97">
        <f>AC726-AC718</f>
        <v>1994</v>
      </c>
      <c r="AD728" s="97"/>
      <c r="AE728" s="97">
        <f t="shared" ref="AE728:AE729" si="1444">AE726-AE718</f>
        <v>1796</v>
      </c>
      <c r="AF728" s="97"/>
      <c r="AG728" s="97"/>
      <c r="AH728" s="97">
        <f>AH726-AH718</f>
        <v>143</v>
      </c>
    </row>
    <row r="729">
      <c r="C729" s="33"/>
      <c r="D729" s="34"/>
      <c r="E729" s="33"/>
      <c r="G729" s="33"/>
      <c r="H729" s="30" t="s">
        <v>5811</v>
      </c>
      <c r="K729" s="175" t="s">
        <v>5797</v>
      </c>
      <c r="M729" s="23" t="s">
        <v>5795</v>
      </c>
      <c r="N729" s="33"/>
      <c r="O729" s="34"/>
      <c r="Q729" s="23" t="s">
        <v>5802</v>
      </c>
      <c r="U729" s="167">
        <f t="shared" si="1440"/>
        <v>161</v>
      </c>
      <c r="V729" s="167">
        <f>(V727-V719)</f>
        <v>955</v>
      </c>
      <c r="W729" s="167">
        <f t="shared" si="1441"/>
        <v>883</v>
      </c>
      <c r="X729" s="168">
        <f>W728</f>
        <v>328</v>
      </c>
      <c r="Y729" s="167">
        <f t="shared" si="1442"/>
        <v>850</v>
      </c>
      <c r="Z729" s="169">
        <f>Y728-Y729</f>
        <v>1818</v>
      </c>
      <c r="AA729" s="167">
        <f t="shared" si="1443"/>
        <v>1181</v>
      </c>
      <c r="AB729" s="167">
        <f>AB727-AB719</f>
        <v>419</v>
      </c>
      <c r="AC729" s="167">
        <f>(AC728)*73.9/(73.9+99)</f>
        <v>852.264893</v>
      </c>
      <c r="AD729" s="167">
        <f>(AC728)*99/(73.9+99)</f>
        <v>1141.735107</v>
      </c>
      <c r="AE729" s="167">
        <f t="shared" si="1444"/>
        <v>1021</v>
      </c>
      <c r="AF729" s="169">
        <f>AE728-AE729-AG729-30</f>
        <v>425</v>
      </c>
      <c r="AG729" s="167">
        <f>AG727-AG719</f>
        <v>320</v>
      </c>
      <c r="AH729" s="96">
        <v>143.0</v>
      </c>
      <c r="AI729" s="18">
        <f t="shared" ref="AI729:AI730" si="1446">SUM(U729:AH729)</f>
        <v>10498</v>
      </c>
    </row>
    <row r="730">
      <c r="B730" s="1" t="s">
        <v>5812</v>
      </c>
      <c r="D730" s="33">
        <v>1900000.0</v>
      </c>
      <c r="E730" s="1">
        <v>2700000.0</v>
      </c>
      <c r="F730" s="1">
        <v>1550000.0</v>
      </c>
      <c r="G730" s="1">
        <v>1800000.0</v>
      </c>
      <c r="H730" s="1">
        <v>1000000.0</v>
      </c>
      <c r="I730" s="1">
        <v>3500000.0</v>
      </c>
      <c r="J730" s="33">
        <v>2100000.0</v>
      </c>
      <c r="K730" s="1">
        <v>2300000.0</v>
      </c>
      <c r="L730" s="1">
        <v>1900000.0</v>
      </c>
      <c r="M730" s="33">
        <v>1500000.0</v>
      </c>
      <c r="N730" s="33">
        <v>1260000.0</v>
      </c>
      <c r="O730" s="1">
        <v>1150000.0</v>
      </c>
      <c r="P730">
        <f t="shared" ref="P730:P738" si="1448">SUM(D730:O730)</f>
        <v>22660000</v>
      </c>
      <c r="Q730" s="18">
        <f t="shared" ref="Q730:Q738" si="1449">M730*0.5</f>
        <v>750000</v>
      </c>
      <c r="U730" s="162">
        <f t="shared" ref="U730:AH730" si="1445">U729*2376190/10498</f>
        <v>36441.85464</v>
      </c>
      <c r="V730" s="162">
        <f t="shared" si="1445"/>
        <v>216161.3117</v>
      </c>
      <c r="W730" s="162">
        <f t="shared" si="1445"/>
        <v>199864.3332</v>
      </c>
      <c r="X730" s="162">
        <f t="shared" si="1445"/>
        <v>74241.79082</v>
      </c>
      <c r="Y730" s="162">
        <f t="shared" si="1445"/>
        <v>192394.8847</v>
      </c>
      <c r="Z730" s="162">
        <f t="shared" si="1445"/>
        <v>411498.7064</v>
      </c>
      <c r="AA730" s="162">
        <f t="shared" si="1445"/>
        <v>267315.7163</v>
      </c>
      <c r="AB730" s="162">
        <f t="shared" si="1445"/>
        <v>94839.36083</v>
      </c>
      <c r="AC730" s="162">
        <f t="shared" si="1445"/>
        <v>192907.5363</v>
      </c>
      <c r="AD730" s="162">
        <f t="shared" si="1445"/>
        <v>258428.2286</v>
      </c>
      <c r="AE730" s="162">
        <f t="shared" si="1445"/>
        <v>231100.2086</v>
      </c>
      <c r="AF730" s="162">
        <f t="shared" si="1445"/>
        <v>96197.44237</v>
      </c>
      <c r="AG730" s="162">
        <f t="shared" si="1445"/>
        <v>72431.01543</v>
      </c>
      <c r="AH730" s="162">
        <f t="shared" si="1445"/>
        <v>32367.61002</v>
      </c>
      <c r="AI730" s="18">
        <f t="shared" si="1446"/>
        <v>2376190</v>
      </c>
    </row>
    <row r="731">
      <c r="B731" s="1" t="s">
        <v>5499</v>
      </c>
      <c r="D731" s="33">
        <f t="shared" ref="D731:O731" si="1447">D730*0.1</f>
        <v>190000</v>
      </c>
      <c r="E731" s="1">
        <f t="shared" si="1447"/>
        <v>270000</v>
      </c>
      <c r="F731" s="1">
        <f t="shared" si="1447"/>
        <v>155000</v>
      </c>
      <c r="G731" s="1">
        <f t="shared" si="1447"/>
        <v>180000</v>
      </c>
      <c r="H731" s="1">
        <f t="shared" si="1447"/>
        <v>100000</v>
      </c>
      <c r="I731" s="1">
        <f t="shared" si="1447"/>
        <v>350000</v>
      </c>
      <c r="J731" s="33">
        <f t="shared" si="1447"/>
        <v>210000</v>
      </c>
      <c r="K731" s="1">
        <f t="shared" si="1447"/>
        <v>230000</v>
      </c>
      <c r="L731" s="1">
        <f t="shared" si="1447"/>
        <v>190000</v>
      </c>
      <c r="M731" s="33">
        <f t="shared" si="1447"/>
        <v>150000</v>
      </c>
      <c r="N731" s="1">
        <f t="shared" si="1447"/>
        <v>126000</v>
      </c>
      <c r="O731" s="1">
        <f t="shared" si="1447"/>
        <v>115000</v>
      </c>
      <c r="P731">
        <f t="shared" si="1448"/>
        <v>2266000</v>
      </c>
      <c r="Q731" s="18">
        <f t="shared" si="1449"/>
        <v>75000</v>
      </c>
      <c r="U731">
        <v>36441.85463897885</v>
      </c>
      <c r="V731" s="136">
        <v>216161.31167841493</v>
      </c>
      <c r="W731" s="136">
        <v>199864.333206325</v>
      </c>
      <c r="X731" s="136">
        <v>74241.79081729853</v>
      </c>
      <c r="Y731" s="164">
        <f t="shared" ref="Y731:AG731" si="1450">Y730+3596</f>
        <v>195990.8847</v>
      </c>
      <c r="Z731" s="164">
        <f t="shared" si="1450"/>
        <v>415094.7064</v>
      </c>
      <c r="AA731" s="165">
        <f t="shared" si="1450"/>
        <v>270911.7163</v>
      </c>
      <c r="AB731" s="164">
        <f t="shared" si="1450"/>
        <v>98435.36083</v>
      </c>
      <c r="AC731" s="164">
        <f t="shared" si="1450"/>
        <v>196503.5363</v>
      </c>
      <c r="AD731" s="164">
        <f t="shared" si="1450"/>
        <v>262024.2286</v>
      </c>
      <c r="AE731" s="164">
        <f t="shared" si="1450"/>
        <v>234696.2086</v>
      </c>
      <c r="AF731" s="164">
        <f t="shared" si="1450"/>
        <v>99793.44237</v>
      </c>
      <c r="AG731" s="164">
        <f t="shared" si="1450"/>
        <v>76027.01543</v>
      </c>
      <c r="AH731">
        <f>AH730/9</f>
        <v>3596.401113</v>
      </c>
      <c r="AI731" s="18">
        <f>SUM(U731:AG731)</f>
        <v>2376186.39</v>
      </c>
    </row>
    <row r="732">
      <c r="B732" s="1" t="s">
        <v>5520</v>
      </c>
      <c r="D732" s="34">
        <f t="shared" ref="D732:O732" si="1451">D730+D731</f>
        <v>2090000</v>
      </c>
      <c r="E732">
        <f t="shared" si="1451"/>
        <v>2970000</v>
      </c>
      <c r="F732">
        <f t="shared" si="1451"/>
        <v>1705000</v>
      </c>
      <c r="G732">
        <f t="shared" si="1451"/>
        <v>1980000</v>
      </c>
      <c r="H732">
        <f t="shared" si="1451"/>
        <v>1100000</v>
      </c>
      <c r="I732">
        <f t="shared" si="1451"/>
        <v>3850000</v>
      </c>
      <c r="J732" s="34">
        <f t="shared" si="1451"/>
        <v>2310000</v>
      </c>
      <c r="K732">
        <f t="shared" si="1451"/>
        <v>2530000</v>
      </c>
      <c r="L732">
        <f t="shared" si="1451"/>
        <v>2090000</v>
      </c>
      <c r="M732" s="34">
        <f t="shared" si="1451"/>
        <v>1650000</v>
      </c>
      <c r="N732">
        <f t="shared" si="1451"/>
        <v>1386000</v>
      </c>
      <c r="O732">
        <f t="shared" si="1451"/>
        <v>1265000</v>
      </c>
      <c r="P732">
        <f t="shared" si="1448"/>
        <v>24926000</v>
      </c>
      <c r="Q732" s="18">
        <f t="shared" si="1449"/>
        <v>825000</v>
      </c>
      <c r="AA732" s="166">
        <f>AA731+U731</f>
        <v>307353.571</v>
      </c>
    </row>
    <row r="733">
      <c r="B733" s="1" t="s">
        <v>5545</v>
      </c>
      <c r="C733" s="33"/>
      <c r="D733" s="34">
        <v>95593.63669814792</v>
      </c>
      <c r="E733" s="159">
        <v>89930.50656200171</v>
      </c>
      <c r="F733">
        <v>56971.08916963081</v>
      </c>
      <c r="G733" s="159">
        <v>55184.110266159696</v>
      </c>
      <c r="H733" s="159">
        <v>93353.60738378511</v>
      </c>
      <c r="I733">
        <v>155421.51367594753</v>
      </c>
      <c r="J733">
        <v>36042.73040598552</v>
      </c>
      <c r="K733">
        <v>69322.93840884468</v>
      </c>
      <c r="L733" s="159">
        <v>92013.45334879054</v>
      </c>
      <c r="M733">
        <v>81007.98368698638</v>
      </c>
      <c r="N733">
        <v>56429.99889611186</v>
      </c>
      <c r="O733" s="159">
        <v>42158.91095302343</v>
      </c>
      <c r="P733">
        <f t="shared" si="1448"/>
        <v>923430.4795</v>
      </c>
      <c r="Q733" s="18">
        <f t="shared" si="1449"/>
        <v>40503.99184</v>
      </c>
    </row>
    <row r="734">
      <c r="C734" s="33"/>
      <c r="D734">
        <f t="shared" ref="D734:O734" si="1452">D733-D735</f>
        <v>86903.30609</v>
      </c>
      <c r="E734">
        <f t="shared" si="1452"/>
        <v>81755.00597</v>
      </c>
      <c r="F734">
        <f t="shared" si="1452"/>
        <v>51791.89925</v>
      </c>
      <c r="G734">
        <f t="shared" si="1452"/>
        <v>50167.37297</v>
      </c>
      <c r="H734">
        <f t="shared" si="1452"/>
        <v>84866.9158</v>
      </c>
      <c r="I734">
        <f t="shared" si="1452"/>
        <v>141292.2852</v>
      </c>
      <c r="J734" s="34">
        <f t="shared" si="1452"/>
        <v>32766.11855</v>
      </c>
      <c r="K734">
        <f t="shared" si="1452"/>
        <v>63020.8531</v>
      </c>
      <c r="L734">
        <f t="shared" si="1452"/>
        <v>83648.59395</v>
      </c>
      <c r="M734">
        <f t="shared" si="1452"/>
        <v>73643.62153</v>
      </c>
      <c r="N734">
        <f t="shared" si="1452"/>
        <v>51299.999</v>
      </c>
      <c r="O734">
        <f t="shared" si="1452"/>
        <v>38326.28268</v>
      </c>
      <c r="P734">
        <f t="shared" si="1448"/>
        <v>839482.2541</v>
      </c>
      <c r="Q734" s="18">
        <f t="shared" si="1449"/>
        <v>36821.81077</v>
      </c>
      <c r="T734" s="1" t="s">
        <v>5813</v>
      </c>
      <c r="U734" s="1">
        <v>95229.0</v>
      </c>
      <c r="W734" s="1">
        <v>47697.0</v>
      </c>
      <c r="Y734" s="1">
        <v>142748.0</v>
      </c>
      <c r="AA734" s="1">
        <v>42882.0</v>
      </c>
      <c r="AC734" s="1">
        <v>142541.0</v>
      </c>
      <c r="AE734" s="1">
        <v>175555.0</v>
      </c>
      <c r="AH734" s="1">
        <v>15048.0</v>
      </c>
      <c r="AJ734" s="1">
        <v>2260960.0</v>
      </c>
      <c r="AL734" s="1">
        <v>12092.0</v>
      </c>
    </row>
    <row r="735">
      <c r="B735" s="1" t="s">
        <v>5499</v>
      </c>
      <c r="C735" s="33"/>
      <c r="D735">
        <f t="shared" ref="D735:O735" si="1453">D733/11</f>
        <v>8690.330609</v>
      </c>
      <c r="E735">
        <f t="shared" si="1453"/>
        <v>8175.500597</v>
      </c>
      <c r="F735">
        <f t="shared" si="1453"/>
        <v>5179.189925</v>
      </c>
      <c r="G735">
        <f t="shared" si="1453"/>
        <v>5016.737297</v>
      </c>
      <c r="H735">
        <f t="shared" si="1453"/>
        <v>8486.69158</v>
      </c>
      <c r="I735">
        <f t="shared" si="1453"/>
        <v>14129.22852</v>
      </c>
      <c r="J735" s="34">
        <f t="shared" si="1453"/>
        <v>3276.611855</v>
      </c>
      <c r="K735">
        <f t="shared" si="1453"/>
        <v>6302.08531</v>
      </c>
      <c r="L735">
        <f t="shared" si="1453"/>
        <v>8364.859395</v>
      </c>
      <c r="M735">
        <f t="shared" si="1453"/>
        <v>7364.362153</v>
      </c>
      <c r="N735">
        <f t="shared" si="1453"/>
        <v>5129.9999</v>
      </c>
      <c r="O735">
        <f t="shared" si="1453"/>
        <v>3832.628268</v>
      </c>
      <c r="P735">
        <f t="shared" si="1448"/>
        <v>83948.22541</v>
      </c>
      <c r="Q735" s="18">
        <f t="shared" si="1449"/>
        <v>3682.181077</v>
      </c>
      <c r="U735" s="1">
        <v>15682.0</v>
      </c>
      <c r="V735" s="1">
        <v>80094.0</v>
      </c>
      <c r="W735" s="1">
        <v>115232.0</v>
      </c>
      <c r="Y735" s="1">
        <v>43558.0</v>
      </c>
      <c r="AA735" s="1">
        <v>80884.0</v>
      </c>
      <c r="AB735" s="1">
        <v>13596.0</v>
      </c>
      <c r="AE735" s="1">
        <v>132987.0</v>
      </c>
      <c r="AG735" s="1">
        <v>26170.0</v>
      </c>
    </row>
    <row r="736">
      <c r="B736" s="23" t="s">
        <v>5528</v>
      </c>
      <c r="C736" s="33"/>
      <c r="D736" s="145">
        <f t="shared" ref="D736:O736" si="1454">SUM(D732,D733)</f>
        <v>2185593.637</v>
      </c>
      <c r="E736" s="145">
        <f t="shared" si="1454"/>
        <v>3059930.507</v>
      </c>
      <c r="F736" s="145">
        <f t="shared" si="1454"/>
        <v>1761971.089</v>
      </c>
      <c r="G736" s="145">
        <f t="shared" si="1454"/>
        <v>2035184.11</v>
      </c>
      <c r="H736" s="145">
        <f t="shared" si="1454"/>
        <v>1193353.607</v>
      </c>
      <c r="I736" s="173">
        <f t="shared" si="1454"/>
        <v>4005421.514</v>
      </c>
      <c r="J736" s="145">
        <f t="shared" si="1454"/>
        <v>2346042.73</v>
      </c>
      <c r="K736" s="174">
        <f t="shared" si="1454"/>
        <v>2599322.938</v>
      </c>
      <c r="L736" s="145">
        <f t="shared" si="1454"/>
        <v>2182013.453</v>
      </c>
      <c r="M736" s="145">
        <f t="shared" si="1454"/>
        <v>1731007.984</v>
      </c>
      <c r="N736" s="145">
        <f t="shared" si="1454"/>
        <v>1442429.999</v>
      </c>
      <c r="O736" s="145">
        <f t="shared" si="1454"/>
        <v>1307158.911</v>
      </c>
      <c r="P736">
        <f t="shared" si="1448"/>
        <v>25849430.48</v>
      </c>
      <c r="Q736" s="18">
        <f t="shared" si="1449"/>
        <v>865503.9918</v>
      </c>
      <c r="U736" s="97">
        <f t="shared" ref="U736:U737" si="1456">U734-U726</f>
        <v>1647</v>
      </c>
      <c r="V736" s="97"/>
      <c r="W736" s="97">
        <f t="shared" ref="W736:W737" si="1457">W734-W726</f>
        <v>369</v>
      </c>
      <c r="X736" s="97"/>
      <c r="Y736" s="97">
        <f t="shared" ref="Y736:Y737" si="1458">Y734-Y726</f>
        <v>2403</v>
      </c>
      <c r="Z736" s="97"/>
      <c r="AA736" s="97">
        <f t="shared" ref="AA736:AA737" si="1459">AA734-AA726</f>
        <v>1367</v>
      </c>
      <c r="AC736" s="97">
        <f>AC734-AC726</f>
        <v>1540</v>
      </c>
      <c r="AD736" s="97"/>
      <c r="AE736" s="97">
        <f t="shared" ref="AE736:AE737" si="1460">AE734-AE726</f>
        <v>1482</v>
      </c>
      <c r="AF736" s="97"/>
      <c r="AG736" s="97"/>
      <c r="AH736" s="97">
        <f>AH734-AH726</f>
        <v>143</v>
      </c>
    </row>
    <row r="737">
      <c r="B737" s="1" t="s">
        <v>5580</v>
      </c>
      <c r="C737" s="33"/>
      <c r="D737">
        <f t="shared" ref="D737:O737" si="1455">D730+D734</f>
        <v>1986903.306</v>
      </c>
      <c r="E737">
        <f t="shared" si="1455"/>
        <v>2781755.006</v>
      </c>
      <c r="F737">
        <f t="shared" si="1455"/>
        <v>1601791.899</v>
      </c>
      <c r="G737">
        <f t="shared" si="1455"/>
        <v>1850167.373</v>
      </c>
      <c r="H737">
        <f t="shared" si="1455"/>
        <v>1084866.916</v>
      </c>
      <c r="I737">
        <f t="shared" si="1455"/>
        <v>3641292.285</v>
      </c>
      <c r="J737" s="34">
        <f t="shared" si="1455"/>
        <v>2132766.119</v>
      </c>
      <c r="K737">
        <f t="shared" si="1455"/>
        <v>2363020.853</v>
      </c>
      <c r="L737">
        <f t="shared" si="1455"/>
        <v>1983648.594</v>
      </c>
      <c r="M737">
        <f t="shared" si="1455"/>
        <v>1573643.622</v>
      </c>
      <c r="N737">
        <f t="shared" si="1455"/>
        <v>1311299.999</v>
      </c>
      <c r="O737">
        <f t="shared" si="1455"/>
        <v>1188326.283</v>
      </c>
      <c r="P737">
        <f t="shared" si="1448"/>
        <v>23499482.25</v>
      </c>
      <c r="Q737" s="18">
        <f t="shared" si="1449"/>
        <v>786821.8108</v>
      </c>
      <c r="U737" s="167">
        <f t="shared" si="1456"/>
        <v>201</v>
      </c>
      <c r="V737" s="167">
        <f>(V735-V727)</f>
        <v>1302</v>
      </c>
      <c r="W737" s="167">
        <f t="shared" si="1457"/>
        <v>768</v>
      </c>
      <c r="X737" s="168">
        <f>W736</f>
        <v>369</v>
      </c>
      <c r="Y737" s="167">
        <f t="shared" si="1458"/>
        <v>767</v>
      </c>
      <c r="Z737" s="169">
        <f>Y736-Y737</f>
        <v>1636</v>
      </c>
      <c r="AA737" s="167">
        <f t="shared" si="1459"/>
        <v>1116</v>
      </c>
      <c r="AB737" s="167">
        <f>AB735-AB727</f>
        <v>186</v>
      </c>
      <c r="AC737" s="167">
        <f>(AC736)*73.9/(73.9+99)</f>
        <v>658.2186235</v>
      </c>
      <c r="AD737" s="167">
        <f>(AC736)*99/(73.9+99)</f>
        <v>881.7813765</v>
      </c>
      <c r="AE737" s="167">
        <f t="shared" si="1460"/>
        <v>744</v>
      </c>
      <c r="AF737" s="169">
        <f>AE736-AE737-AG737-30</f>
        <v>418</v>
      </c>
      <c r="AG737" s="167">
        <f>AG735-AG727</f>
        <v>290</v>
      </c>
      <c r="AH737" s="96">
        <v>143.0</v>
      </c>
      <c r="AI737" s="18">
        <f t="shared" ref="AI737:AI738" si="1463">SUM(U737:AH737)</f>
        <v>9480</v>
      </c>
    </row>
    <row r="738">
      <c r="B738" s="1" t="s">
        <v>5582</v>
      </c>
      <c r="C738" s="33"/>
      <c r="D738">
        <f t="shared" ref="D738:O738" si="1461">D731+D735</f>
        <v>198690.3306</v>
      </c>
      <c r="E738">
        <f t="shared" si="1461"/>
        <v>278175.5006</v>
      </c>
      <c r="F738">
        <f t="shared" si="1461"/>
        <v>160179.1899</v>
      </c>
      <c r="G738">
        <f t="shared" si="1461"/>
        <v>185016.7373</v>
      </c>
      <c r="H738">
        <f t="shared" si="1461"/>
        <v>108486.6916</v>
      </c>
      <c r="I738">
        <f t="shared" si="1461"/>
        <v>364129.2285</v>
      </c>
      <c r="J738" s="34">
        <f t="shared" si="1461"/>
        <v>213276.6119</v>
      </c>
      <c r="K738">
        <f t="shared" si="1461"/>
        <v>236302.0853</v>
      </c>
      <c r="L738">
        <f t="shared" si="1461"/>
        <v>198364.8594</v>
      </c>
      <c r="M738">
        <f t="shared" si="1461"/>
        <v>157364.3622</v>
      </c>
      <c r="N738">
        <f t="shared" si="1461"/>
        <v>131129.9999</v>
      </c>
      <c r="O738">
        <f t="shared" si="1461"/>
        <v>118832.6283</v>
      </c>
      <c r="P738">
        <f t="shared" si="1448"/>
        <v>2349948.225</v>
      </c>
      <c r="Q738" s="18">
        <f t="shared" si="1449"/>
        <v>78682.18108</v>
      </c>
      <c r="U738" s="162">
        <f t="shared" ref="U738:AH738" si="1462">U737*2260960/9480</f>
        <v>47938.07595</v>
      </c>
      <c r="V738" s="162">
        <f t="shared" si="1462"/>
        <v>310524.2532</v>
      </c>
      <c r="W738" s="162">
        <f t="shared" si="1462"/>
        <v>183166.3797</v>
      </c>
      <c r="X738" s="162">
        <f t="shared" si="1462"/>
        <v>88005.72152</v>
      </c>
      <c r="Y738" s="162">
        <f t="shared" si="1462"/>
        <v>182927.8819</v>
      </c>
      <c r="Z738" s="162">
        <f t="shared" si="1462"/>
        <v>390182.5485</v>
      </c>
      <c r="AA738" s="162">
        <f t="shared" si="1462"/>
        <v>266163.6456</v>
      </c>
      <c r="AB738" s="162">
        <f t="shared" si="1462"/>
        <v>44360.60759</v>
      </c>
      <c r="AC738" s="162">
        <f t="shared" si="1462"/>
        <v>156983.7531</v>
      </c>
      <c r="AD738" s="162">
        <f t="shared" si="1462"/>
        <v>210302.998</v>
      </c>
      <c r="AE738" s="162">
        <f t="shared" si="1462"/>
        <v>177442.4304</v>
      </c>
      <c r="AF738" s="162">
        <f t="shared" si="1462"/>
        <v>99692.11814</v>
      </c>
      <c r="AG738" s="162">
        <f t="shared" si="1462"/>
        <v>69164.38819</v>
      </c>
      <c r="AH738" s="162">
        <f t="shared" si="1462"/>
        <v>34105.19831</v>
      </c>
      <c r="AI738" s="18">
        <f t="shared" si="1463"/>
        <v>2260960</v>
      </c>
    </row>
    <row r="739">
      <c r="C739" s="33"/>
      <c r="D739" s="33" t="s">
        <v>5566</v>
      </c>
      <c r="E739" s="33" t="s">
        <v>5566</v>
      </c>
      <c r="F739" s="1" t="s">
        <v>5566</v>
      </c>
      <c r="G739" s="33" t="s">
        <v>5566</v>
      </c>
      <c r="H739" s="33" t="s">
        <v>5566</v>
      </c>
      <c r="I739" s="1" t="s">
        <v>5566</v>
      </c>
      <c r="J739" s="33" t="s">
        <v>5566</v>
      </c>
      <c r="K739" s="1" t="s">
        <v>5566</v>
      </c>
      <c r="L739" s="33" t="s">
        <v>5566</v>
      </c>
      <c r="M739" s="1" t="s">
        <v>5566</v>
      </c>
      <c r="N739" s="33" t="s">
        <v>5566</v>
      </c>
      <c r="O739" s="33" t="s">
        <v>5566</v>
      </c>
      <c r="U739">
        <v>47938.07594936709</v>
      </c>
      <c r="V739" s="136">
        <v>310524.253164557</v>
      </c>
      <c r="W739" s="136">
        <v>183166.37974683545</v>
      </c>
      <c r="X739" s="136">
        <v>88005.72151898734</v>
      </c>
      <c r="Y739" s="164">
        <f t="shared" ref="Y739:AG739" si="1464">Y738+3789</f>
        <v>186716.8819</v>
      </c>
      <c r="Z739" s="164">
        <f t="shared" si="1464"/>
        <v>393971.5485</v>
      </c>
      <c r="AA739" s="165">
        <f t="shared" si="1464"/>
        <v>269952.6456</v>
      </c>
      <c r="AB739" s="164">
        <f t="shared" si="1464"/>
        <v>48149.60759</v>
      </c>
      <c r="AC739" s="164">
        <f t="shared" si="1464"/>
        <v>160772.7531</v>
      </c>
      <c r="AD739" s="164">
        <f t="shared" si="1464"/>
        <v>214091.998</v>
      </c>
      <c r="AE739" s="164">
        <f t="shared" si="1464"/>
        <v>181231.4304</v>
      </c>
      <c r="AF739" s="164">
        <f t="shared" si="1464"/>
        <v>103481.1181</v>
      </c>
      <c r="AG739" s="164">
        <f t="shared" si="1464"/>
        <v>72953.38819</v>
      </c>
      <c r="AH739">
        <f>AH738/9</f>
        <v>3789.466479</v>
      </c>
      <c r="AI739" s="18">
        <f>SUM(U739:AG739)</f>
        <v>2260955.802</v>
      </c>
    </row>
    <row r="740">
      <c r="C740" s="33"/>
      <c r="D740" s="34"/>
      <c r="E740" s="33"/>
      <c r="G740" s="33"/>
      <c r="H740" s="33"/>
      <c r="L740" s="33"/>
      <c r="M740" s="1"/>
      <c r="N740" s="33"/>
      <c r="O740" s="33"/>
      <c r="AA740" s="166">
        <f>AA739+U739</f>
        <v>317890.7215</v>
      </c>
    </row>
    <row r="741">
      <c r="C741" s="33"/>
      <c r="D741" s="34"/>
      <c r="E741" s="33"/>
      <c r="G741" s="33"/>
      <c r="H741" s="33"/>
      <c r="L741" s="33"/>
      <c r="M741" s="23" t="s">
        <v>5795</v>
      </c>
      <c r="N741" s="33"/>
      <c r="O741" s="34"/>
      <c r="Q741" s="23" t="s">
        <v>5802</v>
      </c>
    </row>
    <row r="742">
      <c r="B742" s="1" t="s">
        <v>5814</v>
      </c>
      <c r="C742" s="33"/>
      <c r="D742" s="33">
        <v>1900000.0</v>
      </c>
      <c r="E742" s="1">
        <v>2700000.0</v>
      </c>
      <c r="F742" s="1">
        <v>1550000.0</v>
      </c>
      <c r="G742" s="1">
        <v>1800000.0</v>
      </c>
      <c r="H742" s="1">
        <v>1000000.0</v>
      </c>
      <c r="I742" s="1">
        <v>3500000.0</v>
      </c>
      <c r="J742" s="33">
        <v>2100000.0</v>
      </c>
      <c r="K742" s="1">
        <v>2300000.0</v>
      </c>
      <c r="L742" s="1">
        <v>1900000.0</v>
      </c>
      <c r="M742" s="33">
        <v>1500000.0</v>
      </c>
      <c r="N742" s="33">
        <v>1260000.0</v>
      </c>
      <c r="O742" s="1">
        <v>1150000.0</v>
      </c>
      <c r="P742">
        <f t="shared" ref="P742:P753" si="1466">SUM(D742:O742)</f>
        <v>22660000</v>
      </c>
      <c r="Q742" s="18">
        <f t="shared" ref="Q742:Q753" si="1467">M742*0.5</f>
        <v>750000</v>
      </c>
      <c r="T742" s="1" t="s">
        <v>5815</v>
      </c>
      <c r="U742" s="1">
        <v>96152.0</v>
      </c>
      <c r="W742" s="1">
        <v>47959.0</v>
      </c>
      <c r="Y742" s="1">
        <v>144809.0</v>
      </c>
      <c r="AA742" s="1">
        <v>44099.0</v>
      </c>
      <c r="AC742" s="1">
        <v>143695.0</v>
      </c>
      <c r="AE742" s="1">
        <v>176675.0</v>
      </c>
      <c r="AH742" s="1">
        <v>15177.0</v>
      </c>
      <c r="AJ742" s="1">
        <v>1656240.0</v>
      </c>
      <c r="AL742" s="1">
        <v>8771.0</v>
      </c>
    </row>
    <row r="743">
      <c r="B743" s="1" t="s">
        <v>5499</v>
      </c>
      <c r="C743" s="33"/>
      <c r="D743" s="33">
        <f t="shared" ref="D743:O743" si="1465">D742*0.1</f>
        <v>190000</v>
      </c>
      <c r="E743" s="1">
        <f t="shared" si="1465"/>
        <v>270000</v>
      </c>
      <c r="F743" s="1">
        <f t="shared" si="1465"/>
        <v>155000</v>
      </c>
      <c r="G743" s="1">
        <f t="shared" si="1465"/>
        <v>180000</v>
      </c>
      <c r="H743" s="1">
        <f t="shared" si="1465"/>
        <v>100000</v>
      </c>
      <c r="I743" s="1">
        <f t="shared" si="1465"/>
        <v>350000</v>
      </c>
      <c r="J743" s="33">
        <f t="shared" si="1465"/>
        <v>210000</v>
      </c>
      <c r="K743" s="1">
        <f t="shared" si="1465"/>
        <v>230000</v>
      </c>
      <c r="L743" s="1">
        <f t="shared" si="1465"/>
        <v>190000</v>
      </c>
      <c r="M743" s="33">
        <f t="shared" si="1465"/>
        <v>150000</v>
      </c>
      <c r="N743" s="1">
        <f t="shared" si="1465"/>
        <v>126000</v>
      </c>
      <c r="O743" s="1">
        <f t="shared" si="1465"/>
        <v>115000</v>
      </c>
      <c r="P743">
        <f t="shared" si="1466"/>
        <v>2266000</v>
      </c>
      <c r="Q743" s="18">
        <f t="shared" si="1467"/>
        <v>75000</v>
      </c>
      <c r="U743" s="1">
        <v>15782.0</v>
      </c>
      <c r="V743" s="1">
        <v>80872.0</v>
      </c>
      <c r="W743" s="1">
        <v>115878.0</v>
      </c>
      <c r="Y743" s="1">
        <v>44179.0</v>
      </c>
      <c r="AA743" s="1">
        <v>81888.0</v>
      </c>
      <c r="AB743" s="1">
        <v>13772.0</v>
      </c>
      <c r="AE743" s="1">
        <v>133731.0</v>
      </c>
      <c r="AG743" s="1">
        <v>26300.0</v>
      </c>
    </row>
    <row r="744">
      <c r="B744" s="1" t="s">
        <v>5520</v>
      </c>
      <c r="C744" s="33"/>
      <c r="D744" s="34">
        <f t="shared" ref="D744:O744" si="1468">D742+D743</f>
        <v>2090000</v>
      </c>
      <c r="E744">
        <f t="shared" si="1468"/>
        <v>2970000</v>
      </c>
      <c r="F744">
        <f t="shared" si="1468"/>
        <v>1705000</v>
      </c>
      <c r="G744">
        <f t="shared" si="1468"/>
        <v>1980000</v>
      </c>
      <c r="H744">
        <f t="shared" si="1468"/>
        <v>1100000</v>
      </c>
      <c r="I744">
        <f t="shared" si="1468"/>
        <v>3850000</v>
      </c>
      <c r="J744" s="34">
        <f t="shared" si="1468"/>
        <v>2310000</v>
      </c>
      <c r="K744">
        <f t="shared" si="1468"/>
        <v>2530000</v>
      </c>
      <c r="L744">
        <f t="shared" si="1468"/>
        <v>2090000</v>
      </c>
      <c r="M744" s="34">
        <f t="shared" si="1468"/>
        <v>1650000</v>
      </c>
      <c r="N744">
        <f t="shared" si="1468"/>
        <v>1386000</v>
      </c>
      <c r="O744">
        <f t="shared" si="1468"/>
        <v>1265000</v>
      </c>
      <c r="P744">
        <f t="shared" si="1466"/>
        <v>24926000</v>
      </c>
      <c r="Q744" s="18">
        <f t="shared" si="1467"/>
        <v>825000</v>
      </c>
      <c r="U744" s="97">
        <f t="shared" ref="U744:U745" si="1469">U742-U734</f>
        <v>923</v>
      </c>
      <c r="V744" s="97"/>
      <c r="W744" s="97">
        <f t="shared" ref="W744:W745" si="1470">W742-W734</f>
        <v>262</v>
      </c>
      <c r="X744" s="97"/>
      <c r="Y744" s="97">
        <f t="shared" ref="Y744:Y745" si="1471">Y742-Y734</f>
        <v>2061</v>
      </c>
      <c r="Z744" s="97"/>
      <c r="AA744" s="97">
        <f t="shared" ref="AA744:AA745" si="1472">AA742-AA734</f>
        <v>1217</v>
      </c>
      <c r="AC744" s="97">
        <f>AC742-AC734</f>
        <v>1154</v>
      </c>
      <c r="AD744" s="97"/>
      <c r="AE744" s="97">
        <f t="shared" ref="AE744:AE745" si="1473">AE742-AE734</f>
        <v>1120</v>
      </c>
      <c r="AF744" s="97"/>
      <c r="AG744" s="97"/>
      <c r="AH744" s="97">
        <f>AH742-AH734</f>
        <v>129</v>
      </c>
    </row>
    <row r="745">
      <c r="B745" s="1" t="s">
        <v>5545</v>
      </c>
      <c r="C745" s="33"/>
      <c r="D745">
        <v>112847.15853658537</v>
      </c>
      <c r="E745">
        <v>73034.25914634146</v>
      </c>
      <c r="F745">
        <v>32166.713414634145</v>
      </c>
      <c r="G745">
        <v>64391.810975609755</v>
      </c>
      <c r="H745" s="134">
        <v>109477.94207317074</v>
      </c>
      <c r="I745">
        <v>141117.33231707316</v>
      </c>
      <c r="J745" s="34">
        <v>35652.69817073171</v>
      </c>
      <c r="K745">
        <v>55773.32524968613</v>
      </c>
      <c r="L745">
        <v>73801.28145763095</v>
      </c>
      <c r="M745" s="134">
        <v>84430.09146341463</v>
      </c>
      <c r="N745" s="159">
        <v>52790.70121951219</v>
      </c>
      <c r="O745">
        <v>29324.82012195122</v>
      </c>
      <c r="P745">
        <f t="shared" si="1466"/>
        <v>864808.1341</v>
      </c>
      <c r="Q745" s="18">
        <f t="shared" si="1467"/>
        <v>42215.04573</v>
      </c>
      <c r="U745" s="167">
        <f t="shared" si="1469"/>
        <v>100</v>
      </c>
      <c r="V745" s="167">
        <f>(V743-V735)</f>
        <v>778</v>
      </c>
      <c r="W745" s="167">
        <f t="shared" si="1470"/>
        <v>646</v>
      </c>
      <c r="X745" s="168">
        <f>W744</f>
        <v>262</v>
      </c>
      <c r="Y745" s="167">
        <f t="shared" si="1471"/>
        <v>621</v>
      </c>
      <c r="Z745" s="169">
        <f>Y744-Y745</f>
        <v>1440</v>
      </c>
      <c r="AA745" s="167">
        <f t="shared" si="1472"/>
        <v>1004</v>
      </c>
      <c r="AB745" s="167">
        <f>AB743-AB735</f>
        <v>176</v>
      </c>
      <c r="AC745" s="167">
        <f>(AC744)*73.9/(73.9+99)</f>
        <v>493.2365529</v>
      </c>
      <c r="AD745" s="167">
        <f>(AC744)*99/(73.9+99)</f>
        <v>660.7634471</v>
      </c>
      <c r="AE745" s="167">
        <f t="shared" si="1473"/>
        <v>744</v>
      </c>
      <c r="AF745" s="169">
        <f>AE744-AE745-AG745-30</f>
        <v>216</v>
      </c>
      <c r="AG745" s="167">
        <f>AG743-AG735</f>
        <v>130</v>
      </c>
      <c r="AH745" s="96">
        <v>129.0</v>
      </c>
      <c r="AI745" s="18">
        <f t="shared" ref="AI745:AI746" si="1476">SUM(U745:AH745)</f>
        <v>7400</v>
      </c>
    </row>
    <row r="746">
      <c r="C746" s="33"/>
      <c r="D746">
        <f t="shared" ref="D746:O746" si="1474">D745-D747</f>
        <v>102588.3259</v>
      </c>
      <c r="E746">
        <f t="shared" si="1474"/>
        <v>66394.78104</v>
      </c>
      <c r="F746">
        <f t="shared" si="1474"/>
        <v>29242.46674</v>
      </c>
      <c r="G746">
        <f t="shared" si="1474"/>
        <v>58538.00998</v>
      </c>
      <c r="H746">
        <f t="shared" si="1474"/>
        <v>99525.40188</v>
      </c>
      <c r="I746">
        <f t="shared" si="1474"/>
        <v>128288.4839</v>
      </c>
      <c r="J746" s="34">
        <f t="shared" si="1474"/>
        <v>32411.54379</v>
      </c>
      <c r="K746">
        <f t="shared" si="1474"/>
        <v>50703.02295</v>
      </c>
      <c r="L746">
        <f t="shared" si="1474"/>
        <v>67092.07405</v>
      </c>
      <c r="M746">
        <f t="shared" si="1474"/>
        <v>76754.6286</v>
      </c>
      <c r="N746">
        <f t="shared" si="1474"/>
        <v>47991.54656</v>
      </c>
      <c r="O746">
        <f t="shared" si="1474"/>
        <v>26658.92738</v>
      </c>
      <c r="P746">
        <f t="shared" si="1466"/>
        <v>786189.2129</v>
      </c>
      <c r="Q746" s="18">
        <f t="shared" si="1467"/>
        <v>38377.3143</v>
      </c>
      <c r="U746" s="162">
        <f t="shared" ref="U746:AH746" si="1475">U745*1656240/7400</f>
        <v>22381.62162</v>
      </c>
      <c r="V746" s="162">
        <f t="shared" si="1475"/>
        <v>174129.0162</v>
      </c>
      <c r="W746" s="162">
        <f t="shared" si="1475"/>
        <v>144585.2757</v>
      </c>
      <c r="X746" s="162">
        <f t="shared" si="1475"/>
        <v>58639.84865</v>
      </c>
      <c r="Y746" s="162">
        <f t="shared" si="1475"/>
        <v>138989.8703</v>
      </c>
      <c r="Z746" s="162">
        <f t="shared" si="1475"/>
        <v>322295.3514</v>
      </c>
      <c r="AA746" s="162">
        <f t="shared" si="1475"/>
        <v>224711.4811</v>
      </c>
      <c r="AB746" s="162">
        <f t="shared" si="1475"/>
        <v>39391.65405</v>
      </c>
      <c r="AC746" s="162">
        <f t="shared" si="1475"/>
        <v>110394.339</v>
      </c>
      <c r="AD746" s="162">
        <f t="shared" si="1475"/>
        <v>147889.5745</v>
      </c>
      <c r="AE746" s="162">
        <f t="shared" si="1475"/>
        <v>166519.2649</v>
      </c>
      <c r="AF746" s="162">
        <f t="shared" si="1475"/>
        <v>48344.3027</v>
      </c>
      <c r="AG746" s="162">
        <f t="shared" si="1475"/>
        <v>29096.10811</v>
      </c>
      <c r="AH746" s="162">
        <f t="shared" si="1475"/>
        <v>28872.29189</v>
      </c>
      <c r="AI746" s="18">
        <f t="shared" si="1476"/>
        <v>1656240</v>
      </c>
    </row>
    <row r="747">
      <c r="B747" s="1" t="s">
        <v>5499</v>
      </c>
      <c r="C747" s="33"/>
      <c r="D747">
        <f t="shared" ref="D747:O747" si="1477">D745/11</f>
        <v>10258.83259</v>
      </c>
      <c r="E747">
        <f t="shared" si="1477"/>
        <v>6639.478104</v>
      </c>
      <c r="F747">
        <f t="shared" si="1477"/>
        <v>2924.246674</v>
      </c>
      <c r="G747">
        <f t="shared" si="1477"/>
        <v>5853.800998</v>
      </c>
      <c r="H747">
        <f t="shared" si="1477"/>
        <v>9952.540188</v>
      </c>
      <c r="I747">
        <f t="shared" si="1477"/>
        <v>12828.84839</v>
      </c>
      <c r="J747" s="34">
        <f t="shared" si="1477"/>
        <v>3241.154379</v>
      </c>
      <c r="K747">
        <f t="shared" si="1477"/>
        <v>5070.302295</v>
      </c>
      <c r="L747">
        <f t="shared" si="1477"/>
        <v>6709.207405</v>
      </c>
      <c r="M747">
        <f t="shared" si="1477"/>
        <v>7675.46286</v>
      </c>
      <c r="N747">
        <f t="shared" si="1477"/>
        <v>4799.154656</v>
      </c>
      <c r="O747">
        <f t="shared" si="1477"/>
        <v>2665.892738</v>
      </c>
      <c r="P747">
        <f t="shared" si="1466"/>
        <v>78618.92129</v>
      </c>
      <c r="Q747" s="18">
        <f t="shared" si="1467"/>
        <v>3837.73143</v>
      </c>
      <c r="U747">
        <v>22381.62162162162</v>
      </c>
      <c r="V747" s="136">
        <v>174129.01621621623</v>
      </c>
      <c r="W747" s="136">
        <v>144585.2756756757</v>
      </c>
      <c r="X747" s="136">
        <v>58639.84864864865</v>
      </c>
      <c r="Y747" s="164">
        <f t="shared" ref="Y747:AG747" si="1478">Y746+3208</f>
        <v>142197.8703</v>
      </c>
      <c r="Z747" s="164">
        <f t="shared" si="1478"/>
        <v>325503.3514</v>
      </c>
      <c r="AA747" s="165">
        <f t="shared" si="1478"/>
        <v>227919.4811</v>
      </c>
      <c r="AB747" s="164">
        <f t="shared" si="1478"/>
        <v>42599.65405</v>
      </c>
      <c r="AC747" s="164">
        <f t="shared" si="1478"/>
        <v>113602.339</v>
      </c>
      <c r="AD747" s="164">
        <f t="shared" si="1478"/>
        <v>151097.5745</v>
      </c>
      <c r="AE747" s="164">
        <f t="shared" si="1478"/>
        <v>169727.2649</v>
      </c>
      <c r="AF747" s="164">
        <f t="shared" si="1478"/>
        <v>51552.3027</v>
      </c>
      <c r="AG747" s="164">
        <f t="shared" si="1478"/>
        <v>32304.10811</v>
      </c>
      <c r="AH747">
        <f>AH746/9</f>
        <v>3208.032432</v>
      </c>
      <c r="AI747" s="18">
        <f>SUM(U747:AG747)</f>
        <v>1656239.708</v>
      </c>
    </row>
    <row r="748">
      <c r="B748" s="1" t="s">
        <v>5816</v>
      </c>
      <c r="C748" s="33"/>
      <c r="D748">
        <v>44259.45790028754</v>
      </c>
      <c r="E748">
        <v>18430.092212837684</v>
      </c>
      <c r="F748">
        <v>18430.092212837684</v>
      </c>
      <c r="G748">
        <v>16909.3826336996</v>
      </c>
      <c r="H748" s="134">
        <v>24331.353266209357</v>
      </c>
      <c r="I748">
        <v>30890.831898610944</v>
      </c>
      <c r="J748">
        <v>24581.022003082773</v>
      </c>
      <c r="K748">
        <v>16773.1996863141</v>
      </c>
      <c r="L748">
        <v>22470.18631860752</v>
      </c>
      <c r="M748" s="134">
        <v>11459.795022489836</v>
      </c>
      <c r="N748" s="159">
        <v>13187.04873849593</v>
      </c>
      <c r="O748">
        <v>10077.538106527008</v>
      </c>
      <c r="P748">
        <f t="shared" si="1466"/>
        <v>251800</v>
      </c>
      <c r="Q748" s="18">
        <f t="shared" si="1467"/>
        <v>5729.897511</v>
      </c>
      <c r="AA748" s="166">
        <f>AA747+U747</f>
        <v>250301.1027</v>
      </c>
    </row>
    <row r="749">
      <c r="B749" s="23" t="s">
        <v>5598</v>
      </c>
      <c r="C749" s="33"/>
      <c r="D749" s="18">
        <f t="shared" ref="D749:O749" si="1479">SUM(D744,D745,D748)</f>
        <v>2247106.616</v>
      </c>
      <c r="E749" s="18">
        <f t="shared" si="1479"/>
        <v>3061464.351</v>
      </c>
      <c r="F749" s="18">
        <f t="shared" si="1479"/>
        <v>1755596.806</v>
      </c>
      <c r="G749" s="18">
        <f t="shared" si="1479"/>
        <v>2061301.194</v>
      </c>
      <c r="H749" s="18">
        <f t="shared" si="1479"/>
        <v>1233809.295</v>
      </c>
      <c r="I749" s="18">
        <f t="shared" si="1479"/>
        <v>4022008.164</v>
      </c>
      <c r="J749" s="18">
        <f t="shared" si="1479"/>
        <v>2370233.72</v>
      </c>
      <c r="K749" s="18">
        <f t="shared" si="1479"/>
        <v>2602546.525</v>
      </c>
      <c r="L749" s="18">
        <f t="shared" si="1479"/>
        <v>2186271.468</v>
      </c>
      <c r="M749" s="18">
        <f t="shared" si="1479"/>
        <v>1745889.886</v>
      </c>
      <c r="N749" s="18">
        <f t="shared" si="1479"/>
        <v>1451977.75</v>
      </c>
      <c r="O749" s="18">
        <f t="shared" si="1479"/>
        <v>1304402.358</v>
      </c>
      <c r="P749">
        <f t="shared" si="1466"/>
        <v>26042608.13</v>
      </c>
      <c r="Q749" s="18">
        <f t="shared" si="1467"/>
        <v>872944.9432</v>
      </c>
    </row>
    <row r="750">
      <c r="B750" s="1" t="s">
        <v>5599</v>
      </c>
      <c r="C750" s="33"/>
      <c r="D750">
        <f t="shared" ref="D750:O750" si="1480">SUM(D742,D746,D748)</f>
        <v>2046847.784</v>
      </c>
      <c r="E750">
        <f t="shared" si="1480"/>
        <v>2784824.873</v>
      </c>
      <c r="F750">
        <f t="shared" si="1480"/>
        <v>1597672.559</v>
      </c>
      <c r="G750">
        <f t="shared" si="1480"/>
        <v>1875447.393</v>
      </c>
      <c r="H750">
        <f t="shared" si="1480"/>
        <v>1123856.755</v>
      </c>
      <c r="I750">
        <f t="shared" si="1480"/>
        <v>3659179.316</v>
      </c>
      <c r="J750">
        <f t="shared" si="1480"/>
        <v>2156992.566</v>
      </c>
      <c r="K750">
        <f t="shared" si="1480"/>
        <v>2367476.223</v>
      </c>
      <c r="L750">
        <f t="shared" si="1480"/>
        <v>1989562.26</v>
      </c>
      <c r="M750">
        <f t="shared" si="1480"/>
        <v>1588214.424</v>
      </c>
      <c r="N750">
        <f t="shared" si="1480"/>
        <v>1321178.595</v>
      </c>
      <c r="O750">
        <f t="shared" si="1480"/>
        <v>1186736.465</v>
      </c>
      <c r="P750">
        <f t="shared" si="1466"/>
        <v>23697989.21</v>
      </c>
      <c r="Q750" s="18">
        <f t="shared" si="1467"/>
        <v>794107.2118</v>
      </c>
      <c r="T750" s="1" t="s">
        <v>5817</v>
      </c>
      <c r="U750" s="1">
        <v>96801.0</v>
      </c>
      <c r="W750" s="1">
        <v>48129.0</v>
      </c>
      <c r="Y750" s="1">
        <v>146336.0</v>
      </c>
      <c r="AA750" s="1">
        <v>44936.0</v>
      </c>
      <c r="AC750" s="1">
        <v>144835.0</v>
      </c>
      <c r="AE750" s="1">
        <v>177636.0</v>
      </c>
      <c r="AH750" s="1">
        <v>15319.0</v>
      </c>
      <c r="AJ750" s="1">
        <v>1275610.0</v>
      </c>
      <c r="AL750" s="1">
        <v>7003.0</v>
      </c>
    </row>
    <row r="751">
      <c r="B751" s="1" t="s">
        <v>5601</v>
      </c>
      <c r="C751" s="33"/>
      <c r="D751">
        <f t="shared" ref="D751:O751" si="1481">SUM(D742,D746)</f>
        <v>2002588.326</v>
      </c>
      <c r="E751">
        <f t="shared" si="1481"/>
        <v>2766394.781</v>
      </c>
      <c r="F751">
        <f t="shared" si="1481"/>
        <v>1579242.467</v>
      </c>
      <c r="G751">
        <f t="shared" si="1481"/>
        <v>1858538.01</v>
      </c>
      <c r="H751">
        <f t="shared" si="1481"/>
        <v>1099525.402</v>
      </c>
      <c r="I751">
        <f t="shared" si="1481"/>
        <v>3628288.484</v>
      </c>
      <c r="J751">
        <f t="shared" si="1481"/>
        <v>2132411.544</v>
      </c>
      <c r="K751">
        <f t="shared" si="1481"/>
        <v>2350703.023</v>
      </c>
      <c r="L751">
        <f t="shared" si="1481"/>
        <v>1967092.074</v>
      </c>
      <c r="M751">
        <f t="shared" si="1481"/>
        <v>1576754.629</v>
      </c>
      <c r="N751">
        <f t="shared" si="1481"/>
        <v>1307991.547</v>
      </c>
      <c r="O751">
        <f t="shared" si="1481"/>
        <v>1176658.927</v>
      </c>
      <c r="P751">
        <f t="shared" si="1466"/>
        <v>23446189.21</v>
      </c>
      <c r="Q751" s="18">
        <f t="shared" si="1467"/>
        <v>788377.3143</v>
      </c>
      <c r="U751" s="1">
        <v>15889.0</v>
      </c>
      <c r="V751" s="1">
        <v>81378.0</v>
      </c>
      <c r="W751" s="1">
        <v>116351.0</v>
      </c>
      <c r="Y751" s="1">
        <v>44558.0</v>
      </c>
      <c r="AA751" s="1">
        <v>82737.0</v>
      </c>
      <c r="AB751" s="1">
        <v>13864.0</v>
      </c>
      <c r="AE751" s="1">
        <v>134444.0</v>
      </c>
      <c r="AG751" s="1">
        <v>26405.0</v>
      </c>
    </row>
    <row r="752">
      <c r="B752" s="1" t="s">
        <v>5582</v>
      </c>
      <c r="C752" s="33"/>
      <c r="D752">
        <f t="shared" ref="D752:O752" si="1482">SUM(D743,D747)</f>
        <v>200258.8326</v>
      </c>
      <c r="E752">
        <f t="shared" si="1482"/>
        <v>276639.4781</v>
      </c>
      <c r="F752">
        <f t="shared" si="1482"/>
        <v>157924.2467</v>
      </c>
      <c r="G752">
        <f t="shared" si="1482"/>
        <v>185853.801</v>
      </c>
      <c r="H752">
        <f t="shared" si="1482"/>
        <v>109952.5402</v>
      </c>
      <c r="I752">
        <f t="shared" si="1482"/>
        <v>362828.8484</v>
      </c>
      <c r="J752">
        <f t="shared" si="1482"/>
        <v>213241.1544</v>
      </c>
      <c r="K752">
        <f t="shared" si="1482"/>
        <v>235070.3023</v>
      </c>
      <c r="L752">
        <f t="shared" si="1482"/>
        <v>196709.2074</v>
      </c>
      <c r="M752">
        <f t="shared" si="1482"/>
        <v>157675.4629</v>
      </c>
      <c r="N752">
        <f t="shared" si="1482"/>
        <v>130799.1547</v>
      </c>
      <c r="O752">
        <f t="shared" si="1482"/>
        <v>117665.8927</v>
      </c>
      <c r="P752">
        <f t="shared" si="1466"/>
        <v>2344618.921</v>
      </c>
      <c r="Q752" s="18">
        <f t="shared" si="1467"/>
        <v>78837.73143</v>
      </c>
      <c r="U752" s="97">
        <f t="shared" ref="U752:U753" si="1484">U750-U742</f>
        <v>649</v>
      </c>
      <c r="V752" s="97"/>
      <c r="W752" s="97">
        <f t="shared" ref="W752:W753" si="1485">W750-W742</f>
        <v>170</v>
      </c>
      <c r="X752" s="97"/>
      <c r="Y752" s="97">
        <f t="shared" ref="Y752:Y753" si="1486">Y750-Y742</f>
        <v>1527</v>
      </c>
      <c r="Z752" s="97"/>
      <c r="AA752" s="97">
        <f t="shared" ref="AA752:AA753" si="1487">AA750-AA742</f>
        <v>837</v>
      </c>
      <c r="AC752" s="97">
        <f>AC750-AC742</f>
        <v>1140</v>
      </c>
      <c r="AD752" s="97"/>
      <c r="AE752" s="97">
        <f t="shared" ref="AE752:AE753" si="1488">AE750-AE742</f>
        <v>961</v>
      </c>
      <c r="AF752" s="97"/>
      <c r="AG752" s="97"/>
      <c r="AH752" s="97">
        <f>AH750-AH742</f>
        <v>142</v>
      </c>
    </row>
    <row r="753">
      <c r="B753" s="1" t="s">
        <v>5602</v>
      </c>
      <c r="C753" s="33"/>
      <c r="D753">
        <f t="shared" ref="D753:O753" si="1483">SUM(D751:D752)</f>
        <v>2202847.159</v>
      </c>
      <c r="E753">
        <f t="shared" si="1483"/>
        <v>3043034.259</v>
      </c>
      <c r="F753">
        <f t="shared" si="1483"/>
        <v>1737166.713</v>
      </c>
      <c r="G753">
        <f t="shared" si="1483"/>
        <v>2044391.811</v>
      </c>
      <c r="H753">
        <f t="shared" si="1483"/>
        <v>1209477.942</v>
      </c>
      <c r="I753">
        <f t="shared" si="1483"/>
        <v>3991117.332</v>
      </c>
      <c r="J753">
        <f t="shared" si="1483"/>
        <v>2345652.698</v>
      </c>
      <c r="K753">
        <f t="shared" si="1483"/>
        <v>2585773.325</v>
      </c>
      <c r="L753">
        <f t="shared" si="1483"/>
        <v>2163801.281</v>
      </c>
      <c r="M753">
        <f t="shared" si="1483"/>
        <v>1734430.091</v>
      </c>
      <c r="N753">
        <f t="shared" si="1483"/>
        <v>1438790.701</v>
      </c>
      <c r="O753">
        <f t="shared" si="1483"/>
        <v>1294324.82</v>
      </c>
      <c r="P753">
        <f t="shared" si="1466"/>
        <v>25790808.13</v>
      </c>
      <c r="Q753" s="18">
        <f t="shared" si="1467"/>
        <v>867215.0457</v>
      </c>
      <c r="U753" s="167">
        <f t="shared" si="1484"/>
        <v>107</v>
      </c>
      <c r="V753" s="167">
        <f>(V751-V743)</f>
        <v>506</v>
      </c>
      <c r="W753" s="167">
        <f t="shared" si="1485"/>
        <v>473</v>
      </c>
      <c r="X753" s="168">
        <f>W752</f>
        <v>170</v>
      </c>
      <c r="Y753" s="167">
        <f t="shared" si="1486"/>
        <v>379</v>
      </c>
      <c r="Z753" s="169">
        <f>Y752-Y753</f>
        <v>1148</v>
      </c>
      <c r="AA753" s="167">
        <f t="shared" si="1487"/>
        <v>849</v>
      </c>
      <c r="AB753" s="167">
        <f>AB751-AB743</f>
        <v>92</v>
      </c>
      <c r="AC753" s="167">
        <f>(AC752)*73.9/(73.9+99)</f>
        <v>487.2527473</v>
      </c>
      <c r="AD753" s="167">
        <f>(AC752)*99/(73.9+99)</f>
        <v>652.7472527</v>
      </c>
      <c r="AE753" s="167">
        <f t="shared" si="1488"/>
        <v>713</v>
      </c>
      <c r="AF753" s="169">
        <f>AE752-AE753-AG753-30</f>
        <v>113</v>
      </c>
      <c r="AG753" s="167">
        <f>AG751-AG743</f>
        <v>105</v>
      </c>
      <c r="AH753" s="96">
        <v>142.0</v>
      </c>
      <c r="AI753" s="18">
        <f t="shared" ref="AI753:AI754" si="1490">SUM(U753:AH753)</f>
        <v>5937</v>
      </c>
    </row>
    <row r="754">
      <c r="C754" s="33"/>
      <c r="D754" s="33" t="s">
        <v>5566</v>
      </c>
      <c r="E754" s="33" t="s">
        <v>5566</v>
      </c>
      <c r="F754" s="1" t="s">
        <v>5566</v>
      </c>
      <c r="G754" s="33" t="s">
        <v>5566</v>
      </c>
      <c r="H754" s="33" t="s">
        <v>5566</v>
      </c>
      <c r="I754" s="1" t="s">
        <v>5566</v>
      </c>
      <c r="J754" s="1" t="s">
        <v>5566</v>
      </c>
      <c r="K754" s="1" t="s">
        <v>5566</v>
      </c>
      <c r="L754" s="33" t="s">
        <v>5566</v>
      </c>
      <c r="M754" s="33" t="s">
        <v>5566</v>
      </c>
      <c r="N754" s="33" t="s">
        <v>5566</v>
      </c>
      <c r="O754" s="33" t="s">
        <v>5566</v>
      </c>
      <c r="U754" s="162">
        <f t="shared" ref="U754:AH754" si="1489">U753*1275610/5937</f>
        <v>22989.77093</v>
      </c>
      <c r="V754" s="162">
        <f t="shared" si="1489"/>
        <v>108717.9821</v>
      </c>
      <c r="W754" s="162">
        <f t="shared" si="1489"/>
        <v>101627.679</v>
      </c>
      <c r="X754" s="162">
        <f t="shared" si="1489"/>
        <v>36525.80428</v>
      </c>
      <c r="Y754" s="162">
        <f t="shared" si="1489"/>
        <v>81431.05777</v>
      </c>
      <c r="Z754" s="162">
        <f t="shared" si="1489"/>
        <v>246656.6077</v>
      </c>
      <c r="AA754" s="162">
        <f t="shared" si="1489"/>
        <v>182414.1637</v>
      </c>
      <c r="AB754" s="162">
        <f t="shared" si="1489"/>
        <v>19766.90584</v>
      </c>
      <c r="AC754" s="162">
        <f t="shared" si="1489"/>
        <v>104689.9911</v>
      </c>
      <c r="AD754" s="162">
        <f t="shared" si="1489"/>
        <v>140247.7553</v>
      </c>
      <c r="AE754" s="162">
        <f t="shared" si="1489"/>
        <v>153193.5203</v>
      </c>
      <c r="AF754" s="162">
        <f t="shared" si="1489"/>
        <v>24278.91696</v>
      </c>
      <c r="AG754" s="162">
        <f t="shared" si="1489"/>
        <v>22560.05558</v>
      </c>
      <c r="AH754" s="162">
        <f t="shared" si="1489"/>
        <v>30509.78946</v>
      </c>
      <c r="AI754" s="18">
        <f t="shared" si="1490"/>
        <v>1275610</v>
      </c>
    </row>
    <row r="755">
      <c r="C755" s="33"/>
      <c r="D755" s="34"/>
      <c r="E755" s="33"/>
      <c r="G755" s="33"/>
      <c r="H755" s="33"/>
      <c r="L755" s="33"/>
      <c r="M755" s="1"/>
      <c r="N755" s="33"/>
      <c r="O755" s="33"/>
      <c r="U755">
        <v>22989.770928078153</v>
      </c>
      <c r="V755" s="136">
        <v>108717.98214586491</v>
      </c>
      <c r="W755" s="136">
        <v>101627.67896243895</v>
      </c>
      <c r="X755" s="136">
        <v>36525.80427825501</v>
      </c>
      <c r="Y755" s="164">
        <f t="shared" ref="Y755:AG755" si="1491">Y754+3389</f>
        <v>84820.05777</v>
      </c>
      <c r="Z755" s="164">
        <f t="shared" si="1491"/>
        <v>250045.6077</v>
      </c>
      <c r="AA755" s="165">
        <f t="shared" si="1491"/>
        <v>185803.1637</v>
      </c>
      <c r="AB755" s="164">
        <f t="shared" si="1491"/>
        <v>23155.90584</v>
      </c>
      <c r="AC755" s="164">
        <f t="shared" si="1491"/>
        <v>108078.9911</v>
      </c>
      <c r="AD755" s="164">
        <f t="shared" si="1491"/>
        <v>143636.7553</v>
      </c>
      <c r="AE755" s="164">
        <f t="shared" si="1491"/>
        <v>156582.5203</v>
      </c>
      <c r="AF755" s="164">
        <f t="shared" si="1491"/>
        <v>27667.91696</v>
      </c>
      <c r="AG755" s="164">
        <f t="shared" si="1491"/>
        <v>25949.05558</v>
      </c>
      <c r="AH755">
        <f>AH754/9</f>
        <v>3389.976606</v>
      </c>
      <c r="AI755" s="18">
        <f>SUM(U755:AG755)</f>
        <v>1275601.211</v>
      </c>
    </row>
    <row r="756">
      <c r="C756" s="33"/>
      <c r="D756" s="34"/>
      <c r="E756" s="33"/>
      <c r="G756" s="33"/>
      <c r="H756" s="33"/>
      <c r="L756" s="33"/>
      <c r="M756" s="1"/>
      <c r="N756" s="99" t="s">
        <v>5818</v>
      </c>
      <c r="O756" s="33"/>
      <c r="Q756" s="23" t="s">
        <v>5802</v>
      </c>
      <c r="AA756" s="166">
        <f>AA755+U755</f>
        <v>208792.9346</v>
      </c>
    </row>
    <row r="757">
      <c r="B757" s="1" t="s">
        <v>5819</v>
      </c>
      <c r="C757" s="33"/>
      <c r="D757" s="33">
        <v>1900000.0</v>
      </c>
      <c r="E757" s="1">
        <v>2700000.0</v>
      </c>
      <c r="F757" s="1">
        <v>1550000.0</v>
      </c>
      <c r="G757" s="1">
        <v>1800000.0</v>
      </c>
      <c r="H757" s="1">
        <v>1000000.0</v>
      </c>
      <c r="I757" s="1">
        <v>3500000.0</v>
      </c>
      <c r="J757" s="33">
        <v>2100000.0</v>
      </c>
      <c r="K757" s="1">
        <v>2300000.0</v>
      </c>
      <c r="L757" s="1">
        <v>1900000.0</v>
      </c>
      <c r="M757" s="33">
        <v>1500000.0</v>
      </c>
      <c r="N757" s="33">
        <v>1260000.0</v>
      </c>
      <c r="O757" s="1">
        <v>1150000.0</v>
      </c>
      <c r="P757">
        <f t="shared" ref="P757:P765" si="1493">SUM(D757:O757)</f>
        <v>22660000</v>
      </c>
      <c r="Q757" s="18">
        <f t="shared" ref="Q757:Q765" si="1494">M757*0.5</f>
        <v>750000</v>
      </c>
    </row>
    <row r="758">
      <c r="B758" s="1" t="s">
        <v>5499</v>
      </c>
      <c r="C758" s="33"/>
      <c r="D758" s="33">
        <f t="shared" ref="D758:O758" si="1492">D757*0.1</f>
        <v>190000</v>
      </c>
      <c r="E758" s="1">
        <f t="shared" si="1492"/>
        <v>270000</v>
      </c>
      <c r="F758" s="1">
        <f t="shared" si="1492"/>
        <v>155000</v>
      </c>
      <c r="G758" s="1">
        <f t="shared" si="1492"/>
        <v>180000</v>
      </c>
      <c r="H758" s="1">
        <f t="shared" si="1492"/>
        <v>100000</v>
      </c>
      <c r="I758" s="1">
        <f t="shared" si="1492"/>
        <v>350000</v>
      </c>
      <c r="J758" s="33">
        <f t="shared" si="1492"/>
        <v>210000</v>
      </c>
      <c r="K758" s="1">
        <f t="shared" si="1492"/>
        <v>230000</v>
      </c>
      <c r="L758" s="1">
        <f t="shared" si="1492"/>
        <v>190000</v>
      </c>
      <c r="M758" s="33">
        <f t="shared" si="1492"/>
        <v>150000</v>
      </c>
      <c r="N758" s="1">
        <f t="shared" si="1492"/>
        <v>126000</v>
      </c>
      <c r="O758" s="1">
        <f t="shared" si="1492"/>
        <v>115000</v>
      </c>
      <c r="P758">
        <f t="shared" si="1493"/>
        <v>2266000</v>
      </c>
      <c r="Q758" s="18">
        <f t="shared" si="1494"/>
        <v>75000</v>
      </c>
      <c r="T758" s="1" t="s">
        <v>5820</v>
      </c>
      <c r="U758" s="1">
        <v>97290.0</v>
      </c>
      <c r="W758" s="1">
        <v>48285.0</v>
      </c>
      <c r="Y758" s="1">
        <v>147565.0</v>
      </c>
      <c r="AA758" s="1">
        <v>45645.0</v>
      </c>
      <c r="AC758" s="1">
        <v>145827.0</v>
      </c>
      <c r="AE758" s="1">
        <v>178301.0</v>
      </c>
      <c r="AH758" s="1">
        <v>15453.0</v>
      </c>
      <c r="AJ758" s="1">
        <v>1086210.0</v>
      </c>
      <c r="AL758" s="1">
        <v>5430.0</v>
      </c>
    </row>
    <row r="759">
      <c r="B759" s="1" t="s">
        <v>5520</v>
      </c>
      <c r="C759" s="33"/>
      <c r="D759" s="34">
        <f t="shared" ref="D759:O759" si="1495">D757+D758</f>
        <v>2090000</v>
      </c>
      <c r="E759">
        <f t="shared" si="1495"/>
        <v>2970000</v>
      </c>
      <c r="F759">
        <f t="shared" si="1495"/>
        <v>1705000</v>
      </c>
      <c r="G759">
        <f t="shared" si="1495"/>
        <v>1980000</v>
      </c>
      <c r="H759">
        <f t="shared" si="1495"/>
        <v>1100000</v>
      </c>
      <c r="I759">
        <f t="shared" si="1495"/>
        <v>3850000</v>
      </c>
      <c r="J759" s="34">
        <f t="shared" si="1495"/>
        <v>2310000</v>
      </c>
      <c r="K759">
        <f t="shared" si="1495"/>
        <v>2530000</v>
      </c>
      <c r="L759">
        <f t="shared" si="1495"/>
        <v>2090000</v>
      </c>
      <c r="M759" s="34">
        <f t="shared" si="1495"/>
        <v>1650000</v>
      </c>
      <c r="N759">
        <f t="shared" si="1495"/>
        <v>1386000</v>
      </c>
      <c r="O759">
        <f t="shared" si="1495"/>
        <v>1265000</v>
      </c>
      <c r="P759">
        <f t="shared" si="1493"/>
        <v>24926000</v>
      </c>
      <c r="Q759" s="18">
        <f t="shared" si="1494"/>
        <v>825000</v>
      </c>
      <c r="U759" s="1">
        <v>15991.0</v>
      </c>
      <c r="V759" s="1">
        <v>81731.0</v>
      </c>
      <c r="W759" s="1">
        <v>116672.0</v>
      </c>
      <c r="Y759" s="1">
        <v>44807.0</v>
      </c>
      <c r="AA759" s="1">
        <v>83309.0</v>
      </c>
      <c r="AB759" s="1">
        <v>14063.0</v>
      </c>
      <c r="AE759" s="1">
        <v>134901.0</v>
      </c>
      <c r="AG759" s="1">
        <v>26539.0</v>
      </c>
    </row>
    <row r="760">
      <c r="B760" s="1" t="s">
        <v>5545</v>
      </c>
      <c r="C760" s="33"/>
      <c r="D760" s="34">
        <v>108498.10354530107</v>
      </c>
      <c r="E760" s="159">
        <v>77255.1941474395</v>
      </c>
      <c r="F760">
        <v>31242.909397861564</v>
      </c>
      <c r="G760" s="159">
        <v>71427.04970924779</v>
      </c>
      <c r="H760" s="159">
        <v>121794.4066779216</v>
      </c>
      <c r="I760">
        <v>163640.97017445133</v>
      </c>
      <c r="J760">
        <v>72563.15550553366</v>
      </c>
      <c r="K760">
        <v>62447.499038275746</v>
      </c>
      <c r="L760" s="159">
        <v>82678.81197279159</v>
      </c>
      <c r="M760" s="134">
        <v>86385.77602701182</v>
      </c>
      <c r="N760" s="159">
        <v>92255.65597448884</v>
      </c>
      <c r="O760" s="159">
        <v>39237.385481148005</v>
      </c>
      <c r="P760">
        <f t="shared" si="1493"/>
        <v>1009426.918</v>
      </c>
      <c r="Q760" s="18">
        <f t="shared" si="1494"/>
        <v>43192.88801</v>
      </c>
      <c r="U760" s="97">
        <f t="shared" ref="U760:U761" si="1497">U758-U750</f>
        <v>489</v>
      </c>
      <c r="V760" s="97"/>
      <c r="W760" s="97">
        <f t="shared" ref="W760:W761" si="1498">W758-W750</f>
        <v>156</v>
      </c>
      <c r="X760" s="97"/>
      <c r="Y760" s="97">
        <f t="shared" ref="Y760:Y761" si="1499">Y758-Y750</f>
        <v>1229</v>
      </c>
      <c r="Z760" s="97"/>
      <c r="AA760" s="97">
        <f t="shared" ref="AA760:AA761" si="1500">AA758-AA750</f>
        <v>709</v>
      </c>
      <c r="AC760" s="97">
        <f>AC758-AC750</f>
        <v>992</v>
      </c>
      <c r="AD760" s="97"/>
      <c r="AE760" s="97">
        <f t="shared" ref="AE760:AE761" si="1501">AE758-AE750</f>
        <v>665</v>
      </c>
      <c r="AF760" s="97"/>
      <c r="AG760" s="97"/>
      <c r="AH760" s="97">
        <f>AH758-AH750</f>
        <v>134</v>
      </c>
    </row>
    <row r="761">
      <c r="C761" s="33"/>
      <c r="D761">
        <f t="shared" ref="D761:O761" si="1496">D760-D762</f>
        <v>98634.63959</v>
      </c>
      <c r="E761">
        <f t="shared" si="1496"/>
        <v>70231.99468</v>
      </c>
      <c r="F761">
        <f t="shared" si="1496"/>
        <v>28402.64491</v>
      </c>
      <c r="G761">
        <f t="shared" si="1496"/>
        <v>64933.68155</v>
      </c>
      <c r="H761">
        <f t="shared" si="1496"/>
        <v>110722.1879</v>
      </c>
      <c r="I761">
        <f t="shared" si="1496"/>
        <v>148764.5183</v>
      </c>
      <c r="J761" s="34">
        <f t="shared" si="1496"/>
        <v>65966.50501</v>
      </c>
      <c r="K761">
        <f t="shared" si="1496"/>
        <v>56770.45367</v>
      </c>
      <c r="L761">
        <f t="shared" si="1496"/>
        <v>75162.55634</v>
      </c>
      <c r="M761">
        <f t="shared" si="1496"/>
        <v>78532.52366</v>
      </c>
      <c r="N761">
        <f t="shared" si="1496"/>
        <v>83868.77816</v>
      </c>
      <c r="O761">
        <f t="shared" si="1496"/>
        <v>35670.35044</v>
      </c>
      <c r="P761">
        <f t="shared" si="1493"/>
        <v>917660.8342</v>
      </c>
      <c r="Q761" s="18">
        <f t="shared" si="1494"/>
        <v>39266.26183</v>
      </c>
      <c r="U761" s="167">
        <f t="shared" si="1497"/>
        <v>102</v>
      </c>
      <c r="V761" s="167">
        <f>(V759-V751)</f>
        <v>353</v>
      </c>
      <c r="W761" s="167">
        <f t="shared" si="1498"/>
        <v>321</v>
      </c>
      <c r="X761" s="168">
        <f>W760</f>
        <v>156</v>
      </c>
      <c r="Y761" s="167">
        <f t="shared" si="1499"/>
        <v>249</v>
      </c>
      <c r="Z761" s="169">
        <f>Y760-Y761</f>
        <v>980</v>
      </c>
      <c r="AA761" s="167">
        <f t="shared" si="1500"/>
        <v>572</v>
      </c>
      <c r="AB761" s="167">
        <f>AB759-AB751</f>
        <v>199</v>
      </c>
      <c r="AC761" s="167">
        <f>(AC760)*73.9/(73.9+99)</f>
        <v>423.995373</v>
      </c>
      <c r="AD761" s="167">
        <f>(AC760)*99/(73.9+99)</f>
        <v>568.004627</v>
      </c>
      <c r="AE761" s="167">
        <f t="shared" si="1501"/>
        <v>457</v>
      </c>
      <c r="AF761" s="169">
        <f>AE760-AE761-AG761</f>
        <v>74</v>
      </c>
      <c r="AG761" s="167">
        <f>AG759-AG751</f>
        <v>134</v>
      </c>
      <c r="AH761" s="96">
        <v>134.0</v>
      </c>
      <c r="AI761" s="18">
        <f t="shared" ref="AI761:AI762" si="1504">SUM(U761:AH761)</f>
        <v>4723</v>
      </c>
    </row>
    <row r="762">
      <c r="B762" s="1" t="s">
        <v>5499</v>
      </c>
      <c r="C762" s="33"/>
      <c r="D762">
        <f t="shared" ref="D762:O762" si="1502">D760/11</f>
        <v>9863.463959</v>
      </c>
      <c r="E762">
        <f t="shared" si="1502"/>
        <v>7023.199468</v>
      </c>
      <c r="F762">
        <f t="shared" si="1502"/>
        <v>2840.264491</v>
      </c>
      <c r="G762">
        <f t="shared" si="1502"/>
        <v>6493.368155</v>
      </c>
      <c r="H762">
        <f t="shared" si="1502"/>
        <v>11072.21879</v>
      </c>
      <c r="I762">
        <f t="shared" si="1502"/>
        <v>14876.45183</v>
      </c>
      <c r="J762" s="34">
        <f t="shared" si="1502"/>
        <v>6596.650501</v>
      </c>
      <c r="K762">
        <f t="shared" si="1502"/>
        <v>5677.045367</v>
      </c>
      <c r="L762">
        <f t="shared" si="1502"/>
        <v>7516.255634</v>
      </c>
      <c r="M762">
        <f t="shared" si="1502"/>
        <v>7853.252366</v>
      </c>
      <c r="N762">
        <f t="shared" si="1502"/>
        <v>8386.877816</v>
      </c>
      <c r="O762">
        <f t="shared" si="1502"/>
        <v>3567.035044</v>
      </c>
      <c r="P762">
        <f t="shared" si="1493"/>
        <v>91766.08342</v>
      </c>
      <c r="Q762" s="18">
        <f t="shared" si="1494"/>
        <v>3926.626183</v>
      </c>
      <c r="U762" s="162">
        <f t="shared" ref="U762:AH762" si="1503">U761*1086210/4723</f>
        <v>23458.27228</v>
      </c>
      <c r="V762" s="162">
        <f t="shared" si="1503"/>
        <v>81184.02075</v>
      </c>
      <c r="W762" s="162">
        <f t="shared" si="1503"/>
        <v>73824.56278</v>
      </c>
      <c r="X762" s="162">
        <f t="shared" si="1503"/>
        <v>35877.35761</v>
      </c>
      <c r="Y762" s="162">
        <f t="shared" si="1503"/>
        <v>57265.78234</v>
      </c>
      <c r="Z762" s="162">
        <f t="shared" si="1503"/>
        <v>225383.4004</v>
      </c>
      <c r="AA762" s="162">
        <f t="shared" si="1503"/>
        <v>131550.3112</v>
      </c>
      <c r="AB762" s="162">
        <f t="shared" si="1503"/>
        <v>45766.62926</v>
      </c>
      <c r="AC762" s="162">
        <f t="shared" si="1503"/>
        <v>97511.754</v>
      </c>
      <c r="AD762" s="162">
        <f t="shared" si="1503"/>
        <v>130631.4431</v>
      </c>
      <c r="AE762" s="162">
        <f t="shared" si="1503"/>
        <v>105102.2592</v>
      </c>
      <c r="AF762" s="162">
        <f t="shared" si="1503"/>
        <v>17018.74656</v>
      </c>
      <c r="AG762" s="162">
        <f t="shared" si="1503"/>
        <v>30817.73026</v>
      </c>
      <c r="AH762" s="162">
        <f t="shared" si="1503"/>
        <v>30817.73026</v>
      </c>
      <c r="AI762" s="18">
        <f t="shared" si="1504"/>
        <v>1086210</v>
      </c>
    </row>
    <row r="763">
      <c r="B763" s="23" t="s">
        <v>5528</v>
      </c>
      <c r="C763" s="33"/>
      <c r="D763" s="145">
        <f t="shared" ref="D763:O763" si="1505">SUM(D759,D760)</f>
        <v>2198498.104</v>
      </c>
      <c r="E763" s="145">
        <f t="shared" si="1505"/>
        <v>3047255.194</v>
      </c>
      <c r="F763" s="145">
        <f t="shared" si="1505"/>
        <v>1736242.909</v>
      </c>
      <c r="G763" s="145">
        <f t="shared" si="1505"/>
        <v>2051427.05</v>
      </c>
      <c r="H763" s="145">
        <f t="shared" si="1505"/>
        <v>1221794.407</v>
      </c>
      <c r="I763" s="173">
        <f t="shared" si="1505"/>
        <v>4013640.97</v>
      </c>
      <c r="J763" s="145">
        <f t="shared" si="1505"/>
        <v>2382563.156</v>
      </c>
      <c r="K763" s="174">
        <f t="shared" si="1505"/>
        <v>2592447.499</v>
      </c>
      <c r="L763" s="145">
        <f t="shared" si="1505"/>
        <v>2172678.812</v>
      </c>
      <c r="M763" s="145">
        <f t="shared" si="1505"/>
        <v>1736385.776</v>
      </c>
      <c r="N763" s="145">
        <f t="shared" si="1505"/>
        <v>1478255.656</v>
      </c>
      <c r="O763" s="145">
        <f t="shared" si="1505"/>
        <v>1304237.385</v>
      </c>
      <c r="P763">
        <f t="shared" si="1493"/>
        <v>25935426.92</v>
      </c>
      <c r="Q763" s="18">
        <f t="shared" si="1494"/>
        <v>868192.888</v>
      </c>
      <c r="U763">
        <v>23458.272284564897</v>
      </c>
      <c r="V763" s="136">
        <v>81184.02074952361</v>
      </c>
      <c r="W763" s="136">
        <v>73824.56277789541</v>
      </c>
      <c r="X763" s="136">
        <v>35877.35761168749</v>
      </c>
      <c r="Y763" s="164">
        <f t="shared" ref="Y763:AG763" si="1506">Y762+3424</f>
        <v>60689.78234</v>
      </c>
      <c r="Z763" s="164">
        <f t="shared" si="1506"/>
        <v>228807.4004</v>
      </c>
      <c r="AA763" s="165">
        <f t="shared" si="1506"/>
        <v>134974.3112</v>
      </c>
      <c r="AB763" s="164">
        <f t="shared" si="1506"/>
        <v>49190.62926</v>
      </c>
      <c r="AC763" s="164">
        <f t="shared" si="1506"/>
        <v>100935.754</v>
      </c>
      <c r="AD763" s="164">
        <f t="shared" si="1506"/>
        <v>134055.4431</v>
      </c>
      <c r="AE763" s="164">
        <f t="shared" si="1506"/>
        <v>108526.2592</v>
      </c>
      <c r="AF763" s="164">
        <f t="shared" si="1506"/>
        <v>20442.74656</v>
      </c>
      <c r="AG763" s="164">
        <f t="shared" si="1506"/>
        <v>34241.73026</v>
      </c>
      <c r="AH763">
        <f>AH762/9</f>
        <v>3424.192251</v>
      </c>
      <c r="AI763" s="18">
        <f>SUM(U763:AG763)</f>
        <v>1086208.27</v>
      </c>
    </row>
    <row r="764">
      <c r="B764" s="1" t="s">
        <v>5580</v>
      </c>
      <c r="C764" s="33"/>
      <c r="D764">
        <f t="shared" ref="D764:O764" si="1507">D757+D761</f>
        <v>1998634.64</v>
      </c>
      <c r="E764">
        <f t="shared" si="1507"/>
        <v>2770231.995</v>
      </c>
      <c r="F764">
        <f t="shared" si="1507"/>
        <v>1578402.645</v>
      </c>
      <c r="G764">
        <f t="shared" si="1507"/>
        <v>1864933.682</v>
      </c>
      <c r="H764">
        <f t="shared" si="1507"/>
        <v>1110722.188</v>
      </c>
      <c r="I764">
        <f t="shared" si="1507"/>
        <v>3648764.518</v>
      </c>
      <c r="J764" s="34">
        <f t="shared" si="1507"/>
        <v>2165966.505</v>
      </c>
      <c r="K764">
        <f t="shared" si="1507"/>
        <v>2356770.454</v>
      </c>
      <c r="L764">
        <f t="shared" si="1507"/>
        <v>1975162.556</v>
      </c>
      <c r="M764">
        <f t="shared" si="1507"/>
        <v>1578532.524</v>
      </c>
      <c r="N764">
        <f t="shared" si="1507"/>
        <v>1343868.778</v>
      </c>
      <c r="O764">
        <f t="shared" si="1507"/>
        <v>1185670.35</v>
      </c>
      <c r="P764">
        <f t="shared" si="1493"/>
        <v>23577660.83</v>
      </c>
      <c r="Q764" s="18">
        <f t="shared" si="1494"/>
        <v>789266.2618</v>
      </c>
      <c r="AA764" s="166">
        <f>AA763+U763</f>
        <v>158432.5835</v>
      </c>
    </row>
    <row r="765">
      <c r="B765" s="1" t="s">
        <v>5582</v>
      </c>
      <c r="C765" s="33"/>
      <c r="D765">
        <f t="shared" ref="D765:O765" si="1508">D758+D762</f>
        <v>199863.464</v>
      </c>
      <c r="E765">
        <f t="shared" si="1508"/>
        <v>277023.1995</v>
      </c>
      <c r="F765">
        <f t="shared" si="1508"/>
        <v>157840.2645</v>
      </c>
      <c r="G765">
        <f t="shared" si="1508"/>
        <v>186493.3682</v>
      </c>
      <c r="H765">
        <f t="shared" si="1508"/>
        <v>111072.2188</v>
      </c>
      <c r="I765">
        <f t="shared" si="1508"/>
        <v>364876.4518</v>
      </c>
      <c r="J765" s="34">
        <f t="shared" si="1508"/>
        <v>216596.6505</v>
      </c>
      <c r="K765">
        <f t="shared" si="1508"/>
        <v>235677.0454</v>
      </c>
      <c r="L765">
        <f t="shared" si="1508"/>
        <v>197516.2556</v>
      </c>
      <c r="M765">
        <f t="shared" si="1508"/>
        <v>157853.2524</v>
      </c>
      <c r="N765">
        <f t="shared" si="1508"/>
        <v>134386.8778</v>
      </c>
      <c r="O765">
        <f t="shared" si="1508"/>
        <v>118567.035</v>
      </c>
      <c r="P765">
        <f t="shared" si="1493"/>
        <v>2357766.083</v>
      </c>
      <c r="Q765" s="18">
        <f t="shared" si="1494"/>
        <v>78926.62618</v>
      </c>
    </row>
    <row r="766">
      <c r="C766" s="33"/>
      <c r="D766" s="33" t="s">
        <v>5566</v>
      </c>
      <c r="E766" s="33" t="s">
        <v>5566</v>
      </c>
      <c r="F766" s="1" t="s">
        <v>5566</v>
      </c>
      <c r="G766" s="33" t="s">
        <v>5566</v>
      </c>
      <c r="H766" s="33" t="s">
        <v>5566</v>
      </c>
      <c r="I766" s="1" t="s">
        <v>5566</v>
      </c>
      <c r="J766" s="1" t="s">
        <v>5566</v>
      </c>
      <c r="K766" s="1" t="s">
        <v>5566</v>
      </c>
      <c r="L766" s="33" t="s">
        <v>5566</v>
      </c>
      <c r="M766" s="1" t="s">
        <v>5566</v>
      </c>
      <c r="N766" s="33" t="s">
        <v>5566</v>
      </c>
      <c r="O766" s="33" t="s">
        <v>5566</v>
      </c>
      <c r="T766" s="1" t="s">
        <v>5821</v>
      </c>
      <c r="U766" s="1">
        <v>97833.0</v>
      </c>
      <c r="W766" s="1">
        <v>48447.0</v>
      </c>
      <c r="Y766" s="1">
        <v>148928.0</v>
      </c>
      <c r="AA766" s="1">
        <v>46726.0</v>
      </c>
      <c r="AC766" s="1">
        <v>147008.0</v>
      </c>
      <c r="AE766" s="1">
        <v>179134.0</v>
      </c>
      <c r="AH766" s="1">
        <v>15594.0</v>
      </c>
    </row>
    <row r="767">
      <c r="C767" s="33"/>
      <c r="D767" s="34"/>
      <c r="E767" s="33"/>
      <c r="G767" s="33"/>
      <c r="H767" s="33"/>
      <c r="J767" s="155" t="s">
        <v>5822</v>
      </c>
      <c r="L767" s="33"/>
      <c r="M767" s="1"/>
      <c r="N767" s="33" t="s">
        <v>5823</v>
      </c>
      <c r="O767" s="33"/>
      <c r="U767" s="1">
        <v>16100.0</v>
      </c>
      <c r="V767" s="1">
        <v>82132.0</v>
      </c>
      <c r="W767" s="1">
        <v>117036.0</v>
      </c>
      <c r="Y767" s="1">
        <v>45058.0</v>
      </c>
      <c r="AA767" s="1">
        <v>83984.0</v>
      </c>
      <c r="AB767" s="1">
        <v>14510.0</v>
      </c>
      <c r="AE767" s="1">
        <v>135406.0</v>
      </c>
      <c r="AG767" s="1">
        <v>26709.0</v>
      </c>
    </row>
    <row r="768">
      <c r="C768" s="33"/>
      <c r="D768" s="34"/>
      <c r="E768" s="33"/>
      <c r="G768" s="33"/>
      <c r="H768" s="33"/>
      <c r="L768" s="33"/>
      <c r="M768" s="1"/>
      <c r="N768" s="33"/>
      <c r="O768" s="33"/>
      <c r="Q768" s="23" t="s">
        <v>5802</v>
      </c>
      <c r="U768" s="97">
        <f t="shared" ref="U768:U769" si="1509">U766-U758</f>
        <v>543</v>
      </c>
      <c r="V768" s="97"/>
      <c r="W768" s="97">
        <f t="shared" ref="W768:W769" si="1510">W766-W758</f>
        <v>162</v>
      </c>
      <c r="X768" s="97"/>
      <c r="Y768" s="97">
        <f t="shared" ref="Y768:Y769" si="1511">Y766-Y758</f>
        <v>1363</v>
      </c>
      <c r="Z768" s="97"/>
      <c r="AA768" s="97">
        <f t="shared" ref="AA768:AA769" si="1512">AA766-AA758</f>
        <v>1081</v>
      </c>
      <c r="AC768" s="97">
        <f>AC766-AC758</f>
        <v>1181</v>
      </c>
      <c r="AD768" s="97"/>
      <c r="AE768" s="97">
        <f t="shared" ref="AE768:AE769" si="1513">AE766-AE758</f>
        <v>833</v>
      </c>
      <c r="AF768" s="97"/>
      <c r="AG768" s="97"/>
      <c r="AH768" s="97">
        <f>AH766-AH758</f>
        <v>141</v>
      </c>
    </row>
    <row r="769" ht="15.0" customHeight="1">
      <c r="B769" s="1" t="s">
        <v>5824</v>
      </c>
      <c r="C769" s="33"/>
      <c r="D769" s="33">
        <v>1900000.0</v>
      </c>
      <c r="E769" s="1">
        <v>2700000.0</v>
      </c>
      <c r="F769" s="1">
        <v>1550000.0</v>
      </c>
      <c r="G769" s="1">
        <v>1800000.0</v>
      </c>
      <c r="H769" s="1">
        <v>1000000.0</v>
      </c>
      <c r="I769" s="1">
        <v>3500000.0</v>
      </c>
      <c r="J769" s="33">
        <v>2100000.0</v>
      </c>
      <c r="K769" s="1">
        <v>2300000.0</v>
      </c>
      <c r="L769" s="1">
        <v>1900000.0</v>
      </c>
      <c r="M769" s="33">
        <v>1500000.0</v>
      </c>
      <c r="N769" s="33">
        <v>750000.0</v>
      </c>
      <c r="O769" s="1">
        <v>1150000.0</v>
      </c>
      <c r="P769">
        <f t="shared" ref="P769:P780" si="1515">SUM(D769:O769)</f>
        <v>22150000</v>
      </c>
      <c r="Q769" s="18">
        <f t="shared" ref="Q769:Q780" si="1516">M769*0.5</f>
        <v>750000</v>
      </c>
      <c r="U769" s="167">
        <f t="shared" si="1509"/>
        <v>109</v>
      </c>
      <c r="V769" s="167">
        <f>(V767-V759)</f>
        <v>401</v>
      </c>
      <c r="W769" s="167">
        <f t="shared" si="1510"/>
        <v>364</v>
      </c>
      <c r="X769" s="168">
        <f>W768</f>
        <v>162</v>
      </c>
      <c r="Y769" s="167">
        <f t="shared" si="1511"/>
        <v>251</v>
      </c>
      <c r="Z769" s="169">
        <f>Y768-Y769</f>
        <v>1112</v>
      </c>
      <c r="AA769" s="167">
        <f t="shared" si="1512"/>
        <v>675</v>
      </c>
      <c r="AB769" s="167">
        <f>AB767-AB759</f>
        <v>447</v>
      </c>
      <c r="AC769" s="167">
        <f>(AC768)*73.9/(73.9+99)</f>
        <v>504.7767496</v>
      </c>
      <c r="AD769" s="167">
        <f>(AC768)*99/(73.9+99)</f>
        <v>676.2232504</v>
      </c>
      <c r="AE769" s="167">
        <f t="shared" si="1513"/>
        <v>505</v>
      </c>
      <c r="AF769" s="169">
        <f>AE768-AE769-AG769</f>
        <v>158</v>
      </c>
      <c r="AG769" s="167">
        <f>AG767-AG759</f>
        <v>170</v>
      </c>
      <c r="AH769" s="96">
        <v>141.0</v>
      </c>
      <c r="AI769" s="18">
        <f t="shared" ref="AI769:AI770" si="1518">SUM(U769:AH769)</f>
        <v>5676</v>
      </c>
      <c r="AJ769" s="1">
        <v>1327960.0</v>
      </c>
      <c r="AL769" s="1">
        <v>6549.0</v>
      </c>
    </row>
    <row r="770">
      <c r="B770" s="1" t="s">
        <v>5499</v>
      </c>
      <c r="C770" s="33"/>
      <c r="D770" s="33">
        <f t="shared" ref="D770:O770" si="1514">D769*0.1</f>
        <v>190000</v>
      </c>
      <c r="E770" s="1">
        <f t="shared" si="1514"/>
        <v>270000</v>
      </c>
      <c r="F770" s="1">
        <f t="shared" si="1514"/>
        <v>155000</v>
      </c>
      <c r="G770" s="1">
        <f t="shared" si="1514"/>
        <v>180000</v>
      </c>
      <c r="H770" s="1">
        <f t="shared" si="1514"/>
        <v>100000</v>
      </c>
      <c r="I770" s="1">
        <f t="shared" si="1514"/>
        <v>350000</v>
      </c>
      <c r="J770" s="33">
        <f t="shared" si="1514"/>
        <v>210000</v>
      </c>
      <c r="K770" s="1">
        <f t="shared" si="1514"/>
        <v>230000</v>
      </c>
      <c r="L770" s="1">
        <f t="shared" si="1514"/>
        <v>190000</v>
      </c>
      <c r="M770" s="33">
        <f t="shared" si="1514"/>
        <v>150000</v>
      </c>
      <c r="N770" s="1">
        <f t="shared" si="1514"/>
        <v>75000</v>
      </c>
      <c r="O770" s="1">
        <f t="shared" si="1514"/>
        <v>115000</v>
      </c>
      <c r="P770">
        <f t="shared" si="1515"/>
        <v>2215000</v>
      </c>
      <c r="Q770" s="18">
        <f t="shared" si="1516"/>
        <v>75000</v>
      </c>
      <c r="U770" s="162">
        <f t="shared" ref="U770:AH770" si="1517">U769*1327960/5676</f>
        <v>25501.69838</v>
      </c>
      <c r="V770" s="162">
        <f t="shared" si="1517"/>
        <v>93818.17477</v>
      </c>
      <c r="W770" s="162">
        <f t="shared" si="1517"/>
        <v>85161.63495</v>
      </c>
      <c r="X770" s="162">
        <f t="shared" si="1517"/>
        <v>37901.60677</v>
      </c>
      <c r="Y770" s="162">
        <f t="shared" si="1517"/>
        <v>58724.09443</v>
      </c>
      <c r="Z770" s="162">
        <f t="shared" si="1517"/>
        <v>260164.1156</v>
      </c>
      <c r="AA770" s="162">
        <f t="shared" si="1517"/>
        <v>157923.3615</v>
      </c>
      <c r="AB770" s="162">
        <f t="shared" si="1517"/>
        <v>104580.3594</v>
      </c>
      <c r="AC770" s="162">
        <f t="shared" si="1517"/>
        <v>118097.8387</v>
      </c>
      <c r="AD770" s="162">
        <f t="shared" si="1517"/>
        <v>158209.5538</v>
      </c>
      <c r="AE770" s="162">
        <f t="shared" si="1517"/>
        <v>118150.0705</v>
      </c>
      <c r="AF770" s="162">
        <f t="shared" si="1517"/>
        <v>36965.76462</v>
      </c>
      <c r="AG770" s="162">
        <f t="shared" si="1517"/>
        <v>39773.29105</v>
      </c>
      <c r="AH770" s="162">
        <f t="shared" si="1517"/>
        <v>32988.43552</v>
      </c>
      <c r="AI770" s="18">
        <f t="shared" si="1518"/>
        <v>1327960</v>
      </c>
    </row>
    <row r="771">
      <c r="B771" s="1" t="s">
        <v>5520</v>
      </c>
      <c r="C771" s="33"/>
      <c r="D771" s="34">
        <f t="shared" ref="D771:O771" si="1519">D769+D770</f>
        <v>2090000</v>
      </c>
      <c r="E771">
        <f t="shared" si="1519"/>
        <v>2970000</v>
      </c>
      <c r="F771">
        <f t="shared" si="1519"/>
        <v>1705000</v>
      </c>
      <c r="G771">
        <f t="shared" si="1519"/>
        <v>1980000</v>
      </c>
      <c r="H771">
        <f t="shared" si="1519"/>
        <v>1100000</v>
      </c>
      <c r="I771">
        <f t="shared" si="1519"/>
        <v>3850000</v>
      </c>
      <c r="J771" s="34">
        <f t="shared" si="1519"/>
        <v>2310000</v>
      </c>
      <c r="K771">
        <f t="shared" si="1519"/>
        <v>2530000</v>
      </c>
      <c r="L771">
        <f t="shared" si="1519"/>
        <v>2090000</v>
      </c>
      <c r="M771" s="34">
        <f t="shared" si="1519"/>
        <v>1650000</v>
      </c>
      <c r="N771">
        <f t="shared" si="1519"/>
        <v>825000</v>
      </c>
      <c r="O771">
        <f t="shared" si="1519"/>
        <v>1265000</v>
      </c>
      <c r="P771">
        <f t="shared" si="1515"/>
        <v>24365000</v>
      </c>
      <c r="Q771" s="18">
        <f t="shared" si="1516"/>
        <v>825000</v>
      </c>
      <c r="U771">
        <v>25501.698379140238</v>
      </c>
      <c r="V771" s="136">
        <v>93818.17477096547</v>
      </c>
      <c r="W771" s="136">
        <v>85161.6349541931</v>
      </c>
      <c r="X771" s="136">
        <v>37901.6067653277</v>
      </c>
      <c r="Y771" s="164">
        <f t="shared" ref="Y771:AG771" si="1520">Y770+3665</f>
        <v>62389.09443</v>
      </c>
      <c r="Z771" s="164">
        <f t="shared" si="1520"/>
        <v>263829.1156</v>
      </c>
      <c r="AA771" s="165">
        <f t="shared" si="1520"/>
        <v>161588.3615</v>
      </c>
      <c r="AB771" s="164">
        <f t="shared" si="1520"/>
        <v>108245.3594</v>
      </c>
      <c r="AC771" s="164">
        <f t="shared" si="1520"/>
        <v>121762.8387</v>
      </c>
      <c r="AD771" s="164">
        <f t="shared" si="1520"/>
        <v>161874.5538</v>
      </c>
      <c r="AE771" s="164">
        <f t="shared" si="1520"/>
        <v>121815.0705</v>
      </c>
      <c r="AF771" s="164">
        <f t="shared" si="1520"/>
        <v>40630.76462</v>
      </c>
      <c r="AG771" s="164">
        <f t="shared" si="1520"/>
        <v>43438.29105</v>
      </c>
      <c r="AH771">
        <f>AH770/9</f>
        <v>3665.381724</v>
      </c>
      <c r="AI771" s="18">
        <f>SUM(U771:AG771)</f>
        <v>1327956.564</v>
      </c>
    </row>
    <row r="772">
      <c r="B772" s="1" t="s">
        <v>5545</v>
      </c>
      <c r="C772" s="33"/>
      <c r="D772" s="34">
        <v>121577.01911220716</v>
      </c>
      <c r="E772" s="34">
        <v>101543.3261405672</v>
      </c>
      <c r="F772" s="34">
        <v>32211.035758323058</v>
      </c>
      <c r="G772" s="176">
        <v>97461.7934648582</v>
      </c>
      <c r="H772" s="176">
        <v>150688.5659679408</v>
      </c>
      <c r="I772" s="176">
        <v>213342.95869297162</v>
      </c>
      <c r="J772" s="176">
        <v>102372.01233045623</v>
      </c>
      <c r="K772" s="176">
        <v>99838.23715874624</v>
      </c>
      <c r="L772" s="176">
        <v>132599.4219041391</v>
      </c>
      <c r="M772" s="176">
        <v>127512.33292231812</v>
      </c>
      <c r="N772" s="176">
        <v>42663.75092478422</v>
      </c>
      <c r="O772" s="176">
        <v>52484.18865598027</v>
      </c>
      <c r="P772">
        <f t="shared" si="1515"/>
        <v>1274294.643</v>
      </c>
      <c r="Q772" s="18">
        <f t="shared" si="1516"/>
        <v>63756.16646</v>
      </c>
      <c r="AA772" s="166">
        <f>AA771+U771</f>
        <v>187090.0599</v>
      </c>
    </row>
    <row r="773">
      <c r="C773" s="33"/>
      <c r="D773">
        <f t="shared" ref="D773:O773" si="1521">D772-D774</f>
        <v>110524.5628</v>
      </c>
      <c r="E773">
        <f t="shared" si="1521"/>
        <v>92312.11467</v>
      </c>
      <c r="F773">
        <f t="shared" si="1521"/>
        <v>29282.75978</v>
      </c>
      <c r="G773">
        <f t="shared" si="1521"/>
        <v>88601.63042</v>
      </c>
      <c r="H773">
        <f t="shared" si="1521"/>
        <v>136989.6054</v>
      </c>
      <c r="I773">
        <f t="shared" si="1521"/>
        <v>193948.1443</v>
      </c>
      <c r="J773" s="34">
        <f t="shared" si="1521"/>
        <v>93065.46575</v>
      </c>
      <c r="K773">
        <f t="shared" si="1521"/>
        <v>90762.03378</v>
      </c>
      <c r="L773">
        <f t="shared" si="1521"/>
        <v>120544.929</v>
      </c>
      <c r="M773">
        <f t="shared" si="1521"/>
        <v>115920.3027</v>
      </c>
      <c r="N773">
        <f t="shared" si="1521"/>
        <v>38785.22811</v>
      </c>
      <c r="O773">
        <f t="shared" si="1521"/>
        <v>47712.89878</v>
      </c>
      <c r="P773">
        <f t="shared" si="1515"/>
        <v>1158449.675</v>
      </c>
      <c r="Q773" s="18">
        <f t="shared" si="1516"/>
        <v>57960.15133</v>
      </c>
    </row>
    <row r="774">
      <c r="B774" s="1" t="s">
        <v>5499</v>
      </c>
      <c r="C774" s="33"/>
      <c r="D774">
        <f t="shared" ref="D774:O774" si="1522">D772/11</f>
        <v>11052.45628</v>
      </c>
      <c r="E774">
        <f t="shared" si="1522"/>
        <v>9231.211467</v>
      </c>
      <c r="F774">
        <f t="shared" si="1522"/>
        <v>2928.275978</v>
      </c>
      <c r="G774">
        <f t="shared" si="1522"/>
        <v>8860.163042</v>
      </c>
      <c r="H774">
        <f t="shared" si="1522"/>
        <v>13698.96054</v>
      </c>
      <c r="I774">
        <f t="shared" si="1522"/>
        <v>19394.81443</v>
      </c>
      <c r="J774" s="34">
        <f t="shared" si="1522"/>
        <v>9306.546575</v>
      </c>
      <c r="K774">
        <f t="shared" si="1522"/>
        <v>9076.203378</v>
      </c>
      <c r="L774">
        <f t="shared" si="1522"/>
        <v>12054.4929</v>
      </c>
      <c r="M774">
        <f t="shared" si="1522"/>
        <v>11592.03027</v>
      </c>
      <c r="N774">
        <f t="shared" si="1522"/>
        <v>3878.522811</v>
      </c>
      <c r="O774">
        <f t="shared" si="1522"/>
        <v>4771.289878</v>
      </c>
      <c r="P774">
        <f t="shared" si="1515"/>
        <v>115844.9675</v>
      </c>
      <c r="Q774" s="18">
        <f t="shared" si="1516"/>
        <v>5796.015133</v>
      </c>
      <c r="T774" s="1" t="s">
        <v>5825</v>
      </c>
      <c r="U774" s="1">
        <v>98725.0</v>
      </c>
      <c r="W774" s="1">
        <v>48653.0</v>
      </c>
      <c r="Y774" s="1">
        <v>151316.0</v>
      </c>
      <c r="AA774" s="1">
        <v>48466.0</v>
      </c>
      <c r="AC774" s="1">
        <v>149530.0</v>
      </c>
      <c r="AE774" s="1">
        <v>181057.0</v>
      </c>
      <c r="AH774" s="1">
        <v>15797.0</v>
      </c>
    </row>
    <row r="775">
      <c r="B775" s="1" t="s">
        <v>5777</v>
      </c>
      <c r="C775" s="33"/>
      <c r="D775" s="34">
        <v>36321.58213072048</v>
      </c>
      <c r="E775" s="159">
        <v>15124.679328279502</v>
      </c>
      <c r="F775">
        <v>15124.679328279502</v>
      </c>
      <c r="G775" s="159">
        <v>13876.707019172698</v>
      </c>
      <c r="H775" s="159">
        <v>19967.5569457089</v>
      </c>
      <c r="I775" s="34">
        <v>25350.601682005425</v>
      </c>
      <c r="J775">
        <v>20172.447921830913</v>
      </c>
      <c r="K775">
        <v>13764.948304924328</v>
      </c>
      <c r="L775" s="159">
        <v>18440.18785098117</v>
      </c>
      <c r="M775" s="134">
        <v>9404.495804000397</v>
      </c>
      <c r="N775" s="159">
        <v>10821.968829717232</v>
      </c>
      <c r="O775" s="159">
        <v>8270.144854379432</v>
      </c>
      <c r="P775">
        <f t="shared" si="1515"/>
        <v>206640</v>
      </c>
      <c r="Q775" s="18">
        <f t="shared" si="1516"/>
        <v>4702.247902</v>
      </c>
      <c r="U775" s="1">
        <v>16256.0</v>
      </c>
      <c r="V775" s="1">
        <v>82819.0</v>
      </c>
      <c r="W775" s="33">
        <v>117624.0</v>
      </c>
      <c r="Y775" s="1">
        <v>45768.0</v>
      </c>
      <c r="AA775" s="1">
        <v>84801.0</v>
      </c>
      <c r="AB775" s="1">
        <v>15479.0</v>
      </c>
      <c r="AE775" s="33">
        <v>136359.0</v>
      </c>
      <c r="AG775" s="1">
        <v>26943.0</v>
      </c>
    </row>
    <row r="776">
      <c r="B776" s="23" t="s">
        <v>5598</v>
      </c>
      <c r="C776" s="33"/>
      <c r="D776" s="18">
        <f t="shared" ref="D776:O776" si="1523">SUM(D771,D772,D775)</f>
        <v>2247898.601</v>
      </c>
      <c r="E776" s="18">
        <f t="shared" si="1523"/>
        <v>3086668.005</v>
      </c>
      <c r="F776" s="18">
        <f t="shared" si="1523"/>
        <v>1752335.715</v>
      </c>
      <c r="G776" s="18">
        <f t="shared" si="1523"/>
        <v>2091338.5</v>
      </c>
      <c r="H776" s="18">
        <f t="shared" si="1523"/>
        <v>1270656.123</v>
      </c>
      <c r="I776" s="18">
        <f t="shared" si="1523"/>
        <v>4088693.56</v>
      </c>
      <c r="J776" s="18">
        <f t="shared" si="1523"/>
        <v>2432544.46</v>
      </c>
      <c r="K776" s="18">
        <f t="shared" si="1523"/>
        <v>2643603.185</v>
      </c>
      <c r="L776" s="18">
        <f t="shared" si="1523"/>
        <v>2241039.61</v>
      </c>
      <c r="M776" s="18">
        <f t="shared" si="1523"/>
        <v>1786916.829</v>
      </c>
      <c r="N776" s="18">
        <f t="shared" si="1523"/>
        <v>878485.7198</v>
      </c>
      <c r="O776" s="18">
        <f t="shared" si="1523"/>
        <v>1325754.334</v>
      </c>
      <c r="P776">
        <f t="shared" si="1515"/>
        <v>25845934.64</v>
      </c>
      <c r="Q776" s="18">
        <f t="shared" si="1516"/>
        <v>893458.4144</v>
      </c>
      <c r="U776" s="97">
        <f t="shared" ref="U776:U777" si="1525">U774-U766</f>
        <v>892</v>
      </c>
      <c r="V776" s="97"/>
      <c r="W776" s="97">
        <f t="shared" ref="W776:W777" si="1526">W774-W766</f>
        <v>206</v>
      </c>
      <c r="X776" s="97"/>
      <c r="Y776" s="97">
        <f t="shared" ref="Y776:Y777" si="1527">Y774-Y766</f>
        <v>2388</v>
      </c>
      <c r="Z776" s="97"/>
      <c r="AA776" s="97">
        <f t="shared" ref="AA776:AA777" si="1528">AA774-AA766</f>
        <v>1740</v>
      </c>
      <c r="AC776" s="97">
        <f>AC774-AC766</f>
        <v>2522</v>
      </c>
      <c r="AD776" s="97"/>
      <c r="AE776" s="97">
        <f t="shared" ref="AE776:AE777" si="1529">AE774-AE766</f>
        <v>1923</v>
      </c>
      <c r="AF776" s="97"/>
      <c r="AG776" s="97"/>
      <c r="AH776" s="97">
        <f>AH774-AH766</f>
        <v>203</v>
      </c>
    </row>
    <row r="777">
      <c r="B777" s="1" t="s">
        <v>5599</v>
      </c>
      <c r="C777" s="33"/>
      <c r="D777">
        <f t="shared" ref="D777:O777" si="1524">SUM(D769,D773,D775)</f>
        <v>2046846.145</v>
      </c>
      <c r="E777">
        <f t="shared" si="1524"/>
        <v>2807436.794</v>
      </c>
      <c r="F777">
        <f t="shared" si="1524"/>
        <v>1594407.439</v>
      </c>
      <c r="G777">
        <f t="shared" si="1524"/>
        <v>1902478.337</v>
      </c>
      <c r="H777">
        <f t="shared" si="1524"/>
        <v>1156957.162</v>
      </c>
      <c r="I777">
        <f t="shared" si="1524"/>
        <v>3719298.746</v>
      </c>
      <c r="J777">
        <f t="shared" si="1524"/>
        <v>2213237.914</v>
      </c>
      <c r="K777">
        <f t="shared" si="1524"/>
        <v>2404526.982</v>
      </c>
      <c r="L777">
        <f t="shared" si="1524"/>
        <v>2038985.117</v>
      </c>
      <c r="M777">
        <f t="shared" si="1524"/>
        <v>1625324.798</v>
      </c>
      <c r="N777">
        <f t="shared" si="1524"/>
        <v>799607.1969</v>
      </c>
      <c r="O777">
        <f t="shared" si="1524"/>
        <v>1205983.044</v>
      </c>
      <c r="P777">
        <f t="shared" si="1515"/>
        <v>23515089.68</v>
      </c>
      <c r="Q777" s="18">
        <f t="shared" si="1516"/>
        <v>812662.3992</v>
      </c>
      <c r="U777" s="167">
        <f t="shared" si="1525"/>
        <v>156</v>
      </c>
      <c r="V777" s="167">
        <f>(V775-V767)</f>
        <v>687</v>
      </c>
      <c r="W777" s="167">
        <f t="shared" si="1526"/>
        <v>588</v>
      </c>
      <c r="X777" s="168">
        <f>W776</f>
        <v>206</v>
      </c>
      <c r="Y777" s="167">
        <f t="shared" si="1527"/>
        <v>710</v>
      </c>
      <c r="Z777" s="169">
        <f>Y776-Y777</f>
        <v>1678</v>
      </c>
      <c r="AA777" s="167">
        <f t="shared" si="1528"/>
        <v>817</v>
      </c>
      <c r="AB777" s="167">
        <f>AB775-AB767</f>
        <v>969</v>
      </c>
      <c r="AC777" s="167">
        <f>(AC776)*73.9/(73.9+99)</f>
        <v>1077.93985</v>
      </c>
      <c r="AD777" s="167">
        <f>(AC776)*99/(73.9+99)</f>
        <v>1444.06015</v>
      </c>
      <c r="AE777" s="167">
        <f t="shared" si="1529"/>
        <v>953</v>
      </c>
      <c r="AF777" s="169">
        <f>AE776-AE777-AG777-30</f>
        <v>706</v>
      </c>
      <c r="AG777" s="167">
        <f>AG775-AG767</f>
        <v>234</v>
      </c>
      <c r="AH777" s="96">
        <v>203.0</v>
      </c>
      <c r="AI777" s="18">
        <f t="shared" ref="AI777:AI778" si="1532">SUM(U777:AH777)</f>
        <v>10429</v>
      </c>
      <c r="AJ777" s="1">
        <v>1841630.0</v>
      </c>
      <c r="AL777" s="1">
        <v>8499.0</v>
      </c>
    </row>
    <row r="778">
      <c r="B778" s="1" t="s">
        <v>5601</v>
      </c>
      <c r="C778" s="33"/>
      <c r="D778">
        <f t="shared" ref="D778:O778" si="1530">SUM(D769,D773)</f>
        <v>2010524.563</v>
      </c>
      <c r="E778">
        <f t="shared" si="1530"/>
        <v>2792312.115</v>
      </c>
      <c r="F778">
        <f t="shared" si="1530"/>
        <v>1579282.76</v>
      </c>
      <c r="G778">
        <f t="shared" si="1530"/>
        <v>1888601.63</v>
      </c>
      <c r="H778">
        <f t="shared" si="1530"/>
        <v>1136989.605</v>
      </c>
      <c r="I778">
        <f t="shared" si="1530"/>
        <v>3693948.144</v>
      </c>
      <c r="J778">
        <f t="shared" si="1530"/>
        <v>2193065.466</v>
      </c>
      <c r="K778">
        <f t="shared" si="1530"/>
        <v>2390762.034</v>
      </c>
      <c r="L778">
        <f t="shared" si="1530"/>
        <v>2020544.929</v>
      </c>
      <c r="M778">
        <f t="shared" si="1530"/>
        <v>1615920.303</v>
      </c>
      <c r="N778">
        <f t="shared" si="1530"/>
        <v>788785.2281</v>
      </c>
      <c r="O778">
        <f t="shared" si="1530"/>
        <v>1197712.899</v>
      </c>
      <c r="P778">
        <f t="shared" si="1515"/>
        <v>23308449.68</v>
      </c>
      <c r="Q778" s="18">
        <f t="shared" si="1516"/>
        <v>807960.1513</v>
      </c>
      <c r="U778" s="162">
        <f t="shared" ref="U778:AH778" si="1531">U777*1841630/10429</f>
        <v>27547.63448</v>
      </c>
      <c r="V778" s="162">
        <f t="shared" si="1531"/>
        <v>121315.5442</v>
      </c>
      <c r="W778" s="162">
        <f t="shared" si="1531"/>
        <v>103833.3915</v>
      </c>
      <c r="X778" s="162">
        <f t="shared" si="1531"/>
        <v>36377.00451</v>
      </c>
      <c r="Y778" s="162">
        <f t="shared" si="1531"/>
        <v>125377.0544</v>
      </c>
      <c r="Z778" s="162">
        <f t="shared" si="1531"/>
        <v>296313.6581</v>
      </c>
      <c r="AA778" s="162">
        <f t="shared" si="1531"/>
        <v>144271.9062</v>
      </c>
      <c r="AB778" s="162">
        <f t="shared" si="1531"/>
        <v>171113.1911</v>
      </c>
      <c r="AC778" s="162">
        <f t="shared" si="1531"/>
        <v>190350.596</v>
      </c>
      <c r="AD778" s="162">
        <f t="shared" si="1531"/>
        <v>255002.8281</v>
      </c>
      <c r="AE778" s="162">
        <f t="shared" si="1531"/>
        <v>168287.7927</v>
      </c>
      <c r="AF778" s="162">
        <f t="shared" si="1531"/>
        <v>124670.7048</v>
      </c>
      <c r="AG778" s="162">
        <f t="shared" si="1531"/>
        <v>41321.45172</v>
      </c>
      <c r="AH778" s="162">
        <f t="shared" si="1531"/>
        <v>35847.24231</v>
      </c>
      <c r="AI778" s="18">
        <f t="shared" si="1532"/>
        <v>1841630</v>
      </c>
    </row>
    <row r="779">
      <c r="B779" s="1" t="s">
        <v>5582</v>
      </c>
      <c r="C779" s="33"/>
      <c r="D779">
        <f t="shared" ref="D779:O779" si="1533">SUM(D770,D774)</f>
        <v>201052.4563</v>
      </c>
      <c r="E779">
        <f t="shared" si="1533"/>
        <v>279231.2115</v>
      </c>
      <c r="F779">
        <f t="shared" si="1533"/>
        <v>157928.276</v>
      </c>
      <c r="G779">
        <f t="shared" si="1533"/>
        <v>188860.163</v>
      </c>
      <c r="H779">
        <f t="shared" si="1533"/>
        <v>113698.9605</v>
      </c>
      <c r="I779">
        <f t="shared" si="1533"/>
        <v>369394.8144</v>
      </c>
      <c r="J779">
        <f t="shared" si="1533"/>
        <v>219306.5466</v>
      </c>
      <c r="K779">
        <f t="shared" si="1533"/>
        <v>239076.2034</v>
      </c>
      <c r="L779">
        <f t="shared" si="1533"/>
        <v>202054.4929</v>
      </c>
      <c r="M779">
        <f t="shared" si="1533"/>
        <v>161592.0303</v>
      </c>
      <c r="N779">
        <f t="shared" si="1533"/>
        <v>78878.52281</v>
      </c>
      <c r="O779">
        <f t="shared" si="1533"/>
        <v>119771.2899</v>
      </c>
      <c r="P779">
        <f t="shared" si="1515"/>
        <v>2330844.968</v>
      </c>
      <c r="Q779" s="18">
        <f t="shared" si="1516"/>
        <v>80796.01513</v>
      </c>
      <c r="U779">
        <v>27547.634480774763</v>
      </c>
      <c r="V779" s="136">
        <v>121315.54415571963</v>
      </c>
      <c r="W779" s="136">
        <v>103833.39150445872</v>
      </c>
      <c r="X779" s="136">
        <v>36377.00450666411</v>
      </c>
      <c r="Y779" s="164">
        <f t="shared" ref="Y779:AG779" si="1534">Y778+3983</f>
        <v>129360.0544</v>
      </c>
      <c r="Z779" s="164">
        <f t="shared" si="1534"/>
        <v>300296.6581</v>
      </c>
      <c r="AA779" s="165">
        <f t="shared" si="1534"/>
        <v>148254.9062</v>
      </c>
      <c r="AB779" s="164">
        <f t="shared" si="1534"/>
        <v>175096.1911</v>
      </c>
      <c r="AC779" s="164">
        <f t="shared" si="1534"/>
        <v>194333.596</v>
      </c>
      <c r="AD779" s="164">
        <f t="shared" si="1534"/>
        <v>258985.8281</v>
      </c>
      <c r="AE779" s="164">
        <f t="shared" si="1534"/>
        <v>172270.7927</v>
      </c>
      <c r="AF779" s="164">
        <f t="shared" si="1534"/>
        <v>128653.7048</v>
      </c>
      <c r="AG779" s="164">
        <f t="shared" si="1534"/>
        <v>45304.45172</v>
      </c>
      <c r="AH779">
        <f>AH778/9</f>
        <v>3983.026923</v>
      </c>
      <c r="AI779" s="18">
        <f>SUM(U779:AG779)</f>
        <v>1841629.758</v>
      </c>
    </row>
    <row r="780">
      <c r="B780" s="1" t="s">
        <v>5602</v>
      </c>
      <c r="C780" s="33"/>
      <c r="D780">
        <f t="shared" ref="D780:O780" si="1535">SUM(D778:D779)</f>
        <v>2211577.019</v>
      </c>
      <c r="E780">
        <f t="shared" si="1535"/>
        <v>3071543.326</v>
      </c>
      <c r="F780">
        <f t="shared" si="1535"/>
        <v>1737211.036</v>
      </c>
      <c r="G780">
        <f t="shared" si="1535"/>
        <v>2077461.793</v>
      </c>
      <c r="H780">
        <f t="shared" si="1535"/>
        <v>1250688.566</v>
      </c>
      <c r="I780">
        <f t="shared" si="1535"/>
        <v>4063342.959</v>
      </c>
      <c r="J780">
        <f t="shared" si="1535"/>
        <v>2412372.012</v>
      </c>
      <c r="K780">
        <f t="shared" si="1535"/>
        <v>2629838.237</v>
      </c>
      <c r="L780">
        <f t="shared" si="1535"/>
        <v>2222599.422</v>
      </c>
      <c r="M780">
        <f t="shared" si="1535"/>
        <v>1777512.333</v>
      </c>
      <c r="N780">
        <f t="shared" si="1535"/>
        <v>867663.7509</v>
      </c>
      <c r="O780">
        <f t="shared" si="1535"/>
        <v>1317484.189</v>
      </c>
      <c r="P780">
        <f t="shared" si="1515"/>
        <v>25639294.64</v>
      </c>
      <c r="Q780" s="18">
        <f t="shared" si="1516"/>
        <v>888756.1665</v>
      </c>
      <c r="AA780" s="166">
        <f>AA779+U779</f>
        <v>175802.5407</v>
      </c>
    </row>
    <row r="781">
      <c r="C781" s="33"/>
      <c r="D781" s="33" t="s">
        <v>5566</v>
      </c>
      <c r="E781" s="33" t="s">
        <v>5566</v>
      </c>
      <c r="F781" s="1" t="s">
        <v>5566</v>
      </c>
      <c r="G781" s="33" t="s">
        <v>5566</v>
      </c>
      <c r="H781" s="33" t="s">
        <v>5566</v>
      </c>
      <c r="I781" s="1" t="s">
        <v>5566</v>
      </c>
      <c r="J781" s="1" t="s">
        <v>5566</v>
      </c>
      <c r="K781" s="1" t="s">
        <v>5566</v>
      </c>
      <c r="L781" s="33" t="s">
        <v>5566</v>
      </c>
      <c r="M781" s="1" t="s">
        <v>5566</v>
      </c>
      <c r="N781" s="33" t="s">
        <v>5566</v>
      </c>
      <c r="O781" s="33" t="s">
        <v>5566</v>
      </c>
    </row>
    <row r="782">
      <c r="C782" s="33"/>
      <c r="D782" s="34"/>
      <c r="E782" s="33"/>
      <c r="G782" s="33"/>
      <c r="H782" s="33"/>
      <c r="L782" s="33"/>
      <c r="M782" s="1"/>
      <c r="N782" s="33"/>
      <c r="O782" s="33"/>
      <c r="T782" s="1" t="s">
        <v>5826</v>
      </c>
      <c r="U782" s="1">
        <v>99338.0</v>
      </c>
      <c r="W782" s="1">
        <v>48769.0</v>
      </c>
      <c r="Y782" s="1">
        <v>152777.0</v>
      </c>
      <c r="AA782" s="1">
        <v>49646.0</v>
      </c>
      <c r="AC782" s="1">
        <v>151050.0</v>
      </c>
      <c r="AE782" s="1">
        <v>182257.0</v>
      </c>
      <c r="AH782" s="1">
        <v>15906.0</v>
      </c>
    </row>
    <row r="783">
      <c r="C783" s="33"/>
      <c r="D783" s="34"/>
      <c r="E783" s="33"/>
      <c r="G783" s="33"/>
      <c r="H783" s="33"/>
      <c r="L783" s="33"/>
      <c r="M783" s="1"/>
      <c r="N783" s="33"/>
      <c r="O783" s="33"/>
      <c r="Q783" s="23" t="s">
        <v>5802</v>
      </c>
      <c r="U783" s="1">
        <v>16378.0</v>
      </c>
      <c r="V783" s="1">
        <v>83286.0</v>
      </c>
      <c r="W783" s="1">
        <v>118012.0</v>
      </c>
      <c r="Y783" s="1">
        <v>46158.0</v>
      </c>
      <c r="AA783" s="1">
        <v>85455.0</v>
      </c>
      <c r="AB783" s="1">
        <v>16034.0</v>
      </c>
      <c r="AE783" s="1">
        <v>136812.0</v>
      </c>
      <c r="AG783" s="1">
        <v>27100.0</v>
      </c>
    </row>
    <row r="784">
      <c r="B784" s="1" t="s">
        <v>5827</v>
      </c>
      <c r="C784" s="33"/>
      <c r="D784" s="33">
        <v>1900000.0</v>
      </c>
      <c r="E784" s="1">
        <v>2700000.0</v>
      </c>
      <c r="F784" s="1">
        <v>1550000.0</v>
      </c>
      <c r="G784" s="1">
        <v>1800000.0</v>
      </c>
      <c r="H784" s="1">
        <v>1000000.0</v>
      </c>
      <c r="I784" s="1">
        <v>3500000.0</v>
      </c>
      <c r="J784" s="33">
        <v>2100000.0</v>
      </c>
      <c r="K784" s="1">
        <v>2300000.0</v>
      </c>
      <c r="L784" s="1">
        <v>1900000.0</v>
      </c>
      <c r="M784" s="33">
        <v>1500000.0</v>
      </c>
      <c r="N784" s="33">
        <v>1230000.0</v>
      </c>
      <c r="O784" s="1">
        <v>1150000.0</v>
      </c>
      <c r="P784">
        <f t="shared" ref="P784:P792" si="1537">SUM(D784:O784)</f>
        <v>22630000</v>
      </c>
      <c r="Q784" s="18">
        <f t="shared" ref="Q784:Q792" si="1538">M784*0.5</f>
        <v>750000</v>
      </c>
      <c r="U784" s="97">
        <f t="shared" ref="U784:U785" si="1539">U782-U774</f>
        <v>613</v>
      </c>
      <c r="V784" s="97"/>
      <c r="W784" s="97">
        <f t="shared" ref="W784:W785" si="1540">W782-W774</f>
        <v>116</v>
      </c>
      <c r="X784" s="97"/>
      <c r="Y784" s="97">
        <f t="shared" ref="Y784:Y785" si="1541">Y782-Y774</f>
        <v>1461</v>
      </c>
      <c r="Z784" s="97"/>
      <c r="AA784" s="97">
        <f t="shared" ref="AA784:AA785" si="1542">AA782-AA774</f>
        <v>1180</v>
      </c>
      <c r="AC784" s="97">
        <f>AC782-AC774</f>
        <v>1520</v>
      </c>
      <c r="AD784" s="97"/>
      <c r="AE784" s="97">
        <f t="shared" ref="AE784:AE785" si="1543">AE782-AE774</f>
        <v>1200</v>
      </c>
      <c r="AF784" s="97"/>
      <c r="AG784" s="97"/>
      <c r="AH784" s="97">
        <f>AH782-AH774</f>
        <v>109</v>
      </c>
    </row>
    <row r="785">
      <c r="B785" s="1" t="s">
        <v>5499</v>
      </c>
      <c r="C785" s="33"/>
      <c r="D785" s="33">
        <f t="shared" ref="D785:O785" si="1536">D784*0.1</f>
        <v>190000</v>
      </c>
      <c r="E785" s="1">
        <f t="shared" si="1536"/>
        <v>270000</v>
      </c>
      <c r="F785" s="1">
        <f t="shared" si="1536"/>
        <v>155000</v>
      </c>
      <c r="G785" s="1">
        <f t="shared" si="1536"/>
        <v>180000</v>
      </c>
      <c r="H785" s="1">
        <f t="shared" si="1536"/>
        <v>100000</v>
      </c>
      <c r="I785" s="1">
        <f t="shared" si="1536"/>
        <v>350000</v>
      </c>
      <c r="J785" s="33">
        <f t="shared" si="1536"/>
        <v>210000</v>
      </c>
      <c r="K785" s="1">
        <f t="shared" si="1536"/>
        <v>230000</v>
      </c>
      <c r="L785" s="1">
        <f t="shared" si="1536"/>
        <v>190000</v>
      </c>
      <c r="M785" s="33">
        <f t="shared" si="1536"/>
        <v>150000</v>
      </c>
      <c r="N785" s="1">
        <f t="shared" si="1536"/>
        <v>123000</v>
      </c>
      <c r="O785" s="1">
        <f t="shared" si="1536"/>
        <v>115000</v>
      </c>
      <c r="P785">
        <f t="shared" si="1537"/>
        <v>2263000</v>
      </c>
      <c r="Q785" s="18">
        <f t="shared" si="1538"/>
        <v>75000</v>
      </c>
      <c r="U785" s="167">
        <f t="shared" si="1539"/>
        <v>122</v>
      </c>
      <c r="V785" s="167">
        <f>(V783-V775)</f>
        <v>467</v>
      </c>
      <c r="W785" s="167">
        <f t="shared" si="1540"/>
        <v>388</v>
      </c>
      <c r="X785" s="168">
        <f>W784</f>
        <v>116</v>
      </c>
      <c r="Y785" s="167">
        <f t="shared" si="1541"/>
        <v>390</v>
      </c>
      <c r="Z785" s="169">
        <f>Y784-Y785</f>
        <v>1071</v>
      </c>
      <c r="AA785" s="167">
        <f t="shared" si="1542"/>
        <v>654</v>
      </c>
      <c r="AB785" s="167">
        <f>AB783-AB775</f>
        <v>555</v>
      </c>
      <c r="AC785" s="167">
        <f>(AC784)*73.9/(73.9+99)</f>
        <v>649.6703297</v>
      </c>
      <c r="AD785" s="167">
        <f>(AC784)*99/(73.9+99)</f>
        <v>870.3296703</v>
      </c>
      <c r="AE785" s="167">
        <f t="shared" si="1543"/>
        <v>453</v>
      </c>
      <c r="AF785" s="169">
        <f>AE784-AE785-AG785-30</f>
        <v>560</v>
      </c>
      <c r="AG785" s="167">
        <f>AG783-AG775</f>
        <v>157</v>
      </c>
      <c r="AH785" s="96">
        <v>109.0</v>
      </c>
      <c r="AI785" s="18">
        <f t="shared" ref="AI785:AI786" si="1546">SUM(U785:AH785)</f>
        <v>6562</v>
      </c>
      <c r="AJ785" s="1">
        <v>2049780.0</v>
      </c>
      <c r="AL785" s="1">
        <v>9786.0</v>
      </c>
    </row>
    <row r="786">
      <c r="B786" s="1" t="s">
        <v>5520</v>
      </c>
      <c r="C786" s="33"/>
      <c r="D786" s="34">
        <f t="shared" ref="D786:O786" si="1544">D784+D785</f>
        <v>2090000</v>
      </c>
      <c r="E786">
        <f t="shared" si="1544"/>
        <v>2970000</v>
      </c>
      <c r="F786">
        <f t="shared" si="1544"/>
        <v>1705000</v>
      </c>
      <c r="G786">
        <f t="shared" si="1544"/>
        <v>1980000</v>
      </c>
      <c r="H786">
        <f t="shared" si="1544"/>
        <v>1100000</v>
      </c>
      <c r="I786">
        <f t="shared" si="1544"/>
        <v>3850000</v>
      </c>
      <c r="J786" s="34">
        <f t="shared" si="1544"/>
        <v>2310000</v>
      </c>
      <c r="K786">
        <f t="shared" si="1544"/>
        <v>2530000</v>
      </c>
      <c r="L786">
        <f t="shared" si="1544"/>
        <v>2090000</v>
      </c>
      <c r="M786" s="34">
        <f t="shared" si="1544"/>
        <v>1650000</v>
      </c>
      <c r="N786">
        <f t="shared" si="1544"/>
        <v>1353000</v>
      </c>
      <c r="O786">
        <f t="shared" si="1544"/>
        <v>1265000</v>
      </c>
      <c r="P786">
        <f t="shared" si="1537"/>
        <v>24893000</v>
      </c>
      <c r="Q786" s="18">
        <f t="shared" si="1538"/>
        <v>825000</v>
      </c>
      <c r="U786" s="162">
        <f t="shared" ref="U786:AH786" si="1545">U785*2049780/6562</f>
        <v>38109.28985</v>
      </c>
      <c r="V786" s="162">
        <f t="shared" si="1545"/>
        <v>145877.3636</v>
      </c>
      <c r="W786" s="162">
        <f t="shared" si="1545"/>
        <v>121200.0366</v>
      </c>
      <c r="X786" s="162">
        <f t="shared" si="1545"/>
        <v>36235.06248</v>
      </c>
      <c r="Y786" s="162">
        <f t="shared" si="1545"/>
        <v>121824.779</v>
      </c>
      <c r="Z786" s="162">
        <f t="shared" si="1545"/>
        <v>334549.5855</v>
      </c>
      <c r="AA786" s="162">
        <f t="shared" si="1545"/>
        <v>204290.7833</v>
      </c>
      <c r="AB786" s="162">
        <f t="shared" si="1545"/>
        <v>173366.0317</v>
      </c>
      <c r="AC786" s="162">
        <f t="shared" si="1545"/>
        <v>202938.3189</v>
      </c>
      <c r="AD786" s="162">
        <f t="shared" si="1545"/>
        <v>271865.9481</v>
      </c>
      <c r="AE786" s="162">
        <f t="shared" si="1545"/>
        <v>141504.1664</v>
      </c>
      <c r="AF786" s="162">
        <f t="shared" si="1545"/>
        <v>174927.8878</v>
      </c>
      <c r="AG786" s="162">
        <f t="shared" si="1545"/>
        <v>49042.28284</v>
      </c>
      <c r="AH786" s="162">
        <f t="shared" si="1545"/>
        <v>34048.46388</v>
      </c>
      <c r="AI786" s="18">
        <f t="shared" si="1546"/>
        <v>2049780</v>
      </c>
    </row>
    <row r="787">
      <c r="B787" s="1" t="s">
        <v>5545</v>
      </c>
      <c r="C787" s="33"/>
      <c r="D787" s="34">
        <v>131510.48467966574</v>
      </c>
      <c r="E787" s="34">
        <v>118685.15877437325</v>
      </c>
      <c r="F787" s="34">
        <v>27075.68802228412</v>
      </c>
      <c r="G787" s="176">
        <v>88623.59610027855</v>
      </c>
      <c r="H787" s="176">
        <v>173311.46239554317</v>
      </c>
      <c r="I787" s="176">
        <v>235198.74930362115</v>
      </c>
      <c r="J787" s="176">
        <v>118142.20334261839</v>
      </c>
      <c r="K787" s="176">
        <v>147329.24799947158</v>
      </c>
      <c r="L787" s="176">
        <v>196240.02776654513</v>
      </c>
      <c r="M787" s="176">
        <v>165982.70473537606</v>
      </c>
      <c r="N787" s="176">
        <v>3325.0</v>
      </c>
      <c r="O787" s="176">
        <v>56254.91643454039</v>
      </c>
      <c r="P787">
        <f t="shared" si="1537"/>
        <v>1461679.24</v>
      </c>
      <c r="Q787" s="18">
        <f t="shared" si="1538"/>
        <v>82991.35237</v>
      </c>
      <c r="U787">
        <v>38109.28985065529</v>
      </c>
      <c r="V787" s="136">
        <v>145877.3636086559</v>
      </c>
      <c r="W787" s="136">
        <v>121200.03657421518</v>
      </c>
      <c r="X787" s="136">
        <v>36235.06248095093</v>
      </c>
      <c r="Y787" s="164">
        <f t="shared" ref="Y787:AG787" si="1547">Y786+3783</f>
        <v>125607.779</v>
      </c>
      <c r="Z787" s="164">
        <f t="shared" si="1547"/>
        <v>338332.5855</v>
      </c>
      <c r="AA787" s="165">
        <f t="shared" si="1547"/>
        <v>208073.7833</v>
      </c>
      <c r="AB787" s="164">
        <f t="shared" si="1547"/>
        <v>177149.0317</v>
      </c>
      <c r="AC787" s="164">
        <f t="shared" si="1547"/>
        <v>206721.3189</v>
      </c>
      <c r="AD787" s="164">
        <f t="shared" si="1547"/>
        <v>275648.9481</v>
      </c>
      <c r="AE787" s="164">
        <f t="shared" si="1547"/>
        <v>145287.1664</v>
      </c>
      <c r="AF787" s="164">
        <f t="shared" si="1547"/>
        <v>178710.8878</v>
      </c>
      <c r="AG787" s="164">
        <f t="shared" si="1547"/>
        <v>52825.28284</v>
      </c>
      <c r="AH787">
        <f>AH786/9</f>
        <v>3783.162654</v>
      </c>
      <c r="AI787" s="18">
        <f>SUM(U787:AG787)</f>
        <v>2049778.536</v>
      </c>
    </row>
    <row r="788">
      <c r="C788" s="33"/>
      <c r="D788">
        <f t="shared" ref="D788:O788" si="1548">D787-D789</f>
        <v>119554.9861</v>
      </c>
      <c r="E788">
        <f t="shared" si="1548"/>
        <v>107895.5989</v>
      </c>
      <c r="F788">
        <f t="shared" si="1548"/>
        <v>24614.26184</v>
      </c>
      <c r="G788">
        <f t="shared" si="1548"/>
        <v>80566.90555</v>
      </c>
      <c r="H788">
        <f t="shared" si="1548"/>
        <v>157555.8749</v>
      </c>
      <c r="I788">
        <f t="shared" si="1548"/>
        <v>213817.0448</v>
      </c>
      <c r="J788" s="34">
        <f t="shared" si="1548"/>
        <v>107402.003</v>
      </c>
      <c r="K788">
        <f t="shared" si="1548"/>
        <v>133935.68</v>
      </c>
      <c r="L788">
        <f t="shared" si="1548"/>
        <v>178400.0252</v>
      </c>
      <c r="M788">
        <f t="shared" si="1548"/>
        <v>150893.3679</v>
      </c>
      <c r="N788">
        <f t="shared" si="1548"/>
        <v>3022.727273</v>
      </c>
      <c r="O788">
        <f t="shared" si="1548"/>
        <v>51140.83312</v>
      </c>
      <c r="P788">
        <f t="shared" si="1537"/>
        <v>1328799.309</v>
      </c>
      <c r="Q788" s="18">
        <f t="shared" si="1538"/>
        <v>75446.68397</v>
      </c>
      <c r="AA788" s="166">
        <f>AA787+U787</f>
        <v>246183.0731</v>
      </c>
    </row>
    <row r="789">
      <c r="B789" s="1" t="s">
        <v>5499</v>
      </c>
      <c r="C789" s="33"/>
      <c r="D789">
        <f t="shared" ref="D789:O789" si="1549">D787/11</f>
        <v>11955.49861</v>
      </c>
      <c r="E789">
        <f t="shared" si="1549"/>
        <v>10789.55989</v>
      </c>
      <c r="F789">
        <f t="shared" si="1549"/>
        <v>2461.426184</v>
      </c>
      <c r="G789">
        <f t="shared" si="1549"/>
        <v>8056.690555</v>
      </c>
      <c r="H789">
        <f t="shared" si="1549"/>
        <v>15755.58749</v>
      </c>
      <c r="I789">
        <f t="shared" si="1549"/>
        <v>21381.70448</v>
      </c>
      <c r="J789" s="34">
        <f t="shared" si="1549"/>
        <v>10740.2003</v>
      </c>
      <c r="K789">
        <f t="shared" si="1549"/>
        <v>13393.568</v>
      </c>
      <c r="L789">
        <f t="shared" si="1549"/>
        <v>17840.00252</v>
      </c>
      <c r="M789">
        <f t="shared" si="1549"/>
        <v>15089.33679</v>
      </c>
      <c r="N789">
        <f t="shared" si="1549"/>
        <v>302.2727273</v>
      </c>
      <c r="O789">
        <f t="shared" si="1549"/>
        <v>5114.083312</v>
      </c>
      <c r="P789">
        <f t="shared" si="1537"/>
        <v>132879.9309</v>
      </c>
      <c r="Q789" s="18">
        <f t="shared" si="1538"/>
        <v>7544.668397</v>
      </c>
    </row>
    <row r="790">
      <c r="B790" s="23" t="s">
        <v>5528</v>
      </c>
      <c r="C790" s="33"/>
      <c r="D790" s="145">
        <f t="shared" ref="D790:O790" si="1550">SUM(D786,D787)</f>
        <v>2221510.485</v>
      </c>
      <c r="E790" s="145">
        <f t="shared" si="1550"/>
        <v>3088685.159</v>
      </c>
      <c r="F790" s="145">
        <f t="shared" si="1550"/>
        <v>1732075.688</v>
      </c>
      <c r="G790" s="145">
        <f t="shared" si="1550"/>
        <v>2068623.596</v>
      </c>
      <c r="H790" s="145">
        <f t="shared" si="1550"/>
        <v>1273311.462</v>
      </c>
      <c r="I790" s="173">
        <f t="shared" si="1550"/>
        <v>4085198.749</v>
      </c>
      <c r="J790" s="145">
        <f t="shared" si="1550"/>
        <v>2428142.203</v>
      </c>
      <c r="K790" s="174">
        <f t="shared" si="1550"/>
        <v>2677329.248</v>
      </c>
      <c r="L790" s="145">
        <f t="shared" si="1550"/>
        <v>2286240.028</v>
      </c>
      <c r="M790" s="145">
        <f t="shared" si="1550"/>
        <v>1815982.705</v>
      </c>
      <c r="N790" s="145">
        <f t="shared" si="1550"/>
        <v>1356325</v>
      </c>
      <c r="O790" s="145">
        <f t="shared" si="1550"/>
        <v>1321254.916</v>
      </c>
      <c r="P790">
        <f t="shared" si="1537"/>
        <v>26354679.24</v>
      </c>
      <c r="Q790" s="18">
        <f t="shared" si="1538"/>
        <v>907991.3524</v>
      </c>
      <c r="T790" s="1" t="s">
        <v>5828</v>
      </c>
      <c r="U790" s="1">
        <v>100109.0</v>
      </c>
      <c r="W790" s="1">
        <v>48931.0</v>
      </c>
      <c r="Y790" s="1">
        <v>154560.0</v>
      </c>
      <c r="AA790" s="1">
        <v>50789.0</v>
      </c>
      <c r="AC790" s="1">
        <v>152928.0</v>
      </c>
      <c r="AE790" s="1">
        <v>183783.0</v>
      </c>
      <c r="AH790" s="1">
        <v>16048.0</v>
      </c>
    </row>
    <row r="791">
      <c r="B791" s="1" t="s">
        <v>5580</v>
      </c>
      <c r="C791" s="33"/>
      <c r="D791">
        <f t="shared" ref="D791:O791" si="1551">D784+D788</f>
        <v>2019554.986</v>
      </c>
      <c r="E791">
        <f t="shared" si="1551"/>
        <v>2807895.599</v>
      </c>
      <c r="F791">
        <f t="shared" si="1551"/>
        <v>1574614.262</v>
      </c>
      <c r="G791">
        <f t="shared" si="1551"/>
        <v>1880566.906</v>
      </c>
      <c r="H791">
        <f t="shared" si="1551"/>
        <v>1157555.875</v>
      </c>
      <c r="I791">
        <f t="shared" si="1551"/>
        <v>3713817.045</v>
      </c>
      <c r="J791" s="34">
        <f t="shared" si="1551"/>
        <v>2207402.003</v>
      </c>
      <c r="K791">
        <f t="shared" si="1551"/>
        <v>2433935.68</v>
      </c>
      <c r="L791">
        <f t="shared" si="1551"/>
        <v>2078400.025</v>
      </c>
      <c r="M791">
        <f t="shared" si="1551"/>
        <v>1650893.368</v>
      </c>
      <c r="N791">
        <f t="shared" si="1551"/>
        <v>1233022.727</v>
      </c>
      <c r="O791">
        <f t="shared" si="1551"/>
        <v>1201140.833</v>
      </c>
      <c r="P791">
        <f t="shared" si="1537"/>
        <v>23958799.31</v>
      </c>
      <c r="Q791" s="18">
        <f t="shared" si="1538"/>
        <v>825446.684</v>
      </c>
      <c r="U791" s="1">
        <v>16538.0</v>
      </c>
      <c r="V791" s="1">
        <v>83860.0</v>
      </c>
      <c r="W791" s="1">
        <v>118617.0</v>
      </c>
      <c r="Y791" s="1">
        <v>46702.0</v>
      </c>
      <c r="AA791" s="1">
        <v>86267.0</v>
      </c>
      <c r="AB791" s="1">
        <v>16431.0</v>
      </c>
      <c r="AE791" s="1">
        <v>137547.0</v>
      </c>
      <c r="AG791" s="1">
        <v>27348.0</v>
      </c>
    </row>
    <row r="792">
      <c r="B792" s="1" t="s">
        <v>5582</v>
      </c>
      <c r="C792" s="33"/>
      <c r="D792">
        <f t="shared" ref="D792:O792" si="1552">D785+D789</f>
        <v>201955.4986</v>
      </c>
      <c r="E792">
        <f t="shared" si="1552"/>
        <v>280789.5599</v>
      </c>
      <c r="F792">
        <f t="shared" si="1552"/>
        <v>157461.4262</v>
      </c>
      <c r="G792">
        <f t="shared" si="1552"/>
        <v>188056.6906</v>
      </c>
      <c r="H792">
        <f t="shared" si="1552"/>
        <v>115755.5875</v>
      </c>
      <c r="I792">
        <f t="shared" si="1552"/>
        <v>371381.7045</v>
      </c>
      <c r="J792" s="34">
        <f t="shared" si="1552"/>
        <v>220740.2003</v>
      </c>
      <c r="K792">
        <f t="shared" si="1552"/>
        <v>243393.568</v>
      </c>
      <c r="L792">
        <f t="shared" si="1552"/>
        <v>207840.0025</v>
      </c>
      <c r="M792">
        <f t="shared" si="1552"/>
        <v>165089.3368</v>
      </c>
      <c r="N792">
        <f t="shared" si="1552"/>
        <v>123302.2727</v>
      </c>
      <c r="O792">
        <f t="shared" si="1552"/>
        <v>120114.0833</v>
      </c>
      <c r="P792">
        <f t="shared" si="1537"/>
        <v>2395879.931</v>
      </c>
      <c r="Q792" s="18">
        <f t="shared" si="1538"/>
        <v>82544.6684</v>
      </c>
      <c r="U792" s="97">
        <f t="shared" ref="U792:U793" si="1553">U790-U782</f>
        <v>771</v>
      </c>
      <c r="V792" s="97"/>
      <c r="W792" s="97">
        <f t="shared" ref="W792:W793" si="1554">W790-W782</f>
        <v>162</v>
      </c>
      <c r="X792" s="97"/>
      <c r="Y792" s="97">
        <f t="shared" ref="Y792:Y793" si="1555">Y790-Y782</f>
        <v>1783</v>
      </c>
      <c r="Z792" s="97"/>
      <c r="AA792" s="97">
        <f t="shared" ref="AA792:AA793" si="1556">AA790-AA782</f>
        <v>1143</v>
      </c>
      <c r="AC792" s="97">
        <f>AC790-AC782</f>
        <v>1878</v>
      </c>
      <c r="AD792" s="97"/>
      <c r="AE792" s="97">
        <f t="shared" ref="AE792:AE793" si="1557">AE790-AE782</f>
        <v>1526</v>
      </c>
      <c r="AF792" s="97"/>
      <c r="AG792" s="97"/>
      <c r="AH792" s="97">
        <f>AH790-AH782</f>
        <v>142</v>
      </c>
    </row>
    <row r="793">
      <c r="C793" s="33"/>
      <c r="D793" s="33" t="s">
        <v>5566</v>
      </c>
      <c r="E793" s="33" t="s">
        <v>5566</v>
      </c>
      <c r="F793" s="1" t="s">
        <v>5566</v>
      </c>
      <c r="G793" s="33" t="s">
        <v>5566</v>
      </c>
      <c r="H793" s="33" t="s">
        <v>5566</v>
      </c>
      <c r="I793" s="1" t="s">
        <v>5566</v>
      </c>
      <c r="J793" s="1" t="s">
        <v>5566</v>
      </c>
      <c r="K793" s="1" t="s">
        <v>5566</v>
      </c>
      <c r="L793" s="33" t="s">
        <v>5566</v>
      </c>
      <c r="M793" s="1" t="s">
        <v>5566</v>
      </c>
      <c r="N793" s="33" t="s">
        <v>5566</v>
      </c>
      <c r="O793" s="33" t="s">
        <v>5566</v>
      </c>
      <c r="U793" s="167">
        <f t="shared" si="1553"/>
        <v>160</v>
      </c>
      <c r="V793" s="167">
        <f>(V791-V783)</f>
        <v>574</v>
      </c>
      <c r="W793" s="167">
        <f t="shared" si="1554"/>
        <v>605</v>
      </c>
      <c r="X793" s="168">
        <f>W792</f>
        <v>162</v>
      </c>
      <c r="Y793" s="167">
        <f t="shared" si="1555"/>
        <v>544</v>
      </c>
      <c r="Z793" s="169">
        <f>Y792-Y793</f>
        <v>1239</v>
      </c>
      <c r="AA793" s="167">
        <f t="shared" si="1556"/>
        <v>812</v>
      </c>
      <c r="AB793" s="167">
        <f>AB791-AB783</f>
        <v>397</v>
      </c>
      <c r="AC793" s="167">
        <f>(AC792)*73.9/(73.9+99)</f>
        <v>802.6847889</v>
      </c>
      <c r="AD793" s="167">
        <f>(AC792)*99/(73.9+99)</f>
        <v>1075.315211</v>
      </c>
      <c r="AE793" s="167">
        <f t="shared" si="1557"/>
        <v>735</v>
      </c>
      <c r="AF793" s="169">
        <f>AE792-AE793-AG793-30</f>
        <v>513</v>
      </c>
      <c r="AG793" s="167">
        <f>AG791-AG783</f>
        <v>248</v>
      </c>
      <c r="AH793" s="96">
        <v>142.0</v>
      </c>
      <c r="AI793" s="18">
        <f t="shared" ref="AI793:AI794" si="1559">SUM(U793:AH793)</f>
        <v>8009</v>
      </c>
      <c r="AJ793" s="1">
        <v>1917340.0</v>
      </c>
      <c r="AL793" s="1">
        <v>9965.0</v>
      </c>
    </row>
    <row r="794">
      <c r="C794" s="33"/>
      <c r="D794" s="34"/>
      <c r="E794" s="33"/>
      <c r="G794" s="33"/>
      <c r="H794" s="33"/>
      <c r="L794" s="33"/>
      <c r="M794" s="1"/>
      <c r="N794" s="33"/>
      <c r="O794" s="33"/>
      <c r="U794" s="162">
        <f t="shared" ref="U794:AH794" si="1558">U793*1917340/8009</f>
        <v>38303.70833</v>
      </c>
      <c r="V794" s="162">
        <f t="shared" si="1558"/>
        <v>137414.5536</v>
      </c>
      <c r="W794" s="162">
        <f t="shared" si="1558"/>
        <v>144835.8971</v>
      </c>
      <c r="X794" s="162">
        <f t="shared" si="1558"/>
        <v>38782.50468</v>
      </c>
      <c r="Y794" s="162">
        <f t="shared" si="1558"/>
        <v>130232.6083</v>
      </c>
      <c r="Z794" s="162">
        <f t="shared" si="1558"/>
        <v>296614.3414</v>
      </c>
      <c r="AA794" s="162">
        <f t="shared" si="1558"/>
        <v>194391.3198</v>
      </c>
      <c r="AB794" s="162">
        <f t="shared" si="1558"/>
        <v>95041.07629</v>
      </c>
      <c r="AC794" s="162">
        <f t="shared" si="1558"/>
        <v>192161.2752</v>
      </c>
      <c r="AD794" s="162">
        <f t="shared" si="1558"/>
        <v>257428.5013</v>
      </c>
      <c r="AE794" s="162">
        <f t="shared" si="1558"/>
        <v>175957.6601</v>
      </c>
      <c r="AF794" s="162">
        <f t="shared" si="1558"/>
        <v>122811.2648</v>
      </c>
      <c r="AG794" s="162">
        <f t="shared" si="1558"/>
        <v>59370.74791</v>
      </c>
      <c r="AH794" s="162">
        <f t="shared" si="1558"/>
        <v>33994.54114</v>
      </c>
      <c r="AI794" s="18">
        <f t="shared" si="1559"/>
        <v>1917340</v>
      </c>
    </row>
    <row r="795">
      <c r="C795" s="33"/>
      <c r="D795" s="34"/>
      <c r="E795" s="33"/>
      <c r="G795" s="56" t="s">
        <v>5666</v>
      </c>
      <c r="H795" s="30" t="s">
        <v>5811</v>
      </c>
      <c r="L795" s="33"/>
      <c r="M795" s="1"/>
      <c r="N795" s="33"/>
      <c r="O795" s="33"/>
      <c r="Q795" s="23" t="s">
        <v>5802</v>
      </c>
      <c r="U795">
        <v>38303.70832813085</v>
      </c>
      <c r="V795" s="151">
        <v>137414.55362716943</v>
      </c>
      <c r="W795" s="151">
        <v>144835.8971157448</v>
      </c>
      <c r="X795" s="151">
        <v>38782.50468223249</v>
      </c>
      <c r="Y795" s="164">
        <f t="shared" ref="Y795:AG795" si="1560">Y794+3777</f>
        <v>134009.6083</v>
      </c>
      <c r="Z795" s="164">
        <f t="shared" si="1560"/>
        <v>300391.3414</v>
      </c>
      <c r="AA795" s="165">
        <f t="shared" si="1560"/>
        <v>198168.3198</v>
      </c>
      <c r="AB795" s="164">
        <f t="shared" si="1560"/>
        <v>98818.07629</v>
      </c>
      <c r="AC795" s="164">
        <f t="shared" si="1560"/>
        <v>195938.2752</v>
      </c>
      <c r="AD795" s="164">
        <f t="shared" si="1560"/>
        <v>261205.5013</v>
      </c>
      <c r="AE795" s="164">
        <f t="shared" si="1560"/>
        <v>179734.6601</v>
      </c>
      <c r="AF795" s="164">
        <f t="shared" si="1560"/>
        <v>126588.2648</v>
      </c>
      <c r="AG795" s="164">
        <f t="shared" si="1560"/>
        <v>63147.74791</v>
      </c>
      <c r="AH795">
        <f>AH794/9</f>
        <v>3777.171238</v>
      </c>
      <c r="AI795" s="18">
        <f>SUM(U795:AG795)</f>
        <v>1917338.459</v>
      </c>
    </row>
    <row r="796">
      <c r="B796" s="1" t="s">
        <v>5829</v>
      </c>
      <c r="C796" s="33"/>
      <c r="D796" s="33">
        <v>1900000.0</v>
      </c>
      <c r="E796" s="1">
        <v>2700000.0</v>
      </c>
      <c r="F796" s="1">
        <v>1550000.0</v>
      </c>
      <c r="G796" s="1">
        <v>1800000.0</v>
      </c>
      <c r="H796" s="1">
        <v>1000000.0</v>
      </c>
      <c r="I796" s="1">
        <v>3500000.0</v>
      </c>
      <c r="J796" s="33">
        <v>2100000.0</v>
      </c>
      <c r="K796" s="1">
        <v>2300000.0</v>
      </c>
      <c r="L796" s="1">
        <v>1900000.0</v>
      </c>
      <c r="M796" s="33">
        <v>1500000.0</v>
      </c>
      <c r="N796" s="33">
        <v>1260000.0</v>
      </c>
      <c r="O796" s="1">
        <v>1150000.0</v>
      </c>
      <c r="P796">
        <f t="shared" ref="P796:P807" si="1562">SUM(D796:O796)</f>
        <v>22660000</v>
      </c>
      <c r="Q796" s="18">
        <f t="shared" ref="Q796:Q807" si="1563">M796*0.5</f>
        <v>750000</v>
      </c>
      <c r="AA796" s="166">
        <f>AA795+U795</f>
        <v>236472.0281</v>
      </c>
    </row>
    <row r="797">
      <c r="B797" s="1" t="s">
        <v>5499</v>
      </c>
      <c r="C797" s="33"/>
      <c r="D797" s="33">
        <f t="shared" ref="D797:O797" si="1561">D796*0.1</f>
        <v>190000</v>
      </c>
      <c r="E797" s="1">
        <f t="shared" si="1561"/>
        <v>270000</v>
      </c>
      <c r="F797" s="1">
        <f t="shared" si="1561"/>
        <v>155000</v>
      </c>
      <c r="G797" s="1">
        <f t="shared" si="1561"/>
        <v>180000</v>
      </c>
      <c r="H797" s="1">
        <f t="shared" si="1561"/>
        <v>100000</v>
      </c>
      <c r="I797" s="1">
        <f t="shared" si="1561"/>
        <v>350000</v>
      </c>
      <c r="J797" s="33">
        <f t="shared" si="1561"/>
        <v>210000</v>
      </c>
      <c r="K797" s="1">
        <f t="shared" si="1561"/>
        <v>230000</v>
      </c>
      <c r="L797" s="1">
        <f t="shared" si="1561"/>
        <v>190000</v>
      </c>
      <c r="M797" s="33">
        <f t="shared" si="1561"/>
        <v>150000</v>
      </c>
      <c r="N797" s="1">
        <f t="shared" si="1561"/>
        <v>126000</v>
      </c>
      <c r="O797" s="1">
        <f t="shared" si="1561"/>
        <v>115000</v>
      </c>
      <c r="P797">
        <f t="shared" si="1562"/>
        <v>2266000</v>
      </c>
      <c r="Q797" s="18">
        <f t="shared" si="1563"/>
        <v>75000</v>
      </c>
    </row>
    <row r="798">
      <c r="B798" s="1" t="s">
        <v>5520</v>
      </c>
      <c r="C798" s="33"/>
      <c r="D798" s="34">
        <f t="shared" ref="D798:O798" si="1564">D796+D797</f>
        <v>2090000</v>
      </c>
      <c r="E798">
        <f t="shared" si="1564"/>
        <v>2970000</v>
      </c>
      <c r="F798">
        <f t="shared" si="1564"/>
        <v>1705000</v>
      </c>
      <c r="G798">
        <f t="shared" si="1564"/>
        <v>1980000</v>
      </c>
      <c r="H798">
        <f t="shared" si="1564"/>
        <v>1100000</v>
      </c>
      <c r="I798">
        <f t="shared" si="1564"/>
        <v>3850000</v>
      </c>
      <c r="J798" s="34">
        <f t="shared" si="1564"/>
        <v>2310000</v>
      </c>
      <c r="K798">
        <f t="shared" si="1564"/>
        <v>2530000</v>
      </c>
      <c r="L798">
        <f t="shared" si="1564"/>
        <v>2090000</v>
      </c>
      <c r="M798" s="34">
        <f t="shared" si="1564"/>
        <v>1650000</v>
      </c>
      <c r="N798">
        <f t="shared" si="1564"/>
        <v>1386000</v>
      </c>
      <c r="O798">
        <f t="shared" si="1564"/>
        <v>1265000</v>
      </c>
      <c r="P798">
        <f t="shared" si="1562"/>
        <v>24926000</v>
      </c>
      <c r="Q798" s="18">
        <f t="shared" si="1563"/>
        <v>825000</v>
      </c>
      <c r="T798" s="1" t="s">
        <v>5830</v>
      </c>
      <c r="U798" s="1">
        <v>100685.0</v>
      </c>
      <c r="W798" s="1">
        <v>49084.0</v>
      </c>
      <c r="Y798" s="1">
        <v>155912.0</v>
      </c>
      <c r="AA798" s="1">
        <v>51456.0</v>
      </c>
      <c r="AC798" s="1">
        <v>154270.0</v>
      </c>
      <c r="AE798" s="1">
        <v>184678.0</v>
      </c>
      <c r="AH798" s="1">
        <v>16189.0</v>
      </c>
    </row>
    <row r="799">
      <c r="B799" s="1" t="s">
        <v>5545</v>
      </c>
      <c r="C799" s="33"/>
      <c r="D799" s="34">
        <v>134694.24432641236</v>
      </c>
      <c r="E799" s="34">
        <v>86124.87204249155</v>
      </c>
      <c r="F799" s="34">
        <v>29791.62240463544</v>
      </c>
      <c r="G799" s="176">
        <v>76575.44664413326</v>
      </c>
      <c r="H799" s="176">
        <v>156741.99420569773</v>
      </c>
      <c r="I799" s="176">
        <v>203325.25832930952</v>
      </c>
      <c r="J799" s="176">
        <v>80728.21825205215</v>
      </c>
      <c r="K799" s="176">
        <v>79670.26243039535</v>
      </c>
      <c r="L799" s="176">
        <v>105619.4719974173</v>
      </c>
      <c r="M799" s="176">
        <v>104742.07146306132</v>
      </c>
      <c r="N799" s="176">
        <v>22589.415741187833</v>
      </c>
      <c r="O799" s="176">
        <v>41186.61033317238</v>
      </c>
      <c r="P799">
        <f t="shared" si="1562"/>
        <v>1121789.488</v>
      </c>
      <c r="Q799" s="18">
        <f t="shared" si="1563"/>
        <v>52371.03573</v>
      </c>
      <c r="U799" s="1">
        <v>16671.0</v>
      </c>
      <c r="V799" s="1">
        <v>84269.0</v>
      </c>
      <c r="W799" s="1">
        <v>118889.0</v>
      </c>
      <c r="Y799" s="1">
        <v>46983.0</v>
      </c>
      <c r="AA799" s="1">
        <v>86858.0</v>
      </c>
      <c r="AB799" s="1">
        <v>16683.0</v>
      </c>
      <c r="AE799" s="1">
        <v>138064.0</v>
      </c>
      <c r="AG799" s="1">
        <v>27580.0</v>
      </c>
    </row>
    <row r="800">
      <c r="C800" s="33"/>
      <c r="D800">
        <f t="shared" ref="D800:O800" si="1565">D799-D801</f>
        <v>122449.313</v>
      </c>
      <c r="E800">
        <f t="shared" si="1565"/>
        <v>78295.33822</v>
      </c>
      <c r="F800">
        <f t="shared" si="1565"/>
        <v>27083.2931</v>
      </c>
      <c r="G800">
        <f t="shared" si="1565"/>
        <v>69614.0424</v>
      </c>
      <c r="H800">
        <f t="shared" si="1565"/>
        <v>142492.722</v>
      </c>
      <c r="I800">
        <f t="shared" si="1565"/>
        <v>184841.1439</v>
      </c>
      <c r="J800" s="34">
        <f t="shared" si="1565"/>
        <v>73389.28932</v>
      </c>
      <c r="K800">
        <f t="shared" si="1565"/>
        <v>72427.5113</v>
      </c>
      <c r="L800">
        <f t="shared" si="1565"/>
        <v>96017.70182</v>
      </c>
      <c r="M800">
        <f t="shared" si="1565"/>
        <v>95220.06497</v>
      </c>
      <c r="N800">
        <f t="shared" si="1565"/>
        <v>20535.83249</v>
      </c>
      <c r="O800">
        <f t="shared" si="1565"/>
        <v>37442.37303</v>
      </c>
      <c r="P800">
        <f t="shared" si="1562"/>
        <v>1019808.626</v>
      </c>
      <c r="Q800" s="18">
        <f t="shared" si="1563"/>
        <v>47610.03248</v>
      </c>
      <c r="U800" s="97">
        <f t="shared" ref="U800:U801" si="1567">U798-U790</f>
        <v>576</v>
      </c>
      <c r="V800" s="97"/>
      <c r="W800" s="97">
        <f t="shared" ref="W800:W801" si="1568">W798-W790</f>
        <v>153</v>
      </c>
      <c r="X800" s="97"/>
      <c r="Y800" s="97">
        <f t="shared" ref="Y800:Y801" si="1569">Y798-Y790</f>
        <v>1352</v>
      </c>
      <c r="Z800" s="97"/>
      <c r="AA800" s="97">
        <f t="shared" ref="AA800:AA801" si="1570">AA798-AA790</f>
        <v>667</v>
      </c>
      <c r="AC800" s="97">
        <f>AC798-AC790</f>
        <v>1342</v>
      </c>
      <c r="AD800" s="97"/>
      <c r="AE800" s="97">
        <f t="shared" ref="AE800:AE801" si="1571">AE798-AE790</f>
        <v>895</v>
      </c>
      <c r="AF800" s="97"/>
      <c r="AG800" s="97"/>
      <c r="AH800" s="97">
        <f>AH798-AH790</f>
        <v>141</v>
      </c>
    </row>
    <row r="801">
      <c r="B801" s="1" t="s">
        <v>5499</v>
      </c>
      <c r="C801" s="33"/>
      <c r="D801">
        <f t="shared" ref="D801:O801" si="1566">D799/11</f>
        <v>12244.9313</v>
      </c>
      <c r="E801">
        <f t="shared" si="1566"/>
        <v>7829.533822</v>
      </c>
      <c r="F801">
        <f t="shared" si="1566"/>
        <v>2708.32931</v>
      </c>
      <c r="G801">
        <f t="shared" si="1566"/>
        <v>6961.40424</v>
      </c>
      <c r="H801">
        <f t="shared" si="1566"/>
        <v>14249.2722</v>
      </c>
      <c r="I801">
        <f t="shared" si="1566"/>
        <v>18484.11439</v>
      </c>
      <c r="J801" s="34">
        <f t="shared" si="1566"/>
        <v>7338.928932</v>
      </c>
      <c r="K801">
        <f t="shared" si="1566"/>
        <v>7242.75113</v>
      </c>
      <c r="L801">
        <f t="shared" si="1566"/>
        <v>9601.770182</v>
      </c>
      <c r="M801">
        <f t="shared" si="1566"/>
        <v>9522.006497</v>
      </c>
      <c r="N801">
        <f t="shared" si="1566"/>
        <v>2053.583249</v>
      </c>
      <c r="O801">
        <f t="shared" si="1566"/>
        <v>3744.237303</v>
      </c>
      <c r="P801">
        <f t="shared" si="1562"/>
        <v>101980.8626</v>
      </c>
      <c r="Q801" s="18">
        <f t="shared" si="1563"/>
        <v>4761.003248</v>
      </c>
      <c r="U801" s="167">
        <f t="shared" si="1567"/>
        <v>133</v>
      </c>
      <c r="V801" s="167">
        <f>(V799-V791)</f>
        <v>409</v>
      </c>
      <c r="W801" s="167">
        <f t="shared" si="1568"/>
        <v>272</v>
      </c>
      <c r="X801" s="168">
        <f>W800</f>
        <v>153</v>
      </c>
      <c r="Y801" s="167">
        <f t="shared" si="1569"/>
        <v>281</v>
      </c>
      <c r="Z801" s="169">
        <f>Y800-Y801</f>
        <v>1071</v>
      </c>
      <c r="AA801" s="167">
        <f t="shared" si="1570"/>
        <v>591</v>
      </c>
      <c r="AB801" s="167">
        <f>AB799-AB791</f>
        <v>252</v>
      </c>
      <c r="AC801" s="167">
        <f>(AC800)*73.9/(73.9+99)</f>
        <v>573.5905147</v>
      </c>
      <c r="AD801" s="167">
        <f>(AC800)*99/(73.9+99)</f>
        <v>768.4094853</v>
      </c>
      <c r="AE801" s="167">
        <f t="shared" si="1571"/>
        <v>517</v>
      </c>
      <c r="AF801" s="169">
        <f>AE800-AE801-AG801-30</f>
        <v>116</v>
      </c>
      <c r="AG801" s="167">
        <f>AG799-AG791</f>
        <v>232</v>
      </c>
      <c r="AH801" s="96">
        <v>141.0</v>
      </c>
      <c r="AI801" s="18">
        <f t="shared" ref="AI801:AI802" si="1573">SUM(U801:AH801)</f>
        <v>5510</v>
      </c>
      <c r="AJ801" s="1">
        <v>1170050.0</v>
      </c>
      <c r="AL801" s="1">
        <v>6190.0</v>
      </c>
    </row>
    <row r="802">
      <c r="B802" s="1" t="s">
        <v>5785</v>
      </c>
      <c r="C802" s="33"/>
      <c r="D802" s="34">
        <v>39082.96451202913</v>
      </c>
      <c r="E802" s="159">
        <v>16274.547273727001</v>
      </c>
      <c r="F802">
        <v>16274.547273727001</v>
      </c>
      <c r="G802" s="159">
        <v>14931.69669818549</v>
      </c>
      <c r="H802" s="159">
        <v>21485.609208664217</v>
      </c>
      <c r="I802" s="34">
        <v>27277.904974805973</v>
      </c>
      <c r="J802">
        <v>21706.07721360387</v>
      </c>
      <c r="K802">
        <v>14811.44142276386</v>
      </c>
      <c r="L802" s="159">
        <v>19842.120444568634</v>
      </c>
      <c r="M802">
        <v>10119.481426730004</v>
      </c>
      <c r="N802" s="159">
        <v>11644.719169994321</v>
      </c>
      <c r="O802" s="159">
        <v>8898.89038120048</v>
      </c>
      <c r="P802">
        <f t="shared" si="1562"/>
        <v>222350</v>
      </c>
      <c r="Q802" s="18">
        <f t="shared" si="1563"/>
        <v>5059.740713</v>
      </c>
      <c r="U802" s="162">
        <f t="shared" ref="U802:AH802" si="1572">U801*1170050/5510</f>
        <v>28242.58621</v>
      </c>
      <c r="V802" s="162">
        <f t="shared" si="1572"/>
        <v>86851.26134</v>
      </c>
      <c r="W802" s="162">
        <f t="shared" si="1572"/>
        <v>57759.27405</v>
      </c>
      <c r="X802" s="162">
        <f t="shared" si="1572"/>
        <v>32489.59165</v>
      </c>
      <c r="Y802" s="162">
        <f t="shared" si="1572"/>
        <v>59670.4265</v>
      </c>
      <c r="Z802" s="162">
        <f t="shared" si="1572"/>
        <v>227427.1416</v>
      </c>
      <c r="AA802" s="162">
        <f t="shared" si="1572"/>
        <v>125499.0109</v>
      </c>
      <c r="AB802" s="162">
        <f t="shared" si="1572"/>
        <v>53512.2686</v>
      </c>
      <c r="AC802" s="162">
        <f t="shared" si="1572"/>
        <v>121802.102</v>
      </c>
      <c r="AD802" s="162">
        <f t="shared" si="1572"/>
        <v>163171.9634</v>
      </c>
      <c r="AE802" s="162">
        <f t="shared" si="1572"/>
        <v>109785.0907</v>
      </c>
      <c r="AF802" s="162">
        <f t="shared" si="1572"/>
        <v>24632.63158</v>
      </c>
      <c r="AG802" s="162">
        <f t="shared" si="1572"/>
        <v>49265.26316</v>
      </c>
      <c r="AH802" s="162">
        <f t="shared" si="1572"/>
        <v>29941.38838</v>
      </c>
      <c r="AI802" s="18">
        <f t="shared" si="1573"/>
        <v>1170050</v>
      </c>
    </row>
    <row r="803">
      <c r="B803" s="23" t="s">
        <v>5598</v>
      </c>
      <c r="C803" s="33"/>
      <c r="D803" s="18">
        <f t="shared" ref="D803:O803" si="1574">SUM(D798,D799,D802)</f>
        <v>2263777.209</v>
      </c>
      <c r="E803" s="18">
        <f t="shared" si="1574"/>
        <v>3072399.419</v>
      </c>
      <c r="F803" s="18">
        <f t="shared" si="1574"/>
        <v>1751066.17</v>
      </c>
      <c r="G803" s="18">
        <f t="shared" si="1574"/>
        <v>2071507.143</v>
      </c>
      <c r="H803" s="18">
        <f t="shared" si="1574"/>
        <v>1278227.603</v>
      </c>
      <c r="I803" s="18">
        <f t="shared" si="1574"/>
        <v>4080603.163</v>
      </c>
      <c r="J803" s="18">
        <f t="shared" si="1574"/>
        <v>2412434.295</v>
      </c>
      <c r="K803" s="18">
        <f t="shared" si="1574"/>
        <v>2624481.704</v>
      </c>
      <c r="L803" s="18">
        <f t="shared" si="1574"/>
        <v>2215461.592</v>
      </c>
      <c r="M803" s="18">
        <f t="shared" si="1574"/>
        <v>1764861.553</v>
      </c>
      <c r="N803" s="18">
        <f t="shared" si="1574"/>
        <v>1420234.135</v>
      </c>
      <c r="O803" s="18">
        <f t="shared" si="1574"/>
        <v>1315085.501</v>
      </c>
      <c r="P803">
        <f t="shared" si="1562"/>
        <v>26270139.49</v>
      </c>
      <c r="Q803" s="18">
        <f t="shared" si="1563"/>
        <v>882430.7764</v>
      </c>
      <c r="U803">
        <v>28242.58620689655</v>
      </c>
      <c r="V803" s="55">
        <v>86851.26134301271</v>
      </c>
      <c r="W803" s="55">
        <v>57759.27404718693</v>
      </c>
      <c r="X803" s="55">
        <v>32489.59165154265</v>
      </c>
      <c r="Y803" s="164">
        <f t="shared" ref="Y803:AG803" si="1575">Y802+3326</f>
        <v>62996.4265</v>
      </c>
      <c r="Z803" s="164">
        <f t="shared" si="1575"/>
        <v>230753.1416</v>
      </c>
      <c r="AA803" s="165">
        <f t="shared" si="1575"/>
        <v>128825.0109</v>
      </c>
      <c r="AB803" s="164">
        <f t="shared" si="1575"/>
        <v>56838.2686</v>
      </c>
      <c r="AC803" s="164">
        <f t="shared" si="1575"/>
        <v>125128.102</v>
      </c>
      <c r="AD803" s="164">
        <f t="shared" si="1575"/>
        <v>166497.9634</v>
      </c>
      <c r="AE803" s="164">
        <f t="shared" si="1575"/>
        <v>113111.0907</v>
      </c>
      <c r="AF803" s="164">
        <f t="shared" si="1575"/>
        <v>27958.63158</v>
      </c>
      <c r="AG803" s="164">
        <f t="shared" si="1575"/>
        <v>52591.26316</v>
      </c>
      <c r="AH803">
        <f>AH802/9</f>
        <v>3326.820932</v>
      </c>
      <c r="AI803" s="18">
        <f>SUM(U803:AG803)</f>
        <v>1170042.612</v>
      </c>
    </row>
    <row r="804">
      <c r="B804" s="1" t="s">
        <v>5599</v>
      </c>
      <c r="C804" s="33"/>
      <c r="D804">
        <f t="shared" ref="D804:O804" si="1576">SUM(D796,D800,D802)</f>
        <v>2061532.278</v>
      </c>
      <c r="E804">
        <f t="shared" si="1576"/>
        <v>2794569.885</v>
      </c>
      <c r="F804">
        <f t="shared" si="1576"/>
        <v>1593357.84</v>
      </c>
      <c r="G804">
        <f t="shared" si="1576"/>
        <v>1884545.739</v>
      </c>
      <c r="H804">
        <f t="shared" si="1576"/>
        <v>1163978.331</v>
      </c>
      <c r="I804">
        <f t="shared" si="1576"/>
        <v>3712119.049</v>
      </c>
      <c r="J804">
        <f t="shared" si="1576"/>
        <v>2195095.367</v>
      </c>
      <c r="K804">
        <f t="shared" si="1576"/>
        <v>2387238.953</v>
      </c>
      <c r="L804">
        <f t="shared" si="1576"/>
        <v>2015859.822</v>
      </c>
      <c r="M804">
        <f t="shared" si="1576"/>
        <v>1605339.546</v>
      </c>
      <c r="N804">
        <f t="shared" si="1576"/>
        <v>1292180.552</v>
      </c>
      <c r="O804">
        <f t="shared" si="1576"/>
        <v>1196341.263</v>
      </c>
      <c r="P804">
        <f t="shared" si="1562"/>
        <v>23902158.63</v>
      </c>
      <c r="Q804" s="18">
        <f t="shared" si="1563"/>
        <v>802669.7732</v>
      </c>
      <c r="AA804" s="166">
        <f>AA803+U803</f>
        <v>157067.5971</v>
      </c>
    </row>
    <row r="805">
      <c r="B805" s="1" t="s">
        <v>5601</v>
      </c>
      <c r="C805" s="33"/>
      <c r="D805">
        <f t="shared" ref="D805:O805" si="1577">SUM(D796,D800)</f>
        <v>2022449.313</v>
      </c>
      <c r="E805">
        <f t="shared" si="1577"/>
        <v>2778295.338</v>
      </c>
      <c r="F805">
        <f t="shared" si="1577"/>
        <v>1577083.293</v>
      </c>
      <c r="G805">
        <f t="shared" si="1577"/>
        <v>1869614.042</v>
      </c>
      <c r="H805">
        <f t="shared" si="1577"/>
        <v>1142492.722</v>
      </c>
      <c r="I805">
        <f t="shared" si="1577"/>
        <v>3684841.144</v>
      </c>
      <c r="J805">
        <f t="shared" si="1577"/>
        <v>2173389.289</v>
      </c>
      <c r="K805">
        <f t="shared" si="1577"/>
        <v>2372427.511</v>
      </c>
      <c r="L805">
        <f t="shared" si="1577"/>
        <v>1996017.702</v>
      </c>
      <c r="M805">
        <f t="shared" si="1577"/>
        <v>1595220.065</v>
      </c>
      <c r="N805">
        <f t="shared" si="1577"/>
        <v>1280535.832</v>
      </c>
      <c r="O805">
        <f t="shared" si="1577"/>
        <v>1187442.373</v>
      </c>
      <c r="P805">
        <f t="shared" si="1562"/>
        <v>23679808.63</v>
      </c>
      <c r="Q805" s="18">
        <f t="shared" si="1563"/>
        <v>797610.0325</v>
      </c>
    </row>
    <row r="806">
      <c r="B806" s="1" t="s">
        <v>5582</v>
      </c>
      <c r="C806" s="33"/>
      <c r="D806">
        <f t="shared" ref="D806:O806" si="1578">SUM(D797,D801)</f>
        <v>202244.9313</v>
      </c>
      <c r="E806">
        <f t="shared" si="1578"/>
        <v>277829.5338</v>
      </c>
      <c r="F806">
        <f t="shared" si="1578"/>
        <v>157708.3293</v>
      </c>
      <c r="G806">
        <f t="shared" si="1578"/>
        <v>186961.4042</v>
      </c>
      <c r="H806">
        <f t="shared" si="1578"/>
        <v>114249.2722</v>
      </c>
      <c r="I806">
        <f t="shared" si="1578"/>
        <v>368484.1144</v>
      </c>
      <c r="J806">
        <f t="shared" si="1578"/>
        <v>217338.9289</v>
      </c>
      <c r="K806">
        <f t="shared" si="1578"/>
        <v>237242.7511</v>
      </c>
      <c r="L806">
        <f t="shared" si="1578"/>
        <v>199601.7702</v>
      </c>
      <c r="M806">
        <f t="shared" si="1578"/>
        <v>159522.0065</v>
      </c>
      <c r="N806">
        <f t="shared" si="1578"/>
        <v>128053.5832</v>
      </c>
      <c r="O806">
        <f t="shared" si="1578"/>
        <v>118744.2373</v>
      </c>
      <c r="P806">
        <f t="shared" si="1562"/>
        <v>2367980.863</v>
      </c>
      <c r="Q806" s="18">
        <f t="shared" si="1563"/>
        <v>79761.00325</v>
      </c>
      <c r="T806" s="1" t="s">
        <v>5831</v>
      </c>
      <c r="U806" s="1">
        <v>101176.0</v>
      </c>
      <c r="W806" s="1">
        <v>49277.0</v>
      </c>
      <c r="Y806" s="1">
        <v>157240.0</v>
      </c>
      <c r="AA806" s="1">
        <v>52116.0</v>
      </c>
      <c r="AC806" s="1">
        <v>155278.0</v>
      </c>
      <c r="AE806" s="1">
        <v>185482.0</v>
      </c>
      <c r="AH806" s="1">
        <v>16333.0</v>
      </c>
    </row>
    <row r="807">
      <c r="B807" s="1" t="s">
        <v>5602</v>
      </c>
      <c r="C807" s="33"/>
      <c r="D807">
        <f t="shared" ref="D807:O807" si="1579">SUM(D805:D806)</f>
        <v>2224694.244</v>
      </c>
      <c r="E807">
        <f t="shared" si="1579"/>
        <v>3056124.872</v>
      </c>
      <c r="F807">
        <f t="shared" si="1579"/>
        <v>1734791.622</v>
      </c>
      <c r="G807">
        <f t="shared" si="1579"/>
        <v>2056575.447</v>
      </c>
      <c r="H807">
        <f t="shared" si="1579"/>
        <v>1256741.994</v>
      </c>
      <c r="I807">
        <f t="shared" si="1579"/>
        <v>4053325.258</v>
      </c>
      <c r="J807">
        <f t="shared" si="1579"/>
        <v>2390728.218</v>
      </c>
      <c r="K807">
        <f t="shared" si="1579"/>
        <v>2609670.262</v>
      </c>
      <c r="L807">
        <f t="shared" si="1579"/>
        <v>2195619.472</v>
      </c>
      <c r="M807">
        <f t="shared" si="1579"/>
        <v>1754742.071</v>
      </c>
      <c r="N807">
        <f t="shared" si="1579"/>
        <v>1408589.416</v>
      </c>
      <c r="O807">
        <f t="shared" si="1579"/>
        <v>1306186.61</v>
      </c>
      <c r="P807">
        <f t="shared" si="1562"/>
        <v>26047789.49</v>
      </c>
      <c r="Q807" s="18">
        <f t="shared" si="1563"/>
        <v>877371.0357</v>
      </c>
      <c r="U807" s="1">
        <v>16802.0</v>
      </c>
      <c r="V807" s="1">
        <v>84592.0</v>
      </c>
      <c r="W807" s="1">
        <v>119246.0</v>
      </c>
      <c r="Y807" s="1">
        <v>47355.0</v>
      </c>
      <c r="AA807" s="1">
        <v>87438.0</v>
      </c>
      <c r="AB807" s="1">
        <v>16790.0</v>
      </c>
      <c r="AE807" s="1">
        <v>138594.0</v>
      </c>
      <c r="AG807" s="1">
        <v>27790.0</v>
      </c>
    </row>
    <row r="808">
      <c r="C808" s="33"/>
      <c r="D808" s="33" t="s">
        <v>5566</v>
      </c>
      <c r="E808" s="33" t="s">
        <v>5566</v>
      </c>
      <c r="F808" s="1" t="s">
        <v>5566</v>
      </c>
      <c r="G808" s="33" t="s">
        <v>5566</v>
      </c>
      <c r="H808" s="33" t="s">
        <v>5566</v>
      </c>
      <c r="I808" s="1" t="s">
        <v>5566</v>
      </c>
      <c r="J808" s="1" t="s">
        <v>5566</v>
      </c>
      <c r="K808" s="1" t="s">
        <v>5566</v>
      </c>
      <c r="L808" s="33" t="s">
        <v>5566</v>
      </c>
      <c r="M808" s="1" t="s">
        <v>5566</v>
      </c>
      <c r="N808" s="33" t="s">
        <v>5566</v>
      </c>
      <c r="O808" s="33" t="s">
        <v>5566</v>
      </c>
      <c r="U808" s="97">
        <f t="shared" ref="U808:U809" si="1580">U806-U798</f>
        <v>491</v>
      </c>
      <c r="V808" s="97"/>
      <c r="W808" s="97">
        <f t="shared" ref="W808:W809" si="1581">W806-W798</f>
        <v>193</v>
      </c>
      <c r="X808" s="97"/>
      <c r="Y808" s="97">
        <f t="shared" ref="Y808:Y809" si="1582">Y806-Y798</f>
        <v>1328</v>
      </c>
      <c r="Z808" s="97"/>
      <c r="AA808" s="97">
        <f t="shared" ref="AA808:AA809" si="1583">AA806-AA798</f>
        <v>660</v>
      </c>
      <c r="AC808" s="97">
        <f>AC806-AC798</f>
        <v>1008</v>
      </c>
      <c r="AD808" s="97"/>
      <c r="AE808" s="97">
        <f t="shared" ref="AE808:AE809" si="1584">AE806-AE798</f>
        <v>804</v>
      </c>
      <c r="AF808" s="97"/>
      <c r="AG808" s="97"/>
      <c r="AH808" s="97">
        <f>AH806-AH798</f>
        <v>144</v>
      </c>
    </row>
    <row r="809">
      <c r="C809" s="33"/>
      <c r="D809" s="34"/>
      <c r="E809" s="33"/>
      <c r="G809" s="33"/>
      <c r="H809" s="33"/>
      <c r="L809" s="33"/>
      <c r="M809" s="1"/>
      <c r="N809" s="33"/>
      <c r="O809" s="33"/>
      <c r="U809" s="167">
        <f t="shared" si="1580"/>
        <v>131</v>
      </c>
      <c r="V809" s="167">
        <f>(V807-V799)</f>
        <v>323</v>
      </c>
      <c r="W809" s="167">
        <f t="shared" si="1581"/>
        <v>357</v>
      </c>
      <c r="X809" s="168">
        <f>W808</f>
        <v>193</v>
      </c>
      <c r="Y809" s="167">
        <f t="shared" si="1582"/>
        <v>372</v>
      </c>
      <c r="Z809" s="169">
        <f>Y808-Y809</f>
        <v>956</v>
      </c>
      <c r="AA809" s="167">
        <f t="shared" si="1583"/>
        <v>580</v>
      </c>
      <c r="AB809" s="167">
        <f>AB807-AB799</f>
        <v>107</v>
      </c>
      <c r="AC809" s="167">
        <f>(AC808)*73.9/(73.9+99)</f>
        <v>430.8340081</v>
      </c>
      <c r="AD809" s="167">
        <f>(AC808)*99/(73.9+99)</f>
        <v>577.1659919</v>
      </c>
      <c r="AE809" s="167">
        <f t="shared" si="1584"/>
        <v>530</v>
      </c>
      <c r="AF809" s="169">
        <f>AE808-AE809-AG809-30</f>
        <v>34</v>
      </c>
      <c r="AG809" s="167">
        <f>AG807-AG799</f>
        <v>210</v>
      </c>
      <c r="AH809" s="96">
        <v>144.0</v>
      </c>
      <c r="AI809" s="18">
        <f t="shared" ref="AI809:AI810" si="1586">SUM(U809:AH809)</f>
        <v>4945</v>
      </c>
      <c r="AJ809" s="1">
        <v>1161450.0</v>
      </c>
      <c r="AL809" s="1">
        <v>5609.0</v>
      </c>
    </row>
    <row r="810">
      <c r="C810" s="33"/>
      <c r="D810" s="34"/>
      <c r="E810" s="33"/>
      <c r="G810" s="33"/>
      <c r="H810" s="30" t="s">
        <v>5811</v>
      </c>
      <c r="L810" s="33"/>
      <c r="M810" s="1"/>
      <c r="N810" s="33"/>
      <c r="O810" s="33"/>
      <c r="Q810" s="23" t="s">
        <v>5802</v>
      </c>
      <c r="U810" s="162">
        <f t="shared" ref="U810:AH810" si="1585">U809*1161450/4945</f>
        <v>30768.44287</v>
      </c>
      <c r="V810" s="162">
        <f t="shared" si="1585"/>
        <v>75864.17594</v>
      </c>
      <c r="W810" s="162">
        <f t="shared" si="1585"/>
        <v>83849.87867</v>
      </c>
      <c r="X810" s="162">
        <f t="shared" si="1585"/>
        <v>45330.60667</v>
      </c>
      <c r="Y810" s="162">
        <f t="shared" si="1585"/>
        <v>87372.98281</v>
      </c>
      <c r="Z810" s="162">
        <f t="shared" si="1585"/>
        <v>224539.1709</v>
      </c>
      <c r="AA810" s="162">
        <f t="shared" si="1585"/>
        <v>136226.6936</v>
      </c>
      <c r="AB810" s="162">
        <f t="shared" si="1585"/>
        <v>25131.47624</v>
      </c>
      <c r="AC810" s="162">
        <f t="shared" si="1585"/>
        <v>101191.5387</v>
      </c>
      <c r="AD810" s="162">
        <f t="shared" si="1585"/>
        <v>135561.0599</v>
      </c>
      <c r="AE810" s="162">
        <f t="shared" si="1585"/>
        <v>124483.0131</v>
      </c>
      <c r="AF810" s="162">
        <f t="shared" si="1585"/>
        <v>7985.70273</v>
      </c>
      <c r="AG810" s="162">
        <f t="shared" si="1585"/>
        <v>49323.45804</v>
      </c>
      <c r="AH810" s="162">
        <f t="shared" si="1585"/>
        <v>33821.7998</v>
      </c>
      <c r="AI810" s="18">
        <f t="shared" si="1586"/>
        <v>1161450</v>
      </c>
    </row>
    <row r="811">
      <c r="B811" s="1" t="s">
        <v>5832</v>
      </c>
      <c r="C811" s="33"/>
      <c r="D811" s="33">
        <v>1900000.0</v>
      </c>
      <c r="E811" s="1">
        <v>2700000.0</v>
      </c>
      <c r="F811" s="1">
        <v>1550000.0</v>
      </c>
      <c r="G811" s="1">
        <v>1800000.0</v>
      </c>
      <c r="H811" s="1">
        <v>1000000.0</v>
      </c>
      <c r="I811" s="1">
        <v>3500000.0</v>
      </c>
      <c r="J811" s="33">
        <v>2100000.0</v>
      </c>
      <c r="K811" s="1">
        <v>2300000.0</v>
      </c>
      <c r="L811" s="1">
        <v>1900000.0</v>
      </c>
      <c r="M811" s="33">
        <v>1500000.0</v>
      </c>
      <c r="N811" s="33">
        <v>1260000.0</v>
      </c>
      <c r="O811" s="1">
        <v>1150000.0</v>
      </c>
      <c r="P811">
        <f t="shared" ref="P811:P819" si="1589">SUM(D811:O811)</f>
        <v>22660000</v>
      </c>
      <c r="Q811" s="18">
        <f t="shared" ref="Q811:Q819" si="1590">M811*0.5</f>
        <v>750000</v>
      </c>
      <c r="U811">
        <v>30768.442871587464</v>
      </c>
      <c r="V811" s="136">
        <v>75864.17593528816</v>
      </c>
      <c r="W811" s="136">
        <v>83849.87866531851</v>
      </c>
      <c r="X811" s="136">
        <v>45330.606673407485</v>
      </c>
      <c r="Y811" s="164">
        <f t="shared" ref="Y811:AG811" si="1587">Y810+3757</f>
        <v>91129.98281</v>
      </c>
      <c r="Z811" s="164">
        <f t="shared" si="1587"/>
        <v>228296.1709</v>
      </c>
      <c r="AA811" s="165">
        <f t="shared" si="1587"/>
        <v>139983.6936</v>
      </c>
      <c r="AB811" s="164">
        <f t="shared" si="1587"/>
        <v>28888.47624</v>
      </c>
      <c r="AC811" s="164">
        <f t="shared" si="1587"/>
        <v>104948.5387</v>
      </c>
      <c r="AD811" s="164">
        <f t="shared" si="1587"/>
        <v>139318.0599</v>
      </c>
      <c r="AE811" s="164">
        <f t="shared" si="1587"/>
        <v>128240.0131</v>
      </c>
      <c r="AF811" s="164">
        <f t="shared" si="1587"/>
        <v>11742.70273</v>
      </c>
      <c r="AG811" s="164">
        <f t="shared" si="1587"/>
        <v>53080.45804</v>
      </c>
      <c r="AH811">
        <f>AH810/9</f>
        <v>3757.977755</v>
      </c>
      <c r="AI811" s="18">
        <f>SUM(U811:AG811)</f>
        <v>1161441.2</v>
      </c>
    </row>
    <row r="812">
      <c r="B812" s="1" t="s">
        <v>5499</v>
      </c>
      <c r="C812" s="33"/>
      <c r="D812" s="33">
        <f t="shared" ref="D812:O812" si="1588">D811*0.1</f>
        <v>190000</v>
      </c>
      <c r="E812" s="1">
        <f t="shared" si="1588"/>
        <v>270000</v>
      </c>
      <c r="F812" s="1">
        <f t="shared" si="1588"/>
        <v>155000</v>
      </c>
      <c r="G812" s="1">
        <f t="shared" si="1588"/>
        <v>180000</v>
      </c>
      <c r="H812" s="1">
        <f t="shared" si="1588"/>
        <v>100000</v>
      </c>
      <c r="I812" s="1">
        <f t="shared" si="1588"/>
        <v>350000</v>
      </c>
      <c r="J812" s="33">
        <f t="shared" si="1588"/>
        <v>210000</v>
      </c>
      <c r="K812" s="1">
        <f t="shared" si="1588"/>
        <v>230000</v>
      </c>
      <c r="L812" s="1">
        <f t="shared" si="1588"/>
        <v>190000</v>
      </c>
      <c r="M812" s="33">
        <f t="shared" si="1588"/>
        <v>150000</v>
      </c>
      <c r="N812" s="1">
        <f t="shared" si="1588"/>
        <v>126000</v>
      </c>
      <c r="O812" s="1">
        <f t="shared" si="1588"/>
        <v>115000</v>
      </c>
      <c r="P812">
        <f t="shared" si="1589"/>
        <v>2266000</v>
      </c>
      <c r="Q812" s="18">
        <f t="shared" si="1590"/>
        <v>75000</v>
      </c>
      <c r="AA812" s="166">
        <f>AA811+U811</f>
        <v>170752.1365</v>
      </c>
    </row>
    <row r="813">
      <c r="B813" s="1" t="s">
        <v>5520</v>
      </c>
      <c r="C813" s="33"/>
      <c r="D813" s="34">
        <f t="shared" ref="D813:O813" si="1591">D811+D812</f>
        <v>2090000</v>
      </c>
      <c r="E813">
        <f t="shared" si="1591"/>
        <v>2970000</v>
      </c>
      <c r="F813">
        <f t="shared" si="1591"/>
        <v>1705000</v>
      </c>
      <c r="G813">
        <f t="shared" si="1591"/>
        <v>1980000</v>
      </c>
      <c r="H813">
        <f t="shared" si="1591"/>
        <v>1100000</v>
      </c>
      <c r="I813">
        <f t="shared" si="1591"/>
        <v>3850000</v>
      </c>
      <c r="J813" s="34">
        <f t="shared" si="1591"/>
        <v>2310000</v>
      </c>
      <c r="K813">
        <f t="shared" si="1591"/>
        <v>2530000</v>
      </c>
      <c r="L813">
        <f t="shared" si="1591"/>
        <v>2090000</v>
      </c>
      <c r="M813" s="34">
        <f t="shared" si="1591"/>
        <v>1650000</v>
      </c>
      <c r="N813">
        <f t="shared" si="1591"/>
        <v>1386000</v>
      </c>
      <c r="O813">
        <f t="shared" si="1591"/>
        <v>1265000</v>
      </c>
      <c r="P813">
        <f t="shared" si="1589"/>
        <v>24926000</v>
      </c>
      <c r="Q813" s="18">
        <f t="shared" si="1590"/>
        <v>825000</v>
      </c>
    </row>
    <row r="814">
      <c r="B814" s="1" t="s">
        <v>5545</v>
      </c>
      <c r="C814" s="33"/>
      <c r="D814" s="34">
        <v>98297.01159881738</v>
      </c>
      <c r="E814" s="159">
        <v>72841.61018876507</v>
      </c>
      <c r="F814">
        <v>25259.590629974984</v>
      </c>
      <c r="G814" s="159">
        <v>65160.82806458949</v>
      </c>
      <c r="H814" s="159">
        <v>135848.519672504</v>
      </c>
      <c r="I814">
        <v>163066.21810325223</v>
      </c>
      <c r="J814">
        <v>46167.18239708892</v>
      </c>
      <c r="K814">
        <v>39048.1185182915</v>
      </c>
      <c r="L814" s="159">
        <v>51328.13847511309</v>
      </c>
      <c r="M814" s="134">
        <v>102756.49783943598</v>
      </c>
      <c r="N814" s="159">
        <v>3676.243120309302</v>
      </c>
      <c r="O814" s="159">
        <v>57524.2076415738</v>
      </c>
      <c r="P814">
        <f t="shared" si="1589"/>
        <v>860974.1662</v>
      </c>
      <c r="Q814" s="18">
        <f t="shared" si="1590"/>
        <v>51378.24892</v>
      </c>
      <c r="T814" s="1" t="s">
        <v>5833</v>
      </c>
      <c r="U814" s="1">
        <v>101724.0</v>
      </c>
      <c r="W814" s="1">
        <v>49572.0</v>
      </c>
      <c r="Y814" s="1">
        <v>159267.0</v>
      </c>
      <c r="AA814" s="1">
        <v>53093.0</v>
      </c>
      <c r="AC814" s="1">
        <v>155953.0</v>
      </c>
      <c r="AE814" s="1">
        <v>186706.0</v>
      </c>
      <c r="AH814" s="1">
        <v>16464.0</v>
      </c>
    </row>
    <row r="815">
      <c r="C815" s="33"/>
      <c r="D815">
        <f t="shared" ref="D815:O815" si="1592">D814-D816</f>
        <v>89360.91964</v>
      </c>
      <c r="E815">
        <f t="shared" si="1592"/>
        <v>66219.64563</v>
      </c>
      <c r="F815">
        <f t="shared" si="1592"/>
        <v>22963.26421</v>
      </c>
      <c r="G815">
        <f t="shared" si="1592"/>
        <v>59237.11642</v>
      </c>
      <c r="H815">
        <f t="shared" si="1592"/>
        <v>123498.6542</v>
      </c>
      <c r="I815">
        <f t="shared" si="1592"/>
        <v>148242.0165</v>
      </c>
      <c r="J815" s="34">
        <f t="shared" si="1592"/>
        <v>41970.16582</v>
      </c>
      <c r="K815">
        <f t="shared" si="1592"/>
        <v>35498.28956</v>
      </c>
      <c r="L815">
        <f t="shared" si="1592"/>
        <v>46661.94407</v>
      </c>
      <c r="M815">
        <f t="shared" si="1592"/>
        <v>93414.99804</v>
      </c>
      <c r="N815">
        <f t="shared" si="1592"/>
        <v>3342.0392</v>
      </c>
      <c r="O815">
        <f t="shared" si="1592"/>
        <v>52294.73422</v>
      </c>
      <c r="P815">
        <f t="shared" si="1589"/>
        <v>782703.7875</v>
      </c>
      <c r="Q815" s="18">
        <f t="shared" si="1590"/>
        <v>46707.49902</v>
      </c>
      <c r="U815" s="1">
        <v>16923.0</v>
      </c>
      <c r="V815" s="1">
        <v>84982.0</v>
      </c>
      <c r="W815" s="1">
        <v>119863.0</v>
      </c>
      <c r="Y815" s="1">
        <v>48029.0</v>
      </c>
      <c r="AA815" s="1">
        <v>88327.0</v>
      </c>
      <c r="AB815" s="1">
        <v>16970.0</v>
      </c>
      <c r="AE815" s="1">
        <v>139417.0</v>
      </c>
      <c r="AG815" s="1">
        <v>28050.0</v>
      </c>
    </row>
    <row r="816">
      <c r="B816" s="1" t="s">
        <v>5499</v>
      </c>
      <c r="C816" s="33"/>
      <c r="D816">
        <f t="shared" ref="D816:O816" si="1593">D814/11</f>
        <v>8936.091964</v>
      </c>
      <c r="E816">
        <f t="shared" si="1593"/>
        <v>6621.964563</v>
      </c>
      <c r="F816">
        <f t="shared" si="1593"/>
        <v>2296.326421</v>
      </c>
      <c r="G816">
        <f t="shared" si="1593"/>
        <v>5923.711642</v>
      </c>
      <c r="H816">
        <f t="shared" si="1593"/>
        <v>12349.86542</v>
      </c>
      <c r="I816">
        <f t="shared" si="1593"/>
        <v>14824.20165</v>
      </c>
      <c r="J816" s="34">
        <f t="shared" si="1593"/>
        <v>4197.016582</v>
      </c>
      <c r="K816">
        <f t="shared" si="1593"/>
        <v>3549.828956</v>
      </c>
      <c r="L816">
        <f t="shared" si="1593"/>
        <v>4666.194407</v>
      </c>
      <c r="M816">
        <f t="shared" si="1593"/>
        <v>9341.499804</v>
      </c>
      <c r="N816">
        <f t="shared" si="1593"/>
        <v>334.20392</v>
      </c>
      <c r="O816">
        <f t="shared" si="1593"/>
        <v>5229.473422</v>
      </c>
      <c r="P816">
        <f t="shared" si="1589"/>
        <v>78270.37875</v>
      </c>
      <c r="Q816" s="18">
        <f t="shared" si="1590"/>
        <v>4670.749902</v>
      </c>
      <c r="U816" s="97">
        <f t="shared" ref="U816:U817" si="1595">U814-U806</f>
        <v>548</v>
      </c>
      <c r="V816" s="97"/>
      <c r="W816" s="97">
        <f t="shared" ref="W816:W817" si="1596">W814-W806</f>
        <v>295</v>
      </c>
      <c r="X816" s="97"/>
      <c r="Y816" s="97">
        <f t="shared" ref="Y816:Y817" si="1597">Y814-Y806</f>
        <v>2027</v>
      </c>
      <c r="Z816" s="97"/>
      <c r="AA816" s="97">
        <f t="shared" ref="AA816:AA817" si="1598">AA814-AA806</f>
        <v>977</v>
      </c>
      <c r="AC816" s="97">
        <f>AC814-AC806</f>
        <v>675</v>
      </c>
      <c r="AD816" s="97"/>
      <c r="AE816" s="97">
        <f t="shared" ref="AE816:AE817" si="1599">AE814-AE806</f>
        <v>1224</v>
      </c>
      <c r="AF816" s="97"/>
      <c r="AG816" s="97"/>
      <c r="AH816" s="97">
        <f>AH814-AH806</f>
        <v>131</v>
      </c>
    </row>
    <row r="817">
      <c r="B817" s="23" t="s">
        <v>5528</v>
      </c>
      <c r="C817" s="33"/>
      <c r="D817" s="145">
        <f t="shared" ref="D817:O817" si="1594">SUM(D813,D814)</f>
        <v>2188297.012</v>
      </c>
      <c r="E817" s="145">
        <f t="shared" si="1594"/>
        <v>3042841.61</v>
      </c>
      <c r="F817" s="145">
        <f t="shared" si="1594"/>
        <v>1730259.591</v>
      </c>
      <c r="G817" s="145">
        <f t="shared" si="1594"/>
        <v>2045160.828</v>
      </c>
      <c r="H817" s="145">
        <f t="shared" si="1594"/>
        <v>1235848.52</v>
      </c>
      <c r="I817" s="173">
        <f t="shared" si="1594"/>
        <v>4013066.218</v>
      </c>
      <c r="J817" s="145">
        <f t="shared" si="1594"/>
        <v>2356167.182</v>
      </c>
      <c r="K817" s="174">
        <f t="shared" si="1594"/>
        <v>2569048.119</v>
      </c>
      <c r="L817" s="145">
        <f t="shared" si="1594"/>
        <v>2141328.138</v>
      </c>
      <c r="M817" s="145">
        <f t="shared" si="1594"/>
        <v>1752756.498</v>
      </c>
      <c r="N817" s="145">
        <f t="shared" si="1594"/>
        <v>1389676.243</v>
      </c>
      <c r="O817" s="145">
        <f t="shared" si="1594"/>
        <v>1322524.208</v>
      </c>
      <c r="P817">
        <f t="shared" si="1589"/>
        <v>25786974.17</v>
      </c>
      <c r="Q817" s="18">
        <f t="shared" si="1590"/>
        <v>876378.2489</v>
      </c>
      <c r="U817" s="167">
        <f t="shared" si="1595"/>
        <v>121</v>
      </c>
      <c r="V817" s="167">
        <f>(V815-V807)</f>
        <v>390</v>
      </c>
      <c r="W817" s="167">
        <f t="shared" si="1596"/>
        <v>617</v>
      </c>
      <c r="X817" s="168">
        <f>W816</f>
        <v>295</v>
      </c>
      <c r="Y817" s="167">
        <f t="shared" si="1597"/>
        <v>674</v>
      </c>
      <c r="Z817" s="169">
        <f>Y816-Y817</f>
        <v>1353</v>
      </c>
      <c r="AA817" s="167">
        <f t="shared" si="1598"/>
        <v>889</v>
      </c>
      <c r="AB817" s="167">
        <f>AB815-AB807</f>
        <v>180</v>
      </c>
      <c r="AC817" s="167">
        <f>(AC816)*73.9/(73.9+99)-200</f>
        <v>88.50491614</v>
      </c>
      <c r="AD817" s="167">
        <f>(AC816)*99/(73.9+99)+200</f>
        <v>586.4950839</v>
      </c>
      <c r="AE817" s="167">
        <f t="shared" si="1599"/>
        <v>823</v>
      </c>
      <c r="AF817" s="169">
        <f>AE816-AE817-AG817-30</f>
        <v>111</v>
      </c>
      <c r="AG817" s="167">
        <f>AG815-AG807</f>
        <v>260</v>
      </c>
      <c r="AH817" s="96">
        <v>144.0</v>
      </c>
      <c r="AI817" s="18">
        <f t="shared" ref="AI817:AI818" si="1602">SUM(U817:AH817)</f>
        <v>6532</v>
      </c>
      <c r="AJ817" s="1">
        <v>1599780.0</v>
      </c>
      <c r="AL817" s="1">
        <v>7783.0</v>
      </c>
    </row>
    <row r="818">
      <c r="B818" s="1" t="s">
        <v>5580</v>
      </c>
      <c r="C818" s="33"/>
      <c r="D818">
        <f t="shared" ref="D818:O818" si="1600">D811+D815</f>
        <v>1989360.92</v>
      </c>
      <c r="E818">
        <f t="shared" si="1600"/>
        <v>2766219.646</v>
      </c>
      <c r="F818">
        <f t="shared" si="1600"/>
        <v>1572963.264</v>
      </c>
      <c r="G818">
        <f t="shared" si="1600"/>
        <v>1859237.116</v>
      </c>
      <c r="H818">
        <f t="shared" si="1600"/>
        <v>1123498.654</v>
      </c>
      <c r="I818">
        <f t="shared" si="1600"/>
        <v>3648242.016</v>
      </c>
      <c r="J818" s="34">
        <f t="shared" si="1600"/>
        <v>2141970.166</v>
      </c>
      <c r="K818">
        <f t="shared" si="1600"/>
        <v>2335498.29</v>
      </c>
      <c r="L818">
        <f t="shared" si="1600"/>
        <v>1946661.944</v>
      </c>
      <c r="M818">
        <f t="shared" si="1600"/>
        <v>1593414.998</v>
      </c>
      <c r="N818">
        <f t="shared" si="1600"/>
        <v>1263342.039</v>
      </c>
      <c r="O818">
        <f t="shared" si="1600"/>
        <v>1202294.734</v>
      </c>
      <c r="P818">
        <f t="shared" si="1589"/>
        <v>23442703.79</v>
      </c>
      <c r="Q818" s="18">
        <f t="shared" si="1590"/>
        <v>796707.499</v>
      </c>
      <c r="U818" s="162">
        <f t="shared" ref="U818:AH818" si="1601">U817*1599780/6532</f>
        <v>29634.62645</v>
      </c>
      <c r="V818" s="162">
        <f t="shared" si="1601"/>
        <v>95516.56461</v>
      </c>
      <c r="W818" s="162">
        <f t="shared" si="1601"/>
        <v>151112.1035</v>
      </c>
      <c r="X818" s="162">
        <f t="shared" si="1601"/>
        <v>72249.70912</v>
      </c>
      <c r="Y818" s="162">
        <f t="shared" si="1601"/>
        <v>165072.2168</v>
      </c>
      <c r="Z818" s="162">
        <f t="shared" si="1601"/>
        <v>331369.0049</v>
      </c>
      <c r="AA818" s="162">
        <f t="shared" si="1601"/>
        <v>217728.7844</v>
      </c>
      <c r="AB818" s="162">
        <f t="shared" si="1601"/>
        <v>44084.56828</v>
      </c>
      <c r="AC818" s="162">
        <f t="shared" si="1601"/>
        <v>21676.11677</v>
      </c>
      <c r="AD818" s="162">
        <f t="shared" si="1601"/>
        <v>143641.0143</v>
      </c>
      <c r="AE818" s="162">
        <f t="shared" si="1601"/>
        <v>201564.4427</v>
      </c>
      <c r="AF818" s="162">
        <f t="shared" si="1601"/>
        <v>27185.48377</v>
      </c>
      <c r="AG818" s="162">
        <f t="shared" si="1601"/>
        <v>63677.70974</v>
      </c>
      <c r="AH818" s="162">
        <f t="shared" si="1601"/>
        <v>35267.65462</v>
      </c>
      <c r="AI818" s="18">
        <f t="shared" si="1602"/>
        <v>1599780</v>
      </c>
    </row>
    <row r="819">
      <c r="B819" s="1" t="s">
        <v>5582</v>
      </c>
      <c r="C819" s="33"/>
      <c r="D819">
        <f t="shared" ref="D819:O819" si="1603">D812+D816</f>
        <v>198936.092</v>
      </c>
      <c r="E819">
        <f t="shared" si="1603"/>
        <v>276621.9646</v>
      </c>
      <c r="F819">
        <f t="shared" si="1603"/>
        <v>157296.3264</v>
      </c>
      <c r="G819">
        <f t="shared" si="1603"/>
        <v>185923.7116</v>
      </c>
      <c r="H819">
        <f t="shared" si="1603"/>
        <v>112349.8654</v>
      </c>
      <c r="I819">
        <f t="shared" si="1603"/>
        <v>364824.2016</v>
      </c>
      <c r="J819" s="34">
        <f t="shared" si="1603"/>
        <v>214197.0166</v>
      </c>
      <c r="K819">
        <f t="shared" si="1603"/>
        <v>233549.829</v>
      </c>
      <c r="L819">
        <f t="shared" si="1603"/>
        <v>194666.1944</v>
      </c>
      <c r="M819">
        <f t="shared" si="1603"/>
        <v>159341.4998</v>
      </c>
      <c r="N819">
        <f t="shared" si="1603"/>
        <v>126334.2039</v>
      </c>
      <c r="O819">
        <f t="shared" si="1603"/>
        <v>120229.4734</v>
      </c>
      <c r="P819">
        <f t="shared" si="1589"/>
        <v>2344270.379</v>
      </c>
      <c r="Q819" s="18">
        <f t="shared" si="1590"/>
        <v>79670.7499</v>
      </c>
      <c r="U819">
        <v>29634.626454378445</v>
      </c>
      <c r="V819" s="55">
        <v>95516.56460502143</v>
      </c>
      <c r="W819" s="55">
        <v>151112.10349050828</v>
      </c>
      <c r="X819" s="55">
        <v>72249.70912431108</v>
      </c>
      <c r="Y819" s="164">
        <f t="shared" ref="Y819:AG819" si="1604">Y818+3918</f>
        <v>168990.2168</v>
      </c>
      <c r="Z819" s="164">
        <f t="shared" si="1604"/>
        <v>335287.0049</v>
      </c>
      <c r="AA819" s="165">
        <f t="shared" si="1604"/>
        <v>221646.7844</v>
      </c>
      <c r="AB819" s="164">
        <f t="shared" si="1604"/>
        <v>48002.56828</v>
      </c>
      <c r="AC819" s="164">
        <f t="shared" si="1604"/>
        <v>25594.11677</v>
      </c>
      <c r="AD819" s="164">
        <f t="shared" si="1604"/>
        <v>147559.0143</v>
      </c>
      <c r="AE819" s="164">
        <f t="shared" si="1604"/>
        <v>205482.4427</v>
      </c>
      <c r="AF819" s="164">
        <f t="shared" si="1604"/>
        <v>31103.48377</v>
      </c>
      <c r="AG819" s="164">
        <f t="shared" si="1604"/>
        <v>67595.70974</v>
      </c>
      <c r="AH819">
        <f>AH818/9</f>
        <v>3918.628291</v>
      </c>
      <c r="AI819" s="18">
        <f>SUM(U819:AG819)</f>
        <v>1599774.345</v>
      </c>
    </row>
    <row r="820">
      <c r="C820" s="33"/>
      <c r="D820" s="33" t="s">
        <v>5566</v>
      </c>
      <c r="E820" s="33" t="s">
        <v>5566</v>
      </c>
      <c r="F820" s="1" t="s">
        <v>5566</v>
      </c>
      <c r="G820" s="33" t="s">
        <v>5566</v>
      </c>
      <c r="H820" s="33" t="s">
        <v>5566</v>
      </c>
      <c r="I820" s="1" t="s">
        <v>5566</v>
      </c>
      <c r="J820" s="1" t="s">
        <v>5566</v>
      </c>
      <c r="K820" s="1" t="s">
        <v>5566</v>
      </c>
      <c r="L820" s="33" t="s">
        <v>5566</v>
      </c>
      <c r="M820" s="1" t="s">
        <v>5566</v>
      </c>
      <c r="N820" s="33" t="s">
        <v>5566</v>
      </c>
      <c r="O820" s="2" t="s">
        <v>5834</v>
      </c>
      <c r="Q820" s="76"/>
      <c r="AA820" s="166">
        <f>AA819+U819</f>
        <v>251281.4109</v>
      </c>
    </row>
    <row r="821">
      <c r="C821" s="33"/>
      <c r="D821" s="34"/>
      <c r="E821" s="33"/>
      <c r="G821" s="33"/>
      <c r="H821" s="33"/>
      <c r="L821" s="33"/>
      <c r="N821" s="33"/>
      <c r="O821" s="33"/>
    </row>
    <row r="822">
      <c r="C822" s="33"/>
      <c r="D822" s="34"/>
      <c r="E822" s="33"/>
      <c r="G822" s="56" t="s">
        <v>5666</v>
      </c>
      <c r="H822" s="30" t="s">
        <v>5811</v>
      </c>
      <c r="L822" s="33"/>
      <c r="M822" s="1" t="s">
        <v>5835</v>
      </c>
      <c r="N822" s="33"/>
      <c r="O822" s="33"/>
      <c r="Q822" s="23" t="s">
        <v>5802</v>
      </c>
      <c r="T822" s="1" t="s">
        <v>5836</v>
      </c>
      <c r="U822" s="1">
        <v>102538.0</v>
      </c>
      <c r="W822" s="1">
        <v>49856.0</v>
      </c>
      <c r="Y822" s="1">
        <v>161683.0</v>
      </c>
      <c r="AA822" s="1">
        <v>54577.0</v>
      </c>
      <c r="AC822" s="1">
        <v>157381.0</v>
      </c>
      <c r="AE822" s="1">
        <v>188400.0</v>
      </c>
      <c r="AH822" s="1">
        <v>16603.0</v>
      </c>
    </row>
    <row r="823">
      <c r="B823" s="1" t="s">
        <v>5837</v>
      </c>
      <c r="C823" s="33"/>
      <c r="D823" s="33">
        <v>1900000.0</v>
      </c>
      <c r="E823" s="1">
        <v>2700000.0</v>
      </c>
      <c r="F823" s="1">
        <v>1550000.0</v>
      </c>
      <c r="G823" s="1">
        <v>1800000.0</v>
      </c>
      <c r="H823" s="1">
        <v>1000000.0</v>
      </c>
      <c r="I823" s="1">
        <v>3500000.0</v>
      </c>
      <c r="J823" s="33">
        <v>2100000.0</v>
      </c>
      <c r="K823" s="1">
        <v>2300000.0</v>
      </c>
      <c r="L823" s="1">
        <v>1900000.0</v>
      </c>
      <c r="M823" s="33">
        <v>1500000.0</v>
      </c>
      <c r="N823" s="33">
        <v>1260000.0</v>
      </c>
      <c r="O823" s="1">
        <v>1150000.0</v>
      </c>
      <c r="P823">
        <f t="shared" ref="P823:P834" si="1606">SUM(D823:O823)</f>
        <v>22660000</v>
      </c>
      <c r="Q823" s="18">
        <f t="shared" ref="Q823:Q834" si="1607">M823*0.5</f>
        <v>750000</v>
      </c>
      <c r="U823" s="1">
        <v>17178.0</v>
      </c>
      <c r="V823" s="1">
        <v>85487.0</v>
      </c>
      <c r="W823" s="1">
        <v>120777.0</v>
      </c>
      <c r="Y823" s="1">
        <v>48978.0</v>
      </c>
      <c r="AA823" s="1">
        <v>89572.0</v>
      </c>
      <c r="AB823" s="1">
        <v>17081.0</v>
      </c>
      <c r="AE823" s="1">
        <v>140342.0</v>
      </c>
      <c r="AG823" s="1">
        <v>28300.0</v>
      </c>
    </row>
    <row r="824">
      <c r="B824" s="1" t="s">
        <v>5499</v>
      </c>
      <c r="C824" s="33"/>
      <c r="D824" s="33">
        <f t="shared" ref="D824:O824" si="1605">D823*0.1</f>
        <v>190000</v>
      </c>
      <c r="E824" s="1">
        <f t="shared" si="1605"/>
        <v>270000</v>
      </c>
      <c r="F824" s="1">
        <f t="shared" si="1605"/>
        <v>155000</v>
      </c>
      <c r="G824" s="1">
        <f t="shared" si="1605"/>
        <v>180000</v>
      </c>
      <c r="H824" s="1">
        <f t="shared" si="1605"/>
        <v>100000</v>
      </c>
      <c r="I824" s="1">
        <f t="shared" si="1605"/>
        <v>350000</v>
      </c>
      <c r="J824" s="33">
        <f t="shared" si="1605"/>
        <v>210000</v>
      </c>
      <c r="K824" s="1">
        <f t="shared" si="1605"/>
        <v>230000</v>
      </c>
      <c r="L824" s="1">
        <f t="shared" si="1605"/>
        <v>190000</v>
      </c>
      <c r="M824" s="33">
        <f t="shared" si="1605"/>
        <v>150000</v>
      </c>
      <c r="N824" s="1">
        <f t="shared" si="1605"/>
        <v>126000</v>
      </c>
      <c r="O824" s="1">
        <f t="shared" si="1605"/>
        <v>115000</v>
      </c>
      <c r="P824">
        <f t="shared" si="1606"/>
        <v>2266000</v>
      </c>
      <c r="Q824" s="18">
        <f t="shared" si="1607"/>
        <v>75000</v>
      </c>
      <c r="U824" s="97">
        <f t="shared" ref="U824:U825" si="1609">U822-U814</f>
        <v>814</v>
      </c>
      <c r="V824" s="97"/>
      <c r="W824" s="97">
        <f t="shared" ref="W824:W825" si="1610">W822-W814</f>
        <v>284</v>
      </c>
      <c r="X824" s="97"/>
      <c r="Y824" s="97">
        <f t="shared" ref="Y824:Y825" si="1611">Y822-Y814</f>
        <v>2416</v>
      </c>
      <c r="Z824" s="97"/>
      <c r="AA824" s="97">
        <f t="shared" ref="AA824:AA825" si="1612">AA822-AA814</f>
        <v>1484</v>
      </c>
      <c r="AC824" s="97">
        <f>AC822-AC814</f>
        <v>1428</v>
      </c>
      <c r="AD824" s="97"/>
      <c r="AE824" s="97">
        <f t="shared" ref="AE824:AE825" si="1613">AE822-AE814</f>
        <v>1694</v>
      </c>
      <c r="AF824" s="97"/>
      <c r="AG824" s="97"/>
      <c r="AH824" s="97">
        <f>AH822-AH814</f>
        <v>139</v>
      </c>
    </row>
    <row r="825">
      <c r="B825" s="1" t="s">
        <v>5520</v>
      </c>
      <c r="C825" s="33"/>
      <c r="D825" s="34">
        <f t="shared" ref="D825:O825" si="1608">D823+D824</f>
        <v>2090000</v>
      </c>
      <c r="E825">
        <f t="shared" si="1608"/>
        <v>2970000</v>
      </c>
      <c r="F825">
        <f t="shared" si="1608"/>
        <v>1705000</v>
      </c>
      <c r="G825">
        <f t="shared" si="1608"/>
        <v>1980000</v>
      </c>
      <c r="H825">
        <f t="shared" si="1608"/>
        <v>1100000</v>
      </c>
      <c r="I825">
        <f t="shared" si="1608"/>
        <v>3850000</v>
      </c>
      <c r="J825" s="34">
        <f t="shared" si="1608"/>
        <v>2310000</v>
      </c>
      <c r="K825">
        <f t="shared" si="1608"/>
        <v>2530000</v>
      </c>
      <c r="L825">
        <f t="shared" si="1608"/>
        <v>2090000</v>
      </c>
      <c r="M825" s="34">
        <f t="shared" si="1608"/>
        <v>1650000</v>
      </c>
      <c r="N825">
        <f t="shared" si="1608"/>
        <v>1386000</v>
      </c>
      <c r="O825">
        <f t="shared" si="1608"/>
        <v>1265000</v>
      </c>
      <c r="P825">
        <f t="shared" si="1606"/>
        <v>24926000</v>
      </c>
      <c r="Q825" s="18">
        <f t="shared" si="1607"/>
        <v>825000</v>
      </c>
      <c r="U825" s="167">
        <f t="shared" si="1609"/>
        <v>255</v>
      </c>
      <c r="V825" s="167">
        <f>(V823-V815)</f>
        <v>505</v>
      </c>
      <c r="W825" s="167">
        <f t="shared" si="1610"/>
        <v>914</v>
      </c>
      <c r="X825" s="168">
        <f>W824</f>
        <v>284</v>
      </c>
      <c r="Y825" s="167">
        <f t="shared" si="1611"/>
        <v>949</v>
      </c>
      <c r="Z825" s="169">
        <f>Y824-Y825</f>
        <v>1467</v>
      </c>
      <c r="AA825" s="167">
        <f t="shared" si="1612"/>
        <v>1245</v>
      </c>
      <c r="AB825" s="167">
        <f>AB823-AB815</f>
        <v>111</v>
      </c>
      <c r="AC825" s="167">
        <f>(AC824)*73.9/(73.9+99)-100</f>
        <v>510.3481781</v>
      </c>
      <c r="AD825" s="167">
        <f>(AC824)*99/(73.9+99)+100</f>
        <v>917.6518219</v>
      </c>
      <c r="AE825" s="167">
        <f t="shared" si="1613"/>
        <v>925</v>
      </c>
      <c r="AF825" s="169">
        <f>AE824-AE825-AG825-30</f>
        <v>489</v>
      </c>
      <c r="AG825" s="167">
        <f>AG823-AG815</f>
        <v>250</v>
      </c>
      <c r="AH825" s="96">
        <v>139.0</v>
      </c>
      <c r="AI825" s="18">
        <f t="shared" ref="AI825:AI826" si="1615">SUM(U825:AH825)</f>
        <v>8961</v>
      </c>
      <c r="AJ825" s="1">
        <v>2309800.0</v>
      </c>
      <c r="AL825" s="1">
        <v>12499.0</v>
      </c>
    </row>
    <row r="826">
      <c r="B826" s="1" t="s">
        <v>5545</v>
      </c>
      <c r="C826" s="33"/>
      <c r="D826" s="34">
        <v>97250.72083078802</v>
      </c>
      <c r="E826" s="34">
        <v>87545.06006923234</v>
      </c>
      <c r="F826" s="34">
        <v>42510.79413561393</v>
      </c>
      <c r="G826" s="176">
        <v>54847.22846670739</v>
      </c>
      <c r="H826" s="176">
        <v>142004.0621054775</v>
      </c>
      <c r="I826" s="176">
        <v>186844.21482386478</v>
      </c>
      <c r="J826" s="176">
        <v>33300.66157605375</v>
      </c>
      <c r="K826" s="176">
        <v>55288.10908915538</v>
      </c>
      <c r="L826" s="176">
        <v>73041.21650644632</v>
      </c>
      <c r="M826" s="176">
        <v>118710.47627774384</v>
      </c>
      <c r="N826" s="176">
        <v>28641.944410507025</v>
      </c>
      <c r="O826" s="176">
        <v>33300.66157605375</v>
      </c>
      <c r="P826">
        <f t="shared" si="1606"/>
        <v>953285.1499</v>
      </c>
      <c r="Q826" s="18">
        <f t="shared" si="1607"/>
        <v>59355.23814</v>
      </c>
      <c r="U826" s="162">
        <f t="shared" ref="U826:AH826" si="1614">U825*2309800/8961</f>
        <v>65729.15969</v>
      </c>
      <c r="V826" s="162">
        <f t="shared" si="1614"/>
        <v>130169.5123</v>
      </c>
      <c r="W826" s="162">
        <f t="shared" si="1614"/>
        <v>235593.9292</v>
      </c>
      <c r="X826" s="162">
        <f t="shared" si="1614"/>
        <v>73204.2406</v>
      </c>
      <c r="Y826" s="162">
        <f t="shared" si="1614"/>
        <v>244615.5786</v>
      </c>
      <c r="Z826" s="162">
        <f t="shared" si="1614"/>
        <v>378135.9893</v>
      </c>
      <c r="AA826" s="162">
        <f t="shared" si="1614"/>
        <v>320912.9561</v>
      </c>
      <c r="AB826" s="162">
        <f t="shared" si="1614"/>
        <v>28611.51657</v>
      </c>
      <c r="AC826" s="162">
        <f t="shared" si="1614"/>
        <v>131548.0663</v>
      </c>
      <c r="AD826" s="162">
        <f t="shared" si="1614"/>
        <v>236535.228</v>
      </c>
      <c r="AE826" s="162">
        <f t="shared" si="1614"/>
        <v>238429.3048</v>
      </c>
      <c r="AF826" s="162">
        <f t="shared" si="1614"/>
        <v>126045.3298</v>
      </c>
      <c r="AG826" s="162">
        <f t="shared" si="1614"/>
        <v>64440.35264</v>
      </c>
      <c r="AH826" s="162">
        <f t="shared" si="1614"/>
        <v>35828.83607</v>
      </c>
      <c r="AI826" s="18">
        <f t="shared" si="1615"/>
        <v>2309800</v>
      </c>
    </row>
    <row r="827">
      <c r="C827" s="33"/>
      <c r="D827">
        <f t="shared" ref="D827:O827" si="1616">D826-D828</f>
        <v>88409.74621</v>
      </c>
      <c r="E827">
        <f t="shared" si="1616"/>
        <v>79586.41824</v>
      </c>
      <c r="F827">
        <f t="shared" si="1616"/>
        <v>38646.17649</v>
      </c>
      <c r="G827">
        <f t="shared" si="1616"/>
        <v>49861.11679</v>
      </c>
      <c r="H827">
        <f t="shared" si="1616"/>
        <v>129094.6019</v>
      </c>
      <c r="I827">
        <f t="shared" si="1616"/>
        <v>169858.3771</v>
      </c>
      <c r="J827" s="34">
        <f t="shared" si="1616"/>
        <v>30273.32871</v>
      </c>
      <c r="K827">
        <f t="shared" si="1616"/>
        <v>50261.91735</v>
      </c>
      <c r="L827">
        <f t="shared" si="1616"/>
        <v>66401.10591</v>
      </c>
      <c r="M827">
        <f t="shared" si="1616"/>
        <v>107918.6148</v>
      </c>
      <c r="N827">
        <f t="shared" si="1616"/>
        <v>26038.13128</v>
      </c>
      <c r="O827">
        <f t="shared" si="1616"/>
        <v>30273.32871</v>
      </c>
      <c r="P827">
        <f t="shared" si="1606"/>
        <v>866622.8635</v>
      </c>
      <c r="Q827" s="18">
        <f t="shared" si="1607"/>
        <v>53959.3074</v>
      </c>
      <c r="U827">
        <v>65729.15969199866</v>
      </c>
      <c r="V827" s="136">
        <v>130169.51233121303</v>
      </c>
      <c r="W827" s="136">
        <v>235593.92924896776</v>
      </c>
      <c r="X827" s="136">
        <v>73204.24059814753</v>
      </c>
      <c r="Y827" s="164">
        <f t="shared" ref="Y827:AG827" si="1617">Y826+3980</f>
        <v>248595.5786</v>
      </c>
      <c r="Z827" s="164">
        <f t="shared" si="1617"/>
        <v>382115.9893</v>
      </c>
      <c r="AA827" s="165">
        <f t="shared" si="1617"/>
        <v>324892.9561</v>
      </c>
      <c r="AB827" s="164">
        <f t="shared" si="1617"/>
        <v>32591.51657</v>
      </c>
      <c r="AC827" s="164">
        <f t="shared" si="1617"/>
        <v>135528.0663</v>
      </c>
      <c r="AD827" s="164">
        <f t="shared" si="1617"/>
        <v>240515.228</v>
      </c>
      <c r="AE827" s="164">
        <f t="shared" si="1617"/>
        <v>242409.3048</v>
      </c>
      <c r="AF827" s="164">
        <f t="shared" si="1617"/>
        <v>130025.3298</v>
      </c>
      <c r="AG827" s="164">
        <f t="shared" si="1617"/>
        <v>68420.35264</v>
      </c>
      <c r="AH827">
        <f>AH826/9</f>
        <v>3980.981785</v>
      </c>
      <c r="AI827" s="18">
        <f>SUM(U827:AG827)</f>
        <v>2309791.164</v>
      </c>
    </row>
    <row r="828">
      <c r="B828" s="1" t="s">
        <v>5499</v>
      </c>
      <c r="C828" s="33"/>
      <c r="D828">
        <f t="shared" ref="D828:O828" si="1618">D826/11</f>
        <v>8840.974621</v>
      </c>
      <c r="E828">
        <f t="shared" si="1618"/>
        <v>7958.641824</v>
      </c>
      <c r="F828">
        <f t="shared" si="1618"/>
        <v>3864.617649</v>
      </c>
      <c r="G828">
        <f t="shared" si="1618"/>
        <v>4986.111679</v>
      </c>
      <c r="H828">
        <f t="shared" si="1618"/>
        <v>12909.46019</v>
      </c>
      <c r="I828">
        <f t="shared" si="1618"/>
        <v>16985.83771</v>
      </c>
      <c r="J828" s="34">
        <f t="shared" si="1618"/>
        <v>3027.332871</v>
      </c>
      <c r="K828">
        <f t="shared" si="1618"/>
        <v>5026.191735</v>
      </c>
      <c r="L828">
        <f t="shared" si="1618"/>
        <v>6640.110591</v>
      </c>
      <c r="M828">
        <f t="shared" si="1618"/>
        <v>10791.86148</v>
      </c>
      <c r="N828">
        <f t="shared" si="1618"/>
        <v>2603.813128</v>
      </c>
      <c r="O828">
        <f t="shared" si="1618"/>
        <v>3027.332871</v>
      </c>
      <c r="P828">
        <f t="shared" si="1606"/>
        <v>86662.28635</v>
      </c>
      <c r="Q828" s="18">
        <f t="shared" si="1607"/>
        <v>5395.93074</v>
      </c>
      <c r="AA828" s="166">
        <f>AA827+U827</f>
        <v>390622.1158</v>
      </c>
    </row>
    <row r="829">
      <c r="B829" s="1" t="s">
        <v>5791</v>
      </c>
      <c r="C829" s="33"/>
      <c r="D829" s="34">
        <v>30591.406088030355</v>
      </c>
      <c r="E829" s="159">
        <v>12738.575253067</v>
      </c>
      <c r="F829">
        <v>12738.575253067</v>
      </c>
      <c r="G829" s="159">
        <v>11687.485915683394</v>
      </c>
      <c r="H829" s="159">
        <v>16817.429398137712</v>
      </c>
      <c r="I829" s="34">
        <v>21351.232659389392</v>
      </c>
      <c r="J829">
        <v>16989.99630427532</v>
      </c>
      <c r="K829">
        <v>11593.358512335608</v>
      </c>
      <c r="L829" s="159">
        <v>15531.021552384642</v>
      </c>
      <c r="M829">
        <v>7920.8209917161685</v>
      </c>
      <c r="N829" s="159">
        <v>9114.670224177251</v>
      </c>
      <c r="O829" s="159">
        <v>6965.427847736142</v>
      </c>
      <c r="P829">
        <f t="shared" si="1606"/>
        <v>174040</v>
      </c>
      <c r="Q829" s="18">
        <f t="shared" si="1607"/>
        <v>3960.410496</v>
      </c>
    </row>
    <row r="830">
      <c r="B830" s="23" t="s">
        <v>5598</v>
      </c>
      <c r="C830" s="33"/>
      <c r="D830" s="18">
        <f t="shared" ref="D830:O830" si="1619">SUM(D825,D826,D829)</f>
        <v>2217842.127</v>
      </c>
      <c r="E830" s="18">
        <f t="shared" si="1619"/>
        <v>3070283.635</v>
      </c>
      <c r="F830" s="18">
        <f t="shared" si="1619"/>
        <v>1760249.369</v>
      </c>
      <c r="G830" s="18">
        <f t="shared" si="1619"/>
        <v>2046534.714</v>
      </c>
      <c r="H830" s="18">
        <f t="shared" si="1619"/>
        <v>1258821.492</v>
      </c>
      <c r="I830" s="18">
        <f t="shared" si="1619"/>
        <v>4058195.447</v>
      </c>
      <c r="J830" s="18">
        <f t="shared" si="1619"/>
        <v>2360290.658</v>
      </c>
      <c r="K830" s="18">
        <f t="shared" si="1619"/>
        <v>2596881.468</v>
      </c>
      <c r="L830" s="18">
        <f t="shared" si="1619"/>
        <v>2178572.238</v>
      </c>
      <c r="M830" s="18">
        <f t="shared" si="1619"/>
        <v>1776631.297</v>
      </c>
      <c r="N830" s="18">
        <f t="shared" si="1619"/>
        <v>1423756.615</v>
      </c>
      <c r="O830" s="18">
        <f t="shared" si="1619"/>
        <v>1305266.089</v>
      </c>
      <c r="P830">
        <f t="shared" si="1606"/>
        <v>26053325.15</v>
      </c>
      <c r="Q830" s="18">
        <f t="shared" si="1607"/>
        <v>888315.6486</v>
      </c>
      <c r="T830" s="1" t="s">
        <v>5838</v>
      </c>
      <c r="U830" s="1">
        <v>103438.0</v>
      </c>
      <c r="W830" s="1">
        <v>50193.0</v>
      </c>
      <c r="Y830" s="1">
        <v>164033.0</v>
      </c>
      <c r="AA830" s="1">
        <v>55728.0</v>
      </c>
      <c r="AC830" s="1">
        <v>158350.0</v>
      </c>
      <c r="AE830" s="1">
        <v>190004.0</v>
      </c>
      <c r="AH830" s="1">
        <v>16727.0</v>
      </c>
    </row>
    <row r="831">
      <c r="B831" s="1" t="s">
        <v>5599</v>
      </c>
      <c r="C831" s="33"/>
      <c r="D831">
        <f t="shared" ref="D831:O831" si="1620">SUM(D823,D827,D829)</f>
        <v>2019001.152</v>
      </c>
      <c r="E831">
        <f t="shared" si="1620"/>
        <v>2792324.993</v>
      </c>
      <c r="F831">
        <f t="shared" si="1620"/>
        <v>1601384.752</v>
      </c>
      <c r="G831">
        <f t="shared" si="1620"/>
        <v>1861548.603</v>
      </c>
      <c r="H831">
        <f t="shared" si="1620"/>
        <v>1145912.031</v>
      </c>
      <c r="I831">
        <f t="shared" si="1620"/>
        <v>3691209.61</v>
      </c>
      <c r="J831">
        <f t="shared" si="1620"/>
        <v>2147263.325</v>
      </c>
      <c r="K831">
        <f t="shared" si="1620"/>
        <v>2361855.276</v>
      </c>
      <c r="L831">
        <f t="shared" si="1620"/>
        <v>1981932.127</v>
      </c>
      <c r="M831">
        <f t="shared" si="1620"/>
        <v>1615839.436</v>
      </c>
      <c r="N831">
        <f t="shared" si="1620"/>
        <v>1295152.802</v>
      </c>
      <c r="O831">
        <f t="shared" si="1620"/>
        <v>1187238.757</v>
      </c>
      <c r="P831">
        <f t="shared" si="1606"/>
        <v>23700662.86</v>
      </c>
      <c r="Q831" s="18">
        <f t="shared" si="1607"/>
        <v>807919.7179</v>
      </c>
      <c r="U831" s="1">
        <v>17437.0</v>
      </c>
      <c r="V831" s="1">
        <v>86064.0</v>
      </c>
      <c r="W831" s="1">
        <v>121644.0</v>
      </c>
      <c r="Y831" s="1">
        <v>49841.0</v>
      </c>
      <c r="AA831" s="1">
        <v>90637.0</v>
      </c>
      <c r="AB831" s="1">
        <v>17231.0</v>
      </c>
      <c r="AE831" s="1">
        <v>141212.0</v>
      </c>
      <c r="AG831" s="1">
        <v>28540.0</v>
      </c>
    </row>
    <row r="832">
      <c r="B832" s="1" t="s">
        <v>5601</v>
      </c>
      <c r="C832" s="33"/>
      <c r="D832">
        <f t="shared" ref="D832:O832" si="1621">SUM(D823,D827)</f>
        <v>1988409.746</v>
      </c>
      <c r="E832">
        <f t="shared" si="1621"/>
        <v>2779586.418</v>
      </c>
      <c r="F832">
        <f t="shared" si="1621"/>
        <v>1588646.176</v>
      </c>
      <c r="G832">
        <f t="shared" si="1621"/>
        <v>1849861.117</v>
      </c>
      <c r="H832">
        <f t="shared" si="1621"/>
        <v>1129094.602</v>
      </c>
      <c r="I832">
        <f t="shared" si="1621"/>
        <v>3669858.377</v>
      </c>
      <c r="J832">
        <f t="shared" si="1621"/>
        <v>2130273.329</v>
      </c>
      <c r="K832">
        <f t="shared" si="1621"/>
        <v>2350261.917</v>
      </c>
      <c r="L832">
        <f t="shared" si="1621"/>
        <v>1966401.106</v>
      </c>
      <c r="M832">
        <f t="shared" si="1621"/>
        <v>1607918.615</v>
      </c>
      <c r="N832">
        <f t="shared" si="1621"/>
        <v>1286038.131</v>
      </c>
      <c r="O832">
        <f t="shared" si="1621"/>
        <v>1180273.329</v>
      </c>
      <c r="P832">
        <f t="shared" si="1606"/>
        <v>23526622.86</v>
      </c>
      <c r="Q832" s="18">
        <f t="shared" si="1607"/>
        <v>803959.3074</v>
      </c>
      <c r="U832" s="97">
        <f t="shared" ref="U832:U833" si="1623">U830-U822</f>
        <v>900</v>
      </c>
      <c r="V832" s="97"/>
      <c r="W832" s="97">
        <f t="shared" ref="W832:W833" si="1624">W830-W822</f>
        <v>337</v>
      </c>
      <c r="X832" s="97"/>
      <c r="Y832" s="97">
        <f t="shared" ref="Y832:Y833" si="1625">Y830-Y822</f>
        <v>2350</v>
      </c>
      <c r="Z832" s="97"/>
      <c r="AA832" s="97">
        <f t="shared" ref="AA832:AA833" si="1626">AA830-AA822</f>
        <v>1151</v>
      </c>
      <c r="AC832" s="97">
        <f>AC830-AC822</f>
        <v>969</v>
      </c>
      <c r="AD832" s="97"/>
      <c r="AE832" s="97">
        <f t="shared" ref="AE832:AE833" si="1627">AE830-AE822</f>
        <v>1604</v>
      </c>
      <c r="AF832" s="97"/>
      <c r="AG832" s="97"/>
      <c r="AH832" s="97">
        <f>AH830-AH822</f>
        <v>124</v>
      </c>
    </row>
    <row r="833">
      <c r="B833" s="1" t="s">
        <v>5582</v>
      </c>
      <c r="C833" s="33"/>
      <c r="D833">
        <f t="shared" ref="D833:O833" si="1622">SUM(D824,D828)</f>
        <v>198840.9746</v>
      </c>
      <c r="E833">
        <f t="shared" si="1622"/>
        <v>277958.6418</v>
      </c>
      <c r="F833">
        <f t="shared" si="1622"/>
        <v>158864.6176</v>
      </c>
      <c r="G833">
        <f t="shared" si="1622"/>
        <v>184986.1117</v>
      </c>
      <c r="H833">
        <f t="shared" si="1622"/>
        <v>112909.4602</v>
      </c>
      <c r="I833">
        <f t="shared" si="1622"/>
        <v>366985.8377</v>
      </c>
      <c r="J833">
        <f t="shared" si="1622"/>
        <v>213027.3329</v>
      </c>
      <c r="K833">
        <f t="shared" si="1622"/>
        <v>235026.1917</v>
      </c>
      <c r="L833">
        <f t="shared" si="1622"/>
        <v>196640.1106</v>
      </c>
      <c r="M833">
        <f t="shared" si="1622"/>
        <v>160791.8615</v>
      </c>
      <c r="N833">
        <f t="shared" si="1622"/>
        <v>128603.8131</v>
      </c>
      <c r="O833">
        <f t="shared" si="1622"/>
        <v>118027.3329</v>
      </c>
      <c r="P833">
        <f t="shared" si="1606"/>
        <v>2352662.286</v>
      </c>
      <c r="Q833" s="18">
        <f t="shared" si="1607"/>
        <v>80395.93074</v>
      </c>
      <c r="U833" s="167">
        <f t="shared" si="1623"/>
        <v>259</v>
      </c>
      <c r="V833" s="167">
        <f>(V831-V823)</f>
        <v>577</v>
      </c>
      <c r="W833" s="167">
        <f t="shared" si="1624"/>
        <v>867</v>
      </c>
      <c r="X833" s="168">
        <f>W832</f>
        <v>337</v>
      </c>
      <c r="Y833" s="167">
        <f t="shared" si="1625"/>
        <v>863</v>
      </c>
      <c r="Z833" s="169">
        <f>Y832-Y833</f>
        <v>1487</v>
      </c>
      <c r="AA833" s="167">
        <f t="shared" si="1626"/>
        <v>1065</v>
      </c>
      <c r="AB833" s="167">
        <f>AB831-AB823</f>
        <v>150</v>
      </c>
      <c r="AC833" s="167">
        <f>(AC832)*73.9/(73.9+99)-100</f>
        <v>314.1648352</v>
      </c>
      <c r="AD833" s="167">
        <f>(AC832)*99/(73.9+99)+100</f>
        <v>654.8351648</v>
      </c>
      <c r="AE833" s="167">
        <f t="shared" si="1627"/>
        <v>870</v>
      </c>
      <c r="AF833" s="169">
        <f>AE832-AE833-AG833-30</f>
        <v>464</v>
      </c>
      <c r="AG833" s="167">
        <f>AG831-AG823</f>
        <v>240</v>
      </c>
      <c r="AH833" s="96">
        <v>124.0</v>
      </c>
      <c r="AI833" s="18">
        <f t="shared" ref="AI833:AI834" si="1630">SUM(U833:AH833)</f>
        <v>8272</v>
      </c>
      <c r="AJ833" s="1">
        <v>2144940.0</v>
      </c>
      <c r="AL833" s="1">
        <v>11404.0</v>
      </c>
    </row>
    <row r="834">
      <c r="B834" s="1" t="s">
        <v>5602</v>
      </c>
      <c r="C834" s="33"/>
      <c r="D834">
        <f t="shared" ref="D834:O834" si="1628">SUM(D832:D833)</f>
        <v>2187250.721</v>
      </c>
      <c r="E834">
        <f t="shared" si="1628"/>
        <v>3057545.06</v>
      </c>
      <c r="F834">
        <f t="shared" si="1628"/>
        <v>1747510.794</v>
      </c>
      <c r="G834">
        <f t="shared" si="1628"/>
        <v>2034847.228</v>
      </c>
      <c r="H834">
        <f t="shared" si="1628"/>
        <v>1242004.062</v>
      </c>
      <c r="I834">
        <f t="shared" si="1628"/>
        <v>4036844.215</v>
      </c>
      <c r="J834">
        <f t="shared" si="1628"/>
        <v>2343300.662</v>
      </c>
      <c r="K834">
        <f t="shared" si="1628"/>
        <v>2585288.109</v>
      </c>
      <c r="L834">
        <f t="shared" si="1628"/>
        <v>2163041.217</v>
      </c>
      <c r="M834">
        <f t="shared" si="1628"/>
        <v>1768710.476</v>
      </c>
      <c r="N834">
        <f t="shared" si="1628"/>
        <v>1414641.944</v>
      </c>
      <c r="O834">
        <f t="shared" si="1628"/>
        <v>1298300.662</v>
      </c>
      <c r="P834">
        <f t="shared" si="1606"/>
        <v>25879285.15</v>
      </c>
      <c r="Q834" s="18">
        <f t="shared" si="1607"/>
        <v>884355.2381</v>
      </c>
      <c r="U834" s="162">
        <f t="shared" ref="U834:AH834" si="1629">U833*2144940/8272</f>
        <v>67159.02563</v>
      </c>
      <c r="V834" s="162">
        <f t="shared" si="1629"/>
        <v>149616.8254</v>
      </c>
      <c r="W834" s="162">
        <f t="shared" si="1629"/>
        <v>224814.19</v>
      </c>
      <c r="X834" s="162">
        <f t="shared" si="1629"/>
        <v>87384.52369</v>
      </c>
      <c r="Y834" s="162">
        <f t="shared" si="1629"/>
        <v>223776.985</v>
      </c>
      <c r="Z834" s="162">
        <f t="shared" si="1629"/>
        <v>385580.9695</v>
      </c>
      <c r="AA834" s="162">
        <f t="shared" si="1629"/>
        <v>276155.839</v>
      </c>
      <c r="AB834" s="162">
        <f t="shared" si="1629"/>
        <v>38895.18859</v>
      </c>
      <c r="AC834" s="162">
        <f t="shared" si="1629"/>
        <v>81463.33674</v>
      </c>
      <c r="AD834" s="162">
        <f t="shared" si="1629"/>
        <v>169799.5815</v>
      </c>
      <c r="AE834" s="162">
        <f t="shared" si="1629"/>
        <v>225592.0938</v>
      </c>
      <c r="AF834" s="162">
        <f t="shared" si="1629"/>
        <v>120315.7834</v>
      </c>
      <c r="AG834" s="162">
        <f t="shared" si="1629"/>
        <v>62232.30174</v>
      </c>
      <c r="AH834" s="162">
        <f t="shared" si="1629"/>
        <v>32153.3559</v>
      </c>
      <c r="AI834" s="18">
        <f t="shared" si="1630"/>
        <v>2144940</v>
      </c>
    </row>
    <row r="835">
      <c r="B835" s="1"/>
      <c r="C835" s="33"/>
      <c r="D835" s="33" t="s">
        <v>5566</v>
      </c>
      <c r="E835" s="33" t="s">
        <v>5566</v>
      </c>
      <c r="F835" s="1" t="s">
        <v>5566</v>
      </c>
      <c r="G835" s="33" t="s">
        <v>5566</v>
      </c>
      <c r="H835" s="33" t="s">
        <v>5566</v>
      </c>
      <c r="I835" s="1" t="s">
        <v>5566</v>
      </c>
      <c r="J835" s="1" t="s">
        <v>5566</v>
      </c>
      <c r="K835" s="2" t="s">
        <v>5839</v>
      </c>
      <c r="L835" s="33" t="s">
        <v>5566</v>
      </c>
      <c r="M835" s="1" t="s">
        <v>5566</v>
      </c>
      <c r="N835" s="1" t="s">
        <v>5566</v>
      </c>
      <c r="O835" s="99">
        <f>O830+22945</f>
        <v>1328211.089</v>
      </c>
      <c r="U835">
        <v>67159.0256286267</v>
      </c>
      <c r="V835" s="136">
        <v>149616.8254352031</v>
      </c>
      <c r="W835" s="136">
        <v>224814.19003868473</v>
      </c>
      <c r="X835" s="136">
        <v>87384.52369439072</v>
      </c>
      <c r="Y835" s="164">
        <f t="shared" ref="Y835:AG835" si="1631">Y834+3572</f>
        <v>227348.985</v>
      </c>
      <c r="Z835" s="164">
        <f t="shared" si="1631"/>
        <v>389152.9695</v>
      </c>
      <c r="AA835" s="165">
        <f t="shared" si="1631"/>
        <v>279727.839</v>
      </c>
      <c r="AB835" s="164">
        <f t="shared" si="1631"/>
        <v>42467.18859</v>
      </c>
      <c r="AC835" s="164">
        <f t="shared" si="1631"/>
        <v>85035.33674</v>
      </c>
      <c r="AD835" s="164">
        <f t="shared" si="1631"/>
        <v>173371.5815</v>
      </c>
      <c r="AE835" s="164">
        <f t="shared" si="1631"/>
        <v>229164.0938</v>
      </c>
      <c r="AF835" s="164">
        <f t="shared" si="1631"/>
        <v>123887.7834</v>
      </c>
      <c r="AG835" s="164">
        <f t="shared" si="1631"/>
        <v>65804.30174</v>
      </c>
      <c r="AH835">
        <f>AH834/9</f>
        <v>3572.5951</v>
      </c>
      <c r="AI835" s="18">
        <f>SUM(U835:AG835)</f>
        <v>2144934.644</v>
      </c>
    </row>
    <row r="836">
      <c r="B836" s="1"/>
      <c r="C836" s="33"/>
      <c r="D836" s="34"/>
      <c r="E836" s="33"/>
      <c r="G836" s="33"/>
      <c r="H836" s="33"/>
      <c r="L836" s="33"/>
      <c r="O836" s="33"/>
      <c r="AA836" s="166">
        <f>AA835+U835</f>
        <v>346886.8646</v>
      </c>
    </row>
    <row r="837">
      <c r="C837" s="33"/>
      <c r="D837" s="34"/>
      <c r="E837" s="33"/>
      <c r="G837" s="56" t="s">
        <v>5666</v>
      </c>
      <c r="H837" s="30" t="s">
        <v>5811</v>
      </c>
      <c r="L837" s="33"/>
      <c r="M837" s="1" t="s">
        <v>5835</v>
      </c>
      <c r="N837" s="33"/>
      <c r="O837" s="33"/>
      <c r="Q837" s="23" t="s">
        <v>5802</v>
      </c>
    </row>
    <row r="838">
      <c r="B838" s="1" t="s">
        <v>5840</v>
      </c>
      <c r="C838" s="33"/>
      <c r="D838" s="33">
        <v>1900000.0</v>
      </c>
      <c r="E838" s="1">
        <v>2700000.0</v>
      </c>
      <c r="F838" s="1">
        <v>1550000.0</v>
      </c>
      <c r="G838" s="1">
        <v>1800000.0</v>
      </c>
      <c r="H838" s="1">
        <v>1000000.0</v>
      </c>
      <c r="I838" s="1">
        <v>3500000.0</v>
      </c>
      <c r="J838" s="33">
        <v>2100000.0</v>
      </c>
      <c r="K838" s="1">
        <v>2300000.0</v>
      </c>
      <c r="L838" s="1">
        <v>1900000.0</v>
      </c>
      <c r="M838" s="33">
        <v>1500000.0</v>
      </c>
      <c r="N838" s="33">
        <v>1260000.0</v>
      </c>
      <c r="O838" s="1">
        <v>1150000.0</v>
      </c>
      <c r="P838">
        <f t="shared" ref="P838:P846" si="1633">SUM(D838:O838)</f>
        <v>22660000</v>
      </c>
      <c r="Q838" s="18">
        <f t="shared" ref="Q838:Q846" si="1634">M838*0.5</f>
        <v>750000</v>
      </c>
      <c r="T838" s="1" t="s">
        <v>5316</v>
      </c>
      <c r="U838" s="1">
        <v>104603.0</v>
      </c>
      <c r="W838" s="1">
        <v>50435.0</v>
      </c>
      <c r="Y838" s="1">
        <v>166362.0</v>
      </c>
      <c r="AA838" s="1">
        <v>57025.0</v>
      </c>
      <c r="AC838" s="1">
        <v>159520.0</v>
      </c>
      <c r="AE838" s="1">
        <v>191772.0</v>
      </c>
      <c r="AH838" s="1">
        <v>16881.0</v>
      </c>
    </row>
    <row r="839">
      <c r="B839" s="1" t="s">
        <v>5499</v>
      </c>
      <c r="C839" s="33"/>
      <c r="D839" s="33">
        <f t="shared" ref="D839:O839" si="1632">D838*0.1</f>
        <v>190000</v>
      </c>
      <c r="E839" s="1">
        <f t="shared" si="1632"/>
        <v>270000</v>
      </c>
      <c r="F839" s="1">
        <f t="shared" si="1632"/>
        <v>155000</v>
      </c>
      <c r="G839" s="1">
        <f t="shared" si="1632"/>
        <v>180000</v>
      </c>
      <c r="H839" s="1">
        <f t="shared" si="1632"/>
        <v>100000</v>
      </c>
      <c r="I839" s="1">
        <f t="shared" si="1632"/>
        <v>350000</v>
      </c>
      <c r="J839" s="33">
        <f t="shared" si="1632"/>
        <v>210000</v>
      </c>
      <c r="K839" s="1">
        <f t="shared" si="1632"/>
        <v>230000</v>
      </c>
      <c r="L839" s="1">
        <f t="shared" si="1632"/>
        <v>190000</v>
      </c>
      <c r="M839" s="33">
        <f t="shared" si="1632"/>
        <v>150000</v>
      </c>
      <c r="N839" s="1">
        <f t="shared" si="1632"/>
        <v>126000</v>
      </c>
      <c r="O839" s="1">
        <f t="shared" si="1632"/>
        <v>115000</v>
      </c>
      <c r="P839">
        <f t="shared" si="1633"/>
        <v>2266000</v>
      </c>
      <c r="Q839" s="18">
        <f t="shared" si="1634"/>
        <v>75000</v>
      </c>
      <c r="U839" s="1">
        <v>17679.0</v>
      </c>
      <c r="V839" s="1">
        <v>86922.0</v>
      </c>
      <c r="W839" s="1">
        <v>122453.0</v>
      </c>
      <c r="Y839" s="1">
        <v>50517.0</v>
      </c>
      <c r="AA839" s="1">
        <v>91831.0</v>
      </c>
      <c r="AB839" s="1">
        <v>17375.0</v>
      </c>
      <c r="AE839" s="1">
        <v>142229.0</v>
      </c>
      <c r="AG839" s="1">
        <v>28754.0</v>
      </c>
    </row>
    <row r="840">
      <c r="B840" s="1" t="s">
        <v>5520</v>
      </c>
      <c r="C840" s="33"/>
      <c r="D840" s="34">
        <f t="shared" ref="D840:O840" si="1635">D838+D839</f>
        <v>2090000</v>
      </c>
      <c r="E840">
        <f t="shared" si="1635"/>
        <v>2970000</v>
      </c>
      <c r="F840">
        <f t="shared" si="1635"/>
        <v>1705000</v>
      </c>
      <c r="G840">
        <f t="shared" si="1635"/>
        <v>1980000</v>
      </c>
      <c r="H840">
        <f t="shared" si="1635"/>
        <v>1100000</v>
      </c>
      <c r="I840">
        <f t="shared" si="1635"/>
        <v>3850000</v>
      </c>
      <c r="J840" s="34">
        <f t="shared" si="1635"/>
        <v>2310000</v>
      </c>
      <c r="K840">
        <f t="shared" si="1635"/>
        <v>2530000</v>
      </c>
      <c r="L840">
        <f t="shared" si="1635"/>
        <v>2090000</v>
      </c>
      <c r="M840" s="34">
        <f t="shared" si="1635"/>
        <v>1650000</v>
      </c>
      <c r="N840">
        <f t="shared" si="1635"/>
        <v>1386000</v>
      </c>
      <c r="O840">
        <f t="shared" si="1635"/>
        <v>1265000</v>
      </c>
      <c r="P840">
        <f t="shared" si="1633"/>
        <v>24926000</v>
      </c>
      <c r="Q840" s="18">
        <f t="shared" si="1634"/>
        <v>825000</v>
      </c>
      <c r="U840" s="97">
        <f t="shared" ref="U840:U841" si="1636">U838-U830</f>
        <v>1165</v>
      </c>
      <c r="V840" s="97"/>
      <c r="W840" s="97">
        <f t="shared" ref="W840:W841" si="1637">W838-W830</f>
        <v>242</v>
      </c>
      <c r="X840" s="97"/>
      <c r="Y840" s="97">
        <f t="shared" ref="Y840:Y841" si="1638">Y838-Y830</f>
        <v>2329</v>
      </c>
      <c r="Z840" s="97"/>
      <c r="AA840" s="97">
        <f t="shared" ref="AA840:AA841" si="1639">AA838-AA830</f>
        <v>1297</v>
      </c>
      <c r="AC840" s="97">
        <f>AC838-AC830</f>
        <v>1170</v>
      </c>
      <c r="AD840" s="97"/>
      <c r="AE840" s="97">
        <f t="shared" ref="AE840:AE841" si="1640">AE838-AE830</f>
        <v>1768</v>
      </c>
      <c r="AF840" s="97"/>
      <c r="AG840" s="97"/>
      <c r="AH840" s="97">
        <f>AH838-AH830</f>
        <v>154</v>
      </c>
    </row>
    <row r="841">
      <c r="B841" s="1" t="s">
        <v>5545</v>
      </c>
      <c r="C841" s="33"/>
      <c r="D841" s="34">
        <v>161125.7497638008</v>
      </c>
      <c r="E841" s="159">
        <v>118426.51369955459</v>
      </c>
      <c r="F841">
        <v>72260.24564718586</v>
      </c>
      <c r="G841" s="159">
        <v>92494.40558779862</v>
      </c>
      <c r="H841" s="159">
        <v>175885.64867053583</v>
      </c>
      <c r="I841">
        <v>233000.43879066</v>
      </c>
      <c r="J841">
        <v>55086.95518963423</v>
      </c>
      <c r="K841">
        <v>87599.02100988427</v>
      </c>
      <c r="L841" s="159">
        <v>116367.22841648906</v>
      </c>
      <c r="M841" s="134">
        <v>160557.71777567823</v>
      </c>
      <c r="N841" s="159">
        <v>41401.30260493994</v>
      </c>
      <c r="O841" s="159">
        <v>37751.79524902146</v>
      </c>
      <c r="P841">
        <f t="shared" si="1633"/>
        <v>1351957.022</v>
      </c>
      <c r="Q841" s="18">
        <f t="shared" si="1634"/>
        <v>80278.85889</v>
      </c>
      <c r="U841" s="167">
        <f t="shared" si="1636"/>
        <v>242</v>
      </c>
      <c r="V841" s="167">
        <f>(V839-V831)</f>
        <v>858</v>
      </c>
      <c r="W841" s="167">
        <f t="shared" si="1637"/>
        <v>809</v>
      </c>
      <c r="X841" s="168">
        <f>W840</f>
        <v>242</v>
      </c>
      <c r="Y841" s="167">
        <f t="shared" si="1638"/>
        <v>676</v>
      </c>
      <c r="Z841" s="169">
        <f>Y840-Y841</f>
        <v>1653</v>
      </c>
      <c r="AA841" s="167">
        <f t="shared" si="1639"/>
        <v>1194</v>
      </c>
      <c r="AB841" s="167">
        <f>AB839-AB831</f>
        <v>144</v>
      </c>
      <c r="AC841" s="167">
        <f>(AC840)*73.9/(73.9+99)-100</f>
        <v>400.075188</v>
      </c>
      <c r="AD841" s="167">
        <f>(AC840)*99/(73.9+99)+100</f>
        <v>769.924812</v>
      </c>
      <c r="AE841" s="167">
        <f t="shared" si="1640"/>
        <v>1017</v>
      </c>
      <c r="AF841" s="169">
        <f>AE840-AE841-AG841-30</f>
        <v>507</v>
      </c>
      <c r="AG841" s="167">
        <f>AG839-AG831</f>
        <v>214</v>
      </c>
      <c r="AH841" s="96">
        <v>154.0</v>
      </c>
      <c r="AI841" s="18">
        <f t="shared" ref="AI841:AI842" si="1643">SUM(U841:AH841)</f>
        <v>8880</v>
      </c>
      <c r="AJ841" s="1">
        <v>1705440.0</v>
      </c>
      <c r="AL841" s="1">
        <v>9223.0</v>
      </c>
    </row>
    <row r="842">
      <c r="C842" s="33"/>
      <c r="D842">
        <f t="shared" ref="D842:O842" si="1641">D841-D843</f>
        <v>146477.9543</v>
      </c>
      <c r="E842">
        <f t="shared" si="1641"/>
        <v>107660.467</v>
      </c>
      <c r="F842">
        <f t="shared" si="1641"/>
        <v>65691.13241</v>
      </c>
      <c r="G842">
        <f t="shared" si="1641"/>
        <v>84085.82326</v>
      </c>
      <c r="H842">
        <f t="shared" si="1641"/>
        <v>159896.0442</v>
      </c>
      <c r="I842">
        <f t="shared" si="1641"/>
        <v>211818.5807</v>
      </c>
      <c r="J842" s="34">
        <f t="shared" si="1641"/>
        <v>50079.05017</v>
      </c>
      <c r="K842">
        <f t="shared" si="1641"/>
        <v>79635.47365</v>
      </c>
      <c r="L842">
        <f t="shared" si="1641"/>
        <v>105788.3895</v>
      </c>
      <c r="M842">
        <f t="shared" si="1641"/>
        <v>145961.5616</v>
      </c>
      <c r="N842">
        <f t="shared" si="1641"/>
        <v>37637.54782</v>
      </c>
      <c r="O842">
        <f t="shared" si="1641"/>
        <v>34319.81386</v>
      </c>
      <c r="P842">
        <f t="shared" si="1633"/>
        <v>1229051.839</v>
      </c>
      <c r="Q842" s="18">
        <f t="shared" si="1634"/>
        <v>72980.78081</v>
      </c>
      <c r="U842" s="162">
        <f t="shared" ref="U842:AH842" si="1642">U841*1705440/8880</f>
        <v>46477.08108</v>
      </c>
      <c r="V842" s="162">
        <f t="shared" si="1642"/>
        <v>164782.3784</v>
      </c>
      <c r="W842" s="162">
        <f t="shared" si="1642"/>
        <v>155371.7297</v>
      </c>
      <c r="X842" s="162">
        <f t="shared" si="1642"/>
        <v>46477.08108</v>
      </c>
      <c r="Y842" s="162">
        <f t="shared" si="1642"/>
        <v>129828.5405</v>
      </c>
      <c r="Z842" s="162">
        <f t="shared" si="1642"/>
        <v>317465.3514</v>
      </c>
      <c r="AA842" s="162">
        <f t="shared" si="1642"/>
        <v>229312.5405</v>
      </c>
      <c r="AB842" s="162">
        <f t="shared" si="1642"/>
        <v>27655.78378</v>
      </c>
      <c r="AC842" s="162">
        <f t="shared" si="1642"/>
        <v>76836.06178</v>
      </c>
      <c r="AD842" s="162">
        <f t="shared" si="1642"/>
        <v>147867.1815</v>
      </c>
      <c r="AE842" s="162">
        <f t="shared" si="1642"/>
        <v>195318.973</v>
      </c>
      <c r="AF842" s="162">
        <f t="shared" si="1642"/>
        <v>97371.40541</v>
      </c>
      <c r="AG842" s="162">
        <f t="shared" si="1642"/>
        <v>41099.56757</v>
      </c>
      <c r="AH842" s="162">
        <f t="shared" si="1642"/>
        <v>29576.32432</v>
      </c>
      <c r="AI842" s="18">
        <f t="shared" si="1643"/>
        <v>1705440</v>
      </c>
    </row>
    <row r="843">
      <c r="B843" s="1" t="s">
        <v>5499</v>
      </c>
      <c r="C843" s="33"/>
      <c r="D843">
        <f t="shared" ref="D843:O843" si="1644">D841/11</f>
        <v>14647.79543</v>
      </c>
      <c r="E843">
        <f t="shared" si="1644"/>
        <v>10766.0467</v>
      </c>
      <c r="F843">
        <f t="shared" si="1644"/>
        <v>6569.113241</v>
      </c>
      <c r="G843">
        <f t="shared" si="1644"/>
        <v>8408.582326</v>
      </c>
      <c r="H843">
        <f t="shared" si="1644"/>
        <v>15989.60442</v>
      </c>
      <c r="I843">
        <f t="shared" si="1644"/>
        <v>21181.85807</v>
      </c>
      <c r="J843" s="34">
        <f t="shared" si="1644"/>
        <v>5007.905017</v>
      </c>
      <c r="K843">
        <f t="shared" si="1644"/>
        <v>7963.547365</v>
      </c>
      <c r="L843">
        <f t="shared" si="1644"/>
        <v>10578.83895</v>
      </c>
      <c r="M843">
        <f t="shared" si="1644"/>
        <v>14596.15616</v>
      </c>
      <c r="N843">
        <f t="shared" si="1644"/>
        <v>3763.754782</v>
      </c>
      <c r="O843">
        <f t="shared" si="1644"/>
        <v>3431.981386</v>
      </c>
      <c r="P843">
        <f t="shared" si="1633"/>
        <v>122905.1839</v>
      </c>
      <c r="Q843" s="18">
        <f t="shared" si="1634"/>
        <v>7298.078081</v>
      </c>
      <c r="U843">
        <v>46477.08108108108</v>
      </c>
      <c r="V843" s="136">
        <v>164782.37837837837</v>
      </c>
      <c r="W843" s="136">
        <v>155371.72972972973</v>
      </c>
      <c r="X843" s="136">
        <v>46477.08108108108</v>
      </c>
      <c r="Y843" s="164">
        <f t="shared" ref="Y843:AG843" si="1645">Y842+3286</f>
        <v>133114.5405</v>
      </c>
      <c r="Z843" s="164">
        <f t="shared" si="1645"/>
        <v>320751.3514</v>
      </c>
      <c r="AA843" s="165">
        <f t="shared" si="1645"/>
        <v>232598.5405</v>
      </c>
      <c r="AB843" s="164">
        <f t="shared" si="1645"/>
        <v>30941.78378</v>
      </c>
      <c r="AC843" s="164">
        <f t="shared" si="1645"/>
        <v>80122.06178</v>
      </c>
      <c r="AD843" s="164">
        <f t="shared" si="1645"/>
        <v>151153.1815</v>
      </c>
      <c r="AE843" s="164">
        <f t="shared" si="1645"/>
        <v>198604.973</v>
      </c>
      <c r="AF843" s="164">
        <f t="shared" si="1645"/>
        <v>100657.4054</v>
      </c>
      <c r="AG843" s="164">
        <f t="shared" si="1645"/>
        <v>44385.56757</v>
      </c>
      <c r="AH843">
        <f>AH842/9</f>
        <v>3286.258258</v>
      </c>
      <c r="AI843" s="18">
        <f>SUM(U843:AG843)</f>
        <v>1705437.676</v>
      </c>
    </row>
    <row r="844">
      <c r="B844" s="23" t="s">
        <v>5528</v>
      </c>
      <c r="C844" s="33"/>
      <c r="D844" s="145">
        <f t="shared" ref="D844:O844" si="1646">SUM(D840,D841)</f>
        <v>2251125.75</v>
      </c>
      <c r="E844" s="145">
        <f t="shared" si="1646"/>
        <v>3088426.514</v>
      </c>
      <c r="F844" s="145">
        <f t="shared" si="1646"/>
        <v>1777260.246</v>
      </c>
      <c r="G844" s="145">
        <f t="shared" si="1646"/>
        <v>2072494.406</v>
      </c>
      <c r="H844" s="145">
        <f t="shared" si="1646"/>
        <v>1275885.649</v>
      </c>
      <c r="I844" s="173">
        <f t="shared" si="1646"/>
        <v>4083000.439</v>
      </c>
      <c r="J844" s="145">
        <f t="shared" si="1646"/>
        <v>2365086.955</v>
      </c>
      <c r="K844" s="174">
        <f t="shared" si="1646"/>
        <v>2617599.021</v>
      </c>
      <c r="L844" s="145">
        <f t="shared" si="1646"/>
        <v>2206367.228</v>
      </c>
      <c r="M844" s="145">
        <f t="shared" si="1646"/>
        <v>1810557.718</v>
      </c>
      <c r="N844" s="145">
        <f t="shared" si="1646"/>
        <v>1427401.303</v>
      </c>
      <c r="O844" s="145">
        <f t="shared" si="1646"/>
        <v>1302751.795</v>
      </c>
      <c r="P844">
        <f t="shared" si="1633"/>
        <v>26277957.02</v>
      </c>
      <c r="Q844" s="18">
        <f t="shared" si="1634"/>
        <v>905278.8589</v>
      </c>
      <c r="AA844" s="166">
        <f>AA843+U843</f>
        <v>279075.6216</v>
      </c>
    </row>
    <row r="845">
      <c r="B845" s="1" t="s">
        <v>5580</v>
      </c>
      <c r="C845" s="33"/>
      <c r="D845">
        <f t="shared" ref="D845:O845" si="1647">D838+D842</f>
        <v>2046477.954</v>
      </c>
      <c r="E845">
        <f t="shared" si="1647"/>
        <v>2807660.467</v>
      </c>
      <c r="F845">
        <f t="shared" si="1647"/>
        <v>1615691.132</v>
      </c>
      <c r="G845">
        <f t="shared" si="1647"/>
        <v>1884085.823</v>
      </c>
      <c r="H845">
        <f t="shared" si="1647"/>
        <v>1159896.044</v>
      </c>
      <c r="I845">
        <f t="shared" si="1647"/>
        <v>3711818.581</v>
      </c>
      <c r="J845" s="34">
        <f t="shared" si="1647"/>
        <v>2150079.05</v>
      </c>
      <c r="K845">
        <f t="shared" si="1647"/>
        <v>2379635.474</v>
      </c>
      <c r="L845">
        <f t="shared" si="1647"/>
        <v>2005788.389</v>
      </c>
      <c r="M845">
        <f t="shared" si="1647"/>
        <v>1645961.562</v>
      </c>
      <c r="N845">
        <f t="shared" si="1647"/>
        <v>1297637.548</v>
      </c>
      <c r="O845">
        <f t="shared" si="1647"/>
        <v>1184319.814</v>
      </c>
      <c r="P845">
        <f t="shared" si="1633"/>
        <v>23889051.84</v>
      </c>
      <c r="Q845" s="18">
        <f t="shared" si="1634"/>
        <v>822980.7808</v>
      </c>
    </row>
    <row r="846">
      <c r="B846" s="1" t="s">
        <v>5582</v>
      </c>
      <c r="C846" s="33"/>
      <c r="D846">
        <f t="shared" ref="D846:O846" si="1648">D839+D843</f>
        <v>204647.7954</v>
      </c>
      <c r="E846">
        <f t="shared" si="1648"/>
        <v>280766.0467</v>
      </c>
      <c r="F846">
        <f t="shared" si="1648"/>
        <v>161569.1132</v>
      </c>
      <c r="G846">
        <f t="shared" si="1648"/>
        <v>188408.5823</v>
      </c>
      <c r="H846">
        <f t="shared" si="1648"/>
        <v>115989.6044</v>
      </c>
      <c r="I846">
        <f t="shared" si="1648"/>
        <v>371181.8581</v>
      </c>
      <c r="J846" s="34">
        <f t="shared" si="1648"/>
        <v>215007.905</v>
      </c>
      <c r="K846">
        <f t="shared" si="1648"/>
        <v>237963.5474</v>
      </c>
      <c r="L846">
        <f t="shared" si="1648"/>
        <v>200578.8389</v>
      </c>
      <c r="M846">
        <f t="shared" si="1648"/>
        <v>164596.1562</v>
      </c>
      <c r="N846">
        <f t="shared" si="1648"/>
        <v>129763.7548</v>
      </c>
      <c r="O846">
        <f t="shared" si="1648"/>
        <v>118431.9814</v>
      </c>
      <c r="P846">
        <f t="shared" si="1633"/>
        <v>2388905.184</v>
      </c>
      <c r="Q846" s="18">
        <f t="shared" si="1634"/>
        <v>82298.07808</v>
      </c>
      <c r="T846" s="1" t="s">
        <v>5841</v>
      </c>
      <c r="U846" s="1">
        <v>105200.0</v>
      </c>
      <c r="W846" s="1">
        <v>50619.0</v>
      </c>
      <c r="Y846" s="1">
        <v>167501.0</v>
      </c>
      <c r="AA846" s="1">
        <v>57897.0</v>
      </c>
      <c r="AC846" s="1">
        <v>160232.0</v>
      </c>
      <c r="AE846" s="1">
        <v>192674.0</v>
      </c>
      <c r="AH846" s="1">
        <v>16998.0</v>
      </c>
    </row>
    <row r="847">
      <c r="B847" s="1"/>
      <c r="C847" s="33"/>
      <c r="D847" s="33" t="s">
        <v>5566</v>
      </c>
      <c r="E847" s="33" t="s">
        <v>5566</v>
      </c>
      <c r="F847" s="1" t="s">
        <v>5566</v>
      </c>
      <c r="G847" s="33" t="s">
        <v>5566</v>
      </c>
      <c r="H847" s="33" t="s">
        <v>5566</v>
      </c>
      <c r="I847" s="1" t="s">
        <v>5566</v>
      </c>
      <c r="J847" s="1" t="s">
        <v>5566</v>
      </c>
      <c r="K847" s="2" t="s">
        <v>5842</v>
      </c>
      <c r="L847" s="33" t="s">
        <v>5566</v>
      </c>
      <c r="M847" s="1" t="s">
        <v>5566</v>
      </c>
      <c r="N847" s="1" t="s">
        <v>5566</v>
      </c>
      <c r="O847" s="33" t="s">
        <v>5566</v>
      </c>
      <c r="U847" s="1">
        <v>17763.0</v>
      </c>
      <c r="V847" s="1">
        <v>87405.0</v>
      </c>
      <c r="W847" s="1">
        <v>122818.0</v>
      </c>
      <c r="Y847" s="1">
        <v>50727.0</v>
      </c>
      <c r="AA847" s="1">
        <v>92691.0</v>
      </c>
      <c r="AB847" s="1">
        <v>17421.0</v>
      </c>
      <c r="AE847" s="1">
        <v>142795.0</v>
      </c>
      <c r="AG847" s="1">
        <v>29000.0</v>
      </c>
      <c r="AJ847" s="1">
        <v>1264630.0</v>
      </c>
      <c r="AL847" s="1">
        <v>6979.0</v>
      </c>
    </row>
    <row r="848">
      <c r="B848" s="1"/>
      <c r="C848" s="33"/>
      <c r="D848" s="34"/>
      <c r="E848" s="33"/>
      <c r="G848" s="33"/>
      <c r="H848" s="33"/>
      <c r="L848" s="33"/>
      <c r="O848" s="33"/>
      <c r="U848" s="97">
        <f t="shared" ref="U848:U849" si="1649">U846-U838</f>
        <v>597</v>
      </c>
      <c r="V848" s="97"/>
      <c r="W848" s="97">
        <f t="shared" ref="W848:W849" si="1650">W846-W838</f>
        <v>184</v>
      </c>
      <c r="X848" s="97"/>
      <c r="Y848" s="97">
        <f t="shared" ref="Y848:Y849" si="1651">Y846-Y838</f>
        <v>1139</v>
      </c>
      <c r="Z848" s="97"/>
      <c r="AA848" s="97">
        <f t="shared" ref="AA848:AA849" si="1652">AA846-AA838</f>
        <v>872</v>
      </c>
      <c r="AC848" s="97">
        <f>AC846-AC838</f>
        <v>712</v>
      </c>
      <c r="AD848" s="97"/>
      <c r="AE848" s="97">
        <f t="shared" ref="AE848:AE849" si="1653">AE846-AE838</f>
        <v>902</v>
      </c>
      <c r="AF848" s="97"/>
      <c r="AG848" s="97"/>
      <c r="AH848" s="97">
        <f>AH846-AH838</f>
        <v>117</v>
      </c>
    </row>
    <row r="849">
      <c r="B849" s="1"/>
      <c r="C849" s="33"/>
      <c r="D849" s="34"/>
      <c r="E849" s="33"/>
      <c r="G849" s="56" t="s">
        <v>5666</v>
      </c>
      <c r="H849" s="30" t="s">
        <v>5811</v>
      </c>
      <c r="L849" s="33"/>
      <c r="M849" s="1" t="s">
        <v>5835</v>
      </c>
      <c r="N849" s="33"/>
      <c r="O849" s="33"/>
      <c r="Q849" s="23" t="s">
        <v>5802</v>
      </c>
      <c r="U849" s="167">
        <f t="shared" si="1649"/>
        <v>84</v>
      </c>
      <c r="V849" s="167">
        <f>(V847-V839)</f>
        <v>483</v>
      </c>
      <c r="W849" s="167">
        <f t="shared" si="1650"/>
        <v>365</v>
      </c>
      <c r="X849" s="168">
        <f>W848</f>
        <v>184</v>
      </c>
      <c r="Y849" s="167">
        <f t="shared" si="1651"/>
        <v>210</v>
      </c>
      <c r="Z849" s="169">
        <f>Y848-Y849</f>
        <v>929</v>
      </c>
      <c r="AA849" s="167">
        <f t="shared" si="1652"/>
        <v>860</v>
      </c>
      <c r="AB849" s="167">
        <f>AB847-AB839</f>
        <v>46</v>
      </c>
      <c r="AC849" s="167">
        <f>(AC848)*73.9/(73.9+99)-100</f>
        <v>204.3192597</v>
      </c>
      <c r="AD849" s="167">
        <f>(AC848)*99/(73.9+99)+100</f>
        <v>507.6807403</v>
      </c>
      <c r="AE849" s="167">
        <f t="shared" si="1653"/>
        <v>566</v>
      </c>
      <c r="AF849" s="169">
        <f>AE848-AE849-AG849-30</f>
        <v>60</v>
      </c>
      <c r="AG849" s="167">
        <f>AG847-AG839</f>
        <v>246</v>
      </c>
      <c r="AH849" s="96">
        <v>117.0</v>
      </c>
      <c r="AI849" s="18">
        <f t="shared" ref="AI849:AI850" si="1655">SUM(U849:AH849)</f>
        <v>4862</v>
      </c>
    </row>
    <row r="850">
      <c r="B850" s="1" t="s">
        <v>5843</v>
      </c>
      <c r="C850" s="33"/>
      <c r="D850" s="33">
        <v>1900000.0</v>
      </c>
      <c r="E850" s="1">
        <v>2700000.0</v>
      </c>
      <c r="F850" s="1">
        <v>1550000.0</v>
      </c>
      <c r="G850" s="1">
        <v>1800000.0</v>
      </c>
      <c r="H850" s="1">
        <v>1000000.0</v>
      </c>
      <c r="I850" s="1">
        <v>3500000.0</v>
      </c>
      <c r="J850" s="33">
        <v>2100000.0</v>
      </c>
      <c r="K850" s="1">
        <v>2300000.0</v>
      </c>
      <c r="L850" s="1">
        <v>1900000.0</v>
      </c>
      <c r="M850" s="33">
        <v>1500000.0</v>
      </c>
      <c r="N850" s="33">
        <v>1260000.0</v>
      </c>
      <c r="O850" s="1">
        <v>1150000.0</v>
      </c>
      <c r="P850">
        <f t="shared" ref="P850:P861" si="1657">SUM(D850:O850)</f>
        <v>22660000</v>
      </c>
      <c r="Q850" s="18">
        <f t="shared" ref="Q850:Q861" si="1658">M850*0.5</f>
        <v>750000</v>
      </c>
      <c r="U850" s="162">
        <f t="shared" ref="U850:AH850" si="1654">U849*1264630/4862</f>
        <v>21848.81119</v>
      </c>
      <c r="V850" s="162">
        <f t="shared" si="1654"/>
        <v>125630.6643</v>
      </c>
      <c r="W850" s="162">
        <f t="shared" si="1654"/>
        <v>94938.28671</v>
      </c>
      <c r="X850" s="162">
        <f t="shared" si="1654"/>
        <v>47859.3007</v>
      </c>
      <c r="Y850" s="162">
        <f t="shared" si="1654"/>
        <v>54622.02797</v>
      </c>
      <c r="Z850" s="162">
        <f t="shared" si="1654"/>
        <v>241637.4476</v>
      </c>
      <c r="AA850" s="162">
        <f t="shared" si="1654"/>
        <v>223690.2098</v>
      </c>
      <c r="AB850" s="162">
        <f t="shared" si="1654"/>
        <v>11964.82517</v>
      </c>
      <c r="AC850" s="162">
        <f t="shared" si="1654"/>
        <v>53144.43961</v>
      </c>
      <c r="AD850" s="162">
        <f t="shared" si="1654"/>
        <v>132050.2457</v>
      </c>
      <c r="AE850" s="162">
        <f t="shared" si="1654"/>
        <v>147219.3706</v>
      </c>
      <c r="AF850" s="162">
        <f t="shared" si="1654"/>
        <v>15606.29371</v>
      </c>
      <c r="AG850" s="162">
        <f t="shared" si="1654"/>
        <v>63985.8042</v>
      </c>
      <c r="AH850" s="162">
        <f t="shared" si="1654"/>
        <v>30432.27273</v>
      </c>
      <c r="AI850" s="18">
        <f t="shared" si="1655"/>
        <v>1264630</v>
      </c>
    </row>
    <row r="851">
      <c r="B851" s="1" t="s">
        <v>5499</v>
      </c>
      <c r="C851" s="33"/>
      <c r="D851" s="33">
        <f t="shared" ref="D851:O851" si="1656">D850*0.1</f>
        <v>190000</v>
      </c>
      <c r="E851" s="1">
        <f t="shared" si="1656"/>
        <v>270000</v>
      </c>
      <c r="F851" s="1">
        <f t="shared" si="1656"/>
        <v>155000</v>
      </c>
      <c r="G851" s="1">
        <f t="shared" si="1656"/>
        <v>180000</v>
      </c>
      <c r="H851" s="1">
        <f t="shared" si="1656"/>
        <v>100000</v>
      </c>
      <c r="I851" s="1">
        <f t="shared" si="1656"/>
        <v>350000</v>
      </c>
      <c r="J851" s="33">
        <f t="shared" si="1656"/>
        <v>210000</v>
      </c>
      <c r="K851" s="1">
        <f t="shared" si="1656"/>
        <v>230000</v>
      </c>
      <c r="L851" s="1">
        <f t="shared" si="1656"/>
        <v>190000</v>
      </c>
      <c r="M851" s="33">
        <f t="shared" si="1656"/>
        <v>150000</v>
      </c>
      <c r="N851" s="1">
        <f t="shared" si="1656"/>
        <v>126000</v>
      </c>
      <c r="O851" s="1">
        <f t="shared" si="1656"/>
        <v>115000</v>
      </c>
      <c r="P851">
        <f t="shared" si="1657"/>
        <v>2266000</v>
      </c>
      <c r="Q851" s="18">
        <f t="shared" si="1658"/>
        <v>75000</v>
      </c>
      <c r="U851">
        <v>21848.81118881119</v>
      </c>
      <c r="V851" s="136">
        <v>125630.66433566433</v>
      </c>
      <c r="W851" s="136">
        <v>94938.28671328671</v>
      </c>
      <c r="X851" s="136">
        <v>47859.3006993007</v>
      </c>
      <c r="Y851" s="164">
        <f t="shared" ref="Y851:AG851" si="1659">Y850+3381</f>
        <v>58003.02797</v>
      </c>
      <c r="Z851" s="164">
        <f t="shared" si="1659"/>
        <v>245018.4476</v>
      </c>
      <c r="AA851" s="165">
        <f t="shared" si="1659"/>
        <v>227071.2098</v>
      </c>
      <c r="AB851" s="164">
        <f t="shared" si="1659"/>
        <v>15345.82517</v>
      </c>
      <c r="AC851" s="164">
        <f t="shared" si="1659"/>
        <v>56525.43961</v>
      </c>
      <c r="AD851" s="164">
        <f t="shared" si="1659"/>
        <v>135431.2457</v>
      </c>
      <c r="AE851" s="164">
        <f t="shared" si="1659"/>
        <v>150600.3706</v>
      </c>
      <c r="AF851" s="164">
        <f t="shared" si="1659"/>
        <v>18987.29371</v>
      </c>
      <c r="AG851" s="164">
        <f t="shared" si="1659"/>
        <v>67366.8042</v>
      </c>
      <c r="AH851">
        <f>AH850/9</f>
        <v>3381.363636</v>
      </c>
      <c r="AI851" s="18">
        <f>SUM(U851:AG851)</f>
        <v>1264626.727</v>
      </c>
    </row>
    <row r="852">
      <c r="B852" s="1" t="s">
        <v>5520</v>
      </c>
      <c r="C852" s="33"/>
      <c r="D852" s="34">
        <f t="shared" ref="D852:O852" si="1660">D850+D851</f>
        <v>2090000</v>
      </c>
      <c r="E852">
        <f t="shared" si="1660"/>
        <v>2970000</v>
      </c>
      <c r="F852">
        <f t="shared" si="1660"/>
        <v>1705000</v>
      </c>
      <c r="G852">
        <f t="shared" si="1660"/>
        <v>1980000</v>
      </c>
      <c r="H852">
        <f t="shared" si="1660"/>
        <v>1100000</v>
      </c>
      <c r="I852">
        <f t="shared" si="1660"/>
        <v>3850000</v>
      </c>
      <c r="J852" s="34">
        <f t="shared" si="1660"/>
        <v>2310000</v>
      </c>
      <c r="K852">
        <f t="shared" si="1660"/>
        <v>2530000</v>
      </c>
      <c r="L852">
        <f t="shared" si="1660"/>
        <v>2090000</v>
      </c>
      <c r="M852" s="34">
        <f t="shared" si="1660"/>
        <v>1650000</v>
      </c>
      <c r="N852">
        <f t="shared" si="1660"/>
        <v>1386000</v>
      </c>
      <c r="O852">
        <f t="shared" si="1660"/>
        <v>1265000</v>
      </c>
      <c r="P852">
        <f t="shared" si="1657"/>
        <v>24926000</v>
      </c>
      <c r="Q852" s="18">
        <f t="shared" si="1658"/>
        <v>825000</v>
      </c>
      <c r="AA852" s="166">
        <f>AA851+U851</f>
        <v>248920.021</v>
      </c>
    </row>
    <row r="853">
      <c r="B853" s="1" t="s">
        <v>5545</v>
      </c>
      <c r="C853" s="33"/>
      <c r="D853" s="34">
        <v>226089.4331615641</v>
      </c>
      <c r="E853" s="34">
        <v>158883.83146408002</v>
      </c>
      <c r="F853" s="34">
        <v>76053.39799939375</v>
      </c>
      <c r="G853" s="176">
        <v>173274.3925431949</v>
      </c>
      <c r="H853" s="176">
        <v>238973.9863595029</v>
      </c>
      <c r="I853" s="176">
        <v>268905.89299787814</v>
      </c>
      <c r="J853" s="176">
        <v>62394.56229160351</v>
      </c>
      <c r="K853" s="176">
        <v>146503.22974450607</v>
      </c>
      <c r="L853" s="176">
        <v>195339.2807132084</v>
      </c>
      <c r="M853" s="176">
        <v>189463.97726583813</v>
      </c>
      <c r="N853" s="176">
        <v>74630.87632615944</v>
      </c>
      <c r="O853" s="176">
        <v>52605.51106395877</v>
      </c>
      <c r="P853">
        <f t="shared" si="1657"/>
        <v>1863118.372</v>
      </c>
      <c r="Q853" s="18">
        <f t="shared" si="1658"/>
        <v>94731.98863</v>
      </c>
    </row>
    <row r="854">
      <c r="C854" s="33"/>
      <c r="D854">
        <f t="shared" ref="D854:O854" si="1661">D853-D855</f>
        <v>205535.8483</v>
      </c>
      <c r="E854">
        <f t="shared" si="1661"/>
        <v>144439.8468</v>
      </c>
      <c r="F854">
        <f t="shared" si="1661"/>
        <v>69139.45273</v>
      </c>
      <c r="G854">
        <f t="shared" si="1661"/>
        <v>157522.175</v>
      </c>
      <c r="H854">
        <f t="shared" si="1661"/>
        <v>217249.0785</v>
      </c>
      <c r="I854">
        <f t="shared" si="1661"/>
        <v>244459.9027</v>
      </c>
      <c r="J854" s="34">
        <f t="shared" si="1661"/>
        <v>56722.32936</v>
      </c>
      <c r="K854">
        <f t="shared" si="1661"/>
        <v>133184.7543</v>
      </c>
      <c r="L854">
        <f t="shared" si="1661"/>
        <v>177581.1643</v>
      </c>
      <c r="M854">
        <f t="shared" si="1661"/>
        <v>172239.9793</v>
      </c>
      <c r="N854">
        <f t="shared" si="1661"/>
        <v>67846.25121</v>
      </c>
      <c r="O854">
        <f t="shared" si="1661"/>
        <v>47823.19188</v>
      </c>
      <c r="P854">
        <f t="shared" si="1657"/>
        <v>1693743.974</v>
      </c>
      <c r="Q854" s="18">
        <f t="shared" si="1658"/>
        <v>86119.98967</v>
      </c>
      <c r="T854" s="1" t="s">
        <v>5844</v>
      </c>
      <c r="U854" s="1">
        <v>105617.0</v>
      </c>
      <c r="W854" s="1">
        <v>50796.0</v>
      </c>
      <c r="Y854" s="1">
        <v>168442.0</v>
      </c>
      <c r="AA854" s="1">
        <v>58518.0</v>
      </c>
      <c r="AC854" s="1">
        <v>160923.0</v>
      </c>
      <c r="AE854" s="1">
        <v>193421.0</v>
      </c>
      <c r="AH854" s="1">
        <v>17116.0</v>
      </c>
    </row>
    <row r="855">
      <c r="B855" s="1" t="s">
        <v>5499</v>
      </c>
      <c r="C855" s="33"/>
      <c r="D855">
        <f t="shared" ref="D855:O855" si="1662">D853/11</f>
        <v>20553.58483</v>
      </c>
      <c r="E855">
        <f t="shared" si="1662"/>
        <v>14443.98468</v>
      </c>
      <c r="F855">
        <f t="shared" si="1662"/>
        <v>6913.945273</v>
      </c>
      <c r="G855">
        <f t="shared" si="1662"/>
        <v>15752.2175</v>
      </c>
      <c r="H855">
        <f t="shared" si="1662"/>
        <v>21724.90785</v>
      </c>
      <c r="I855">
        <f t="shared" si="1662"/>
        <v>24445.99027</v>
      </c>
      <c r="J855" s="34">
        <f t="shared" si="1662"/>
        <v>5672.232936</v>
      </c>
      <c r="K855">
        <f t="shared" si="1662"/>
        <v>13318.47543</v>
      </c>
      <c r="L855">
        <f t="shared" si="1662"/>
        <v>17758.11643</v>
      </c>
      <c r="M855">
        <f t="shared" si="1662"/>
        <v>17223.99793</v>
      </c>
      <c r="N855">
        <f t="shared" si="1662"/>
        <v>6784.625121</v>
      </c>
      <c r="O855">
        <f t="shared" si="1662"/>
        <v>4782.319188</v>
      </c>
      <c r="P855">
        <f t="shared" si="1657"/>
        <v>169374.3974</v>
      </c>
      <c r="Q855" s="18">
        <f t="shared" si="1658"/>
        <v>8611.998967</v>
      </c>
      <c r="U855" s="1">
        <v>17849.0</v>
      </c>
      <c r="V855" s="1">
        <v>87709.0</v>
      </c>
      <c r="W855" s="1">
        <v>123155.0</v>
      </c>
      <c r="Y855" s="1">
        <v>50956.0</v>
      </c>
      <c r="AA855" s="1">
        <v>93256.0</v>
      </c>
      <c r="AB855" s="1">
        <v>17533.0</v>
      </c>
      <c r="AE855" s="1">
        <v>143351.0</v>
      </c>
      <c r="AG855" s="1">
        <v>29517.0</v>
      </c>
      <c r="AJ855" s="1">
        <v>1024880.0</v>
      </c>
      <c r="AL855" s="1">
        <v>4979.0</v>
      </c>
    </row>
    <row r="856">
      <c r="B856" s="1" t="s">
        <v>5800</v>
      </c>
      <c r="C856" s="33"/>
      <c r="D856" s="34">
        <v>44712.9503601078</v>
      </c>
      <c r="E856" s="159">
        <v>18618.931124311555</v>
      </c>
      <c r="F856">
        <v>18618.931124311555</v>
      </c>
      <c r="G856" s="159">
        <v>17082.64000937452</v>
      </c>
      <c r="H856" s="159">
        <v>24580.657838992596</v>
      </c>
      <c r="I856" s="34">
        <v>31207.34637954191</v>
      </c>
      <c r="J856">
        <v>24832.88473845987</v>
      </c>
      <c r="K856">
        <v>16945.06170057419</v>
      </c>
      <c r="L856" s="159">
        <v>22700.42095205473</v>
      </c>
      <c r="M856">
        <v>11577.214685547913</v>
      </c>
      <c r="N856" s="159">
        <v>13322.166235498788</v>
      </c>
      <c r="O856" s="159">
        <v>10180.794851224546</v>
      </c>
      <c r="P856">
        <f t="shared" si="1657"/>
        <v>254380</v>
      </c>
      <c r="Q856" s="18">
        <f t="shared" si="1658"/>
        <v>5788.607343</v>
      </c>
      <c r="U856" s="97">
        <f t="shared" ref="U856:U857" si="1664">U854-U846</f>
        <v>417</v>
      </c>
      <c r="V856" s="97"/>
      <c r="W856" s="97">
        <f t="shared" ref="W856:W857" si="1665">W854-W846</f>
        <v>177</v>
      </c>
      <c r="X856" s="97"/>
      <c r="Y856" s="97">
        <f t="shared" ref="Y856:Y857" si="1666">Y854-Y846</f>
        <v>941</v>
      </c>
      <c r="Z856" s="97"/>
      <c r="AA856" s="97">
        <f t="shared" ref="AA856:AA857" si="1667">AA854-AA846</f>
        <v>621</v>
      </c>
      <c r="AC856" s="97">
        <f>AC854-AC846</f>
        <v>691</v>
      </c>
      <c r="AD856" s="97"/>
      <c r="AE856" s="97">
        <f t="shared" ref="AE856:AE857" si="1668">AE854-AE846</f>
        <v>747</v>
      </c>
      <c r="AF856" s="97"/>
      <c r="AG856" s="97"/>
      <c r="AH856" s="97">
        <f>AH854-AH846</f>
        <v>118</v>
      </c>
    </row>
    <row r="857">
      <c r="B857" s="23" t="s">
        <v>5598</v>
      </c>
      <c r="C857" s="33"/>
      <c r="D857" s="18">
        <f t="shared" ref="D857:O857" si="1663">SUM(D852,D853,D856)</f>
        <v>2360802.384</v>
      </c>
      <c r="E857" s="18">
        <f t="shared" si="1663"/>
        <v>3147502.763</v>
      </c>
      <c r="F857" s="18">
        <f t="shared" si="1663"/>
        <v>1799672.329</v>
      </c>
      <c r="G857" s="18">
        <f t="shared" si="1663"/>
        <v>2170357.033</v>
      </c>
      <c r="H857" s="18">
        <f t="shared" si="1663"/>
        <v>1363554.644</v>
      </c>
      <c r="I857" s="18">
        <f t="shared" si="1663"/>
        <v>4150113.239</v>
      </c>
      <c r="J857" s="18">
        <f t="shared" si="1663"/>
        <v>2397227.447</v>
      </c>
      <c r="K857" s="18">
        <f t="shared" si="1663"/>
        <v>2693448.291</v>
      </c>
      <c r="L857" s="18">
        <f t="shared" si="1663"/>
        <v>2308039.702</v>
      </c>
      <c r="M857" s="18">
        <f t="shared" si="1663"/>
        <v>1851041.192</v>
      </c>
      <c r="N857" s="18">
        <f t="shared" si="1663"/>
        <v>1473953.043</v>
      </c>
      <c r="O857" s="18">
        <f t="shared" si="1663"/>
        <v>1327786.306</v>
      </c>
      <c r="P857">
        <f t="shared" si="1657"/>
        <v>27043498.37</v>
      </c>
      <c r="Q857" s="18">
        <f t="shared" si="1658"/>
        <v>925520.596</v>
      </c>
      <c r="U857" s="167">
        <f t="shared" si="1664"/>
        <v>86</v>
      </c>
      <c r="V857" s="167">
        <f>(V855-V847)</f>
        <v>304</v>
      </c>
      <c r="W857" s="167">
        <f t="shared" si="1665"/>
        <v>337</v>
      </c>
      <c r="X857" s="168">
        <f>W856</f>
        <v>177</v>
      </c>
      <c r="Y857" s="167">
        <f t="shared" si="1666"/>
        <v>229</v>
      </c>
      <c r="Z857" s="169">
        <f>Y856-Y857</f>
        <v>712</v>
      </c>
      <c r="AA857" s="167">
        <f t="shared" si="1667"/>
        <v>565</v>
      </c>
      <c r="AB857" s="167">
        <f>AB855-AB847</f>
        <v>112</v>
      </c>
      <c r="AC857" s="167">
        <f>(AC856)*73.9/(73.9+99)-100</f>
        <v>195.3435512</v>
      </c>
      <c r="AD857" s="167">
        <f>(AC856)*99/(73.9+99)+100</f>
        <v>495.6564488</v>
      </c>
      <c r="AE857" s="167">
        <f t="shared" si="1668"/>
        <v>556</v>
      </c>
      <c r="AF857" s="177">
        <v>300.0</v>
      </c>
      <c r="AG857" s="167">
        <f>AG855-AG847</f>
        <v>517</v>
      </c>
      <c r="AH857" s="96">
        <v>118.0</v>
      </c>
      <c r="AI857" s="18">
        <f t="shared" ref="AI857:AI858" si="1671">SUM(U857:AH857)</f>
        <v>4704</v>
      </c>
    </row>
    <row r="858">
      <c r="B858" s="1" t="s">
        <v>5599</v>
      </c>
      <c r="C858" s="33"/>
      <c r="D858">
        <f t="shared" ref="D858:O858" si="1669">SUM(D850,D854,D856)</f>
        <v>2150248.799</v>
      </c>
      <c r="E858">
        <f t="shared" si="1669"/>
        <v>2863058.778</v>
      </c>
      <c r="F858">
        <f t="shared" si="1669"/>
        <v>1637758.384</v>
      </c>
      <c r="G858">
        <f t="shared" si="1669"/>
        <v>1974604.815</v>
      </c>
      <c r="H858">
        <f t="shared" si="1669"/>
        <v>1241829.736</v>
      </c>
      <c r="I858">
        <f t="shared" si="1669"/>
        <v>3775667.249</v>
      </c>
      <c r="J858">
        <f t="shared" si="1669"/>
        <v>2181555.214</v>
      </c>
      <c r="K858">
        <f t="shared" si="1669"/>
        <v>2450129.816</v>
      </c>
      <c r="L858">
        <f t="shared" si="1669"/>
        <v>2100281.585</v>
      </c>
      <c r="M858">
        <f t="shared" si="1669"/>
        <v>1683817.194</v>
      </c>
      <c r="N858">
        <f t="shared" si="1669"/>
        <v>1341168.417</v>
      </c>
      <c r="O858">
        <f t="shared" si="1669"/>
        <v>1208003.987</v>
      </c>
      <c r="P858">
        <f t="shared" si="1657"/>
        <v>24608123.97</v>
      </c>
      <c r="Q858" s="18">
        <f t="shared" si="1658"/>
        <v>841908.597</v>
      </c>
      <c r="U858" s="162">
        <f t="shared" ref="U858:AH858" si="1670">U857*1024880/4704</f>
        <v>18737.17687</v>
      </c>
      <c r="V858" s="162">
        <f t="shared" si="1670"/>
        <v>66233.7415</v>
      </c>
      <c r="W858" s="162">
        <f t="shared" si="1670"/>
        <v>73423.58844</v>
      </c>
      <c r="X858" s="162">
        <f t="shared" si="1670"/>
        <v>38563.72449</v>
      </c>
      <c r="Y858" s="162">
        <f t="shared" si="1670"/>
        <v>49893.18027</v>
      </c>
      <c r="Z858" s="162">
        <f t="shared" si="1670"/>
        <v>155126.3946</v>
      </c>
      <c r="AA858" s="162">
        <f t="shared" si="1670"/>
        <v>123098.8946</v>
      </c>
      <c r="AB858" s="162">
        <f t="shared" si="1670"/>
        <v>24401.90476</v>
      </c>
      <c r="AC858" s="162">
        <f t="shared" si="1670"/>
        <v>42560.31011</v>
      </c>
      <c r="AD858" s="162">
        <f t="shared" si="1670"/>
        <v>107990.7273</v>
      </c>
      <c r="AE858" s="162">
        <f t="shared" si="1670"/>
        <v>121138.0272</v>
      </c>
      <c r="AF858" s="162">
        <f t="shared" si="1670"/>
        <v>65362.2449</v>
      </c>
      <c r="AG858" s="162">
        <f t="shared" si="1670"/>
        <v>112640.9354</v>
      </c>
      <c r="AH858" s="162">
        <f t="shared" si="1670"/>
        <v>25709.14966</v>
      </c>
      <c r="AI858" s="18">
        <f t="shared" si="1671"/>
        <v>1024880</v>
      </c>
    </row>
    <row r="859">
      <c r="B859" s="1" t="s">
        <v>5601</v>
      </c>
      <c r="C859" s="33"/>
      <c r="D859">
        <f t="shared" ref="D859:O859" si="1672">SUM(D850,D854)</f>
        <v>2105535.848</v>
      </c>
      <c r="E859">
        <f t="shared" si="1672"/>
        <v>2844439.847</v>
      </c>
      <c r="F859">
        <f t="shared" si="1672"/>
        <v>1619139.453</v>
      </c>
      <c r="G859">
        <f t="shared" si="1672"/>
        <v>1957522.175</v>
      </c>
      <c r="H859">
        <f t="shared" si="1672"/>
        <v>1217249.079</v>
      </c>
      <c r="I859">
        <f t="shared" si="1672"/>
        <v>3744459.903</v>
      </c>
      <c r="J859">
        <f t="shared" si="1672"/>
        <v>2156722.329</v>
      </c>
      <c r="K859">
        <f t="shared" si="1672"/>
        <v>2433184.754</v>
      </c>
      <c r="L859">
        <f t="shared" si="1672"/>
        <v>2077581.164</v>
      </c>
      <c r="M859">
        <f t="shared" si="1672"/>
        <v>1672239.979</v>
      </c>
      <c r="N859">
        <f t="shared" si="1672"/>
        <v>1327846.251</v>
      </c>
      <c r="O859">
        <f t="shared" si="1672"/>
        <v>1197823.192</v>
      </c>
      <c r="P859">
        <f t="shared" si="1657"/>
        <v>24353743.97</v>
      </c>
      <c r="Q859" s="18">
        <f t="shared" si="1658"/>
        <v>836119.9897</v>
      </c>
      <c r="U859">
        <v>18737.1768707483</v>
      </c>
      <c r="V859" s="136">
        <v>66233.74149659864</v>
      </c>
      <c r="W859" s="136">
        <v>73423.58843537416</v>
      </c>
      <c r="X859" s="136">
        <v>38563.72448979592</v>
      </c>
      <c r="Y859" s="164">
        <f t="shared" ref="Y859:AG859" si="1673">Y858+2856</f>
        <v>52749.18027</v>
      </c>
      <c r="Z859" s="164">
        <f t="shared" si="1673"/>
        <v>157982.3946</v>
      </c>
      <c r="AA859" s="165">
        <f t="shared" si="1673"/>
        <v>125954.8946</v>
      </c>
      <c r="AB859" s="164">
        <f t="shared" si="1673"/>
        <v>27257.90476</v>
      </c>
      <c r="AC859" s="164">
        <f t="shared" si="1673"/>
        <v>45416.31011</v>
      </c>
      <c r="AD859" s="164">
        <f t="shared" si="1673"/>
        <v>110846.7273</v>
      </c>
      <c r="AE859" s="164">
        <f t="shared" si="1673"/>
        <v>123994.0272</v>
      </c>
      <c r="AF859" s="164">
        <f t="shared" si="1673"/>
        <v>68218.2449</v>
      </c>
      <c r="AG859" s="164">
        <f t="shared" si="1673"/>
        <v>115496.9354</v>
      </c>
      <c r="AH859">
        <f>AH858/9</f>
        <v>2856.572184</v>
      </c>
      <c r="AI859" s="18">
        <f>SUM(U859:AG859)</f>
        <v>1024874.85</v>
      </c>
    </row>
    <row r="860">
      <c r="B860" s="1" t="s">
        <v>5582</v>
      </c>
      <c r="C860" s="33"/>
      <c r="D860">
        <f t="shared" ref="D860:O860" si="1674">SUM(D851,D855)</f>
        <v>210553.5848</v>
      </c>
      <c r="E860">
        <f t="shared" si="1674"/>
        <v>284443.9847</v>
      </c>
      <c r="F860">
        <f t="shared" si="1674"/>
        <v>161913.9453</v>
      </c>
      <c r="G860">
        <f t="shared" si="1674"/>
        <v>195752.2175</v>
      </c>
      <c r="H860">
        <f t="shared" si="1674"/>
        <v>121724.9079</v>
      </c>
      <c r="I860">
        <f t="shared" si="1674"/>
        <v>374445.9903</v>
      </c>
      <c r="J860">
        <f t="shared" si="1674"/>
        <v>215672.2329</v>
      </c>
      <c r="K860">
        <f t="shared" si="1674"/>
        <v>243318.4754</v>
      </c>
      <c r="L860">
        <f t="shared" si="1674"/>
        <v>207758.1164</v>
      </c>
      <c r="M860">
        <f t="shared" si="1674"/>
        <v>167223.9979</v>
      </c>
      <c r="N860">
        <f t="shared" si="1674"/>
        <v>132784.6251</v>
      </c>
      <c r="O860">
        <f t="shared" si="1674"/>
        <v>119782.3192</v>
      </c>
      <c r="P860">
        <f t="shared" si="1657"/>
        <v>2435374.397</v>
      </c>
      <c r="Q860" s="18">
        <f t="shared" si="1658"/>
        <v>83611.99897</v>
      </c>
      <c r="AA860" s="166">
        <f>AA859+U859</f>
        <v>144692.0714</v>
      </c>
    </row>
    <row r="861">
      <c r="B861" s="1" t="s">
        <v>5602</v>
      </c>
      <c r="C861" s="33"/>
      <c r="D861">
        <f t="shared" ref="D861:O861" si="1675">SUM(D859:D860)</f>
        <v>2316089.433</v>
      </c>
      <c r="E861">
        <f t="shared" si="1675"/>
        <v>3128883.831</v>
      </c>
      <c r="F861">
        <f t="shared" si="1675"/>
        <v>1781053.398</v>
      </c>
      <c r="G861">
        <f t="shared" si="1675"/>
        <v>2153274.393</v>
      </c>
      <c r="H861">
        <f t="shared" si="1675"/>
        <v>1338973.986</v>
      </c>
      <c r="I861">
        <f t="shared" si="1675"/>
        <v>4118905.893</v>
      </c>
      <c r="J861">
        <f t="shared" si="1675"/>
        <v>2372394.562</v>
      </c>
      <c r="K861">
        <f t="shared" si="1675"/>
        <v>2676503.23</v>
      </c>
      <c r="L861">
        <f t="shared" si="1675"/>
        <v>2285339.281</v>
      </c>
      <c r="M861">
        <f t="shared" si="1675"/>
        <v>1839463.977</v>
      </c>
      <c r="N861">
        <f t="shared" si="1675"/>
        <v>1460630.876</v>
      </c>
      <c r="O861">
        <f t="shared" si="1675"/>
        <v>1317605.511</v>
      </c>
      <c r="P861">
        <f t="shared" si="1657"/>
        <v>26789118.37</v>
      </c>
      <c r="Q861" s="18">
        <f t="shared" si="1658"/>
        <v>919731.9886</v>
      </c>
    </row>
    <row r="862">
      <c r="B862" s="1"/>
      <c r="C862" s="33"/>
      <c r="D862" s="33" t="s">
        <v>5566</v>
      </c>
      <c r="E862" s="33" t="s">
        <v>5566</v>
      </c>
      <c r="F862" s="1" t="s">
        <v>5566</v>
      </c>
      <c r="G862" s="33" t="s">
        <v>5566</v>
      </c>
      <c r="H862" s="33" t="s">
        <v>5566</v>
      </c>
      <c r="I862" s="1" t="s">
        <v>5566</v>
      </c>
      <c r="J862" s="1" t="s">
        <v>5566</v>
      </c>
      <c r="K862" s="1" t="s">
        <v>5566</v>
      </c>
      <c r="L862" s="33" t="s">
        <v>5566</v>
      </c>
      <c r="M862" s="1" t="s">
        <v>5566</v>
      </c>
      <c r="N862" s="1" t="s">
        <v>5566</v>
      </c>
      <c r="O862" s="33" t="s">
        <v>5566</v>
      </c>
      <c r="T862" s="1" t="s">
        <v>5845</v>
      </c>
      <c r="U862" s="1">
        <v>106160.0</v>
      </c>
      <c r="W862" s="1">
        <v>50967.0</v>
      </c>
      <c r="Y862" s="1">
        <v>169725.0</v>
      </c>
      <c r="AA862" s="1">
        <v>59398.0</v>
      </c>
      <c r="AC862" s="1">
        <v>161943.0</v>
      </c>
      <c r="AE862" s="1">
        <v>194483.0</v>
      </c>
      <c r="AH862" s="1">
        <v>17252.0</v>
      </c>
    </row>
    <row r="863">
      <c r="B863" s="1"/>
      <c r="C863" s="33"/>
      <c r="D863" s="34"/>
      <c r="E863" s="33"/>
      <c r="G863" s="33"/>
      <c r="H863" s="33"/>
      <c r="L863" s="33"/>
      <c r="O863" s="33"/>
      <c r="U863" s="1">
        <v>17954.0</v>
      </c>
      <c r="V863" s="1">
        <v>88104.0</v>
      </c>
      <c r="W863" s="1">
        <v>123515.0</v>
      </c>
      <c r="Y863" s="1">
        <v>51303.0</v>
      </c>
      <c r="AA863" s="1">
        <v>93881.0</v>
      </c>
      <c r="AB863" s="1">
        <v>17816.0</v>
      </c>
      <c r="AE863" s="1">
        <v>143818.0</v>
      </c>
      <c r="AG863" s="1">
        <v>29715.0</v>
      </c>
      <c r="AJ863" s="1">
        <v>1324550.0</v>
      </c>
      <c r="AL863" s="1">
        <v>6585.0</v>
      </c>
    </row>
    <row r="864">
      <c r="C864" s="33"/>
      <c r="D864" s="34"/>
      <c r="E864" s="33"/>
      <c r="G864" s="33"/>
      <c r="H864" s="30" t="s">
        <v>5811</v>
      </c>
      <c r="L864" s="33"/>
      <c r="M864" s="1" t="s">
        <v>5835</v>
      </c>
      <c r="N864" s="33"/>
      <c r="O864" s="33"/>
      <c r="Q864" s="23" t="s">
        <v>5802</v>
      </c>
      <c r="U864" s="97">
        <f t="shared" ref="U864:U865" si="1676">U862-U854</f>
        <v>543</v>
      </c>
      <c r="V864" s="97"/>
      <c r="W864" s="97">
        <f t="shared" ref="W864:W865" si="1677">W862-W854</f>
        <v>171</v>
      </c>
      <c r="X864" s="97"/>
      <c r="Y864" s="97">
        <f t="shared" ref="Y864:Y865" si="1678">Y862-Y854</f>
        <v>1283</v>
      </c>
      <c r="Z864" s="97"/>
      <c r="AA864" s="97">
        <f t="shared" ref="AA864:AA865" si="1679">AA862-AA854</f>
        <v>880</v>
      </c>
      <c r="AC864" s="97">
        <f>AC862-AC854</f>
        <v>1020</v>
      </c>
      <c r="AD864" s="97"/>
      <c r="AE864" s="97">
        <f t="shared" ref="AE864:AE865" si="1680">AE862-AE854</f>
        <v>1062</v>
      </c>
      <c r="AF864" s="97"/>
      <c r="AG864" s="97"/>
      <c r="AH864" s="97">
        <f>AH862-AH854</f>
        <v>136</v>
      </c>
    </row>
    <row r="865">
      <c r="B865" s="1" t="s">
        <v>5846</v>
      </c>
      <c r="C865" s="33"/>
      <c r="D865" s="33">
        <v>1900000.0</v>
      </c>
      <c r="E865" s="1">
        <v>2700000.0</v>
      </c>
      <c r="F865" s="1">
        <v>1550000.0</v>
      </c>
      <c r="G865" s="1">
        <v>1800000.0</v>
      </c>
      <c r="H865" s="1">
        <v>1000000.0</v>
      </c>
      <c r="I865" s="1">
        <v>3500000.0</v>
      </c>
      <c r="J865" s="33">
        <v>2100000.0</v>
      </c>
      <c r="K865" s="1">
        <v>2300000.0</v>
      </c>
      <c r="L865" s="1">
        <v>1900000.0</v>
      </c>
      <c r="M865" s="33">
        <v>1500000.0</v>
      </c>
      <c r="N865" s="33">
        <v>1260000.0</v>
      </c>
      <c r="O865" s="1">
        <v>1150000.0</v>
      </c>
      <c r="P865">
        <f t="shared" ref="P865:P873" si="1682">SUM(D865:O865)</f>
        <v>22660000</v>
      </c>
      <c r="Q865" s="18">
        <f t="shared" ref="Q865:Q873" si="1683">M865*0.5</f>
        <v>750000</v>
      </c>
      <c r="U865" s="167">
        <f t="shared" si="1676"/>
        <v>105</v>
      </c>
      <c r="V865" s="167">
        <f>(V863-V855)</f>
        <v>395</v>
      </c>
      <c r="W865" s="167">
        <f t="shared" si="1677"/>
        <v>360</v>
      </c>
      <c r="X865" s="168">
        <f>W864</f>
        <v>171</v>
      </c>
      <c r="Y865" s="167">
        <f t="shared" si="1678"/>
        <v>347</v>
      </c>
      <c r="Z865" s="169">
        <f>Y864-Y865</f>
        <v>936</v>
      </c>
      <c r="AA865" s="167">
        <f t="shared" si="1679"/>
        <v>625</v>
      </c>
      <c r="AB865" s="167">
        <f>AB863-AB855</f>
        <v>283</v>
      </c>
      <c r="AC865" s="167">
        <f>(AC864)*73.9/(73.9+99)-100</f>
        <v>335.9629844</v>
      </c>
      <c r="AD865" s="167">
        <f>(AC864)*99/(73.9+99)+100</f>
        <v>684.0370156</v>
      </c>
      <c r="AE865" s="167">
        <f t="shared" si="1680"/>
        <v>467</v>
      </c>
      <c r="AF865" s="169">
        <f>AE864-AE865-AG865-30</f>
        <v>367</v>
      </c>
      <c r="AG865" s="167">
        <f>AG863-AG855</f>
        <v>198</v>
      </c>
      <c r="AH865" s="96">
        <v>136.0</v>
      </c>
      <c r="AI865" s="18">
        <f t="shared" ref="AI865:AI866" si="1685">SUM(U865:AH865)</f>
        <v>5410</v>
      </c>
    </row>
    <row r="866">
      <c r="B866" s="1" t="s">
        <v>5499</v>
      </c>
      <c r="C866" s="33"/>
      <c r="D866" s="33">
        <f t="shared" ref="D866:O866" si="1681">D865*0.1</f>
        <v>190000</v>
      </c>
      <c r="E866" s="1">
        <f t="shared" si="1681"/>
        <v>270000</v>
      </c>
      <c r="F866" s="1">
        <f t="shared" si="1681"/>
        <v>155000</v>
      </c>
      <c r="G866" s="1">
        <f t="shared" si="1681"/>
        <v>180000</v>
      </c>
      <c r="H866" s="1">
        <f t="shared" si="1681"/>
        <v>100000</v>
      </c>
      <c r="I866" s="1">
        <f t="shared" si="1681"/>
        <v>350000</v>
      </c>
      <c r="J866" s="33">
        <f t="shared" si="1681"/>
        <v>210000</v>
      </c>
      <c r="K866" s="1">
        <f t="shared" si="1681"/>
        <v>230000</v>
      </c>
      <c r="L866" s="1">
        <f t="shared" si="1681"/>
        <v>190000</v>
      </c>
      <c r="M866" s="33">
        <f t="shared" si="1681"/>
        <v>150000</v>
      </c>
      <c r="N866" s="1">
        <f t="shared" si="1681"/>
        <v>126000</v>
      </c>
      <c r="O866" s="1">
        <f t="shared" si="1681"/>
        <v>115000</v>
      </c>
      <c r="P866">
        <f t="shared" si="1682"/>
        <v>2266000</v>
      </c>
      <c r="Q866" s="18">
        <f t="shared" si="1683"/>
        <v>75000</v>
      </c>
      <c r="U866" s="162">
        <f t="shared" ref="U866:AH866" si="1684">U865*1324550/5410</f>
        <v>25707.53235</v>
      </c>
      <c r="V866" s="162">
        <f t="shared" si="1684"/>
        <v>96709.28835</v>
      </c>
      <c r="W866" s="162">
        <f t="shared" si="1684"/>
        <v>88140.11091</v>
      </c>
      <c r="X866" s="162">
        <f t="shared" si="1684"/>
        <v>41866.55268</v>
      </c>
      <c r="Y866" s="162">
        <f t="shared" si="1684"/>
        <v>84957.27357</v>
      </c>
      <c r="Z866" s="162">
        <f t="shared" si="1684"/>
        <v>229164.2884</v>
      </c>
      <c r="AA866" s="162">
        <f t="shared" si="1684"/>
        <v>153021.0259</v>
      </c>
      <c r="AB866" s="162">
        <f t="shared" si="1684"/>
        <v>69287.92052</v>
      </c>
      <c r="AC866" s="162">
        <f t="shared" si="1684"/>
        <v>82255.04084</v>
      </c>
      <c r="AD866" s="162">
        <f t="shared" si="1684"/>
        <v>167475.2734</v>
      </c>
      <c r="AE866" s="162">
        <f t="shared" si="1684"/>
        <v>114337.3105</v>
      </c>
      <c r="AF866" s="162">
        <f t="shared" si="1684"/>
        <v>89853.9464</v>
      </c>
      <c r="AG866" s="162">
        <f t="shared" si="1684"/>
        <v>48477.061</v>
      </c>
      <c r="AH866" s="162">
        <f t="shared" si="1684"/>
        <v>33297.37523</v>
      </c>
      <c r="AI866" s="18">
        <f t="shared" si="1685"/>
        <v>1324550</v>
      </c>
    </row>
    <row r="867">
      <c r="B867" s="1" t="s">
        <v>5520</v>
      </c>
      <c r="C867" s="33"/>
      <c r="D867" s="34">
        <f t="shared" ref="D867:O867" si="1686">D865+D866</f>
        <v>2090000</v>
      </c>
      <c r="E867">
        <f t="shared" si="1686"/>
        <v>2970000</v>
      </c>
      <c r="F867">
        <f t="shared" si="1686"/>
        <v>1705000</v>
      </c>
      <c r="G867">
        <f t="shared" si="1686"/>
        <v>1980000</v>
      </c>
      <c r="H867">
        <f t="shared" si="1686"/>
        <v>1100000</v>
      </c>
      <c r="I867">
        <f t="shared" si="1686"/>
        <v>3850000</v>
      </c>
      <c r="J867" s="34">
        <f t="shared" si="1686"/>
        <v>2310000</v>
      </c>
      <c r="K867">
        <f t="shared" si="1686"/>
        <v>2530000</v>
      </c>
      <c r="L867">
        <f t="shared" si="1686"/>
        <v>2090000</v>
      </c>
      <c r="M867" s="34">
        <f t="shared" si="1686"/>
        <v>1650000</v>
      </c>
      <c r="N867">
        <f t="shared" si="1686"/>
        <v>1386000</v>
      </c>
      <c r="O867">
        <f t="shared" si="1686"/>
        <v>1265000</v>
      </c>
      <c r="P867">
        <f t="shared" si="1682"/>
        <v>24926000</v>
      </c>
      <c r="Q867" s="18">
        <f t="shared" si="1683"/>
        <v>825000</v>
      </c>
      <c r="U867">
        <v>25707.53234750462</v>
      </c>
      <c r="V867" s="136">
        <v>96709.28835489834</v>
      </c>
      <c r="W867" s="136">
        <v>88140.11090573014</v>
      </c>
      <c r="X867" s="136">
        <v>41866.55268022181</v>
      </c>
      <c r="Y867" s="164">
        <f t="shared" ref="Y867:AG867" si="1687">Y866+3699</f>
        <v>88656.27357</v>
      </c>
      <c r="Z867" s="164">
        <f t="shared" si="1687"/>
        <v>232863.2884</v>
      </c>
      <c r="AA867" s="165">
        <f t="shared" si="1687"/>
        <v>156720.0259</v>
      </c>
      <c r="AB867" s="164">
        <f t="shared" si="1687"/>
        <v>72986.92052</v>
      </c>
      <c r="AC867" s="164">
        <f t="shared" si="1687"/>
        <v>85954.04084</v>
      </c>
      <c r="AD867" s="164">
        <f t="shared" si="1687"/>
        <v>171174.2734</v>
      </c>
      <c r="AE867" s="164">
        <f t="shared" si="1687"/>
        <v>118036.3105</v>
      </c>
      <c r="AF867" s="164">
        <f t="shared" si="1687"/>
        <v>93552.9464</v>
      </c>
      <c r="AG867" s="164">
        <f t="shared" si="1687"/>
        <v>52176.061</v>
      </c>
      <c r="AH867">
        <f>AH866/9</f>
        <v>3699.708359</v>
      </c>
      <c r="AI867" s="18">
        <f>SUM(U867:AG867)</f>
        <v>1324543.625</v>
      </c>
    </row>
    <row r="868">
      <c r="B868" s="1" t="s">
        <v>5545</v>
      </c>
      <c r="C868" s="33"/>
      <c r="D868" s="34">
        <v>264213.76896149357</v>
      </c>
      <c r="E868" s="159">
        <v>165985.2975495916</v>
      </c>
      <c r="F868">
        <v>80626.83780630105</v>
      </c>
      <c r="G868" s="159">
        <v>178329.5414235706</v>
      </c>
      <c r="H868" s="159">
        <v>254792.55192532088</v>
      </c>
      <c r="I868">
        <v>323684.96732788795</v>
      </c>
      <c r="J868">
        <v>40166.180863477246</v>
      </c>
      <c r="K868">
        <v>120420.83788121234</v>
      </c>
      <c r="L868" s="159">
        <v>160343.0290966173</v>
      </c>
      <c r="M868" s="134">
        <v>191010.28821470245</v>
      </c>
      <c r="N868" s="159">
        <v>88996.51925320887</v>
      </c>
      <c r="O868" s="159">
        <v>77829.89148191366</v>
      </c>
      <c r="P868">
        <f t="shared" si="1682"/>
        <v>1946399.712</v>
      </c>
      <c r="Q868" s="18">
        <f t="shared" si="1683"/>
        <v>95505.14411</v>
      </c>
      <c r="AA868" s="166">
        <f>AA867+U867</f>
        <v>182427.5582</v>
      </c>
    </row>
    <row r="869">
      <c r="C869" s="33"/>
      <c r="D869">
        <f t="shared" ref="D869:O869" si="1688">D868-D870</f>
        <v>240194.3354</v>
      </c>
      <c r="E869">
        <f t="shared" si="1688"/>
        <v>150895.725</v>
      </c>
      <c r="F869">
        <f t="shared" si="1688"/>
        <v>73297.12528</v>
      </c>
      <c r="G869">
        <f t="shared" si="1688"/>
        <v>162117.7649</v>
      </c>
      <c r="H869">
        <f t="shared" si="1688"/>
        <v>231629.5927</v>
      </c>
      <c r="I869">
        <f t="shared" si="1688"/>
        <v>294259.0612</v>
      </c>
      <c r="J869" s="34">
        <f t="shared" si="1688"/>
        <v>36514.70988</v>
      </c>
      <c r="K869">
        <f t="shared" si="1688"/>
        <v>109473.489</v>
      </c>
      <c r="L869">
        <f t="shared" si="1688"/>
        <v>145766.3901</v>
      </c>
      <c r="M869">
        <f t="shared" si="1688"/>
        <v>173645.7166</v>
      </c>
      <c r="N869">
        <f t="shared" si="1688"/>
        <v>80905.92659</v>
      </c>
      <c r="O869">
        <f t="shared" si="1688"/>
        <v>70754.4468</v>
      </c>
      <c r="P869">
        <f t="shared" si="1682"/>
        <v>1769454.283</v>
      </c>
      <c r="Q869" s="18">
        <f t="shared" si="1683"/>
        <v>86822.85828</v>
      </c>
    </row>
    <row r="870">
      <c r="B870" s="1" t="s">
        <v>5499</v>
      </c>
      <c r="C870" s="33"/>
      <c r="D870">
        <f t="shared" ref="D870:O870" si="1689">D868/11</f>
        <v>24019.43354</v>
      </c>
      <c r="E870">
        <f t="shared" si="1689"/>
        <v>15089.5725</v>
      </c>
      <c r="F870">
        <f t="shared" si="1689"/>
        <v>7329.712528</v>
      </c>
      <c r="G870">
        <f t="shared" si="1689"/>
        <v>16211.77649</v>
      </c>
      <c r="H870">
        <f t="shared" si="1689"/>
        <v>23162.95927</v>
      </c>
      <c r="I870">
        <f t="shared" si="1689"/>
        <v>29425.90612</v>
      </c>
      <c r="J870" s="34">
        <f t="shared" si="1689"/>
        <v>3651.470988</v>
      </c>
      <c r="K870">
        <f t="shared" si="1689"/>
        <v>10947.3489</v>
      </c>
      <c r="L870">
        <f t="shared" si="1689"/>
        <v>14576.63901</v>
      </c>
      <c r="M870">
        <f t="shared" si="1689"/>
        <v>17364.57166</v>
      </c>
      <c r="N870">
        <f t="shared" si="1689"/>
        <v>8090.592659</v>
      </c>
      <c r="O870">
        <f t="shared" si="1689"/>
        <v>7075.44468</v>
      </c>
      <c r="P870">
        <f t="shared" si="1682"/>
        <v>176945.4283</v>
      </c>
      <c r="Q870" s="18">
        <f t="shared" si="1683"/>
        <v>8682.285828</v>
      </c>
      <c r="T870" s="1" t="s">
        <v>5847</v>
      </c>
      <c r="U870" s="1">
        <v>107006.0</v>
      </c>
      <c r="W870" s="1">
        <v>51115.0</v>
      </c>
      <c r="Y870" s="1">
        <v>171851.0</v>
      </c>
      <c r="AA870" s="1">
        <v>60487.0</v>
      </c>
      <c r="AC870" s="1">
        <v>163615.0</v>
      </c>
      <c r="AE870" s="1">
        <v>196280.0</v>
      </c>
      <c r="AH870" s="1">
        <v>17418.0</v>
      </c>
    </row>
    <row r="871">
      <c r="B871" s="23" t="s">
        <v>5528</v>
      </c>
      <c r="C871" s="33"/>
      <c r="D871" s="145">
        <f t="shared" ref="D871:O871" si="1690">SUM(D867,D868)</f>
        <v>2354213.769</v>
      </c>
      <c r="E871" s="145">
        <f t="shared" si="1690"/>
        <v>3135985.298</v>
      </c>
      <c r="F871" s="145">
        <f t="shared" si="1690"/>
        <v>1785626.838</v>
      </c>
      <c r="G871" s="145">
        <f t="shared" si="1690"/>
        <v>2158329.541</v>
      </c>
      <c r="H871" s="145">
        <f t="shared" si="1690"/>
        <v>1354792.552</v>
      </c>
      <c r="I871" s="173">
        <f t="shared" si="1690"/>
        <v>4173684.967</v>
      </c>
      <c r="J871" s="145">
        <f t="shared" si="1690"/>
        <v>2350166.181</v>
      </c>
      <c r="K871" s="174">
        <f t="shared" si="1690"/>
        <v>2650420.838</v>
      </c>
      <c r="L871" s="145">
        <f t="shared" si="1690"/>
        <v>2250343.029</v>
      </c>
      <c r="M871" s="145">
        <f t="shared" si="1690"/>
        <v>1841010.288</v>
      </c>
      <c r="N871" s="145">
        <f t="shared" si="1690"/>
        <v>1474996.519</v>
      </c>
      <c r="O871" s="145">
        <f t="shared" si="1690"/>
        <v>1342829.891</v>
      </c>
      <c r="P871">
        <f t="shared" si="1682"/>
        <v>26872399.71</v>
      </c>
      <c r="Q871" s="18">
        <f t="shared" si="1683"/>
        <v>920505.1441</v>
      </c>
      <c r="U871" s="1">
        <v>18063.0</v>
      </c>
      <c r="V871" s="1">
        <v>88796.0</v>
      </c>
      <c r="W871" s="1">
        <v>123944.0</v>
      </c>
      <c r="Y871" s="1">
        <v>52005.0</v>
      </c>
      <c r="AA871" s="1">
        <v>94457.0</v>
      </c>
      <c r="AB871" s="1">
        <v>18410.0</v>
      </c>
      <c r="AE871" s="1">
        <v>144630.0</v>
      </c>
      <c r="AG871" s="1">
        <v>30035.0</v>
      </c>
      <c r="AJ871" s="1">
        <v>1849240.0</v>
      </c>
      <c r="AL871" s="1">
        <v>8594.0</v>
      </c>
    </row>
    <row r="872">
      <c r="B872" s="1" t="s">
        <v>5580</v>
      </c>
      <c r="C872" s="33"/>
      <c r="D872">
        <f t="shared" ref="D872:O872" si="1691">D865+D869</f>
        <v>2140194.335</v>
      </c>
      <c r="E872">
        <f t="shared" si="1691"/>
        <v>2850895.725</v>
      </c>
      <c r="F872">
        <f t="shared" si="1691"/>
        <v>1623297.125</v>
      </c>
      <c r="G872">
        <f t="shared" si="1691"/>
        <v>1962117.765</v>
      </c>
      <c r="H872">
        <f t="shared" si="1691"/>
        <v>1231629.593</v>
      </c>
      <c r="I872">
        <f t="shared" si="1691"/>
        <v>3794259.061</v>
      </c>
      <c r="J872" s="34">
        <f t="shared" si="1691"/>
        <v>2136514.71</v>
      </c>
      <c r="K872">
        <f t="shared" si="1691"/>
        <v>2409473.489</v>
      </c>
      <c r="L872">
        <f t="shared" si="1691"/>
        <v>2045766.39</v>
      </c>
      <c r="M872">
        <f t="shared" si="1691"/>
        <v>1673645.717</v>
      </c>
      <c r="N872">
        <f t="shared" si="1691"/>
        <v>1340905.927</v>
      </c>
      <c r="O872">
        <f t="shared" si="1691"/>
        <v>1220754.447</v>
      </c>
      <c r="P872">
        <f t="shared" si="1682"/>
        <v>24429454.28</v>
      </c>
      <c r="Q872" s="18">
        <f t="shared" si="1683"/>
        <v>836822.8583</v>
      </c>
      <c r="U872" s="97">
        <f t="shared" ref="U872:U873" si="1693">U870-U862</f>
        <v>846</v>
      </c>
      <c r="V872" s="97"/>
      <c r="W872" s="97">
        <f t="shared" ref="W872:W873" si="1694">W870-W862</f>
        <v>148</v>
      </c>
      <c r="X872" s="97"/>
      <c r="Y872" s="97">
        <f t="shared" ref="Y872:Y873" si="1695">Y870-Y862</f>
        <v>2126</v>
      </c>
      <c r="Z872" s="97"/>
      <c r="AA872" s="97">
        <f t="shared" ref="AA872:AA873" si="1696">AA870-AA862</f>
        <v>1089</v>
      </c>
      <c r="AC872" s="97">
        <f>AC870-AC862</f>
        <v>1672</v>
      </c>
      <c r="AD872" s="97"/>
      <c r="AE872" s="97">
        <f t="shared" ref="AE872:AE873" si="1697">AE870-AE862</f>
        <v>1797</v>
      </c>
      <c r="AF872" s="97"/>
      <c r="AG872" s="97"/>
      <c r="AH872" s="97">
        <f>AH870-AH862</f>
        <v>166</v>
      </c>
    </row>
    <row r="873">
      <c r="B873" s="1" t="s">
        <v>5582</v>
      </c>
      <c r="C873" s="33"/>
      <c r="D873">
        <f t="shared" ref="D873:O873" si="1692">D866+D870</f>
        <v>214019.4335</v>
      </c>
      <c r="E873">
        <f t="shared" si="1692"/>
        <v>285089.5725</v>
      </c>
      <c r="F873">
        <f t="shared" si="1692"/>
        <v>162329.7125</v>
      </c>
      <c r="G873">
        <f t="shared" si="1692"/>
        <v>196211.7765</v>
      </c>
      <c r="H873">
        <f t="shared" si="1692"/>
        <v>123162.9593</v>
      </c>
      <c r="I873">
        <f t="shared" si="1692"/>
        <v>379425.9061</v>
      </c>
      <c r="J873" s="34">
        <f t="shared" si="1692"/>
        <v>213651.471</v>
      </c>
      <c r="K873">
        <f t="shared" si="1692"/>
        <v>240947.3489</v>
      </c>
      <c r="L873">
        <f t="shared" si="1692"/>
        <v>204576.639</v>
      </c>
      <c r="M873">
        <f t="shared" si="1692"/>
        <v>167364.5717</v>
      </c>
      <c r="N873">
        <f t="shared" si="1692"/>
        <v>134090.5927</v>
      </c>
      <c r="O873">
        <f t="shared" si="1692"/>
        <v>122075.4447</v>
      </c>
      <c r="P873">
        <f t="shared" si="1682"/>
        <v>2442945.428</v>
      </c>
      <c r="Q873" s="18">
        <f t="shared" si="1683"/>
        <v>83682.28583</v>
      </c>
      <c r="U873" s="167">
        <f t="shared" si="1693"/>
        <v>109</v>
      </c>
      <c r="V873" s="167">
        <f>(V871-V863)</f>
        <v>692</v>
      </c>
      <c r="W873" s="167">
        <f t="shared" si="1694"/>
        <v>429</v>
      </c>
      <c r="X873" s="168">
        <f>W872</f>
        <v>148</v>
      </c>
      <c r="Y873" s="167">
        <f t="shared" si="1695"/>
        <v>702</v>
      </c>
      <c r="Z873" s="169">
        <f>Y872-Y873</f>
        <v>1424</v>
      </c>
      <c r="AA873" s="167">
        <f t="shared" si="1696"/>
        <v>576</v>
      </c>
      <c r="AB873" s="167">
        <f>AB871-AB863</f>
        <v>594</v>
      </c>
      <c r="AC873" s="167">
        <f>(AC872)*73.9/(73.9+99)-100</f>
        <v>614.6373626</v>
      </c>
      <c r="AD873" s="167">
        <f>(AC872)*99/(73.9+99)+100</f>
        <v>1057.362637</v>
      </c>
      <c r="AE873" s="167">
        <f t="shared" si="1697"/>
        <v>812</v>
      </c>
      <c r="AF873" s="169">
        <f>AE872-AE873-AG873-30</f>
        <v>635</v>
      </c>
      <c r="AG873" s="167">
        <f>AG871-AG863</f>
        <v>320</v>
      </c>
      <c r="AH873" s="96">
        <v>166.0</v>
      </c>
      <c r="AI873" s="18">
        <f t="shared" ref="AI873:AI874" si="1699">SUM(U873:AH873)</f>
        <v>8279</v>
      </c>
    </row>
    <row r="874">
      <c r="B874" s="1"/>
      <c r="C874" s="33"/>
      <c r="D874" s="33" t="s">
        <v>5566</v>
      </c>
      <c r="E874" s="33" t="s">
        <v>5566</v>
      </c>
      <c r="F874" s="1" t="s">
        <v>5566</v>
      </c>
      <c r="G874" s="33" t="s">
        <v>5566</v>
      </c>
      <c r="H874" s="33" t="s">
        <v>5566</v>
      </c>
      <c r="I874" s="1" t="s">
        <v>5566</v>
      </c>
      <c r="J874" s="1" t="s">
        <v>5566</v>
      </c>
      <c r="K874" s="1" t="s">
        <v>5566</v>
      </c>
      <c r="L874" s="33" t="s">
        <v>5566</v>
      </c>
      <c r="M874" s="1" t="s">
        <v>5566</v>
      </c>
      <c r="N874" s="1" t="s">
        <v>5566</v>
      </c>
      <c r="O874" s="33" t="s">
        <v>5566</v>
      </c>
      <c r="U874" s="162">
        <f t="shared" ref="U874:AH874" si="1698">U873*1849240/8279</f>
        <v>24346.80034</v>
      </c>
      <c r="V874" s="162">
        <f t="shared" si="1698"/>
        <v>154568.6774</v>
      </c>
      <c r="W874" s="162">
        <f t="shared" si="1698"/>
        <v>95823.64537</v>
      </c>
      <c r="X874" s="162">
        <f t="shared" si="1698"/>
        <v>33058.04083</v>
      </c>
      <c r="Y874" s="162">
        <f t="shared" si="1698"/>
        <v>156802.3288</v>
      </c>
      <c r="Z874" s="162">
        <f t="shared" si="1698"/>
        <v>318071.9604</v>
      </c>
      <c r="AA874" s="162">
        <f t="shared" si="1698"/>
        <v>128658.3211</v>
      </c>
      <c r="AB874" s="162">
        <f t="shared" si="1698"/>
        <v>132678.8936</v>
      </c>
      <c r="AC874" s="162">
        <f t="shared" si="1698"/>
        <v>137288.561</v>
      </c>
      <c r="AD874" s="162">
        <f t="shared" si="1698"/>
        <v>236177.9543</v>
      </c>
      <c r="AE874" s="162">
        <f t="shared" si="1698"/>
        <v>181372.4943</v>
      </c>
      <c r="AF874" s="162">
        <f t="shared" si="1698"/>
        <v>141836.8644</v>
      </c>
      <c r="AG874" s="162">
        <f t="shared" si="1698"/>
        <v>71476.84503</v>
      </c>
      <c r="AH874" s="162">
        <f t="shared" si="1698"/>
        <v>37078.61336</v>
      </c>
      <c r="AI874" s="18">
        <f t="shared" si="1699"/>
        <v>1849240</v>
      </c>
    </row>
    <row r="875">
      <c r="B875" s="1"/>
      <c r="C875" s="33"/>
      <c r="D875" s="34"/>
      <c r="E875" s="33"/>
      <c r="G875" s="33"/>
      <c r="H875" s="33"/>
      <c r="L875" s="33"/>
      <c r="O875" s="33"/>
      <c r="U875">
        <v>24346.800338205096</v>
      </c>
      <c r="V875" s="136">
        <v>154568.67737649474</v>
      </c>
      <c r="W875" s="136">
        <v>95823.64536779805</v>
      </c>
      <c r="X875" s="136">
        <v>33058.040826186734</v>
      </c>
      <c r="Y875" s="164">
        <f t="shared" ref="Y875:AG875" si="1700">Y874+4119</f>
        <v>160921.3288</v>
      </c>
      <c r="Z875" s="164">
        <f t="shared" si="1700"/>
        <v>322190.9604</v>
      </c>
      <c r="AA875" s="165">
        <f t="shared" si="1700"/>
        <v>132777.3211</v>
      </c>
      <c r="AB875" s="164">
        <f t="shared" si="1700"/>
        <v>136797.8936</v>
      </c>
      <c r="AC875" s="164">
        <f t="shared" si="1700"/>
        <v>141407.561</v>
      </c>
      <c r="AD875" s="164">
        <f t="shared" si="1700"/>
        <v>240296.9543</v>
      </c>
      <c r="AE875" s="164">
        <f t="shared" si="1700"/>
        <v>185491.4943</v>
      </c>
      <c r="AF875" s="164">
        <f t="shared" si="1700"/>
        <v>145955.8644</v>
      </c>
      <c r="AG875" s="164">
        <f t="shared" si="1700"/>
        <v>75595.84503</v>
      </c>
      <c r="AH875">
        <f>AH874/9</f>
        <v>4119.845929</v>
      </c>
      <c r="AI875" s="18">
        <f>SUM(U875:AG875)</f>
        <v>1849232.387</v>
      </c>
    </row>
    <row r="876">
      <c r="B876" s="1"/>
      <c r="C876" s="33"/>
      <c r="D876" s="34"/>
      <c r="E876" s="33"/>
      <c r="G876" s="33"/>
      <c r="H876" s="30" t="s">
        <v>5811</v>
      </c>
      <c r="L876" s="33"/>
      <c r="M876" s="1" t="s">
        <v>5835</v>
      </c>
      <c r="N876" s="33"/>
      <c r="O876" s="33"/>
      <c r="Q876" s="23" t="s">
        <v>5802</v>
      </c>
      <c r="AA876" s="166">
        <f>AA875+U875</f>
        <v>157124.1214</v>
      </c>
    </row>
    <row r="877">
      <c r="B877" s="1" t="s">
        <v>5848</v>
      </c>
      <c r="C877" s="33"/>
      <c r="D877" s="33">
        <v>1900000.0</v>
      </c>
      <c r="E877" s="1">
        <v>2700000.0</v>
      </c>
      <c r="F877" s="1">
        <v>1550000.0</v>
      </c>
      <c r="G877" s="1">
        <v>1800000.0</v>
      </c>
      <c r="H877" s="1">
        <v>1000000.0</v>
      </c>
      <c r="I877" s="1">
        <v>3500000.0</v>
      </c>
      <c r="J877" s="33">
        <v>2100000.0</v>
      </c>
      <c r="K877" s="1">
        <v>2300000.0</v>
      </c>
      <c r="L877" s="1">
        <v>1900000.0</v>
      </c>
      <c r="M877" s="33">
        <v>1500000.0</v>
      </c>
      <c r="N877" s="33">
        <v>1260000.0</v>
      </c>
      <c r="O877" s="1">
        <v>1150000.0</v>
      </c>
      <c r="P877">
        <f t="shared" ref="P877:P888" si="1702">SUM(D877:O877)</f>
        <v>22660000</v>
      </c>
      <c r="Q877" s="18">
        <f t="shared" ref="Q877:Q888" si="1703">M877*0.5</f>
        <v>750000</v>
      </c>
    </row>
    <row r="878">
      <c r="B878" s="1" t="s">
        <v>5499</v>
      </c>
      <c r="C878" s="33"/>
      <c r="D878" s="33">
        <f t="shared" ref="D878:O878" si="1701">D877*0.1</f>
        <v>190000</v>
      </c>
      <c r="E878" s="1">
        <f t="shared" si="1701"/>
        <v>270000</v>
      </c>
      <c r="F878" s="1">
        <f t="shared" si="1701"/>
        <v>155000</v>
      </c>
      <c r="G878" s="1">
        <f t="shared" si="1701"/>
        <v>180000</v>
      </c>
      <c r="H878" s="1">
        <f t="shared" si="1701"/>
        <v>100000</v>
      </c>
      <c r="I878" s="1">
        <f t="shared" si="1701"/>
        <v>350000</v>
      </c>
      <c r="J878" s="33">
        <f t="shared" si="1701"/>
        <v>210000</v>
      </c>
      <c r="K878" s="1">
        <f t="shared" si="1701"/>
        <v>230000</v>
      </c>
      <c r="L878" s="1">
        <f t="shared" si="1701"/>
        <v>190000</v>
      </c>
      <c r="M878" s="33">
        <f t="shared" si="1701"/>
        <v>150000</v>
      </c>
      <c r="N878" s="1">
        <f t="shared" si="1701"/>
        <v>126000</v>
      </c>
      <c r="O878" s="1">
        <f t="shared" si="1701"/>
        <v>115000</v>
      </c>
      <c r="P878">
        <f t="shared" si="1702"/>
        <v>2266000</v>
      </c>
      <c r="Q878" s="18">
        <f t="shared" si="1703"/>
        <v>75000</v>
      </c>
    </row>
    <row r="879">
      <c r="B879" s="1" t="s">
        <v>5520</v>
      </c>
      <c r="C879" s="33"/>
      <c r="D879" s="34">
        <f t="shared" ref="D879:O879" si="1704">D877+D878</f>
        <v>2090000</v>
      </c>
      <c r="E879">
        <f t="shared" si="1704"/>
        <v>2970000</v>
      </c>
      <c r="F879">
        <f t="shared" si="1704"/>
        <v>1705000</v>
      </c>
      <c r="G879">
        <f t="shared" si="1704"/>
        <v>1980000</v>
      </c>
      <c r="H879">
        <f t="shared" si="1704"/>
        <v>1100000</v>
      </c>
      <c r="I879">
        <f t="shared" si="1704"/>
        <v>3850000</v>
      </c>
      <c r="J879" s="34">
        <f t="shared" si="1704"/>
        <v>2310000</v>
      </c>
      <c r="K879">
        <f t="shared" si="1704"/>
        <v>2530000</v>
      </c>
      <c r="L879">
        <f t="shared" si="1704"/>
        <v>2090000</v>
      </c>
      <c r="M879" s="34">
        <f t="shared" si="1704"/>
        <v>1650000</v>
      </c>
      <c r="N879">
        <f t="shared" si="1704"/>
        <v>1386000</v>
      </c>
      <c r="O879">
        <f t="shared" si="1704"/>
        <v>1265000</v>
      </c>
      <c r="P879">
        <f t="shared" si="1702"/>
        <v>24926000</v>
      </c>
      <c r="Q879" s="18">
        <f t="shared" si="1703"/>
        <v>825000</v>
      </c>
    </row>
    <row r="880">
      <c r="B880" s="1" t="s">
        <v>5545</v>
      </c>
      <c r="C880" s="33"/>
      <c r="D880" s="34">
        <v>192723.69792878753</v>
      </c>
      <c r="E880" s="34">
        <v>117702.63323248779</v>
      </c>
      <c r="F880" s="34">
        <v>61559.95461950198</v>
      </c>
      <c r="G880" s="176">
        <v>128646.10681871073</v>
      </c>
      <c r="H880" s="176">
        <v>181341.4279730044</v>
      </c>
      <c r="I880" s="176">
        <v>226157.07493600185</v>
      </c>
      <c r="J880" s="176">
        <v>28836.900395624856</v>
      </c>
      <c r="K880" s="176">
        <v>99560.94496287979</v>
      </c>
      <c r="L880" s="176">
        <v>132614.80718978483</v>
      </c>
      <c r="M880" s="176">
        <v>147032.01326506864</v>
      </c>
      <c r="N880" s="176">
        <v>43118.809867349315</v>
      </c>
      <c r="O880" s="176">
        <v>51490.96369560158</v>
      </c>
      <c r="P880">
        <f t="shared" si="1702"/>
        <v>1410785.335</v>
      </c>
      <c r="Q880" s="18">
        <f t="shared" si="1703"/>
        <v>73516.00663</v>
      </c>
    </row>
    <row r="881">
      <c r="C881" s="33"/>
      <c r="D881">
        <f t="shared" ref="D881:O881" si="1705">D880-D882</f>
        <v>175203.3618</v>
      </c>
      <c r="E881">
        <f t="shared" si="1705"/>
        <v>107002.3938</v>
      </c>
      <c r="F881">
        <f t="shared" si="1705"/>
        <v>55963.59511</v>
      </c>
      <c r="G881">
        <f t="shared" si="1705"/>
        <v>116951.0062</v>
      </c>
      <c r="H881">
        <f t="shared" si="1705"/>
        <v>164855.8436</v>
      </c>
      <c r="I881">
        <f t="shared" si="1705"/>
        <v>205597.3409</v>
      </c>
      <c r="J881" s="34">
        <f t="shared" si="1705"/>
        <v>26215.364</v>
      </c>
      <c r="K881">
        <f t="shared" si="1705"/>
        <v>90509.94997</v>
      </c>
      <c r="L881">
        <f t="shared" si="1705"/>
        <v>120558.9156</v>
      </c>
      <c r="M881">
        <f t="shared" si="1705"/>
        <v>133665.4666</v>
      </c>
      <c r="N881">
        <f t="shared" si="1705"/>
        <v>39198.91806</v>
      </c>
      <c r="O881">
        <f t="shared" si="1705"/>
        <v>46809.967</v>
      </c>
      <c r="P881">
        <f t="shared" si="1702"/>
        <v>1282532.123</v>
      </c>
      <c r="Q881" s="18">
        <f t="shared" si="1703"/>
        <v>66832.7333</v>
      </c>
    </row>
    <row r="882">
      <c r="B882" s="1" t="s">
        <v>5499</v>
      </c>
      <c r="C882" s="33"/>
      <c r="D882">
        <f t="shared" ref="D882:O882" si="1706">D880/11</f>
        <v>17520.33618</v>
      </c>
      <c r="E882">
        <f t="shared" si="1706"/>
        <v>10700.23938</v>
      </c>
      <c r="F882">
        <f t="shared" si="1706"/>
        <v>5596.359511</v>
      </c>
      <c r="G882">
        <f t="shared" si="1706"/>
        <v>11695.10062</v>
      </c>
      <c r="H882">
        <f t="shared" si="1706"/>
        <v>16485.58436</v>
      </c>
      <c r="I882">
        <f t="shared" si="1706"/>
        <v>20559.73409</v>
      </c>
      <c r="J882" s="34">
        <f t="shared" si="1706"/>
        <v>2621.5364</v>
      </c>
      <c r="K882">
        <f t="shared" si="1706"/>
        <v>9050.994997</v>
      </c>
      <c r="L882">
        <f t="shared" si="1706"/>
        <v>12055.89156</v>
      </c>
      <c r="M882">
        <f t="shared" si="1706"/>
        <v>13366.54666</v>
      </c>
      <c r="N882">
        <f t="shared" si="1706"/>
        <v>3919.891806</v>
      </c>
      <c r="O882">
        <f t="shared" si="1706"/>
        <v>4680.9967</v>
      </c>
      <c r="P882">
        <f t="shared" si="1702"/>
        <v>128253.2123</v>
      </c>
      <c r="Q882" s="18">
        <f t="shared" si="1703"/>
        <v>6683.27333</v>
      </c>
      <c r="U882" s="23" t="s">
        <v>5463</v>
      </c>
      <c r="V882" s="23" t="s">
        <v>5464</v>
      </c>
      <c r="W882" s="23">
        <v>101.0</v>
      </c>
      <c r="X882" s="23">
        <v>102.0</v>
      </c>
      <c r="Y882" s="23">
        <v>201.0</v>
      </c>
      <c r="Z882" s="23">
        <v>202.0</v>
      </c>
      <c r="AA882" s="23">
        <v>301.0</v>
      </c>
      <c r="AB882" s="23">
        <v>302.0</v>
      </c>
      <c r="AC882" s="23">
        <v>401.0</v>
      </c>
      <c r="AD882" s="23">
        <v>402.0</v>
      </c>
      <c r="AE882" s="23">
        <v>501.0</v>
      </c>
      <c r="AF882" s="23">
        <v>502.0</v>
      </c>
      <c r="AG882" s="23">
        <v>503.0</v>
      </c>
      <c r="AH882" s="23" t="s">
        <v>5466</v>
      </c>
      <c r="AI882" s="23" t="s">
        <v>5467</v>
      </c>
    </row>
    <row r="883">
      <c r="B883" s="1" t="s">
        <v>5809</v>
      </c>
      <c r="C883" s="33"/>
      <c r="D883" s="34">
        <v>16258.935090455114</v>
      </c>
      <c r="E883" s="159">
        <v>6770.387329974129</v>
      </c>
      <c r="F883">
        <v>6770.387329974129</v>
      </c>
      <c r="G883" s="159">
        <v>6211.746996096954</v>
      </c>
      <c r="H883" s="159">
        <v>8938.24534203481</v>
      </c>
      <c r="I883" s="34">
        <v>11347.902901594569</v>
      </c>
      <c r="J883">
        <v>9029.96241177584</v>
      </c>
      <c r="K883">
        <v>6161.719503510939</v>
      </c>
      <c r="L883" s="159">
        <v>8254.536276692595</v>
      </c>
      <c r="M883">
        <v>4209.813501113224</v>
      </c>
      <c r="N883" s="159">
        <v>4844.328865412524</v>
      </c>
      <c r="O883" s="159">
        <v>3702.0344513651644</v>
      </c>
      <c r="P883">
        <f t="shared" si="1702"/>
        <v>92500</v>
      </c>
      <c r="Q883" s="18">
        <f t="shared" si="1703"/>
        <v>2104.906751</v>
      </c>
    </row>
    <row r="884">
      <c r="B884" s="23" t="s">
        <v>5598</v>
      </c>
      <c r="C884" s="33"/>
      <c r="D884" s="18">
        <f t="shared" ref="D884:O884" si="1707">SUM(D879,D880,D883)</f>
        <v>2298982.633</v>
      </c>
      <c r="E884" s="18">
        <f t="shared" si="1707"/>
        <v>3094473.021</v>
      </c>
      <c r="F884" s="18">
        <f t="shared" si="1707"/>
        <v>1773330.342</v>
      </c>
      <c r="G884" s="18">
        <f t="shared" si="1707"/>
        <v>2114857.854</v>
      </c>
      <c r="H884" s="18">
        <f t="shared" si="1707"/>
        <v>1290279.673</v>
      </c>
      <c r="I884" s="18">
        <f t="shared" si="1707"/>
        <v>4087504.978</v>
      </c>
      <c r="J884" s="18">
        <f t="shared" si="1707"/>
        <v>2347866.863</v>
      </c>
      <c r="K884" s="18">
        <f t="shared" si="1707"/>
        <v>2635722.664</v>
      </c>
      <c r="L884" s="18">
        <f t="shared" si="1707"/>
        <v>2230869.343</v>
      </c>
      <c r="M884" s="18">
        <f t="shared" si="1707"/>
        <v>1801241.827</v>
      </c>
      <c r="N884" s="18">
        <f t="shared" si="1707"/>
        <v>1433963.139</v>
      </c>
      <c r="O884" s="18">
        <f t="shared" si="1707"/>
        <v>1320192.998</v>
      </c>
      <c r="P884">
        <f t="shared" si="1702"/>
        <v>26429285.33</v>
      </c>
      <c r="Q884" s="18">
        <f t="shared" si="1703"/>
        <v>900620.9134</v>
      </c>
    </row>
    <row r="885">
      <c r="B885" s="1" t="s">
        <v>5599</v>
      </c>
      <c r="C885" s="33"/>
      <c r="D885">
        <f t="shared" ref="D885:O885" si="1708">SUM(D877,D881,D883)</f>
        <v>2091462.297</v>
      </c>
      <c r="E885">
        <f t="shared" si="1708"/>
        <v>2813772.781</v>
      </c>
      <c r="F885">
        <f t="shared" si="1708"/>
        <v>1612733.982</v>
      </c>
      <c r="G885">
        <f t="shared" si="1708"/>
        <v>1923162.753</v>
      </c>
      <c r="H885">
        <f t="shared" si="1708"/>
        <v>1173794.089</v>
      </c>
      <c r="I885">
        <f t="shared" si="1708"/>
        <v>3716945.244</v>
      </c>
      <c r="J885">
        <f t="shared" si="1708"/>
        <v>2135245.326</v>
      </c>
      <c r="K885">
        <f t="shared" si="1708"/>
        <v>2396671.669</v>
      </c>
      <c r="L885">
        <f t="shared" si="1708"/>
        <v>2028813.452</v>
      </c>
      <c r="M885">
        <f t="shared" si="1708"/>
        <v>1637875.28</v>
      </c>
      <c r="N885">
        <f t="shared" si="1708"/>
        <v>1304043.247</v>
      </c>
      <c r="O885">
        <f t="shared" si="1708"/>
        <v>1200512.001</v>
      </c>
      <c r="P885">
        <f t="shared" si="1702"/>
        <v>24035032.12</v>
      </c>
      <c r="Q885" s="18">
        <f t="shared" si="1703"/>
        <v>818937.6401</v>
      </c>
    </row>
    <row r="886">
      <c r="B886" s="1" t="s">
        <v>5601</v>
      </c>
      <c r="C886" s="33"/>
      <c r="D886">
        <f t="shared" ref="D886:O886" si="1709">SUM(D877,D881)</f>
        <v>2075203.362</v>
      </c>
      <c r="E886">
        <f t="shared" si="1709"/>
        <v>2807002.394</v>
      </c>
      <c r="F886">
        <f t="shared" si="1709"/>
        <v>1605963.595</v>
      </c>
      <c r="G886">
        <f t="shared" si="1709"/>
        <v>1916951.006</v>
      </c>
      <c r="H886">
        <f t="shared" si="1709"/>
        <v>1164855.844</v>
      </c>
      <c r="I886">
        <f t="shared" si="1709"/>
        <v>3705597.341</v>
      </c>
      <c r="J886">
        <f t="shared" si="1709"/>
        <v>2126215.364</v>
      </c>
      <c r="K886">
        <f t="shared" si="1709"/>
        <v>2390509.95</v>
      </c>
      <c r="L886">
        <f t="shared" si="1709"/>
        <v>2020558.916</v>
      </c>
      <c r="M886">
        <f t="shared" si="1709"/>
        <v>1633665.467</v>
      </c>
      <c r="N886">
        <f t="shared" si="1709"/>
        <v>1299198.918</v>
      </c>
      <c r="O886">
        <f t="shared" si="1709"/>
        <v>1196809.967</v>
      </c>
      <c r="P886">
        <f t="shared" si="1702"/>
        <v>23942532.12</v>
      </c>
      <c r="Q886" s="18">
        <f t="shared" si="1703"/>
        <v>816832.7333</v>
      </c>
    </row>
    <row r="887">
      <c r="B887" s="1" t="s">
        <v>5582</v>
      </c>
      <c r="C887" s="33"/>
      <c r="D887">
        <f t="shared" ref="D887:O887" si="1710">SUM(D878,D882)</f>
        <v>207520.3362</v>
      </c>
      <c r="E887">
        <f t="shared" si="1710"/>
        <v>280700.2394</v>
      </c>
      <c r="F887">
        <f t="shared" si="1710"/>
        <v>160596.3595</v>
      </c>
      <c r="G887">
        <f t="shared" si="1710"/>
        <v>191695.1006</v>
      </c>
      <c r="H887">
        <f t="shared" si="1710"/>
        <v>116485.5844</v>
      </c>
      <c r="I887">
        <f t="shared" si="1710"/>
        <v>370559.7341</v>
      </c>
      <c r="J887">
        <f t="shared" si="1710"/>
        <v>212621.5364</v>
      </c>
      <c r="K887">
        <f t="shared" si="1710"/>
        <v>239050.995</v>
      </c>
      <c r="L887">
        <f t="shared" si="1710"/>
        <v>202055.8916</v>
      </c>
      <c r="M887">
        <f t="shared" si="1710"/>
        <v>163366.5467</v>
      </c>
      <c r="N887">
        <f t="shared" si="1710"/>
        <v>129919.8918</v>
      </c>
      <c r="O887">
        <f t="shared" si="1710"/>
        <v>119680.9967</v>
      </c>
      <c r="P887">
        <f t="shared" si="1702"/>
        <v>2394253.212</v>
      </c>
      <c r="Q887" s="18">
        <f t="shared" si="1703"/>
        <v>81683.27333</v>
      </c>
    </row>
    <row r="888">
      <c r="B888" s="1" t="s">
        <v>5602</v>
      </c>
      <c r="C888" s="33"/>
      <c r="D888">
        <f t="shared" ref="D888:O888" si="1711">SUM(D886:D887)</f>
        <v>2282723.698</v>
      </c>
      <c r="E888">
        <f t="shared" si="1711"/>
        <v>3087702.633</v>
      </c>
      <c r="F888">
        <f t="shared" si="1711"/>
        <v>1766559.955</v>
      </c>
      <c r="G888">
        <f t="shared" si="1711"/>
        <v>2108646.107</v>
      </c>
      <c r="H888">
        <f t="shared" si="1711"/>
        <v>1281341.428</v>
      </c>
      <c r="I888">
        <f t="shared" si="1711"/>
        <v>4076157.075</v>
      </c>
      <c r="J888">
        <f t="shared" si="1711"/>
        <v>2338836.9</v>
      </c>
      <c r="K888">
        <f t="shared" si="1711"/>
        <v>2629560.945</v>
      </c>
      <c r="L888">
        <f t="shared" si="1711"/>
        <v>2222614.807</v>
      </c>
      <c r="M888">
        <f t="shared" si="1711"/>
        <v>1797032.013</v>
      </c>
      <c r="N888">
        <f t="shared" si="1711"/>
        <v>1429118.81</v>
      </c>
      <c r="O888">
        <f t="shared" si="1711"/>
        <v>1316490.964</v>
      </c>
      <c r="P888">
        <f t="shared" si="1702"/>
        <v>26336785.33</v>
      </c>
      <c r="Q888" s="18">
        <f t="shared" si="1703"/>
        <v>898516.0066</v>
      </c>
    </row>
    <row r="889">
      <c r="B889" s="1"/>
      <c r="C889" s="33"/>
      <c r="D889" s="33" t="s">
        <v>5566</v>
      </c>
      <c r="E889" s="33" t="s">
        <v>5566</v>
      </c>
      <c r="F889" s="1" t="s">
        <v>5566</v>
      </c>
      <c r="G889" s="2">
        <f>G888-G886</f>
        <v>191695.1006</v>
      </c>
      <c r="H889" s="33" t="s">
        <v>5566</v>
      </c>
      <c r="I889" s="1" t="s">
        <v>5566</v>
      </c>
      <c r="J889" s="1" t="s">
        <v>5566</v>
      </c>
      <c r="K889" s="1" t="s">
        <v>5566</v>
      </c>
      <c r="L889" s="33" t="s">
        <v>5566</v>
      </c>
      <c r="M889" s="1" t="s">
        <v>5566</v>
      </c>
      <c r="N889" s="1" t="s">
        <v>5566</v>
      </c>
      <c r="O889" s="33" t="s">
        <v>5566</v>
      </c>
    </row>
    <row r="890">
      <c r="B890" s="1"/>
      <c r="C890" s="33"/>
      <c r="D890" s="34"/>
      <c r="E890" s="33"/>
      <c r="G890" s="33" t="s">
        <v>5849</v>
      </c>
      <c r="H890" s="33"/>
      <c r="L890" s="33"/>
      <c r="O890" s="33"/>
    </row>
    <row r="891">
      <c r="C891" s="33"/>
      <c r="D891" s="34"/>
      <c r="E891" s="33"/>
      <c r="G891" s="33"/>
      <c r="H891" s="30" t="s">
        <v>5850</v>
      </c>
      <c r="L891" s="33" t="s">
        <v>5851</v>
      </c>
      <c r="M891" s="1" t="s">
        <v>5835</v>
      </c>
      <c r="N891" s="33"/>
      <c r="O891" s="33"/>
      <c r="Q891" s="23" t="s">
        <v>5802</v>
      </c>
    </row>
    <row r="892">
      <c r="B892" s="1" t="s">
        <v>5852</v>
      </c>
      <c r="C892" s="33"/>
      <c r="D892" s="33">
        <v>1900000.0</v>
      </c>
      <c r="E892" s="1">
        <v>2700000.0</v>
      </c>
      <c r="F892" s="1">
        <v>1550000.0</v>
      </c>
      <c r="G892" s="1">
        <v>1800000.0</v>
      </c>
      <c r="H892" s="1">
        <v>2000000.0</v>
      </c>
      <c r="I892" s="1">
        <v>3500000.0</v>
      </c>
      <c r="J892" s="33">
        <v>2100000.0</v>
      </c>
      <c r="K892" s="1">
        <v>2300000.0</v>
      </c>
      <c r="L892" s="1">
        <v>1990000.0</v>
      </c>
      <c r="M892" s="33">
        <v>1500000.0</v>
      </c>
      <c r="N892" s="33">
        <v>1260000.0</v>
      </c>
      <c r="O892" s="1">
        <v>1150000.0</v>
      </c>
      <c r="P892">
        <f t="shared" ref="P892:P900" si="1713">SUM(D892:O892)</f>
        <v>23750000</v>
      </c>
      <c r="Q892" s="18">
        <f t="shared" ref="Q892:Q900" si="1714">M892*0.5</f>
        <v>750000</v>
      </c>
    </row>
    <row r="893">
      <c r="B893" s="1" t="s">
        <v>5499</v>
      </c>
      <c r="C893" s="33"/>
      <c r="D893" s="33">
        <f t="shared" ref="D893:O893" si="1712">D892*0.1</f>
        <v>190000</v>
      </c>
      <c r="E893" s="1">
        <f t="shared" si="1712"/>
        <v>270000</v>
      </c>
      <c r="F893" s="1">
        <f t="shared" si="1712"/>
        <v>155000</v>
      </c>
      <c r="G893" s="1">
        <f t="shared" si="1712"/>
        <v>180000</v>
      </c>
      <c r="H893" s="1">
        <f t="shared" si="1712"/>
        <v>200000</v>
      </c>
      <c r="I893" s="1">
        <f t="shared" si="1712"/>
        <v>350000</v>
      </c>
      <c r="J893" s="33">
        <f t="shared" si="1712"/>
        <v>210000</v>
      </c>
      <c r="K893" s="1">
        <f t="shared" si="1712"/>
        <v>230000</v>
      </c>
      <c r="L893" s="1">
        <f t="shared" si="1712"/>
        <v>199000</v>
      </c>
      <c r="M893" s="33">
        <f t="shared" si="1712"/>
        <v>150000</v>
      </c>
      <c r="N893" s="1">
        <f t="shared" si="1712"/>
        <v>126000</v>
      </c>
      <c r="O893" s="1">
        <f t="shared" si="1712"/>
        <v>115000</v>
      </c>
      <c r="P893">
        <f t="shared" si="1713"/>
        <v>2375000</v>
      </c>
      <c r="Q893" s="18">
        <f t="shared" si="1714"/>
        <v>75000</v>
      </c>
    </row>
    <row r="894">
      <c r="B894" s="1" t="s">
        <v>5520</v>
      </c>
      <c r="C894" s="33"/>
      <c r="D894" s="34">
        <f t="shared" ref="D894:O894" si="1715">D892+D893</f>
        <v>2090000</v>
      </c>
      <c r="E894">
        <f t="shared" si="1715"/>
        <v>2970000</v>
      </c>
      <c r="F894">
        <f t="shared" si="1715"/>
        <v>1705000</v>
      </c>
      <c r="G894">
        <f t="shared" si="1715"/>
        <v>1980000</v>
      </c>
      <c r="H894">
        <f t="shared" si="1715"/>
        <v>2200000</v>
      </c>
      <c r="I894">
        <f t="shared" si="1715"/>
        <v>3850000</v>
      </c>
      <c r="J894" s="34">
        <f t="shared" si="1715"/>
        <v>2310000</v>
      </c>
      <c r="K894">
        <f t="shared" si="1715"/>
        <v>2530000</v>
      </c>
      <c r="L894">
        <f t="shared" si="1715"/>
        <v>2189000</v>
      </c>
      <c r="M894" s="34">
        <f t="shared" si="1715"/>
        <v>1650000</v>
      </c>
      <c r="N894">
        <f t="shared" si="1715"/>
        <v>1386000</v>
      </c>
      <c r="O894">
        <f t="shared" si="1715"/>
        <v>1265000</v>
      </c>
      <c r="P894">
        <f t="shared" si="1713"/>
        <v>26125000</v>
      </c>
      <c r="Q894" s="18">
        <f t="shared" si="1714"/>
        <v>825000</v>
      </c>
    </row>
    <row r="895">
      <c r="B895" s="1" t="s">
        <v>5545</v>
      </c>
      <c r="C895" s="33"/>
      <c r="D895" s="34">
        <v>101547.51216347713</v>
      </c>
      <c r="E895" s="159">
        <v>76239.23126824522</v>
      </c>
      <c r="F895">
        <v>42914.04151800195</v>
      </c>
      <c r="G895" s="159">
        <v>87311.9172883555</v>
      </c>
      <c r="H895" s="159">
        <v>133998.62179695102</v>
      </c>
      <c r="I895">
        <v>174240.3603632825</v>
      </c>
      <c r="J895">
        <v>33551.46967239701</v>
      </c>
      <c r="K895">
        <v>60342.32275260121</v>
      </c>
      <c r="L895" s="159">
        <v>80013.15632621812</v>
      </c>
      <c r="M895" s="134">
        <v>94857.24326954265</v>
      </c>
      <c r="N895" s="159">
        <v>50371.25883879339</v>
      </c>
      <c r="O895" s="159">
        <v>33865.85825494648</v>
      </c>
      <c r="P895">
        <f t="shared" si="1713"/>
        <v>969252.9935</v>
      </c>
      <c r="Q895" s="18">
        <f t="shared" si="1714"/>
        <v>47428.62163</v>
      </c>
    </row>
    <row r="896">
      <c r="C896" s="33"/>
      <c r="D896">
        <f t="shared" ref="D896:O896" si="1716">D895-D897</f>
        <v>92315.92015</v>
      </c>
      <c r="E896">
        <f t="shared" si="1716"/>
        <v>69308.39206</v>
      </c>
      <c r="F896">
        <f t="shared" si="1716"/>
        <v>39012.76502</v>
      </c>
      <c r="G896">
        <f t="shared" si="1716"/>
        <v>79374.47026</v>
      </c>
      <c r="H896">
        <f t="shared" si="1716"/>
        <v>121816.9289</v>
      </c>
      <c r="I896">
        <f t="shared" si="1716"/>
        <v>158400.3276</v>
      </c>
      <c r="J896" s="34">
        <f t="shared" si="1716"/>
        <v>30501.33607</v>
      </c>
      <c r="K896">
        <f t="shared" si="1716"/>
        <v>54856.65705</v>
      </c>
      <c r="L896">
        <f t="shared" si="1716"/>
        <v>72739.23302</v>
      </c>
      <c r="M896">
        <f t="shared" si="1716"/>
        <v>86233.85752</v>
      </c>
      <c r="N896">
        <f t="shared" si="1716"/>
        <v>45792.05349</v>
      </c>
      <c r="O896">
        <f t="shared" si="1716"/>
        <v>30787.14387</v>
      </c>
      <c r="P896">
        <f t="shared" si="1713"/>
        <v>881139.085</v>
      </c>
      <c r="Q896" s="18">
        <f t="shared" si="1714"/>
        <v>43116.92876</v>
      </c>
    </row>
    <row r="897">
      <c r="B897" s="1" t="s">
        <v>5499</v>
      </c>
      <c r="C897" s="33"/>
      <c r="D897">
        <f t="shared" ref="D897:O897" si="1717">D895/11</f>
        <v>9231.592015</v>
      </c>
      <c r="E897">
        <f t="shared" si="1717"/>
        <v>6930.839206</v>
      </c>
      <c r="F897">
        <f t="shared" si="1717"/>
        <v>3901.276502</v>
      </c>
      <c r="G897">
        <f t="shared" si="1717"/>
        <v>7937.447026</v>
      </c>
      <c r="H897">
        <f t="shared" si="1717"/>
        <v>12181.69289</v>
      </c>
      <c r="I897">
        <f t="shared" si="1717"/>
        <v>15840.03276</v>
      </c>
      <c r="J897" s="34">
        <f t="shared" si="1717"/>
        <v>3050.133607</v>
      </c>
      <c r="K897">
        <f t="shared" si="1717"/>
        <v>5485.665705</v>
      </c>
      <c r="L897">
        <f t="shared" si="1717"/>
        <v>7273.923302</v>
      </c>
      <c r="M897">
        <f t="shared" si="1717"/>
        <v>8623.385752</v>
      </c>
      <c r="N897">
        <f t="shared" si="1717"/>
        <v>4579.205349</v>
      </c>
      <c r="O897">
        <f t="shared" si="1717"/>
        <v>3078.714387</v>
      </c>
      <c r="P897">
        <f t="shared" si="1713"/>
        <v>88113.9085</v>
      </c>
      <c r="Q897" s="18">
        <f t="shared" si="1714"/>
        <v>4311.692876</v>
      </c>
    </row>
    <row r="898">
      <c r="B898" s="23" t="s">
        <v>5528</v>
      </c>
      <c r="C898" s="33"/>
      <c r="D898" s="145">
        <f t="shared" ref="D898:O898" si="1718">SUM(D894,D895)</f>
        <v>2191547.512</v>
      </c>
      <c r="E898" s="145">
        <f t="shared" si="1718"/>
        <v>3046239.231</v>
      </c>
      <c r="F898" s="145">
        <f t="shared" si="1718"/>
        <v>1747914.042</v>
      </c>
      <c r="G898" s="145">
        <f t="shared" si="1718"/>
        <v>2067311.917</v>
      </c>
      <c r="H898" s="145">
        <f t="shared" si="1718"/>
        <v>2333998.622</v>
      </c>
      <c r="I898" s="173">
        <f t="shared" si="1718"/>
        <v>4024240.36</v>
      </c>
      <c r="J898" s="145">
        <f t="shared" si="1718"/>
        <v>2343551.47</v>
      </c>
      <c r="K898" s="174">
        <f t="shared" si="1718"/>
        <v>2590342.323</v>
      </c>
      <c r="L898" s="145">
        <f t="shared" si="1718"/>
        <v>2269013.156</v>
      </c>
      <c r="M898" s="145">
        <f t="shared" si="1718"/>
        <v>1744857.243</v>
      </c>
      <c r="N898" s="145">
        <f t="shared" si="1718"/>
        <v>1436371.259</v>
      </c>
      <c r="O898" s="145">
        <f t="shared" si="1718"/>
        <v>1298865.858</v>
      </c>
      <c r="P898">
        <f t="shared" si="1713"/>
        <v>27094252.99</v>
      </c>
      <c r="Q898" s="18">
        <f t="shared" si="1714"/>
        <v>872428.6216</v>
      </c>
    </row>
    <row r="899">
      <c r="B899" s="1" t="s">
        <v>5580</v>
      </c>
      <c r="C899" s="33"/>
      <c r="D899">
        <f t="shared" ref="D899:O899" si="1719">D892+D896</f>
        <v>1992315.92</v>
      </c>
      <c r="E899">
        <f t="shared" si="1719"/>
        <v>2769308.392</v>
      </c>
      <c r="F899">
        <f t="shared" si="1719"/>
        <v>1589012.765</v>
      </c>
      <c r="G899">
        <f t="shared" si="1719"/>
        <v>1879374.47</v>
      </c>
      <c r="H899">
        <f t="shared" si="1719"/>
        <v>2121816.929</v>
      </c>
      <c r="I899">
        <f t="shared" si="1719"/>
        <v>3658400.328</v>
      </c>
      <c r="J899" s="34">
        <f t="shared" si="1719"/>
        <v>2130501.336</v>
      </c>
      <c r="K899">
        <f t="shared" si="1719"/>
        <v>2354856.657</v>
      </c>
      <c r="L899">
        <f t="shared" si="1719"/>
        <v>2062739.233</v>
      </c>
      <c r="M899">
        <f t="shared" si="1719"/>
        <v>1586233.858</v>
      </c>
      <c r="N899">
        <f t="shared" si="1719"/>
        <v>1305792.053</v>
      </c>
      <c r="O899">
        <f t="shared" si="1719"/>
        <v>1180787.144</v>
      </c>
      <c r="P899">
        <f t="shared" si="1713"/>
        <v>24631139.09</v>
      </c>
      <c r="Q899" s="18">
        <f t="shared" si="1714"/>
        <v>793116.9288</v>
      </c>
    </row>
    <row r="900">
      <c r="B900" s="1" t="s">
        <v>5582</v>
      </c>
      <c r="C900" s="33"/>
      <c r="D900">
        <f t="shared" ref="D900:O900" si="1720">D893+D897</f>
        <v>199231.592</v>
      </c>
      <c r="E900">
        <f t="shared" si="1720"/>
        <v>276930.8392</v>
      </c>
      <c r="F900">
        <f t="shared" si="1720"/>
        <v>158901.2765</v>
      </c>
      <c r="G900">
        <f t="shared" si="1720"/>
        <v>187937.447</v>
      </c>
      <c r="H900">
        <f t="shared" si="1720"/>
        <v>212181.6929</v>
      </c>
      <c r="I900">
        <f t="shared" si="1720"/>
        <v>365840.0328</v>
      </c>
      <c r="J900" s="34">
        <f t="shared" si="1720"/>
        <v>213050.1336</v>
      </c>
      <c r="K900">
        <f t="shared" si="1720"/>
        <v>235485.6657</v>
      </c>
      <c r="L900">
        <f t="shared" si="1720"/>
        <v>206273.9233</v>
      </c>
      <c r="M900">
        <f t="shared" si="1720"/>
        <v>158623.3858</v>
      </c>
      <c r="N900">
        <f t="shared" si="1720"/>
        <v>130579.2053</v>
      </c>
      <c r="O900">
        <f t="shared" si="1720"/>
        <v>118078.7144</v>
      </c>
      <c r="P900">
        <f t="shared" si="1713"/>
        <v>2463113.909</v>
      </c>
      <c r="Q900" s="18">
        <f t="shared" si="1714"/>
        <v>79311.69288</v>
      </c>
    </row>
    <row r="901">
      <c r="B901" s="1"/>
      <c r="C901" s="33"/>
      <c r="D901" s="33" t="s">
        <v>5566</v>
      </c>
      <c r="E901" s="33" t="s">
        <v>5566</v>
      </c>
      <c r="F901" s="1" t="s">
        <v>5566</v>
      </c>
      <c r="G901" s="33" t="s">
        <v>5566</v>
      </c>
      <c r="H901" s="33" t="s">
        <v>5566</v>
      </c>
      <c r="I901" s="1" t="s">
        <v>5566</v>
      </c>
      <c r="J901" s="1" t="s">
        <v>5566</v>
      </c>
      <c r="K901" s="1" t="s">
        <v>5566</v>
      </c>
      <c r="L901" s="33" t="s">
        <v>5566</v>
      </c>
      <c r="M901" s="1" t="s">
        <v>5566</v>
      </c>
      <c r="N901" s="1" t="s">
        <v>5566</v>
      </c>
      <c r="O901" s="33" t="s">
        <v>5566</v>
      </c>
    </row>
    <row r="902">
      <c r="B902" s="1"/>
      <c r="C902" s="33"/>
      <c r="D902" s="34"/>
      <c r="E902" s="33"/>
      <c r="G902" s="33"/>
      <c r="H902" s="33"/>
      <c r="L902" s="33"/>
      <c r="O902" s="33"/>
    </row>
    <row r="903">
      <c r="C903" s="33"/>
      <c r="D903" s="34"/>
      <c r="E903" s="33"/>
      <c r="G903" s="33"/>
      <c r="H903" s="30"/>
      <c r="L903" s="33"/>
      <c r="M903" s="1" t="s">
        <v>5835</v>
      </c>
      <c r="N903" s="33"/>
      <c r="O903" s="33"/>
      <c r="Q903" s="23" t="s">
        <v>5802</v>
      </c>
    </row>
    <row r="904">
      <c r="B904" s="1" t="s">
        <v>5853</v>
      </c>
      <c r="C904" s="33"/>
      <c r="D904" s="33">
        <v>1900000.0</v>
      </c>
      <c r="E904" s="1">
        <v>2700000.0</v>
      </c>
      <c r="F904" s="1">
        <v>1550000.0</v>
      </c>
      <c r="G904" s="1">
        <v>1800000.0</v>
      </c>
      <c r="H904" s="1">
        <v>2000000.0</v>
      </c>
      <c r="I904" s="1">
        <v>3500000.0</v>
      </c>
      <c r="J904" s="33">
        <v>2100000.0</v>
      </c>
      <c r="K904" s="1">
        <v>2300000.0</v>
      </c>
      <c r="L904" s="1">
        <v>1990000.0</v>
      </c>
      <c r="M904" s="33">
        <v>1500000.0</v>
      </c>
      <c r="N904" s="33">
        <v>1260000.0</v>
      </c>
      <c r="O904" s="1">
        <v>1150000.0</v>
      </c>
      <c r="P904">
        <f t="shared" ref="P904:P915" si="1722">SUM(D904:O904)</f>
        <v>23750000</v>
      </c>
      <c r="Q904" s="18">
        <f t="shared" ref="Q904:Q915" si="1723">M904*0.5</f>
        <v>750000</v>
      </c>
    </row>
    <row r="905">
      <c r="B905" s="1" t="s">
        <v>5499</v>
      </c>
      <c r="C905" s="33"/>
      <c r="D905" s="33">
        <f t="shared" ref="D905:O905" si="1721">D904*0.1</f>
        <v>190000</v>
      </c>
      <c r="E905" s="1">
        <f t="shared" si="1721"/>
        <v>270000</v>
      </c>
      <c r="F905" s="1">
        <f t="shared" si="1721"/>
        <v>155000</v>
      </c>
      <c r="G905" s="1">
        <f t="shared" si="1721"/>
        <v>180000</v>
      </c>
      <c r="H905" s="1">
        <f t="shared" si="1721"/>
        <v>200000</v>
      </c>
      <c r="I905" s="1">
        <f t="shared" si="1721"/>
        <v>350000</v>
      </c>
      <c r="J905" s="33">
        <f t="shared" si="1721"/>
        <v>210000</v>
      </c>
      <c r="K905" s="1">
        <f t="shared" si="1721"/>
        <v>230000</v>
      </c>
      <c r="L905" s="1">
        <f t="shared" si="1721"/>
        <v>199000</v>
      </c>
      <c r="M905" s="33">
        <f t="shared" si="1721"/>
        <v>150000</v>
      </c>
      <c r="N905" s="1">
        <f t="shared" si="1721"/>
        <v>126000</v>
      </c>
      <c r="O905" s="1">
        <f t="shared" si="1721"/>
        <v>115000</v>
      </c>
      <c r="P905">
        <f t="shared" si="1722"/>
        <v>2375000</v>
      </c>
      <c r="Q905" s="18">
        <f t="shared" si="1723"/>
        <v>75000</v>
      </c>
    </row>
    <row r="906">
      <c r="B906" s="1" t="s">
        <v>5520</v>
      </c>
      <c r="C906" s="33"/>
      <c r="D906" s="34">
        <f t="shared" ref="D906:O906" si="1724">D904+D905</f>
        <v>2090000</v>
      </c>
      <c r="E906">
        <f t="shared" si="1724"/>
        <v>2970000</v>
      </c>
      <c r="F906">
        <f t="shared" si="1724"/>
        <v>1705000</v>
      </c>
      <c r="G906">
        <f t="shared" si="1724"/>
        <v>1980000</v>
      </c>
      <c r="H906">
        <f t="shared" si="1724"/>
        <v>2200000</v>
      </c>
      <c r="I906">
        <f t="shared" si="1724"/>
        <v>3850000</v>
      </c>
      <c r="J906" s="34">
        <f t="shared" si="1724"/>
        <v>2310000</v>
      </c>
      <c r="K906">
        <f t="shared" si="1724"/>
        <v>2530000</v>
      </c>
      <c r="L906">
        <f t="shared" si="1724"/>
        <v>2189000</v>
      </c>
      <c r="M906" s="34">
        <f t="shared" si="1724"/>
        <v>1650000</v>
      </c>
      <c r="N906">
        <f t="shared" si="1724"/>
        <v>1386000</v>
      </c>
      <c r="O906">
        <f t="shared" si="1724"/>
        <v>1265000</v>
      </c>
      <c r="P906">
        <f t="shared" si="1722"/>
        <v>26125000</v>
      </c>
      <c r="Q906" s="18">
        <f t="shared" si="1723"/>
        <v>825000</v>
      </c>
    </row>
    <row r="907">
      <c r="B907" s="1" t="s">
        <v>5545</v>
      </c>
      <c r="C907" s="33"/>
      <c r="D907" s="34">
        <v>96063.60655737705</v>
      </c>
      <c r="E907" s="159">
        <v>65581.88524590163</v>
      </c>
      <c r="F907">
        <v>27341.180327868853</v>
      </c>
      <c r="G907" s="159">
        <v>56570.67213114754</v>
      </c>
      <c r="H907" s="159">
        <v>182931.26229508198</v>
      </c>
      <c r="I907">
        <v>133975.77049180327</v>
      </c>
      <c r="J907">
        <v>33478.45901639344</v>
      </c>
      <c r="K907">
        <v>59110.20120604158</v>
      </c>
      <c r="L907" s="159">
        <v>78231.7824005158</v>
      </c>
      <c r="M907" s="134">
        <v>92409.7868852459</v>
      </c>
      <c r="N907" s="159">
        <v>38835.852459016394</v>
      </c>
      <c r="O907" s="159">
        <v>36988.475409836065</v>
      </c>
      <c r="P907">
        <f t="shared" si="1722"/>
        <v>901518.9344</v>
      </c>
      <c r="Q907" s="18">
        <f t="shared" si="1723"/>
        <v>46204.89344</v>
      </c>
    </row>
    <row r="908">
      <c r="C908" s="33"/>
      <c r="D908">
        <f t="shared" ref="D908:O908" si="1725">D907-D909</f>
        <v>87330.55142</v>
      </c>
      <c r="E908">
        <f t="shared" si="1725"/>
        <v>59619.89568</v>
      </c>
      <c r="F908">
        <f t="shared" si="1725"/>
        <v>24855.61848</v>
      </c>
      <c r="G908">
        <f t="shared" si="1725"/>
        <v>51427.88376</v>
      </c>
      <c r="H908">
        <f t="shared" si="1725"/>
        <v>166301.1475</v>
      </c>
      <c r="I908">
        <f t="shared" si="1725"/>
        <v>121796.155</v>
      </c>
      <c r="J908" s="34">
        <f t="shared" si="1725"/>
        <v>30434.96274</v>
      </c>
      <c r="K908">
        <f t="shared" si="1725"/>
        <v>53736.54655</v>
      </c>
      <c r="L908">
        <f t="shared" si="1725"/>
        <v>71119.80218</v>
      </c>
      <c r="M908">
        <f t="shared" si="1725"/>
        <v>84008.89717</v>
      </c>
      <c r="N908">
        <f t="shared" si="1725"/>
        <v>35305.32042</v>
      </c>
      <c r="O908">
        <f t="shared" si="1725"/>
        <v>33625.88674</v>
      </c>
      <c r="P908">
        <f t="shared" si="1722"/>
        <v>819562.6677</v>
      </c>
      <c r="Q908" s="18">
        <f t="shared" si="1723"/>
        <v>42004.44858</v>
      </c>
    </row>
    <row r="909">
      <c r="B909" s="1" t="s">
        <v>5499</v>
      </c>
      <c r="C909" s="33"/>
      <c r="D909">
        <f t="shared" ref="D909:O909" si="1726">D907/11</f>
        <v>8733.055142</v>
      </c>
      <c r="E909">
        <f t="shared" si="1726"/>
        <v>5961.989568</v>
      </c>
      <c r="F909">
        <f t="shared" si="1726"/>
        <v>2485.561848</v>
      </c>
      <c r="G909">
        <f t="shared" si="1726"/>
        <v>5142.788376</v>
      </c>
      <c r="H909">
        <f t="shared" si="1726"/>
        <v>16630.11475</v>
      </c>
      <c r="I909">
        <f t="shared" si="1726"/>
        <v>12179.6155</v>
      </c>
      <c r="J909" s="34">
        <f t="shared" si="1726"/>
        <v>3043.496274</v>
      </c>
      <c r="K909">
        <f t="shared" si="1726"/>
        <v>5373.654655</v>
      </c>
      <c r="L909">
        <f t="shared" si="1726"/>
        <v>7111.980218</v>
      </c>
      <c r="M909">
        <f t="shared" si="1726"/>
        <v>8400.889717</v>
      </c>
      <c r="N909">
        <f t="shared" si="1726"/>
        <v>3530.532042</v>
      </c>
      <c r="O909">
        <f t="shared" si="1726"/>
        <v>3362.588674</v>
      </c>
      <c r="P909">
        <f t="shared" si="1722"/>
        <v>81956.26677</v>
      </c>
      <c r="Q909" s="18">
        <f t="shared" si="1723"/>
        <v>4200.444858</v>
      </c>
    </row>
    <row r="910">
      <c r="B910" s="1" t="s">
        <v>5816</v>
      </c>
      <c r="C910" s="33"/>
      <c r="D910" s="34">
        <v>37233.84021849845</v>
      </c>
      <c r="E910" s="159">
        <v>15504.552952523456</v>
      </c>
      <c r="F910">
        <v>15504.552952523456</v>
      </c>
      <c r="G910" s="159">
        <v>14225.236391169921</v>
      </c>
      <c r="H910" s="159">
        <v>20469.064981656582</v>
      </c>
      <c r="I910" s="34">
        <v>25987.311044808404</v>
      </c>
      <c r="J910">
        <v>20679.102029042984</v>
      </c>
      <c r="K910">
        <v>14110.670728959158</v>
      </c>
      <c r="L910" s="159">
        <v>18903.33426477614</v>
      </c>
      <c r="M910">
        <v>9640.70047503583</v>
      </c>
      <c r="N910" s="159">
        <v>11093.774957409027</v>
      </c>
      <c r="O910" s="159">
        <v>8477.85900359657</v>
      </c>
      <c r="P910">
        <f t="shared" si="1722"/>
        <v>211830</v>
      </c>
      <c r="Q910" s="18">
        <f t="shared" si="1723"/>
        <v>4820.350238</v>
      </c>
    </row>
    <row r="911">
      <c r="B911" s="23" t="s">
        <v>5598</v>
      </c>
      <c r="C911" s="33"/>
      <c r="D911" s="18">
        <f t="shared" ref="D911:O911" si="1727">SUM(D906,D907,D910)</f>
        <v>2223297.447</v>
      </c>
      <c r="E911" s="18">
        <f t="shared" si="1727"/>
        <v>3051086.438</v>
      </c>
      <c r="F911" s="18">
        <f t="shared" si="1727"/>
        <v>1747845.733</v>
      </c>
      <c r="G911" s="18">
        <f t="shared" si="1727"/>
        <v>2050795.909</v>
      </c>
      <c r="H911" s="18">
        <f t="shared" si="1727"/>
        <v>2403400.327</v>
      </c>
      <c r="I911" s="18">
        <f t="shared" si="1727"/>
        <v>4009963.082</v>
      </c>
      <c r="J911" s="18">
        <f t="shared" si="1727"/>
        <v>2364157.561</v>
      </c>
      <c r="K911" s="18">
        <f t="shared" si="1727"/>
        <v>2603220.872</v>
      </c>
      <c r="L911" s="18">
        <f t="shared" si="1727"/>
        <v>2286135.117</v>
      </c>
      <c r="M911" s="18">
        <f t="shared" si="1727"/>
        <v>1752050.487</v>
      </c>
      <c r="N911" s="18">
        <f t="shared" si="1727"/>
        <v>1435929.627</v>
      </c>
      <c r="O911" s="18">
        <f t="shared" si="1727"/>
        <v>1310466.334</v>
      </c>
      <c r="P911">
        <f t="shared" si="1722"/>
        <v>27238348.93</v>
      </c>
      <c r="Q911" s="18">
        <f t="shared" si="1723"/>
        <v>876025.2437</v>
      </c>
    </row>
    <row r="912">
      <c r="B912" s="1" t="s">
        <v>5599</v>
      </c>
      <c r="C912" s="33"/>
      <c r="D912">
        <f t="shared" ref="D912:O912" si="1728">SUM(D904,D908,D910)</f>
        <v>2024564.392</v>
      </c>
      <c r="E912">
        <f t="shared" si="1728"/>
        <v>2775124.449</v>
      </c>
      <c r="F912">
        <f t="shared" si="1728"/>
        <v>1590360.171</v>
      </c>
      <c r="G912">
        <f t="shared" si="1728"/>
        <v>1865653.12</v>
      </c>
      <c r="H912">
        <f t="shared" si="1728"/>
        <v>2186770.213</v>
      </c>
      <c r="I912">
        <f t="shared" si="1728"/>
        <v>3647783.466</v>
      </c>
      <c r="J912">
        <f t="shared" si="1728"/>
        <v>2151114.065</v>
      </c>
      <c r="K912">
        <f t="shared" si="1728"/>
        <v>2367847.217</v>
      </c>
      <c r="L912">
        <f t="shared" si="1728"/>
        <v>2080023.136</v>
      </c>
      <c r="M912">
        <f t="shared" si="1728"/>
        <v>1593649.598</v>
      </c>
      <c r="N912">
        <f t="shared" si="1728"/>
        <v>1306399.095</v>
      </c>
      <c r="O912">
        <f t="shared" si="1728"/>
        <v>1192103.746</v>
      </c>
      <c r="P912">
        <f t="shared" si="1722"/>
        <v>24781392.67</v>
      </c>
      <c r="Q912" s="18">
        <f t="shared" si="1723"/>
        <v>796824.7988</v>
      </c>
    </row>
    <row r="913">
      <c r="B913" s="1" t="s">
        <v>5601</v>
      </c>
      <c r="C913" s="33"/>
      <c r="D913">
        <f t="shared" ref="D913:O913" si="1729">SUM(D904,D908)</f>
        <v>1987330.551</v>
      </c>
      <c r="E913">
        <f t="shared" si="1729"/>
        <v>2759619.896</v>
      </c>
      <c r="F913">
        <f t="shared" si="1729"/>
        <v>1574855.618</v>
      </c>
      <c r="G913">
        <f t="shared" si="1729"/>
        <v>1851427.884</v>
      </c>
      <c r="H913">
        <f t="shared" si="1729"/>
        <v>2166301.148</v>
      </c>
      <c r="I913">
        <f t="shared" si="1729"/>
        <v>3621796.155</v>
      </c>
      <c r="J913">
        <f t="shared" si="1729"/>
        <v>2130434.963</v>
      </c>
      <c r="K913">
        <f t="shared" si="1729"/>
        <v>2353736.547</v>
      </c>
      <c r="L913">
        <f t="shared" si="1729"/>
        <v>2061119.802</v>
      </c>
      <c r="M913">
        <f t="shared" si="1729"/>
        <v>1584008.897</v>
      </c>
      <c r="N913">
        <f t="shared" si="1729"/>
        <v>1295305.32</v>
      </c>
      <c r="O913">
        <f t="shared" si="1729"/>
        <v>1183625.887</v>
      </c>
      <c r="P913">
        <f t="shared" si="1722"/>
        <v>24569562.67</v>
      </c>
      <c r="Q913" s="18">
        <f t="shared" si="1723"/>
        <v>792004.4486</v>
      </c>
    </row>
    <row r="914">
      <c r="B914" s="1" t="s">
        <v>5582</v>
      </c>
      <c r="C914" s="33"/>
      <c r="D914">
        <f t="shared" ref="D914:O914" si="1730">SUM(D905,D909)</f>
        <v>198733.0551</v>
      </c>
      <c r="E914">
        <f t="shared" si="1730"/>
        <v>275961.9896</v>
      </c>
      <c r="F914">
        <f t="shared" si="1730"/>
        <v>157485.5618</v>
      </c>
      <c r="G914">
        <f t="shared" si="1730"/>
        <v>185142.7884</v>
      </c>
      <c r="H914">
        <f t="shared" si="1730"/>
        <v>216630.1148</v>
      </c>
      <c r="I914">
        <f t="shared" si="1730"/>
        <v>362179.6155</v>
      </c>
      <c r="J914">
        <f t="shared" si="1730"/>
        <v>213043.4963</v>
      </c>
      <c r="K914">
        <f t="shared" si="1730"/>
        <v>235373.6547</v>
      </c>
      <c r="L914">
        <f t="shared" si="1730"/>
        <v>206111.9802</v>
      </c>
      <c r="M914">
        <f t="shared" si="1730"/>
        <v>158400.8897</v>
      </c>
      <c r="N914">
        <f t="shared" si="1730"/>
        <v>129530.532</v>
      </c>
      <c r="O914">
        <f t="shared" si="1730"/>
        <v>118362.5887</v>
      </c>
      <c r="P914">
        <f t="shared" si="1722"/>
        <v>2456956.267</v>
      </c>
      <c r="Q914" s="18">
        <f t="shared" si="1723"/>
        <v>79200.44486</v>
      </c>
    </row>
    <row r="915">
      <c r="B915" s="1" t="s">
        <v>5602</v>
      </c>
      <c r="C915" s="33"/>
      <c r="D915">
        <f t="shared" ref="D915:O915" si="1731">SUM(D913:D914)</f>
        <v>2186063.607</v>
      </c>
      <c r="E915">
        <f t="shared" si="1731"/>
        <v>3035581.885</v>
      </c>
      <c r="F915">
        <f t="shared" si="1731"/>
        <v>1732341.18</v>
      </c>
      <c r="G915">
        <f t="shared" si="1731"/>
        <v>2036570.672</v>
      </c>
      <c r="H915">
        <f t="shared" si="1731"/>
        <v>2382931.262</v>
      </c>
      <c r="I915">
        <f t="shared" si="1731"/>
        <v>3983975.77</v>
      </c>
      <c r="J915">
        <f t="shared" si="1731"/>
        <v>2343478.459</v>
      </c>
      <c r="K915">
        <f t="shared" si="1731"/>
        <v>2589110.201</v>
      </c>
      <c r="L915">
        <f t="shared" si="1731"/>
        <v>2267231.782</v>
      </c>
      <c r="M915">
        <f t="shared" si="1731"/>
        <v>1742409.787</v>
      </c>
      <c r="N915">
        <f t="shared" si="1731"/>
        <v>1424835.852</v>
      </c>
      <c r="O915">
        <f t="shared" si="1731"/>
        <v>1301988.475</v>
      </c>
      <c r="P915">
        <f t="shared" si="1722"/>
        <v>27026518.93</v>
      </c>
      <c r="Q915" s="18">
        <f t="shared" si="1723"/>
        <v>871204.8934</v>
      </c>
    </row>
    <row r="916">
      <c r="B916" s="1"/>
      <c r="C916" s="33"/>
      <c r="D916" s="33" t="s">
        <v>5566</v>
      </c>
      <c r="E916" s="33" t="s">
        <v>5566</v>
      </c>
      <c r="F916" s="1" t="s">
        <v>5566</v>
      </c>
      <c r="G916" s="33" t="s">
        <v>5566</v>
      </c>
      <c r="H916" s="33" t="s">
        <v>5566</v>
      </c>
      <c r="I916" s="1" t="s">
        <v>5566</v>
      </c>
      <c r="J916" s="1" t="s">
        <v>5566</v>
      </c>
      <c r="K916" s="1" t="s">
        <v>5566</v>
      </c>
      <c r="L916" s="33" t="s">
        <v>5566</v>
      </c>
      <c r="M916" s="1" t="s">
        <v>5566</v>
      </c>
      <c r="N916" s="1" t="s">
        <v>5566</v>
      </c>
      <c r="O916" s="33" t="s">
        <v>5566</v>
      </c>
    </row>
    <row r="917">
      <c r="B917" s="1"/>
      <c r="C917" s="33"/>
      <c r="D917" s="34"/>
      <c r="E917" s="33"/>
      <c r="G917" s="33"/>
      <c r="H917" s="33"/>
      <c r="L917" s="33"/>
      <c r="O917" s="33"/>
    </row>
    <row r="918">
      <c r="C918" s="33"/>
      <c r="D918" s="34"/>
      <c r="E918" s="33"/>
      <c r="G918" s="33"/>
      <c r="H918" s="30"/>
      <c r="L918" s="33"/>
      <c r="M918" s="1" t="s">
        <v>5835</v>
      </c>
      <c r="N918" s="33"/>
      <c r="O918" s="2" t="s">
        <v>5854</v>
      </c>
      <c r="Q918" s="23" t="s">
        <v>5802</v>
      </c>
    </row>
    <row r="919">
      <c r="B919" s="1" t="s">
        <v>5855</v>
      </c>
      <c r="C919" s="33"/>
      <c r="D919" s="33">
        <v>1900000.0</v>
      </c>
      <c r="E919" s="1">
        <v>2700000.0</v>
      </c>
      <c r="F919" s="1">
        <v>1550000.0</v>
      </c>
      <c r="G919" s="1">
        <v>1800000.0</v>
      </c>
      <c r="H919" s="1">
        <v>2000000.0</v>
      </c>
      <c r="I919" s="1">
        <v>3500000.0</v>
      </c>
      <c r="J919" s="33">
        <v>2100000.0</v>
      </c>
      <c r="K919" s="1">
        <v>2300000.0</v>
      </c>
      <c r="L919" s="1">
        <v>1990000.0</v>
      </c>
      <c r="M919" s="33">
        <v>1500000.0</v>
      </c>
      <c r="N919" s="33">
        <v>1260000.0</v>
      </c>
      <c r="O919" s="1">
        <v>1150000.0</v>
      </c>
      <c r="P919">
        <f t="shared" ref="P919:P927" si="1733">SUM(D919:O919)</f>
        <v>23750000</v>
      </c>
      <c r="Q919" s="18">
        <f t="shared" ref="Q919:Q927" si="1734">M919*0.5</f>
        <v>750000</v>
      </c>
    </row>
    <row r="920">
      <c r="B920" s="1" t="s">
        <v>5499</v>
      </c>
      <c r="C920" s="33"/>
      <c r="D920" s="33">
        <f t="shared" ref="D920:O920" si="1732">D919*0.1</f>
        <v>190000</v>
      </c>
      <c r="E920" s="1">
        <f t="shared" si="1732"/>
        <v>270000</v>
      </c>
      <c r="F920" s="1">
        <f t="shared" si="1732"/>
        <v>155000</v>
      </c>
      <c r="G920" s="1">
        <f t="shared" si="1732"/>
        <v>180000</v>
      </c>
      <c r="H920" s="1">
        <f t="shared" si="1732"/>
        <v>200000</v>
      </c>
      <c r="I920" s="1">
        <f t="shared" si="1732"/>
        <v>350000</v>
      </c>
      <c r="J920" s="33">
        <f t="shared" si="1732"/>
        <v>210000</v>
      </c>
      <c r="K920" s="1">
        <f t="shared" si="1732"/>
        <v>230000</v>
      </c>
      <c r="L920" s="1">
        <f t="shared" si="1732"/>
        <v>199000</v>
      </c>
      <c r="M920" s="33">
        <f t="shared" si="1732"/>
        <v>150000</v>
      </c>
      <c r="N920" s="1">
        <f t="shared" si="1732"/>
        <v>126000</v>
      </c>
      <c r="O920" s="1">
        <f t="shared" si="1732"/>
        <v>115000</v>
      </c>
      <c r="P920">
        <f t="shared" si="1733"/>
        <v>2375000</v>
      </c>
      <c r="Q920" s="18">
        <f t="shared" si="1734"/>
        <v>75000</v>
      </c>
    </row>
    <row r="921">
      <c r="B921" s="1" t="s">
        <v>5520</v>
      </c>
      <c r="C921" s="33"/>
      <c r="D921" s="34">
        <f t="shared" ref="D921:O921" si="1735">D919+D920</f>
        <v>2090000</v>
      </c>
      <c r="E921">
        <f t="shared" si="1735"/>
        <v>2970000</v>
      </c>
      <c r="F921">
        <f t="shared" si="1735"/>
        <v>1705000</v>
      </c>
      <c r="G921">
        <f t="shared" si="1735"/>
        <v>1980000</v>
      </c>
      <c r="H921">
        <f t="shared" si="1735"/>
        <v>2200000</v>
      </c>
      <c r="I921">
        <f t="shared" si="1735"/>
        <v>3850000</v>
      </c>
      <c r="J921" s="34">
        <f t="shared" si="1735"/>
        <v>2310000</v>
      </c>
      <c r="K921">
        <f t="shared" si="1735"/>
        <v>2530000</v>
      </c>
      <c r="L921">
        <f t="shared" si="1735"/>
        <v>2189000</v>
      </c>
      <c r="M921" s="34">
        <f t="shared" si="1735"/>
        <v>1650000</v>
      </c>
      <c r="N921">
        <f t="shared" si="1735"/>
        <v>1386000</v>
      </c>
      <c r="O921">
        <f t="shared" si="1735"/>
        <v>1265000</v>
      </c>
      <c r="P921">
        <f t="shared" si="1733"/>
        <v>26125000</v>
      </c>
      <c r="Q921" s="18">
        <f t="shared" si="1734"/>
        <v>825000</v>
      </c>
    </row>
    <row r="922">
      <c r="B922" s="1" t="s">
        <v>5545</v>
      </c>
      <c r="C922" s="33"/>
      <c r="D922" s="34">
        <v>98035.72452636968</v>
      </c>
      <c r="E922" s="159">
        <v>75398.05256869773</v>
      </c>
      <c r="F922">
        <v>27566.8424645844</v>
      </c>
      <c r="G922" s="159">
        <v>75377.50076804915</v>
      </c>
      <c r="H922" s="159">
        <v>190756.6030039256</v>
      </c>
      <c r="I922">
        <v>160268.770609319</v>
      </c>
      <c r="J922">
        <v>65154.0360129715</v>
      </c>
      <c r="K922">
        <v>66130.93735885661</v>
      </c>
      <c r="L922" s="159">
        <v>87545.0541072639</v>
      </c>
      <c r="M922" s="134">
        <v>122661.02526028332</v>
      </c>
      <c r="N922" s="159">
        <v>61137.674859190985</v>
      </c>
      <c r="O922" s="159">
        <v>39595.374125277354</v>
      </c>
      <c r="P922">
        <f t="shared" si="1733"/>
        <v>1069627.596</v>
      </c>
      <c r="Q922" s="18">
        <f t="shared" si="1734"/>
        <v>61330.51263</v>
      </c>
    </row>
    <row r="923">
      <c r="C923" s="33"/>
      <c r="D923">
        <f t="shared" ref="D923:O923" si="1736">D922-D924</f>
        <v>89123.38593</v>
      </c>
      <c r="E923">
        <f t="shared" si="1736"/>
        <v>68543.68415</v>
      </c>
      <c r="F923">
        <f t="shared" si="1736"/>
        <v>25060.76588</v>
      </c>
      <c r="G923">
        <f t="shared" si="1736"/>
        <v>68525.0007</v>
      </c>
      <c r="H923">
        <f t="shared" si="1736"/>
        <v>173415.0936</v>
      </c>
      <c r="I923">
        <f t="shared" si="1736"/>
        <v>145698.8824</v>
      </c>
      <c r="J923" s="34">
        <f t="shared" si="1736"/>
        <v>59230.94183</v>
      </c>
      <c r="K923">
        <f t="shared" si="1736"/>
        <v>60119.03396</v>
      </c>
      <c r="L923">
        <f t="shared" si="1736"/>
        <v>79586.41282</v>
      </c>
      <c r="M923">
        <f t="shared" si="1736"/>
        <v>111510.023</v>
      </c>
      <c r="N923">
        <f t="shared" si="1736"/>
        <v>55579.70442</v>
      </c>
      <c r="O923">
        <f t="shared" si="1736"/>
        <v>35995.79466</v>
      </c>
      <c r="P923">
        <f t="shared" si="1733"/>
        <v>972388.7233</v>
      </c>
      <c r="Q923" s="18">
        <f t="shared" si="1734"/>
        <v>55755.01148</v>
      </c>
    </row>
    <row r="924">
      <c r="B924" s="1" t="s">
        <v>5499</v>
      </c>
      <c r="C924" s="33"/>
      <c r="D924">
        <f t="shared" ref="D924:O924" si="1737">D922/11</f>
        <v>8912.338593</v>
      </c>
      <c r="E924">
        <f t="shared" si="1737"/>
        <v>6854.368415</v>
      </c>
      <c r="F924">
        <f t="shared" si="1737"/>
        <v>2506.076588</v>
      </c>
      <c r="G924">
        <f t="shared" si="1737"/>
        <v>6852.50007</v>
      </c>
      <c r="H924">
        <f t="shared" si="1737"/>
        <v>17341.50936</v>
      </c>
      <c r="I924">
        <f t="shared" si="1737"/>
        <v>14569.88824</v>
      </c>
      <c r="J924" s="34">
        <f t="shared" si="1737"/>
        <v>5923.094183</v>
      </c>
      <c r="K924">
        <f t="shared" si="1737"/>
        <v>6011.903396</v>
      </c>
      <c r="L924">
        <f t="shared" si="1737"/>
        <v>7958.641282</v>
      </c>
      <c r="M924">
        <f t="shared" si="1737"/>
        <v>11151.0023</v>
      </c>
      <c r="N924">
        <f t="shared" si="1737"/>
        <v>5557.970442</v>
      </c>
      <c r="O924">
        <f t="shared" si="1737"/>
        <v>3599.579466</v>
      </c>
      <c r="P924">
        <f t="shared" si="1733"/>
        <v>97238.87233</v>
      </c>
      <c r="Q924" s="18">
        <f t="shared" si="1734"/>
        <v>5575.501148</v>
      </c>
    </row>
    <row r="925">
      <c r="B925" s="23" t="s">
        <v>5528</v>
      </c>
      <c r="C925" s="33"/>
      <c r="D925" s="145">
        <f t="shared" ref="D925:O925" si="1738">SUM(D921,D922)</f>
        <v>2188035.725</v>
      </c>
      <c r="E925" s="145">
        <f t="shared" si="1738"/>
        <v>3045398.053</v>
      </c>
      <c r="F925" s="145">
        <f t="shared" si="1738"/>
        <v>1732566.842</v>
      </c>
      <c r="G925" s="145">
        <f t="shared" si="1738"/>
        <v>2055377.501</v>
      </c>
      <c r="H925" s="145">
        <f t="shared" si="1738"/>
        <v>2390756.603</v>
      </c>
      <c r="I925" s="173">
        <f t="shared" si="1738"/>
        <v>4010268.771</v>
      </c>
      <c r="J925" s="145">
        <f t="shared" si="1738"/>
        <v>2375154.036</v>
      </c>
      <c r="K925" s="174">
        <f t="shared" si="1738"/>
        <v>2596130.937</v>
      </c>
      <c r="L925" s="145">
        <f t="shared" si="1738"/>
        <v>2276545.054</v>
      </c>
      <c r="M925" s="145">
        <f t="shared" si="1738"/>
        <v>1772661.025</v>
      </c>
      <c r="N925" s="145">
        <f t="shared" si="1738"/>
        <v>1447137.675</v>
      </c>
      <c r="O925" s="145">
        <f t="shared" si="1738"/>
        <v>1304595.374</v>
      </c>
      <c r="P925">
        <f t="shared" si="1733"/>
        <v>27194627.6</v>
      </c>
      <c r="Q925" s="18">
        <f t="shared" si="1734"/>
        <v>886330.5126</v>
      </c>
    </row>
    <row r="926">
      <c r="B926" s="1" t="s">
        <v>5580</v>
      </c>
      <c r="C926" s="33"/>
      <c r="D926">
        <f t="shared" ref="D926:O926" si="1739">D919+D923</f>
        <v>1989123.386</v>
      </c>
      <c r="E926">
        <f t="shared" si="1739"/>
        <v>2768543.684</v>
      </c>
      <c r="F926">
        <f t="shared" si="1739"/>
        <v>1575060.766</v>
      </c>
      <c r="G926">
        <f t="shared" si="1739"/>
        <v>1868525.001</v>
      </c>
      <c r="H926">
        <f t="shared" si="1739"/>
        <v>2173415.094</v>
      </c>
      <c r="I926">
        <f t="shared" si="1739"/>
        <v>3645698.882</v>
      </c>
      <c r="J926" s="34">
        <f t="shared" si="1739"/>
        <v>2159230.942</v>
      </c>
      <c r="K926">
        <f t="shared" si="1739"/>
        <v>2360119.034</v>
      </c>
      <c r="L926">
        <f t="shared" si="1739"/>
        <v>2069586.413</v>
      </c>
      <c r="M926">
        <f t="shared" si="1739"/>
        <v>1611510.023</v>
      </c>
      <c r="N926">
        <f t="shared" si="1739"/>
        <v>1315579.704</v>
      </c>
      <c r="O926">
        <f t="shared" si="1739"/>
        <v>1185995.795</v>
      </c>
      <c r="P926">
        <f t="shared" si="1733"/>
        <v>24722388.72</v>
      </c>
      <c r="Q926" s="18">
        <f t="shared" si="1734"/>
        <v>805755.0115</v>
      </c>
    </row>
    <row r="927">
      <c r="B927" s="1" t="s">
        <v>5582</v>
      </c>
      <c r="C927" s="33"/>
      <c r="D927">
        <f t="shared" ref="D927:O927" si="1740">D920+D924</f>
        <v>198912.3386</v>
      </c>
      <c r="E927">
        <f t="shared" si="1740"/>
        <v>276854.3684</v>
      </c>
      <c r="F927">
        <f t="shared" si="1740"/>
        <v>157506.0766</v>
      </c>
      <c r="G927">
        <f t="shared" si="1740"/>
        <v>186852.5001</v>
      </c>
      <c r="H927">
        <f t="shared" si="1740"/>
        <v>217341.5094</v>
      </c>
      <c r="I927">
        <f t="shared" si="1740"/>
        <v>364569.8882</v>
      </c>
      <c r="J927" s="34">
        <f t="shared" si="1740"/>
        <v>215923.0942</v>
      </c>
      <c r="K927">
        <f t="shared" si="1740"/>
        <v>236011.9034</v>
      </c>
      <c r="L927">
        <f t="shared" si="1740"/>
        <v>206958.6413</v>
      </c>
      <c r="M927">
        <f t="shared" si="1740"/>
        <v>161151.0023</v>
      </c>
      <c r="N927">
        <f t="shared" si="1740"/>
        <v>131557.9704</v>
      </c>
      <c r="O927">
        <f t="shared" si="1740"/>
        <v>118599.5795</v>
      </c>
      <c r="P927">
        <f t="shared" si="1733"/>
        <v>2472238.872</v>
      </c>
      <c r="Q927" s="18">
        <f t="shared" si="1734"/>
        <v>80575.50115</v>
      </c>
    </row>
    <row r="928">
      <c r="B928" s="1"/>
      <c r="C928" s="33"/>
      <c r="D928" s="33" t="s">
        <v>5566</v>
      </c>
      <c r="E928" s="33" t="s">
        <v>5566</v>
      </c>
      <c r="F928" s="1" t="s">
        <v>5566</v>
      </c>
      <c r="G928" s="33" t="s">
        <v>5566</v>
      </c>
      <c r="H928" s="33" t="s">
        <v>5566</v>
      </c>
      <c r="I928" s="1" t="s">
        <v>5566</v>
      </c>
      <c r="J928" s="1" t="s">
        <v>5566</v>
      </c>
      <c r="K928" s="33" t="s">
        <v>5566</v>
      </c>
      <c r="L928" s="33" t="s">
        <v>5566</v>
      </c>
      <c r="M928" s="1" t="s">
        <v>5566</v>
      </c>
      <c r="N928" s="1" t="s">
        <v>5566</v>
      </c>
      <c r="O928" s="33" t="s">
        <v>5566</v>
      </c>
    </row>
    <row r="929">
      <c r="B929" s="1"/>
      <c r="C929" s="33"/>
      <c r="D929" s="34"/>
      <c r="E929" s="33"/>
      <c r="G929" s="33"/>
      <c r="H929" s="33"/>
      <c r="J929" s="5" t="s">
        <v>5856</v>
      </c>
      <c r="L929" s="33"/>
      <c r="N929" s="5" t="s">
        <v>5857</v>
      </c>
      <c r="O929" s="2" t="s">
        <v>5858</v>
      </c>
    </row>
    <row r="930">
      <c r="B930" s="1"/>
      <c r="C930" s="33"/>
      <c r="D930" s="34"/>
      <c r="E930" s="33"/>
      <c r="G930" s="33"/>
      <c r="H930" s="33"/>
      <c r="L930" s="33"/>
      <c r="N930" s="1" t="s">
        <v>5859</v>
      </c>
      <c r="O930" s="33"/>
      <c r="Q930" s="23" t="s">
        <v>5802</v>
      </c>
    </row>
    <row r="931">
      <c r="B931" s="1" t="s">
        <v>5860</v>
      </c>
      <c r="C931" s="33"/>
      <c r="D931" s="33">
        <v>1900000.0</v>
      </c>
      <c r="E931" s="1">
        <v>2700000.0</v>
      </c>
      <c r="F931" s="1">
        <v>1550000.0</v>
      </c>
      <c r="G931" s="1">
        <v>1800000.0</v>
      </c>
      <c r="H931" s="1">
        <v>2000000.0</v>
      </c>
      <c r="I931" s="1">
        <v>3500000.0</v>
      </c>
      <c r="J931" s="5">
        <v>2150000.0</v>
      </c>
      <c r="K931" s="1">
        <v>2300000.0</v>
      </c>
      <c r="L931" s="1">
        <v>1990000.0</v>
      </c>
      <c r="M931" s="33">
        <v>1500000.0</v>
      </c>
      <c r="N931" s="33">
        <v>1260000.0</v>
      </c>
      <c r="O931" s="1">
        <v>1150000.0</v>
      </c>
      <c r="P931">
        <f t="shared" ref="P931:P942" si="1742">SUM(D931:O931)</f>
        <v>23800000</v>
      </c>
      <c r="Q931" s="18">
        <f t="shared" ref="Q931:Q942" si="1743">M931*0.5</f>
        <v>750000</v>
      </c>
    </row>
    <row r="932">
      <c r="B932" s="1" t="s">
        <v>5499</v>
      </c>
      <c r="C932" s="33"/>
      <c r="D932" s="33">
        <f t="shared" ref="D932:O932" si="1741">D931*0.1</f>
        <v>190000</v>
      </c>
      <c r="E932" s="1">
        <f t="shared" si="1741"/>
        <v>270000</v>
      </c>
      <c r="F932" s="1">
        <f t="shared" si="1741"/>
        <v>155000</v>
      </c>
      <c r="G932" s="1">
        <f t="shared" si="1741"/>
        <v>180000</v>
      </c>
      <c r="H932" s="1">
        <f t="shared" si="1741"/>
        <v>200000</v>
      </c>
      <c r="I932" s="1">
        <f t="shared" si="1741"/>
        <v>350000</v>
      </c>
      <c r="J932" s="33">
        <f t="shared" si="1741"/>
        <v>215000</v>
      </c>
      <c r="K932" s="1">
        <f t="shared" si="1741"/>
        <v>230000</v>
      </c>
      <c r="L932" s="1">
        <f t="shared" si="1741"/>
        <v>199000</v>
      </c>
      <c r="M932" s="33">
        <f t="shared" si="1741"/>
        <v>150000</v>
      </c>
      <c r="N932" s="1">
        <f t="shared" si="1741"/>
        <v>126000</v>
      </c>
      <c r="O932" s="1">
        <f t="shared" si="1741"/>
        <v>115000</v>
      </c>
      <c r="P932">
        <f t="shared" si="1742"/>
        <v>2380000</v>
      </c>
      <c r="Q932" s="18">
        <f t="shared" si="1743"/>
        <v>75000</v>
      </c>
    </row>
    <row r="933">
      <c r="B933" s="1" t="s">
        <v>5520</v>
      </c>
      <c r="C933" s="33"/>
      <c r="D933" s="34">
        <f t="shared" ref="D933:O933" si="1744">D931+D932</f>
        <v>2090000</v>
      </c>
      <c r="E933">
        <f t="shared" si="1744"/>
        <v>2970000</v>
      </c>
      <c r="F933">
        <f t="shared" si="1744"/>
        <v>1705000</v>
      </c>
      <c r="G933">
        <f t="shared" si="1744"/>
        <v>1980000</v>
      </c>
      <c r="H933">
        <f t="shared" si="1744"/>
        <v>2200000</v>
      </c>
      <c r="I933">
        <f t="shared" si="1744"/>
        <v>3850000</v>
      </c>
      <c r="J933" s="34">
        <f t="shared" si="1744"/>
        <v>2365000</v>
      </c>
      <c r="K933">
        <f t="shared" si="1744"/>
        <v>2530000</v>
      </c>
      <c r="L933">
        <f t="shared" si="1744"/>
        <v>2189000</v>
      </c>
      <c r="M933" s="34">
        <f t="shared" si="1744"/>
        <v>1650000</v>
      </c>
      <c r="N933">
        <f t="shared" si="1744"/>
        <v>1386000</v>
      </c>
      <c r="O933">
        <f t="shared" si="1744"/>
        <v>1265000</v>
      </c>
      <c r="P933">
        <f t="shared" si="1742"/>
        <v>26180000</v>
      </c>
      <c r="Q933" s="18">
        <f t="shared" si="1743"/>
        <v>825000</v>
      </c>
    </row>
    <row r="934">
      <c r="B934" s="1" t="s">
        <v>5545</v>
      </c>
      <c r="C934" s="33"/>
      <c r="D934" s="34">
        <v>115666.0265461734</v>
      </c>
      <c r="E934" s="159">
        <v>99079.954815024</v>
      </c>
      <c r="F934">
        <v>31862.71674668173</v>
      </c>
      <c r="G934" s="159">
        <v>139526.1406382378</v>
      </c>
      <c r="H934" s="159">
        <v>220710.59700649534</v>
      </c>
      <c r="I934">
        <v>207179.8542784524</v>
      </c>
      <c r="J934">
        <v>155457.49901157865</v>
      </c>
      <c r="K934">
        <v>132194.41129532934</v>
      </c>
      <c r="L934" s="159">
        <v>175883.49551065767</v>
      </c>
      <c r="M934" s="134">
        <v>150219.79214911044</v>
      </c>
      <c r="N934" s="159">
        <v>108972.85060717311</v>
      </c>
      <c r="O934" s="159">
        <v>8801.706862468229</v>
      </c>
      <c r="P934">
        <f t="shared" si="1742"/>
        <v>1545555.045</v>
      </c>
      <c r="Q934" s="18">
        <f t="shared" si="1743"/>
        <v>75109.89607</v>
      </c>
    </row>
    <row r="935">
      <c r="C935" s="33"/>
      <c r="D935">
        <f t="shared" ref="D935:O935" si="1745">D934-D936</f>
        <v>105150.9332</v>
      </c>
      <c r="E935">
        <f t="shared" si="1745"/>
        <v>90072.6862</v>
      </c>
      <c r="F935">
        <f t="shared" si="1745"/>
        <v>28966.10613</v>
      </c>
      <c r="G935">
        <f t="shared" si="1745"/>
        <v>126841.946</v>
      </c>
      <c r="H935">
        <f t="shared" si="1745"/>
        <v>200645.9973</v>
      </c>
      <c r="I935">
        <f t="shared" si="1745"/>
        <v>188345.3221</v>
      </c>
      <c r="J935" s="34">
        <f t="shared" si="1745"/>
        <v>141324.9991</v>
      </c>
      <c r="K935">
        <f t="shared" si="1745"/>
        <v>120176.7375</v>
      </c>
      <c r="L935">
        <f t="shared" si="1745"/>
        <v>159894.0868</v>
      </c>
      <c r="M935">
        <f t="shared" si="1745"/>
        <v>136563.4474</v>
      </c>
      <c r="N935">
        <f t="shared" si="1745"/>
        <v>99066.22782</v>
      </c>
      <c r="O935">
        <f t="shared" si="1745"/>
        <v>8001.551693</v>
      </c>
      <c r="P935">
        <f t="shared" si="1742"/>
        <v>1405050.041</v>
      </c>
      <c r="Q935" s="18">
        <f t="shared" si="1743"/>
        <v>68281.7237</v>
      </c>
    </row>
    <row r="936">
      <c r="B936" s="1" t="s">
        <v>5499</v>
      </c>
      <c r="C936" s="33"/>
      <c r="D936">
        <f t="shared" ref="D936:O936" si="1746">D934/11</f>
        <v>10515.09332</v>
      </c>
      <c r="E936">
        <f t="shared" si="1746"/>
        <v>9007.26862</v>
      </c>
      <c r="F936">
        <f t="shared" si="1746"/>
        <v>2896.610613</v>
      </c>
      <c r="G936">
        <f t="shared" si="1746"/>
        <v>12684.1946</v>
      </c>
      <c r="H936">
        <f t="shared" si="1746"/>
        <v>20064.59973</v>
      </c>
      <c r="I936">
        <f t="shared" si="1746"/>
        <v>18834.53221</v>
      </c>
      <c r="J936" s="34">
        <f t="shared" si="1746"/>
        <v>14132.49991</v>
      </c>
      <c r="K936">
        <f t="shared" si="1746"/>
        <v>12017.67375</v>
      </c>
      <c r="L936">
        <f t="shared" si="1746"/>
        <v>15989.40868</v>
      </c>
      <c r="M936">
        <f t="shared" si="1746"/>
        <v>13656.34474</v>
      </c>
      <c r="N936">
        <f t="shared" si="1746"/>
        <v>9906.622782</v>
      </c>
      <c r="O936">
        <f t="shared" si="1746"/>
        <v>800.1551693</v>
      </c>
      <c r="P936">
        <f t="shared" si="1742"/>
        <v>140505.0041</v>
      </c>
      <c r="Q936" s="18">
        <f t="shared" si="1743"/>
        <v>6828.17237</v>
      </c>
    </row>
    <row r="937">
      <c r="B937" s="1" t="s">
        <v>5777</v>
      </c>
      <c r="C937" s="33"/>
      <c r="D937" s="34">
        <v>78071.01199758425</v>
      </c>
      <c r="E937" s="159">
        <v>32509.57012412226</v>
      </c>
      <c r="F937">
        <v>32509.57012412226</v>
      </c>
      <c r="G937" s="159">
        <v>29827.130224718087</v>
      </c>
      <c r="H937" s="159">
        <v>42919.03839046683</v>
      </c>
      <c r="I937">
        <v>54489.56273267291</v>
      </c>
      <c r="J937">
        <v>43359.438970966024</v>
      </c>
      <c r="K937">
        <v>29586.911726263985</v>
      </c>
      <c r="L937" s="159">
        <v>39636.05224492739</v>
      </c>
      <c r="M937">
        <v>20214.38664491297</v>
      </c>
      <c r="N937">
        <v>23261.157933639206</v>
      </c>
      <c r="O937" s="159">
        <v>17776.168885603798</v>
      </c>
      <c r="P937">
        <f t="shared" si="1742"/>
        <v>444160</v>
      </c>
      <c r="Q937" s="18">
        <f t="shared" si="1743"/>
        <v>10107.19332</v>
      </c>
    </row>
    <row r="938">
      <c r="B938" s="23" t="s">
        <v>5598</v>
      </c>
      <c r="C938" s="33"/>
      <c r="D938" s="18">
        <f t="shared" ref="D938:O938" si="1747">SUM(D933,D934,D937)</f>
        <v>2283737.039</v>
      </c>
      <c r="E938" s="18">
        <f t="shared" si="1747"/>
        <v>3101589.525</v>
      </c>
      <c r="F938" s="18">
        <f t="shared" si="1747"/>
        <v>1769372.287</v>
      </c>
      <c r="G938" s="18">
        <f t="shared" si="1747"/>
        <v>2149353.271</v>
      </c>
      <c r="H938" s="18">
        <f t="shared" si="1747"/>
        <v>2463629.635</v>
      </c>
      <c r="I938" s="18">
        <f t="shared" si="1747"/>
        <v>4111669.417</v>
      </c>
      <c r="J938" s="18">
        <f t="shared" si="1747"/>
        <v>2563816.938</v>
      </c>
      <c r="K938" s="18">
        <f t="shared" si="1747"/>
        <v>2691781.323</v>
      </c>
      <c r="L938" s="18">
        <f t="shared" si="1747"/>
        <v>2404519.548</v>
      </c>
      <c r="M938" s="18">
        <f t="shared" si="1747"/>
        <v>1820434.179</v>
      </c>
      <c r="N938" s="18">
        <f t="shared" si="1747"/>
        <v>1518234.009</v>
      </c>
      <c r="O938" s="18">
        <f t="shared" si="1747"/>
        <v>1291577.876</v>
      </c>
      <c r="P938">
        <f t="shared" si="1742"/>
        <v>28169715.05</v>
      </c>
      <c r="Q938" s="18">
        <f t="shared" si="1743"/>
        <v>910217.0894</v>
      </c>
    </row>
    <row r="939">
      <c r="B939" s="1" t="s">
        <v>5599</v>
      </c>
      <c r="C939" s="33"/>
      <c r="D939">
        <f t="shared" ref="D939:O939" si="1748">SUM(D931,D935,D937)</f>
        <v>2083221.945</v>
      </c>
      <c r="E939">
        <f t="shared" si="1748"/>
        <v>2822582.256</v>
      </c>
      <c r="F939">
        <f t="shared" si="1748"/>
        <v>1611475.676</v>
      </c>
      <c r="G939">
        <f t="shared" si="1748"/>
        <v>1956669.076</v>
      </c>
      <c r="H939">
        <f t="shared" si="1748"/>
        <v>2243565.036</v>
      </c>
      <c r="I939">
        <f t="shared" si="1748"/>
        <v>3742834.885</v>
      </c>
      <c r="J939">
        <f t="shared" si="1748"/>
        <v>2334684.438</v>
      </c>
      <c r="K939">
        <f t="shared" si="1748"/>
        <v>2449763.649</v>
      </c>
      <c r="L939">
        <f t="shared" si="1748"/>
        <v>2189530.139</v>
      </c>
      <c r="M939">
        <f t="shared" si="1748"/>
        <v>1656777.834</v>
      </c>
      <c r="N939">
        <f t="shared" si="1748"/>
        <v>1382327.386</v>
      </c>
      <c r="O939">
        <f t="shared" si="1748"/>
        <v>1175777.721</v>
      </c>
      <c r="P939">
        <f t="shared" si="1742"/>
        <v>25649210.04</v>
      </c>
      <c r="Q939" s="18">
        <f t="shared" si="1743"/>
        <v>828388.917</v>
      </c>
    </row>
    <row r="940">
      <c r="B940" s="1" t="s">
        <v>5601</v>
      </c>
      <c r="C940" s="33"/>
      <c r="D940">
        <f t="shared" ref="D940:O940" si="1749">SUM(D931,D935)</f>
        <v>2005150.933</v>
      </c>
      <c r="E940">
        <f t="shared" si="1749"/>
        <v>2790072.686</v>
      </c>
      <c r="F940">
        <f t="shared" si="1749"/>
        <v>1578966.106</v>
      </c>
      <c r="G940">
        <f t="shared" si="1749"/>
        <v>1926841.946</v>
      </c>
      <c r="H940">
        <f t="shared" si="1749"/>
        <v>2200645.997</v>
      </c>
      <c r="I940">
        <f t="shared" si="1749"/>
        <v>3688345.322</v>
      </c>
      <c r="J940">
        <f t="shared" si="1749"/>
        <v>2291324.999</v>
      </c>
      <c r="K940">
        <f t="shared" si="1749"/>
        <v>2420176.738</v>
      </c>
      <c r="L940">
        <f t="shared" si="1749"/>
        <v>2149894.087</v>
      </c>
      <c r="M940">
        <f t="shared" si="1749"/>
        <v>1636563.447</v>
      </c>
      <c r="N940">
        <f t="shared" si="1749"/>
        <v>1359066.228</v>
      </c>
      <c r="O940">
        <f t="shared" si="1749"/>
        <v>1158001.552</v>
      </c>
      <c r="P940">
        <f t="shared" si="1742"/>
        <v>25205050.04</v>
      </c>
      <c r="Q940" s="18">
        <f t="shared" si="1743"/>
        <v>818281.7237</v>
      </c>
    </row>
    <row r="941">
      <c r="B941" s="1" t="s">
        <v>5582</v>
      </c>
      <c r="C941" s="33"/>
      <c r="D941">
        <f t="shared" ref="D941:O941" si="1750">SUM(D932,D936)</f>
        <v>200515.0933</v>
      </c>
      <c r="E941">
        <f t="shared" si="1750"/>
        <v>279007.2686</v>
      </c>
      <c r="F941">
        <f t="shared" si="1750"/>
        <v>157896.6106</v>
      </c>
      <c r="G941">
        <f t="shared" si="1750"/>
        <v>192684.1946</v>
      </c>
      <c r="H941">
        <f t="shared" si="1750"/>
        <v>220064.5997</v>
      </c>
      <c r="I941">
        <f t="shared" si="1750"/>
        <v>368834.5322</v>
      </c>
      <c r="J941">
        <f t="shared" si="1750"/>
        <v>229132.4999</v>
      </c>
      <c r="K941">
        <f t="shared" si="1750"/>
        <v>242017.6738</v>
      </c>
      <c r="L941">
        <f t="shared" si="1750"/>
        <v>214989.4087</v>
      </c>
      <c r="M941">
        <f t="shared" si="1750"/>
        <v>163656.3447</v>
      </c>
      <c r="N941">
        <f t="shared" si="1750"/>
        <v>135906.6228</v>
      </c>
      <c r="O941">
        <f t="shared" si="1750"/>
        <v>115800.1552</v>
      </c>
      <c r="P941">
        <f t="shared" si="1742"/>
        <v>2520505.004</v>
      </c>
      <c r="Q941" s="18">
        <f t="shared" si="1743"/>
        <v>81828.17237</v>
      </c>
    </row>
    <row r="942">
      <c r="B942" s="1" t="s">
        <v>5602</v>
      </c>
      <c r="C942" s="33"/>
      <c r="D942">
        <f t="shared" ref="D942:O942" si="1751">SUM(D940:D941)</f>
        <v>2205666.027</v>
      </c>
      <c r="E942">
        <f t="shared" si="1751"/>
        <v>3069079.955</v>
      </c>
      <c r="F942">
        <f t="shared" si="1751"/>
        <v>1736862.717</v>
      </c>
      <c r="G942">
        <f t="shared" si="1751"/>
        <v>2119526.141</v>
      </c>
      <c r="H942">
        <f t="shared" si="1751"/>
        <v>2420710.597</v>
      </c>
      <c r="I942">
        <f t="shared" si="1751"/>
        <v>4057179.854</v>
      </c>
      <c r="J942">
        <f t="shared" si="1751"/>
        <v>2520457.499</v>
      </c>
      <c r="K942">
        <f t="shared" si="1751"/>
        <v>2662194.411</v>
      </c>
      <c r="L942">
        <f t="shared" si="1751"/>
        <v>2364883.496</v>
      </c>
      <c r="M942">
        <f t="shared" si="1751"/>
        <v>1800219.792</v>
      </c>
      <c r="N942">
        <f t="shared" si="1751"/>
        <v>1494972.851</v>
      </c>
      <c r="O942">
        <f t="shared" si="1751"/>
        <v>1273801.707</v>
      </c>
      <c r="P942">
        <f t="shared" si="1742"/>
        <v>27725555.05</v>
      </c>
      <c r="Q942" s="18">
        <f t="shared" si="1743"/>
        <v>900109.8961</v>
      </c>
    </row>
    <row r="943">
      <c r="B943" s="1"/>
      <c r="C943" s="33"/>
      <c r="D943" s="33" t="s">
        <v>5566</v>
      </c>
      <c r="E943" s="33" t="s">
        <v>5566</v>
      </c>
      <c r="F943" s="1" t="s">
        <v>5566</v>
      </c>
      <c r="G943" s="33" t="s">
        <v>5566</v>
      </c>
      <c r="H943" s="33" t="s">
        <v>5566</v>
      </c>
      <c r="I943" s="1" t="s">
        <v>5566</v>
      </c>
      <c r="J943" s="1" t="s">
        <v>5566</v>
      </c>
      <c r="K943" s="33" t="s">
        <v>5566</v>
      </c>
      <c r="L943" s="33" t="s">
        <v>5566</v>
      </c>
      <c r="M943" s="1" t="s">
        <v>5566</v>
      </c>
      <c r="N943" s="1" t="s">
        <v>5566</v>
      </c>
      <c r="O943" s="33" t="s">
        <v>5566</v>
      </c>
    </row>
    <row r="944">
      <c r="B944" s="1"/>
      <c r="C944" s="33"/>
      <c r="D944" s="34"/>
      <c r="E944" s="33"/>
      <c r="G944" s="33"/>
      <c r="H944" s="33"/>
      <c r="L944" s="33"/>
      <c r="M944" s="5" t="s">
        <v>5861</v>
      </c>
      <c r="N944" s="5" t="s">
        <v>5857</v>
      </c>
      <c r="O944" s="2" t="s">
        <v>5858</v>
      </c>
    </row>
    <row r="945">
      <c r="B945" s="1"/>
      <c r="C945" s="33"/>
      <c r="D945" s="34"/>
      <c r="E945" s="33"/>
      <c r="G945" s="33"/>
      <c r="H945" s="33"/>
      <c r="L945" s="33"/>
      <c r="N945" s="1" t="s">
        <v>5862</v>
      </c>
      <c r="O945" s="33"/>
      <c r="Q945" s="23" t="s">
        <v>5802</v>
      </c>
    </row>
    <row r="946">
      <c r="B946" s="1" t="s">
        <v>5863</v>
      </c>
      <c r="C946" s="33"/>
      <c r="D946" s="33">
        <v>1900000.0</v>
      </c>
      <c r="E946" s="1">
        <v>2700000.0</v>
      </c>
      <c r="F946" s="1">
        <v>1550000.0</v>
      </c>
      <c r="G946" s="1">
        <v>1800000.0</v>
      </c>
      <c r="H946" s="1">
        <v>2000000.0</v>
      </c>
      <c r="I946" s="1">
        <v>3500000.0</v>
      </c>
      <c r="J946" s="5">
        <v>2150000.0</v>
      </c>
      <c r="K946" s="1">
        <v>2300000.0</v>
      </c>
      <c r="L946" s="1">
        <v>1990000.0</v>
      </c>
      <c r="M946" s="33">
        <v>1500000.0</v>
      </c>
      <c r="N946" s="33">
        <v>90000.0</v>
      </c>
      <c r="O946" s="1">
        <v>1200000.0</v>
      </c>
      <c r="P946">
        <f t="shared" ref="P946:P954" si="1753">SUM(D946:O946)</f>
        <v>22680000</v>
      </c>
      <c r="Q946" s="18">
        <f t="shared" ref="Q946:Q954" si="1754">M946*0.5</f>
        <v>750000</v>
      </c>
    </row>
    <row r="947">
      <c r="B947" s="1" t="s">
        <v>5499</v>
      </c>
      <c r="C947" s="33"/>
      <c r="D947" s="33">
        <f t="shared" ref="D947:O947" si="1752">D946*0.1</f>
        <v>190000</v>
      </c>
      <c r="E947" s="1">
        <f t="shared" si="1752"/>
        <v>270000</v>
      </c>
      <c r="F947" s="1">
        <f t="shared" si="1752"/>
        <v>155000</v>
      </c>
      <c r="G947" s="1">
        <f t="shared" si="1752"/>
        <v>180000</v>
      </c>
      <c r="H947" s="1">
        <f t="shared" si="1752"/>
        <v>200000</v>
      </c>
      <c r="I947" s="1">
        <f t="shared" si="1752"/>
        <v>350000</v>
      </c>
      <c r="J947" s="33">
        <f t="shared" si="1752"/>
        <v>215000</v>
      </c>
      <c r="K947" s="1">
        <f t="shared" si="1752"/>
        <v>230000</v>
      </c>
      <c r="L947" s="1">
        <f t="shared" si="1752"/>
        <v>199000</v>
      </c>
      <c r="M947" s="33">
        <f t="shared" si="1752"/>
        <v>150000</v>
      </c>
      <c r="N947" s="1">
        <f t="shared" si="1752"/>
        <v>9000</v>
      </c>
      <c r="O947" s="1">
        <f t="shared" si="1752"/>
        <v>120000</v>
      </c>
      <c r="P947">
        <f t="shared" si="1753"/>
        <v>2268000</v>
      </c>
      <c r="Q947" s="18">
        <f t="shared" si="1754"/>
        <v>75000</v>
      </c>
    </row>
    <row r="948">
      <c r="B948" s="1" t="s">
        <v>5520</v>
      </c>
      <c r="C948" s="33"/>
      <c r="D948" s="34">
        <f t="shared" ref="D948:O948" si="1755">D946+D947</f>
        <v>2090000</v>
      </c>
      <c r="E948">
        <f t="shared" si="1755"/>
        <v>2970000</v>
      </c>
      <c r="F948">
        <f t="shared" si="1755"/>
        <v>1705000</v>
      </c>
      <c r="G948">
        <f t="shared" si="1755"/>
        <v>1980000</v>
      </c>
      <c r="H948">
        <f t="shared" si="1755"/>
        <v>2200000</v>
      </c>
      <c r="I948">
        <f t="shared" si="1755"/>
        <v>3850000</v>
      </c>
      <c r="J948" s="34">
        <f t="shared" si="1755"/>
        <v>2365000</v>
      </c>
      <c r="K948">
        <f t="shared" si="1755"/>
        <v>2530000</v>
      </c>
      <c r="L948">
        <f t="shared" si="1755"/>
        <v>2189000</v>
      </c>
      <c r="M948" s="34">
        <f t="shared" si="1755"/>
        <v>1650000</v>
      </c>
      <c r="N948">
        <f t="shared" si="1755"/>
        <v>99000</v>
      </c>
      <c r="O948">
        <f t="shared" si="1755"/>
        <v>1320000</v>
      </c>
      <c r="P948">
        <f t="shared" si="1753"/>
        <v>24948000</v>
      </c>
      <c r="Q948" s="18">
        <f t="shared" si="1754"/>
        <v>825000</v>
      </c>
    </row>
    <row r="949">
      <c r="B949" s="1" t="s">
        <v>5545</v>
      </c>
      <c r="C949" s="33"/>
      <c r="D949" s="34">
        <v>112425.39100160685</v>
      </c>
      <c r="E949" s="159">
        <v>92218.91537225495</v>
      </c>
      <c r="F949">
        <v>28160.08837707552</v>
      </c>
      <c r="G949" s="159">
        <v>159883.77986073916</v>
      </c>
      <c r="H949" s="159">
        <v>228456.81949651847</v>
      </c>
      <c r="I949">
        <v>176435.8928762721</v>
      </c>
      <c r="J949">
        <v>106358.11569362614</v>
      </c>
      <c r="K949">
        <v>151469.1601871474</v>
      </c>
      <c r="L949" s="159">
        <v>201617.58807209195</v>
      </c>
      <c r="M949" s="134">
        <v>168052.35511515802</v>
      </c>
      <c r="N949" s="178">
        <f>135378.054097483-52728</f>
        <v>82650.0541</v>
      </c>
      <c r="O949" s="159">
        <v>44878.838778789504</v>
      </c>
      <c r="P949">
        <f t="shared" si="1753"/>
        <v>1552606.999</v>
      </c>
      <c r="Q949" s="18">
        <f t="shared" si="1754"/>
        <v>84026.17756</v>
      </c>
      <c r="R949">
        <f>P949+52728</f>
        <v>1605334.999</v>
      </c>
    </row>
    <row r="950">
      <c r="C950" s="33"/>
      <c r="D950">
        <f t="shared" ref="D950:O950" si="1756">D949-D951</f>
        <v>102204.9009</v>
      </c>
      <c r="E950">
        <f t="shared" si="1756"/>
        <v>83835.37761</v>
      </c>
      <c r="F950">
        <f t="shared" si="1756"/>
        <v>25600.08034</v>
      </c>
      <c r="G950">
        <f t="shared" si="1756"/>
        <v>145348.8908</v>
      </c>
      <c r="H950">
        <f t="shared" si="1756"/>
        <v>207688.0177</v>
      </c>
      <c r="I950">
        <f t="shared" si="1756"/>
        <v>160396.2663</v>
      </c>
      <c r="J950" s="34">
        <f t="shared" si="1756"/>
        <v>96689.19609</v>
      </c>
      <c r="K950">
        <f t="shared" si="1756"/>
        <v>137699.2365</v>
      </c>
      <c r="L950">
        <f t="shared" si="1756"/>
        <v>183288.7164</v>
      </c>
      <c r="M950">
        <f t="shared" si="1756"/>
        <v>152774.8683</v>
      </c>
      <c r="N950">
        <f t="shared" si="1756"/>
        <v>75136.41282</v>
      </c>
      <c r="O950">
        <f t="shared" si="1756"/>
        <v>40798.94434</v>
      </c>
      <c r="P950">
        <f t="shared" si="1753"/>
        <v>1411460.908</v>
      </c>
      <c r="Q950" s="18">
        <f t="shared" si="1754"/>
        <v>76387.43414</v>
      </c>
    </row>
    <row r="951">
      <c r="B951" s="1" t="s">
        <v>5499</v>
      </c>
      <c r="C951" s="33"/>
      <c r="D951">
        <f t="shared" ref="D951:O951" si="1757">D949/11</f>
        <v>10220.49009</v>
      </c>
      <c r="E951">
        <f t="shared" si="1757"/>
        <v>8383.537761</v>
      </c>
      <c r="F951">
        <f t="shared" si="1757"/>
        <v>2560.008034</v>
      </c>
      <c r="G951">
        <f t="shared" si="1757"/>
        <v>14534.88908</v>
      </c>
      <c r="H951">
        <f t="shared" si="1757"/>
        <v>20768.80177</v>
      </c>
      <c r="I951">
        <f t="shared" si="1757"/>
        <v>16039.62663</v>
      </c>
      <c r="J951" s="34">
        <f t="shared" si="1757"/>
        <v>9668.919609</v>
      </c>
      <c r="K951">
        <f t="shared" si="1757"/>
        <v>13769.92365</v>
      </c>
      <c r="L951">
        <f t="shared" si="1757"/>
        <v>18328.87164</v>
      </c>
      <c r="M951">
        <f t="shared" si="1757"/>
        <v>15277.48683</v>
      </c>
      <c r="N951">
        <f t="shared" si="1757"/>
        <v>7513.641282</v>
      </c>
      <c r="O951">
        <f t="shared" si="1757"/>
        <v>4079.894434</v>
      </c>
      <c r="P951">
        <f t="shared" si="1753"/>
        <v>141146.0908</v>
      </c>
      <c r="Q951" s="18">
        <f t="shared" si="1754"/>
        <v>7638.743414</v>
      </c>
    </row>
    <row r="952">
      <c r="B952" s="23" t="s">
        <v>5528</v>
      </c>
      <c r="C952" s="33"/>
      <c r="D952" s="145">
        <f t="shared" ref="D952:O952" si="1758">SUM(D948,D949)</f>
        <v>2202425.391</v>
      </c>
      <c r="E952" s="145">
        <f t="shared" si="1758"/>
        <v>3062218.915</v>
      </c>
      <c r="F952" s="145">
        <f t="shared" si="1758"/>
        <v>1733160.088</v>
      </c>
      <c r="G952" s="145">
        <f t="shared" si="1758"/>
        <v>2139883.78</v>
      </c>
      <c r="H952" s="145">
        <f t="shared" si="1758"/>
        <v>2428456.819</v>
      </c>
      <c r="I952" s="173">
        <f t="shared" si="1758"/>
        <v>4026435.893</v>
      </c>
      <c r="J952" s="145">
        <f t="shared" si="1758"/>
        <v>2471358.116</v>
      </c>
      <c r="K952" s="174">
        <f t="shared" si="1758"/>
        <v>2681469.16</v>
      </c>
      <c r="L952" s="145">
        <f t="shared" si="1758"/>
        <v>2390617.588</v>
      </c>
      <c r="M952" s="145">
        <f t="shared" si="1758"/>
        <v>1818052.355</v>
      </c>
      <c r="N952" s="145">
        <f t="shared" si="1758"/>
        <v>181650.0541</v>
      </c>
      <c r="O952" s="145">
        <f t="shared" si="1758"/>
        <v>1364878.839</v>
      </c>
      <c r="P952">
        <f t="shared" si="1753"/>
        <v>26500607</v>
      </c>
      <c r="Q952" s="18">
        <f t="shared" si="1754"/>
        <v>909026.1776</v>
      </c>
    </row>
    <row r="953">
      <c r="B953" s="1" t="s">
        <v>5580</v>
      </c>
      <c r="C953" s="33"/>
      <c r="D953">
        <f t="shared" ref="D953:O953" si="1759">D946+D950</f>
        <v>2002204.901</v>
      </c>
      <c r="E953">
        <f t="shared" si="1759"/>
        <v>2783835.378</v>
      </c>
      <c r="F953">
        <f t="shared" si="1759"/>
        <v>1575600.08</v>
      </c>
      <c r="G953">
        <f t="shared" si="1759"/>
        <v>1945348.891</v>
      </c>
      <c r="H953">
        <f t="shared" si="1759"/>
        <v>2207688.018</v>
      </c>
      <c r="I953">
        <f t="shared" si="1759"/>
        <v>3660396.266</v>
      </c>
      <c r="J953" s="34">
        <f t="shared" si="1759"/>
        <v>2246689.196</v>
      </c>
      <c r="K953">
        <f t="shared" si="1759"/>
        <v>2437699.237</v>
      </c>
      <c r="L953">
        <f t="shared" si="1759"/>
        <v>2173288.716</v>
      </c>
      <c r="M953">
        <f t="shared" si="1759"/>
        <v>1652774.868</v>
      </c>
      <c r="N953">
        <f t="shared" si="1759"/>
        <v>165136.4128</v>
      </c>
      <c r="O953">
        <f t="shared" si="1759"/>
        <v>1240798.944</v>
      </c>
      <c r="P953">
        <f t="shared" si="1753"/>
        <v>24091460.91</v>
      </c>
      <c r="Q953" s="18">
        <f t="shared" si="1754"/>
        <v>826387.4341</v>
      </c>
    </row>
    <row r="954">
      <c r="B954" s="1" t="s">
        <v>5582</v>
      </c>
      <c r="C954" s="33"/>
      <c r="D954">
        <f t="shared" ref="D954:O954" si="1760">D947+D951</f>
        <v>200220.4901</v>
      </c>
      <c r="E954">
        <f t="shared" si="1760"/>
        <v>278383.5378</v>
      </c>
      <c r="F954">
        <f t="shared" si="1760"/>
        <v>157560.008</v>
      </c>
      <c r="G954">
        <f t="shared" si="1760"/>
        <v>194534.8891</v>
      </c>
      <c r="H954">
        <f t="shared" si="1760"/>
        <v>220768.8018</v>
      </c>
      <c r="I954">
        <f t="shared" si="1760"/>
        <v>366039.6266</v>
      </c>
      <c r="J954" s="34">
        <f t="shared" si="1760"/>
        <v>224668.9196</v>
      </c>
      <c r="K954">
        <f t="shared" si="1760"/>
        <v>243769.9237</v>
      </c>
      <c r="L954">
        <f t="shared" si="1760"/>
        <v>217328.8716</v>
      </c>
      <c r="M954">
        <f t="shared" si="1760"/>
        <v>165277.4868</v>
      </c>
      <c r="N954">
        <f t="shared" si="1760"/>
        <v>16513.64128</v>
      </c>
      <c r="O954">
        <f t="shared" si="1760"/>
        <v>124079.8944</v>
      </c>
      <c r="P954">
        <f t="shared" si="1753"/>
        <v>2409146.091</v>
      </c>
      <c r="Q954" s="18">
        <f t="shared" si="1754"/>
        <v>82638.74341</v>
      </c>
    </row>
    <row r="955">
      <c r="B955" s="1"/>
      <c r="C955" s="33"/>
      <c r="D955" s="33" t="s">
        <v>5566</v>
      </c>
      <c r="E955" s="33" t="s">
        <v>5566</v>
      </c>
      <c r="F955" s="1" t="s">
        <v>5566</v>
      </c>
      <c r="G955" s="33" t="s">
        <v>5566</v>
      </c>
      <c r="H955" s="33" t="s">
        <v>5566</v>
      </c>
      <c r="I955" s="1" t="s">
        <v>5566</v>
      </c>
      <c r="J955" s="1" t="s">
        <v>5566</v>
      </c>
      <c r="K955" s="33" t="s">
        <v>5566</v>
      </c>
      <c r="L955" s="33" t="s">
        <v>5566</v>
      </c>
      <c r="M955" s="1" t="s">
        <v>5566</v>
      </c>
      <c r="N955" s="1" t="s">
        <v>5566</v>
      </c>
      <c r="O955" s="33" t="s">
        <v>5566</v>
      </c>
    </row>
    <row r="956">
      <c r="B956" s="1"/>
      <c r="C956" s="33"/>
      <c r="D956" s="34"/>
      <c r="E956" s="33"/>
      <c r="G956" s="33"/>
      <c r="H956" s="33"/>
      <c r="L956" s="33"/>
      <c r="M956" s="5" t="s">
        <v>5861</v>
      </c>
      <c r="N956" s="5" t="s">
        <v>5857</v>
      </c>
      <c r="O956" s="33"/>
    </row>
    <row r="957">
      <c r="B957" s="1"/>
      <c r="C957" s="33"/>
      <c r="D957" s="34"/>
      <c r="E957" s="33"/>
      <c r="G957" s="33"/>
      <c r="H957" s="33"/>
      <c r="L957" s="33"/>
      <c r="O957" s="33"/>
      <c r="Q957" s="23" t="s">
        <v>5802</v>
      </c>
    </row>
    <row r="958">
      <c r="B958" s="1" t="s">
        <v>5864</v>
      </c>
      <c r="C958" s="33"/>
      <c r="D958" s="33">
        <v>1900000.0</v>
      </c>
      <c r="E958" s="1">
        <v>2700000.0</v>
      </c>
      <c r="F958" s="1">
        <v>1550000.0</v>
      </c>
      <c r="G958" s="1">
        <v>1800000.0</v>
      </c>
      <c r="H958" s="1">
        <v>2000000.0</v>
      </c>
      <c r="I958" s="1">
        <v>3500000.0</v>
      </c>
      <c r="J958" s="33">
        <v>2150000.0</v>
      </c>
      <c r="K958" s="1">
        <v>2300000.0</v>
      </c>
      <c r="L958" s="1">
        <v>1990000.0</v>
      </c>
      <c r="M958" s="99">
        <f>1500000*6/30+1570000*24/30</f>
        <v>1556000</v>
      </c>
      <c r="N958" s="99">
        <v>1350000.0</v>
      </c>
      <c r="O958" s="1">
        <v>1200000.0</v>
      </c>
      <c r="P958">
        <f t="shared" ref="P958:P969" si="1762">SUM(D958:O958)</f>
        <v>23996000</v>
      </c>
      <c r="Q958" s="18">
        <f t="shared" ref="Q958:Q969" si="1763">M958*0.5</f>
        <v>778000</v>
      </c>
    </row>
    <row r="959">
      <c r="B959" s="1" t="s">
        <v>5499</v>
      </c>
      <c r="C959" s="33"/>
      <c r="D959" s="33">
        <f t="shared" ref="D959:O959" si="1761">D958*0.1</f>
        <v>190000</v>
      </c>
      <c r="E959" s="1">
        <f t="shared" si="1761"/>
        <v>270000</v>
      </c>
      <c r="F959" s="1">
        <f t="shared" si="1761"/>
        <v>155000</v>
      </c>
      <c r="G959" s="1">
        <f t="shared" si="1761"/>
        <v>180000</v>
      </c>
      <c r="H959" s="1">
        <f t="shared" si="1761"/>
        <v>200000</v>
      </c>
      <c r="I959" s="1">
        <f t="shared" si="1761"/>
        <v>350000</v>
      </c>
      <c r="J959" s="33">
        <f t="shared" si="1761"/>
        <v>215000</v>
      </c>
      <c r="K959" s="1">
        <f t="shared" si="1761"/>
        <v>230000</v>
      </c>
      <c r="L959" s="1">
        <f t="shared" si="1761"/>
        <v>199000</v>
      </c>
      <c r="M959" s="33">
        <f t="shared" si="1761"/>
        <v>155600</v>
      </c>
      <c r="N959" s="1">
        <f t="shared" si="1761"/>
        <v>135000</v>
      </c>
      <c r="O959" s="1">
        <f t="shared" si="1761"/>
        <v>120000</v>
      </c>
      <c r="P959">
        <f t="shared" si="1762"/>
        <v>2399600</v>
      </c>
      <c r="Q959" s="18">
        <f t="shared" si="1763"/>
        <v>77800</v>
      </c>
    </row>
    <row r="960">
      <c r="B960" s="1" t="s">
        <v>5520</v>
      </c>
      <c r="C960" s="33"/>
      <c r="D960" s="34">
        <f t="shared" ref="D960:O960" si="1764">D958+D959</f>
        <v>2090000</v>
      </c>
      <c r="E960">
        <f t="shared" si="1764"/>
        <v>2970000</v>
      </c>
      <c r="F960">
        <f t="shared" si="1764"/>
        <v>1705000</v>
      </c>
      <c r="G960">
        <f t="shared" si="1764"/>
        <v>1980000</v>
      </c>
      <c r="H960">
        <f t="shared" si="1764"/>
        <v>2200000</v>
      </c>
      <c r="I960">
        <f t="shared" si="1764"/>
        <v>3850000</v>
      </c>
      <c r="J960" s="34">
        <f t="shared" si="1764"/>
        <v>2365000</v>
      </c>
      <c r="K960">
        <f t="shared" si="1764"/>
        <v>2530000</v>
      </c>
      <c r="L960">
        <f t="shared" si="1764"/>
        <v>2189000</v>
      </c>
      <c r="M960" s="34">
        <f t="shared" si="1764"/>
        <v>1711600</v>
      </c>
      <c r="N960">
        <f t="shared" si="1764"/>
        <v>1485000</v>
      </c>
      <c r="O960">
        <f t="shared" si="1764"/>
        <v>1320000</v>
      </c>
      <c r="P960">
        <f t="shared" si="1762"/>
        <v>26395600</v>
      </c>
      <c r="Q960" s="18">
        <f t="shared" si="1763"/>
        <v>855800</v>
      </c>
    </row>
    <row r="961">
      <c r="B961" s="1" t="s">
        <v>5545</v>
      </c>
      <c r="C961" s="33"/>
      <c r="D961" s="34">
        <v>101428.45331069609</v>
      </c>
      <c r="E961" s="159">
        <v>86817.6740237691</v>
      </c>
      <c r="F961">
        <v>29645.059422750426</v>
      </c>
      <c r="G961" s="159">
        <v>115638.97453310696</v>
      </c>
      <c r="H961" s="159">
        <v>251582.74702886248</v>
      </c>
      <c r="I961">
        <v>186787.117147708</v>
      </c>
      <c r="J961">
        <v>59525.11205432937</v>
      </c>
      <c r="K961">
        <v>86887.82277261652</v>
      </c>
      <c r="L961" s="159">
        <v>115168.56771974338</v>
      </c>
      <c r="M961" s="134">
        <v>142954.779286927</v>
      </c>
      <c r="N961" s="178">
        <v>3623.0</v>
      </c>
      <c r="O961" s="159">
        <v>67148.12733446519</v>
      </c>
      <c r="P961">
        <f t="shared" si="1762"/>
        <v>1247207.435</v>
      </c>
      <c r="Q961" s="18">
        <f t="shared" si="1763"/>
        <v>71477.38964</v>
      </c>
    </row>
    <row r="962">
      <c r="C962" s="33"/>
      <c r="D962">
        <f t="shared" ref="D962:O962" si="1765">D961-D963</f>
        <v>92207.68483</v>
      </c>
      <c r="E962">
        <f t="shared" si="1765"/>
        <v>78925.1582</v>
      </c>
      <c r="F962">
        <f t="shared" si="1765"/>
        <v>26950.05402</v>
      </c>
      <c r="G962">
        <f t="shared" si="1765"/>
        <v>105126.3405</v>
      </c>
      <c r="H962">
        <f t="shared" si="1765"/>
        <v>228711.5882</v>
      </c>
      <c r="I962">
        <f t="shared" si="1765"/>
        <v>169806.4701</v>
      </c>
      <c r="J962" s="34">
        <f t="shared" si="1765"/>
        <v>54113.73823</v>
      </c>
      <c r="K962">
        <f t="shared" si="1765"/>
        <v>78988.92979</v>
      </c>
      <c r="L962">
        <f t="shared" si="1765"/>
        <v>104698.6979</v>
      </c>
      <c r="M962">
        <f t="shared" si="1765"/>
        <v>129958.8903</v>
      </c>
      <c r="N962">
        <f t="shared" si="1765"/>
        <v>3293.636364</v>
      </c>
      <c r="O962">
        <f t="shared" si="1765"/>
        <v>61043.75212</v>
      </c>
      <c r="P962">
        <f t="shared" si="1762"/>
        <v>1133824.941</v>
      </c>
      <c r="Q962" s="18">
        <f t="shared" si="1763"/>
        <v>64979.44513</v>
      </c>
    </row>
    <row r="963">
      <c r="B963" s="1" t="s">
        <v>5499</v>
      </c>
      <c r="C963" s="33"/>
      <c r="D963">
        <f t="shared" ref="D963:O963" si="1766">D961/11</f>
        <v>9220.768483</v>
      </c>
      <c r="E963">
        <f t="shared" si="1766"/>
        <v>7892.51582</v>
      </c>
      <c r="F963">
        <f t="shared" si="1766"/>
        <v>2695.005402</v>
      </c>
      <c r="G963">
        <f t="shared" si="1766"/>
        <v>10512.63405</v>
      </c>
      <c r="H963">
        <f t="shared" si="1766"/>
        <v>22871.15882</v>
      </c>
      <c r="I963">
        <f t="shared" si="1766"/>
        <v>16980.64701</v>
      </c>
      <c r="J963" s="34">
        <f t="shared" si="1766"/>
        <v>5411.373823</v>
      </c>
      <c r="K963">
        <f t="shared" si="1766"/>
        <v>7898.892979</v>
      </c>
      <c r="L963">
        <f t="shared" si="1766"/>
        <v>10469.86979</v>
      </c>
      <c r="M963">
        <f t="shared" si="1766"/>
        <v>12995.88903</v>
      </c>
      <c r="N963">
        <f t="shared" si="1766"/>
        <v>329.3636364</v>
      </c>
      <c r="O963">
        <f t="shared" si="1766"/>
        <v>6104.375212</v>
      </c>
      <c r="P963">
        <f t="shared" si="1762"/>
        <v>113382.4941</v>
      </c>
      <c r="Q963" s="18">
        <f t="shared" si="1763"/>
        <v>6497.944513</v>
      </c>
    </row>
    <row r="964">
      <c r="B964" s="1" t="s">
        <v>5785</v>
      </c>
      <c r="C964" s="33"/>
      <c r="D964" s="34">
        <v>67587.95374034379</v>
      </c>
      <c r="E964" s="159">
        <v>28144.317147261103</v>
      </c>
      <c r="F964">
        <v>28144.317147261103</v>
      </c>
      <c r="G964" s="159">
        <v>25822.06437772109</v>
      </c>
      <c r="H964" s="159">
        <v>37156.044312640275</v>
      </c>
      <c r="I964">
        <v>47172.925661850204</v>
      </c>
      <c r="J964">
        <v>37537.30969271401</v>
      </c>
      <c r="K964">
        <v>25614.101443135416</v>
      </c>
      <c r="L964" s="159">
        <v>34313.884206636074</v>
      </c>
      <c r="M964">
        <v>17500.0809453844</v>
      </c>
      <c r="N964">
        <v>20137.744165712687</v>
      </c>
      <c r="O964" s="159">
        <v>15389.257159339815</v>
      </c>
      <c r="P964">
        <f t="shared" si="1762"/>
        <v>384520</v>
      </c>
      <c r="Q964" s="18">
        <f t="shared" si="1763"/>
        <v>8750.040473</v>
      </c>
    </row>
    <row r="965">
      <c r="B965" s="23" t="s">
        <v>5598</v>
      </c>
      <c r="C965" s="33"/>
      <c r="D965" s="18">
        <f t="shared" ref="D965:O965" si="1767">SUM(D960,D961,D964)</f>
        <v>2259016.407</v>
      </c>
      <c r="E965" s="18">
        <f t="shared" si="1767"/>
        <v>3084961.991</v>
      </c>
      <c r="F965" s="18">
        <f t="shared" si="1767"/>
        <v>1762789.377</v>
      </c>
      <c r="G965" s="18">
        <f t="shared" si="1767"/>
        <v>2121461.039</v>
      </c>
      <c r="H965" s="18">
        <f t="shared" si="1767"/>
        <v>2488738.791</v>
      </c>
      <c r="I965" s="18">
        <f t="shared" si="1767"/>
        <v>4083960.043</v>
      </c>
      <c r="J965" s="18">
        <f t="shared" si="1767"/>
        <v>2462062.422</v>
      </c>
      <c r="K965" s="18">
        <f t="shared" si="1767"/>
        <v>2642501.924</v>
      </c>
      <c r="L965" s="18">
        <f t="shared" si="1767"/>
        <v>2338482.452</v>
      </c>
      <c r="M965" s="18">
        <f t="shared" si="1767"/>
        <v>1872054.86</v>
      </c>
      <c r="N965" s="18">
        <f t="shared" si="1767"/>
        <v>1508760.744</v>
      </c>
      <c r="O965" s="18">
        <f t="shared" si="1767"/>
        <v>1402537.384</v>
      </c>
      <c r="P965">
        <f t="shared" si="1762"/>
        <v>28027327.43</v>
      </c>
      <c r="Q965" s="18">
        <f t="shared" si="1763"/>
        <v>936027.4301</v>
      </c>
    </row>
    <row r="966">
      <c r="B966" s="1" t="s">
        <v>5599</v>
      </c>
      <c r="C966" s="33"/>
      <c r="D966">
        <f t="shared" ref="D966:O966" si="1768">SUM(D958,D962,D964)</f>
        <v>2059795.639</v>
      </c>
      <c r="E966">
        <f t="shared" si="1768"/>
        <v>2807069.475</v>
      </c>
      <c r="F966">
        <f t="shared" si="1768"/>
        <v>1605094.371</v>
      </c>
      <c r="G966">
        <f t="shared" si="1768"/>
        <v>1930948.405</v>
      </c>
      <c r="H966">
        <f t="shared" si="1768"/>
        <v>2265867.633</v>
      </c>
      <c r="I966">
        <f t="shared" si="1768"/>
        <v>3716979.396</v>
      </c>
      <c r="J966">
        <f t="shared" si="1768"/>
        <v>2241651.048</v>
      </c>
      <c r="K966">
        <f t="shared" si="1768"/>
        <v>2404603.031</v>
      </c>
      <c r="L966">
        <f t="shared" si="1768"/>
        <v>2129012.582</v>
      </c>
      <c r="M966">
        <f t="shared" si="1768"/>
        <v>1703458.971</v>
      </c>
      <c r="N966">
        <f t="shared" si="1768"/>
        <v>1373431.381</v>
      </c>
      <c r="O966">
        <f t="shared" si="1768"/>
        <v>1276433.009</v>
      </c>
      <c r="P966">
        <f t="shared" si="1762"/>
        <v>25514344.94</v>
      </c>
      <c r="Q966" s="18">
        <f t="shared" si="1763"/>
        <v>851729.4856</v>
      </c>
    </row>
    <row r="967">
      <c r="B967" s="1" t="s">
        <v>5601</v>
      </c>
      <c r="C967" s="33"/>
      <c r="D967">
        <f t="shared" ref="D967:O967" si="1769">SUM(D958,D962)</f>
        <v>1992207.685</v>
      </c>
      <c r="E967">
        <f t="shared" si="1769"/>
        <v>2778925.158</v>
      </c>
      <c r="F967">
        <f t="shared" si="1769"/>
        <v>1576950.054</v>
      </c>
      <c r="G967">
        <f t="shared" si="1769"/>
        <v>1905126.34</v>
      </c>
      <c r="H967">
        <f t="shared" si="1769"/>
        <v>2228711.588</v>
      </c>
      <c r="I967">
        <f t="shared" si="1769"/>
        <v>3669806.47</v>
      </c>
      <c r="J967">
        <f t="shared" si="1769"/>
        <v>2204113.738</v>
      </c>
      <c r="K967">
        <f t="shared" si="1769"/>
        <v>2378988.93</v>
      </c>
      <c r="L967">
        <f t="shared" si="1769"/>
        <v>2094698.698</v>
      </c>
      <c r="M967">
        <f t="shared" si="1769"/>
        <v>1685958.89</v>
      </c>
      <c r="N967">
        <f t="shared" si="1769"/>
        <v>1353293.636</v>
      </c>
      <c r="O967">
        <f t="shared" si="1769"/>
        <v>1261043.752</v>
      </c>
      <c r="P967">
        <f t="shared" si="1762"/>
        <v>25129824.94</v>
      </c>
      <c r="Q967" s="18">
        <f t="shared" si="1763"/>
        <v>842979.4451</v>
      </c>
    </row>
    <row r="968">
      <c r="B968" s="1" t="s">
        <v>5582</v>
      </c>
      <c r="C968" s="33"/>
      <c r="D968">
        <f t="shared" ref="D968:O968" si="1770">SUM(D959,D963)</f>
        <v>199220.7685</v>
      </c>
      <c r="E968">
        <f t="shared" si="1770"/>
        <v>277892.5158</v>
      </c>
      <c r="F968">
        <f t="shared" si="1770"/>
        <v>157695.0054</v>
      </c>
      <c r="G968">
        <f t="shared" si="1770"/>
        <v>190512.634</v>
      </c>
      <c r="H968">
        <f t="shared" si="1770"/>
        <v>222871.1588</v>
      </c>
      <c r="I968">
        <f t="shared" si="1770"/>
        <v>366980.647</v>
      </c>
      <c r="J968">
        <f t="shared" si="1770"/>
        <v>220411.3738</v>
      </c>
      <c r="K968">
        <f t="shared" si="1770"/>
        <v>237898.893</v>
      </c>
      <c r="L968">
        <f t="shared" si="1770"/>
        <v>209469.8698</v>
      </c>
      <c r="M968">
        <f t="shared" si="1770"/>
        <v>168595.889</v>
      </c>
      <c r="N968">
        <f t="shared" si="1770"/>
        <v>135329.3636</v>
      </c>
      <c r="O968">
        <f t="shared" si="1770"/>
        <v>126104.3752</v>
      </c>
      <c r="P968">
        <f t="shared" si="1762"/>
        <v>2512982.494</v>
      </c>
      <c r="Q968" s="18">
        <f t="shared" si="1763"/>
        <v>84297.94451</v>
      </c>
    </row>
    <row r="969">
      <c r="B969" s="1" t="s">
        <v>5602</v>
      </c>
      <c r="C969" s="33"/>
      <c r="D969">
        <f t="shared" ref="D969:O969" si="1771">SUM(D967:D968)</f>
        <v>2191428.453</v>
      </c>
      <c r="E969">
        <f t="shared" si="1771"/>
        <v>3056817.674</v>
      </c>
      <c r="F969">
        <f t="shared" si="1771"/>
        <v>1734645.059</v>
      </c>
      <c r="G969">
        <f t="shared" si="1771"/>
        <v>2095638.975</v>
      </c>
      <c r="H969">
        <f t="shared" si="1771"/>
        <v>2451582.747</v>
      </c>
      <c r="I969">
        <f t="shared" si="1771"/>
        <v>4036787.117</v>
      </c>
      <c r="J969">
        <f t="shared" si="1771"/>
        <v>2424525.112</v>
      </c>
      <c r="K969">
        <f t="shared" si="1771"/>
        <v>2616887.823</v>
      </c>
      <c r="L969">
        <f t="shared" si="1771"/>
        <v>2304168.568</v>
      </c>
      <c r="M969">
        <f t="shared" si="1771"/>
        <v>1854554.779</v>
      </c>
      <c r="N969">
        <f t="shared" si="1771"/>
        <v>1488623</v>
      </c>
      <c r="O969">
        <f t="shared" si="1771"/>
        <v>1387148.127</v>
      </c>
      <c r="P969">
        <f t="shared" si="1762"/>
        <v>27642807.43</v>
      </c>
      <c r="Q969" s="18">
        <f t="shared" si="1763"/>
        <v>927277.3896</v>
      </c>
    </row>
    <row r="970">
      <c r="B970" s="1"/>
      <c r="C970" s="33"/>
      <c r="D970" s="33" t="s">
        <v>5566</v>
      </c>
      <c r="E970" s="33" t="s">
        <v>5566</v>
      </c>
      <c r="F970" s="1" t="s">
        <v>5566</v>
      </c>
      <c r="G970" s="33" t="s">
        <v>5566</v>
      </c>
      <c r="H970" s="33" t="s">
        <v>5566</v>
      </c>
      <c r="I970" s="1" t="s">
        <v>5566</v>
      </c>
      <c r="J970" s="1" t="s">
        <v>5566</v>
      </c>
      <c r="K970" s="33" t="s">
        <v>5566</v>
      </c>
      <c r="L970" s="33" t="s">
        <v>5566</v>
      </c>
      <c r="M970" s="1" t="s">
        <v>5566</v>
      </c>
      <c r="N970" s="1" t="s">
        <v>5566</v>
      </c>
      <c r="O970" s="33" t="s">
        <v>5566</v>
      </c>
    </row>
    <row r="971">
      <c r="B971" s="1"/>
      <c r="C971" s="33"/>
      <c r="D971" s="34"/>
      <c r="E971" s="33"/>
      <c r="G971" s="33"/>
      <c r="H971" s="33"/>
      <c r="L971" s="33"/>
      <c r="O971" s="33"/>
    </row>
    <row r="972">
      <c r="B972" s="1"/>
      <c r="C972" s="33"/>
      <c r="D972" s="34"/>
      <c r="E972" s="33"/>
      <c r="G972" s="33"/>
      <c r="H972" s="33"/>
      <c r="L972" s="33"/>
      <c r="O972" s="33"/>
      <c r="Q972" s="23" t="s">
        <v>5802</v>
      </c>
    </row>
    <row r="973">
      <c r="B973" s="1" t="s">
        <v>5865</v>
      </c>
      <c r="C973" s="33"/>
      <c r="D973" s="33">
        <v>1900000.0</v>
      </c>
      <c r="E973" s="1">
        <v>2700000.0</v>
      </c>
      <c r="F973" s="1">
        <v>1550000.0</v>
      </c>
      <c r="G973" s="1">
        <v>1800000.0</v>
      </c>
      <c r="H973" s="1">
        <v>2000000.0</v>
      </c>
      <c r="I973" s="1">
        <v>3500000.0</v>
      </c>
      <c r="J973" s="33">
        <v>2150000.0</v>
      </c>
      <c r="K973" s="1">
        <v>2300000.0</v>
      </c>
      <c r="L973" s="1">
        <v>1990000.0</v>
      </c>
      <c r="M973" s="99">
        <v>1570000.0</v>
      </c>
      <c r="N973" s="99">
        <v>1350000.0</v>
      </c>
      <c r="O973" s="1">
        <v>1200000.0</v>
      </c>
      <c r="P973">
        <f t="shared" ref="P973:P981" si="1773">SUM(D973:O973)</f>
        <v>24010000</v>
      </c>
      <c r="Q973" s="18">
        <f t="shared" ref="Q973:Q981" si="1774">M973*0.5</f>
        <v>785000</v>
      </c>
    </row>
    <row r="974">
      <c r="B974" s="1" t="s">
        <v>5499</v>
      </c>
      <c r="C974" s="33"/>
      <c r="D974" s="33">
        <f t="shared" ref="D974:O974" si="1772">D973*0.1</f>
        <v>190000</v>
      </c>
      <c r="E974" s="1">
        <f t="shared" si="1772"/>
        <v>270000</v>
      </c>
      <c r="F974" s="1">
        <f t="shared" si="1772"/>
        <v>155000</v>
      </c>
      <c r="G974" s="1">
        <f t="shared" si="1772"/>
        <v>180000</v>
      </c>
      <c r="H974" s="1">
        <f t="shared" si="1772"/>
        <v>200000</v>
      </c>
      <c r="I974" s="1">
        <f t="shared" si="1772"/>
        <v>350000</v>
      </c>
      <c r="J974" s="33">
        <f t="shared" si="1772"/>
        <v>215000</v>
      </c>
      <c r="K974" s="1">
        <f t="shared" si="1772"/>
        <v>230000</v>
      </c>
      <c r="L974" s="1">
        <f t="shared" si="1772"/>
        <v>199000</v>
      </c>
      <c r="M974" s="33">
        <f t="shared" si="1772"/>
        <v>157000</v>
      </c>
      <c r="N974" s="1">
        <f t="shared" si="1772"/>
        <v>135000</v>
      </c>
      <c r="O974" s="1">
        <f t="shared" si="1772"/>
        <v>120000</v>
      </c>
      <c r="P974">
        <f t="shared" si="1773"/>
        <v>2401000</v>
      </c>
      <c r="Q974" s="18">
        <f t="shared" si="1774"/>
        <v>78500</v>
      </c>
    </row>
    <row r="975">
      <c r="B975" s="1" t="s">
        <v>5520</v>
      </c>
      <c r="C975" s="33"/>
      <c r="D975" s="34">
        <f t="shared" ref="D975:O975" si="1775">D973+D974</f>
        <v>2090000</v>
      </c>
      <c r="E975">
        <f t="shared" si="1775"/>
        <v>2970000</v>
      </c>
      <c r="F975">
        <f t="shared" si="1775"/>
        <v>1705000</v>
      </c>
      <c r="G975">
        <f t="shared" si="1775"/>
        <v>1980000</v>
      </c>
      <c r="H975">
        <f t="shared" si="1775"/>
        <v>2200000</v>
      </c>
      <c r="I975">
        <f t="shared" si="1775"/>
        <v>3850000</v>
      </c>
      <c r="J975" s="34">
        <f t="shared" si="1775"/>
        <v>2365000</v>
      </c>
      <c r="K975">
        <f t="shared" si="1775"/>
        <v>2530000</v>
      </c>
      <c r="L975">
        <f t="shared" si="1775"/>
        <v>2189000</v>
      </c>
      <c r="M975" s="34">
        <f t="shared" si="1775"/>
        <v>1727000</v>
      </c>
      <c r="N975">
        <f t="shared" si="1775"/>
        <v>1485000</v>
      </c>
      <c r="O975">
        <f t="shared" si="1775"/>
        <v>1320000</v>
      </c>
      <c r="P975">
        <f t="shared" si="1773"/>
        <v>26411000</v>
      </c>
      <c r="Q975" s="18">
        <f t="shared" si="1774"/>
        <v>863500</v>
      </c>
    </row>
    <row r="976">
      <c r="B976" s="1" t="s">
        <v>5545</v>
      </c>
      <c r="C976" s="33"/>
      <c r="D976" s="34">
        <v>98780.92636072572</v>
      </c>
      <c r="E976" s="159">
        <v>84146.71504802561</v>
      </c>
      <c r="F976">
        <v>8130.117395944504</v>
      </c>
      <c r="G976" s="159">
        <v>81210.12700106723</v>
      </c>
      <c r="H976" s="159">
        <v>195235.0234791889</v>
      </c>
      <c r="I976">
        <v>154787.689434365</v>
      </c>
      <c r="J976">
        <v>27754.605122732122</v>
      </c>
      <c r="K976">
        <v>61626.724356865416</v>
      </c>
      <c r="L976" s="159">
        <v>81484.50082990086</v>
      </c>
      <c r="M976" s="134">
        <v>112104.57310565635</v>
      </c>
      <c r="N976" s="178">
        <v>3161.0</v>
      </c>
      <c r="O976" s="159">
        <v>43811.58697972252</v>
      </c>
      <c r="P976">
        <f t="shared" si="1773"/>
        <v>952233.5891</v>
      </c>
      <c r="Q976" s="18">
        <f t="shared" si="1774"/>
        <v>56052.28655</v>
      </c>
    </row>
    <row r="977">
      <c r="C977" s="33"/>
      <c r="D977">
        <f t="shared" ref="D977:O977" si="1776">D976-D978</f>
        <v>89800.84215</v>
      </c>
      <c r="E977">
        <f t="shared" si="1776"/>
        <v>76497.01368</v>
      </c>
      <c r="F977">
        <f t="shared" si="1776"/>
        <v>7391.015814</v>
      </c>
      <c r="G977">
        <f t="shared" si="1776"/>
        <v>73827.38818</v>
      </c>
      <c r="H977">
        <f t="shared" si="1776"/>
        <v>177486.385</v>
      </c>
      <c r="I977">
        <f t="shared" si="1776"/>
        <v>140716.0813</v>
      </c>
      <c r="J977" s="34">
        <f t="shared" si="1776"/>
        <v>25231.4592</v>
      </c>
      <c r="K977">
        <f t="shared" si="1776"/>
        <v>56024.29487</v>
      </c>
      <c r="L977">
        <f t="shared" si="1776"/>
        <v>74076.81894</v>
      </c>
      <c r="M977">
        <f t="shared" si="1776"/>
        <v>101913.2483</v>
      </c>
      <c r="N977">
        <f t="shared" si="1776"/>
        <v>2873.636364</v>
      </c>
      <c r="O977">
        <f t="shared" si="1776"/>
        <v>39828.71544</v>
      </c>
      <c r="P977">
        <f t="shared" si="1773"/>
        <v>865666.8992</v>
      </c>
      <c r="Q977" s="18">
        <f t="shared" si="1774"/>
        <v>50956.62414</v>
      </c>
    </row>
    <row r="978">
      <c r="B978" s="1" t="s">
        <v>5499</v>
      </c>
      <c r="C978" s="33"/>
      <c r="D978">
        <f t="shared" ref="D978:O978" si="1777">D976/11</f>
        <v>8980.084215</v>
      </c>
      <c r="E978">
        <f t="shared" si="1777"/>
        <v>7649.701368</v>
      </c>
      <c r="F978">
        <f t="shared" si="1777"/>
        <v>739.1015814</v>
      </c>
      <c r="G978">
        <f t="shared" si="1777"/>
        <v>7382.738818</v>
      </c>
      <c r="H978">
        <f t="shared" si="1777"/>
        <v>17748.6385</v>
      </c>
      <c r="I978">
        <f t="shared" si="1777"/>
        <v>14071.60813</v>
      </c>
      <c r="J978" s="34">
        <f t="shared" si="1777"/>
        <v>2523.14592</v>
      </c>
      <c r="K978">
        <f t="shared" si="1777"/>
        <v>5602.429487</v>
      </c>
      <c r="L978">
        <f t="shared" si="1777"/>
        <v>7407.681894</v>
      </c>
      <c r="M978">
        <f t="shared" si="1777"/>
        <v>10191.32483</v>
      </c>
      <c r="N978">
        <f t="shared" si="1777"/>
        <v>287.3636364</v>
      </c>
      <c r="O978">
        <f t="shared" si="1777"/>
        <v>3982.871544</v>
      </c>
      <c r="P978">
        <f t="shared" si="1773"/>
        <v>86566.68992</v>
      </c>
      <c r="Q978" s="18">
        <f t="shared" si="1774"/>
        <v>5095.662414</v>
      </c>
    </row>
    <row r="979">
      <c r="B979" s="23" t="s">
        <v>5528</v>
      </c>
      <c r="C979" s="33"/>
      <c r="D979" s="145">
        <f t="shared" ref="D979:O979" si="1778">SUM(D975,D976)</f>
        <v>2188780.926</v>
      </c>
      <c r="E979" s="145">
        <f t="shared" si="1778"/>
        <v>3054146.715</v>
      </c>
      <c r="F979" s="145">
        <f t="shared" si="1778"/>
        <v>1713130.117</v>
      </c>
      <c r="G979" s="145">
        <f t="shared" si="1778"/>
        <v>2061210.127</v>
      </c>
      <c r="H979" s="145">
        <f t="shared" si="1778"/>
        <v>2395235.023</v>
      </c>
      <c r="I979" s="173">
        <f t="shared" si="1778"/>
        <v>4004787.689</v>
      </c>
      <c r="J979" s="145">
        <f t="shared" si="1778"/>
        <v>2392754.605</v>
      </c>
      <c r="K979" s="174">
        <f t="shared" si="1778"/>
        <v>2591626.724</v>
      </c>
      <c r="L979" s="145">
        <f t="shared" si="1778"/>
        <v>2270484.501</v>
      </c>
      <c r="M979" s="145">
        <f t="shared" si="1778"/>
        <v>1839104.573</v>
      </c>
      <c r="N979" s="145">
        <f t="shared" si="1778"/>
        <v>1488161</v>
      </c>
      <c r="O979" s="145">
        <f t="shared" si="1778"/>
        <v>1363811.587</v>
      </c>
      <c r="P979">
        <f t="shared" si="1773"/>
        <v>27363233.59</v>
      </c>
      <c r="Q979" s="18">
        <f t="shared" si="1774"/>
        <v>919552.2866</v>
      </c>
    </row>
    <row r="980">
      <c r="B980" s="1" t="s">
        <v>5580</v>
      </c>
      <c r="C980" s="33"/>
      <c r="D980">
        <f t="shared" ref="D980:O980" si="1779">D973+D977</f>
        <v>1989800.842</v>
      </c>
      <c r="E980">
        <f t="shared" si="1779"/>
        <v>2776497.014</v>
      </c>
      <c r="F980">
        <f t="shared" si="1779"/>
        <v>1557391.016</v>
      </c>
      <c r="G980">
        <f t="shared" si="1779"/>
        <v>1873827.388</v>
      </c>
      <c r="H980">
        <f t="shared" si="1779"/>
        <v>2177486.385</v>
      </c>
      <c r="I980">
        <f t="shared" si="1779"/>
        <v>3640716.081</v>
      </c>
      <c r="J980" s="34">
        <f t="shared" si="1779"/>
        <v>2175231.459</v>
      </c>
      <c r="K980">
        <f t="shared" si="1779"/>
        <v>2356024.295</v>
      </c>
      <c r="L980">
        <f t="shared" si="1779"/>
        <v>2064076.819</v>
      </c>
      <c r="M980">
        <f t="shared" si="1779"/>
        <v>1671913.248</v>
      </c>
      <c r="N980">
        <f t="shared" si="1779"/>
        <v>1352873.636</v>
      </c>
      <c r="O980">
        <f t="shared" si="1779"/>
        <v>1239828.715</v>
      </c>
      <c r="P980">
        <f t="shared" si="1773"/>
        <v>24875666.9</v>
      </c>
      <c r="Q980" s="18">
        <f t="shared" si="1774"/>
        <v>835956.6241</v>
      </c>
    </row>
    <row r="981">
      <c r="B981" s="1" t="s">
        <v>5582</v>
      </c>
      <c r="C981" s="33"/>
      <c r="D981">
        <f t="shared" ref="D981:O981" si="1780">D974+D978</f>
        <v>198980.0842</v>
      </c>
      <c r="E981">
        <f t="shared" si="1780"/>
        <v>277649.7014</v>
      </c>
      <c r="F981">
        <f t="shared" si="1780"/>
        <v>155739.1016</v>
      </c>
      <c r="G981">
        <f t="shared" si="1780"/>
        <v>187382.7388</v>
      </c>
      <c r="H981">
        <f t="shared" si="1780"/>
        <v>217748.6385</v>
      </c>
      <c r="I981">
        <f t="shared" si="1780"/>
        <v>364071.6081</v>
      </c>
      <c r="J981" s="34">
        <f t="shared" si="1780"/>
        <v>217523.1459</v>
      </c>
      <c r="K981">
        <f t="shared" si="1780"/>
        <v>235602.4295</v>
      </c>
      <c r="L981">
        <f t="shared" si="1780"/>
        <v>206407.6819</v>
      </c>
      <c r="M981">
        <f t="shared" si="1780"/>
        <v>167191.3248</v>
      </c>
      <c r="N981">
        <f t="shared" si="1780"/>
        <v>135287.3636</v>
      </c>
      <c r="O981">
        <f t="shared" si="1780"/>
        <v>123982.8715</v>
      </c>
      <c r="P981">
        <f t="shared" si="1773"/>
        <v>2487566.69</v>
      </c>
      <c r="Q981" s="18">
        <f t="shared" si="1774"/>
        <v>83595.66241</v>
      </c>
    </row>
    <row r="982">
      <c r="B982" s="1"/>
      <c r="C982" s="33"/>
      <c r="D982" s="33" t="s">
        <v>5566</v>
      </c>
      <c r="E982" s="33" t="s">
        <v>5566</v>
      </c>
      <c r="F982" s="1" t="s">
        <v>5566</v>
      </c>
      <c r="G982" s="33" t="s">
        <v>5566</v>
      </c>
      <c r="H982" s="33" t="s">
        <v>5566</v>
      </c>
      <c r="I982" s="1" t="s">
        <v>5566</v>
      </c>
      <c r="J982" s="1" t="s">
        <v>5566</v>
      </c>
      <c r="K982" s="33" t="s">
        <v>5566</v>
      </c>
      <c r="L982" s="33" t="s">
        <v>5566</v>
      </c>
      <c r="M982" s="1" t="s">
        <v>5566</v>
      </c>
      <c r="N982" s="1" t="s">
        <v>5566</v>
      </c>
      <c r="O982" s="33" t="s">
        <v>5566</v>
      </c>
    </row>
    <row r="983">
      <c r="B983" s="1"/>
      <c r="C983" s="33"/>
      <c r="D983" s="34"/>
      <c r="E983" s="33"/>
      <c r="G983" s="33"/>
      <c r="H983" s="33"/>
      <c r="L983" s="33"/>
      <c r="O983" s="33"/>
    </row>
    <row r="984">
      <c r="B984" s="1"/>
      <c r="C984" s="33"/>
      <c r="D984" s="34"/>
      <c r="E984" s="33"/>
      <c r="G984" s="33"/>
      <c r="H984" s="33"/>
      <c r="L984" s="33"/>
      <c r="O984" s="33"/>
      <c r="Q984" s="23" t="s">
        <v>5802</v>
      </c>
    </row>
    <row r="985">
      <c r="B985" s="1" t="s">
        <v>5866</v>
      </c>
      <c r="C985" s="33"/>
      <c r="D985" s="33">
        <v>1900000.0</v>
      </c>
      <c r="E985" s="1">
        <v>2700000.0</v>
      </c>
      <c r="F985" s="1">
        <v>1550000.0</v>
      </c>
      <c r="G985" s="1">
        <v>1800000.0</v>
      </c>
      <c r="H985" s="1">
        <v>2000000.0</v>
      </c>
      <c r="I985" s="1">
        <v>3500000.0</v>
      </c>
      <c r="J985" s="33">
        <v>2150000.0</v>
      </c>
      <c r="K985" s="1">
        <v>2300000.0</v>
      </c>
      <c r="L985" s="1">
        <v>1990000.0</v>
      </c>
      <c r="M985" s="99">
        <v>1570000.0</v>
      </c>
      <c r="N985" s="99">
        <v>1350000.0</v>
      </c>
      <c r="O985" s="1">
        <v>1200000.0</v>
      </c>
      <c r="P985">
        <f t="shared" ref="P985:P996" si="1782">SUM(D985:O985)</f>
        <v>24010000</v>
      </c>
      <c r="Q985" s="18">
        <f t="shared" ref="Q985:Q996" si="1783">M985*0.5</f>
        <v>785000</v>
      </c>
    </row>
    <row r="986">
      <c r="B986" s="1" t="s">
        <v>5499</v>
      </c>
      <c r="C986" s="33"/>
      <c r="D986" s="33">
        <f t="shared" ref="D986:O986" si="1781">D985*0.1</f>
        <v>190000</v>
      </c>
      <c r="E986" s="1">
        <f t="shared" si="1781"/>
        <v>270000</v>
      </c>
      <c r="F986" s="1">
        <f t="shared" si="1781"/>
        <v>155000</v>
      </c>
      <c r="G986" s="1">
        <f t="shared" si="1781"/>
        <v>180000</v>
      </c>
      <c r="H986" s="1">
        <f t="shared" si="1781"/>
        <v>200000</v>
      </c>
      <c r="I986" s="1">
        <f t="shared" si="1781"/>
        <v>350000</v>
      </c>
      <c r="J986" s="33">
        <f t="shared" si="1781"/>
        <v>215000</v>
      </c>
      <c r="K986" s="1">
        <f t="shared" si="1781"/>
        <v>230000</v>
      </c>
      <c r="L986" s="1">
        <f t="shared" si="1781"/>
        <v>199000</v>
      </c>
      <c r="M986" s="33">
        <f t="shared" si="1781"/>
        <v>157000</v>
      </c>
      <c r="N986" s="1">
        <f t="shared" si="1781"/>
        <v>135000</v>
      </c>
      <c r="O986" s="1">
        <f t="shared" si="1781"/>
        <v>120000</v>
      </c>
      <c r="P986">
        <f t="shared" si="1782"/>
        <v>2401000</v>
      </c>
      <c r="Q986" s="18">
        <f t="shared" si="1783"/>
        <v>78500</v>
      </c>
    </row>
    <row r="987">
      <c r="B987" s="1" t="s">
        <v>5520</v>
      </c>
      <c r="C987" s="33"/>
      <c r="D987" s="34">
        <f t="shared" ref="D987:O987" si="1784">D985+D986</f>
        <v>2090000</v>
      </c>
      <c r="E987">
        <f t="shared" si="1784"/>
        <v>2970000</v>
      </c>
      <c r="F987">
        <f t="shared" si="1784"/>
        <v>1705000</v>
      </c>
      <c r="G987">
        <f t="shared" si="1784"/>
        <v>1980000</v>
      </c>
      <c r="H987">
        <f t="shared" si="1784"/>
        <v>2200000</v>
      </c>
      <c r="I987">
        <f t="shared" si="1784"/>
        <v>3850000</v>
      </c>
      <c r="J987" s="34">
        <f t="shared" si="1784"/>
        <v>2365000</v>
      </c>
      <c r="K987">
        <f t="shared" si="1784"/>
        <v>2530000</v>
      </c>
      <c r="L987">
        <f t="shared" si="1784"/>
        <v>2189000</v>
      </c>
      <c r="M987" s="34">
        <f t="shared" si="1784"/>
        <v>1727000</v>
      </c>
      <c r="N987">
        <f t="shared" si="1784"/>
        <v>1485000</v>
      </c>
      <c r="O987">
        <f t="shared" si="1784"/>
        <v>1320000</v>
      </c>
      <c r="P987">
        <f t="shared" si="1782"/>
        <v>26411000</v>
      </c>
      <c r="Q987" s="18">
        <f t="shared" si="1783"/>
        <v>863500</v>
      </c>
    </row>
    <row r="988">
      <c r="B988" s="1" t="s">
        <v>5545</v>
      </c>
      <c r="C988" s="33"/>
      <c r="D988" s="34">
        <v>98505.61208620307</v>
      </c>
      <c r="E988" s="159">
        <v>77561.66185292158</v>
      </c>
      <c r="F988">
        <v>53855.87202843813</v>
      </c>
      <c r="G988" s="159">
        <v>95794.47300599866</v>
      </c>
      <c r="H988" s="159">
        <v>175657.66785158854</v>
      </c>
      <c r="I988">
        <v>153102.64452343926</v>
      </c>
      <c r="J988">
        <v>29740.476116418573</v>
      </c>
      <c r="K988">
        <v>53475.417804718934</v>
      </c>
      <c r="L988" s="159">
        <v>70448.4582228305</v>
      </c>
      <c r="M988" s="134">
        <v>151031.26483003778</v>
      </c>
      <c r="N988" s="178">
        <v>39176.76138635859</v>
      </c>
      <c r="O988" s="159">
        <v>37565.68829149078</v>
      </c>
      <c r="P988">
        <f t="shared" si="1782"/>
        <v>1035915.998</v>
      </c>
      <c r="Q988" s="18">
        <f t="shared" si="1783"/>
        <v>75515.63242</v>
      </c>
    </row>
    <row r="989">
      <c r="C989" s="33"/>
      <c r="D989">
        <f t="shared" ref="D989:O989" si="1785">D988-D990</f>
        <v>89550.55644</v>
      </c>
      <c r="E989">
        <f t="shared" si="1785"/>
        <v>70510.60168</v>
      </c>
      <c r="F989">
        <f t="shared" si="1785"/>
        <v>48959.88366</v>
      </c>
      <c r="G989">
        <f t="shared" si="1785"/>
        <v>87085.88455</v>
      </c>
      <c r="H989">
        <f t="shared" si="1785"/>
        <v>159688.789</v>
      </c>
      <c r="I989">
        <f t="shared" si="1785"/>
        <v>139184.2223</v>
      </c>
      <c r="J989" s="34">
        <f t="shared" si="1785"/>
        <v>27036.79647</v>
      </c>
      <c r="K989">
        <f t="shared" si="1785"/>
        <v>48614.01619</v>
      </c>
      <c r="L989">
        <f t="shared" si="1785"/>
        <v>64044.05293</v>
      </c>
      <c r="M989">
        <f t="shared" si="1785"/>
        <v>137301.1498</v>
      </c>
      <c r="N989">
        <f t="shared" si="1785"/>
        <v>35615.23762</v>
      </c>
      <c r="O989">
        <f t="shared" si="1785"/>
        <v>34150.62572</v>
      </c>
      <c r="P989">
        <f t="shared" si="1782"/>
        <v>941741.8164</v>
      </c>
      <c r="Q989" s="18">
        <f t="shared" si="1783"/>
        <v>68650.57492</v>
      </c>
    </row>
    <row r="990">
      <c r="B990" s="1" t="s">
        <v>5499</v>
      </c>
      <c r="C990" s="33"/>
      <c r="D990">
        <f t="shared" ref="D990:O990" si="1786">D988/11</f>
        <v>8955.055644</v>
      </c>
      <c r="E990">
        <f t="shared" si="1786"/>
        <v>7051.060168</v>
      </c>
      <c r="F990">
        <f t="shared" si="1786"/>
        <v>4895.988366</v>
      </c>
      <c r="G990">
        <f t="shared" si="1786"/>
        <v>8708.588455</v>
      </c>
      <c r="H990">
        <f t="shared" si="1786"/>
        <v>15968.8789</v>
      </c>
      <c r="I990">
        <f t="shared" si="1786"/>
        <v>13918.42223</v>
      </c>
      <c r="J990" s="34">
        <f t="shared" si="1786"/>
        <v>2703.679647</v>
      </c>
      <c r="K990">
        <f t="shared" si="1786"/>
        <v>4861.401619</v>
      </c>
      <c r="L990">
        <f t="shared" si="1786"/>
        <v>6404.405293</v>
      </c>
      <c r="M990">
        <f t="shared" si="1786"/>
        <v>13730.11498</v>
      </c>
      <c r="N990">
        <f t="shared" si="1786"/>
        <v>3561.523762</v>
      </c>
      <c r="O990">
        <f t="shared" si="1786"/>
        <v>3415.062572</v>
      </c>
      <c r="P990">
        <f t="shared" si="1782"/>
        <v>94174.18164</v>
      </c>
      <c r="Q990" s="18">
        <f t="shared" si="1783"/>
        <v>6865.057492</v>
      </c>
    </row>
    <row r="991">
      <c r="B991" s="1" t="s">
        <v>5791</v>
      </c>
      <c r="C991" s="33"/>
      <c r="D991" s="34">
        <v>51613.7697293107</v>
      </c>
      <c r="E991" s="33">
        <v>21493.0</v>
      </c>
      <c r="F991">
        <v>21492.5030872822</v>
      </c>
      <c r="G991" s="159">
        <v>19719.106896582805</v>
      </c>
      <c r="H991" s="159">
        <v>28374.33905119029</v>
      </c>
      <c r="I991">
        <v>36023.76441107275</v>
      </c>
      <c r="J991">
        <v>28665.493649663324</v>
      </c>
      <c r="K991">
        <v>19560.295297415698</v>
      </c>
      <c r="L991" s="159">
        <v>26203.913862573125</v>
      </c>
      <c r="M991">
        <v>13363.996069912295</v>
      </c>
      <c r="N991">
        <v>15378.256519348472</v>
      </c>
      <c r="O991" s="159">
        <v>11752.058338366127</v>
      </c>
      <c r="P991">
        <f t="shared" si="1782"/>
        <v>293640.4969</v>
      </c>
      <c r="Q991" s="18">
        <f t="shared" si="1783"/>
        <v>6681.998035</v>
      </c>
    </row>
    <row r="992">
      <c r="B992" s="23" t="s">
        <v>5598</v>
      </c>
      <c r="C992" s="33"/>
      <c r="D992" s="18">
        <f t="shared" ref="D992:O992" si="1787">SUM(D987,D988,D991)</f>
        <v>2240119.382</v>
      </c>
      <c r="E992" s="18">
        <f t="shared" si="1787"/>
        <v>3069054.662</v>
      </c>
      <c r="F992" s="18">
        <f t="shared" si="1787"/>
        <v>1780348.375</v>
      </c>
      <c r="G992" s="18">
        <f t="shared" si="1787"/>
        <v>2095513.58</v>
      </c>
      <c r="H992" s="18">
        <f t="shared" si="1787"/>
        <v>2404032.007</v>
      </c>
      <c r="I992" s="18">
        <f t="shared" si="1787"/>
        <v>4039126.409</v>
      </c>
      <c r="J992" s="18">
        <f t="shared" si="1787"/>
        <v>2423405.97</v>
      </c>
      <c r="K992" s="18">
        <f t="shared" si="1787"/>
        <v>2603035.713</v>
      </c>
      <c r="L992" s="18">
        <f t="shared" si="1787"/>
        <v>2285652.372</v>
      </c>
      <c r="M992" s="18">
        <f t="shared" si="1787"/>
        <v>1891395.261</v>
      </c>
      <c r="N992" s="18">
        <f t="shared" si="1787"/>
        <v>1539555.018</v>
      </c>
      <c r="O992" s="18">
        <f t="shared" si="1787"/>
        <v>1369317.747</v>
      </c>
      <c r="P992">
        <f t="shared" si="1782"/>
        <v>27740556.49</v>
      </c>
      <c r="Q992" s="18">
        <f t="shared" si="1783"/>
        <v>945697.6304</v>
      </c>
    </row>
    <row r="993">
      <c r="B993" s="1" t="s">
        <v>5599</v>
      </c>
      <c r="C993" s="33"/>
      <c r="D993">
        <f t="shared" ref="D993:O993" si="1788">SUM(D985,D989,D991)</f>
        <v>2041164.326</v>
      </c>
      <c r="E993">
        <f t="shared" si="1788"/>
        <v>2792003.602</v>
      </c>
      <c r="F993">
        <f t="shared" si="1788"/>
        <v>1620452.387</v>
      </c>
      <c r="G993">
        <f t="shared" si="1788"/>
        <v>1906804.991</v>
      </c>
      <c r="H993">
        <f t="shared" si="1788"/>
        <v>2188063.128</v>
      </c>
      <c r="I993">
        <f t="shared" si="1788"/>
        <v>3675207.987</v>
      </c>
      <c r="J993">
        <f t="shared" si="1788"/>
        <v>2205702.29</v>
      </c>
      <c r="K993">
        <f t="shared" si="1788"/>
        <v>2368174.311</v>
      </c>
      <c r="L993">
        <f t="shared" si="1788"/>
        <v>2080247.967</v>
      </c>
      <c r="M993">
        <f t="shared" si="1788"/>
        <v>1720665.146</v>
      </c>
      <c r="N993">
        <f t="shared" si="1788"/>
        <v>1400993.494</v>
      </c>
      <c r="O993">
        <f t="shared" si="1788"/>
        <v>1245902.684</v>
      </c>
      <c r="P993">
        <f t="shared" si="1782"/>
        <v>25245382.31</v>
      </c>
      <c r="Q993" s="18">
        <f t="shared" si="1783"/>
        <v>860332.573</v>
      </c>
    </row>
    <row r="994">
      <c r="B994" s="1" t="s">
        <v>5601</v>
      </c>
      <c r="C994" s="33"/>
      <c r="D994">
        <f t="shared" ref="D994:O994" si="1789">SUM(D985,D989)</f>
        <v>1989550.556</v>
      </c>
      <c r="E994">
        <f t="shared" si="1789"/>
        <v>2770510.602</v>
      </c>
      <c r="F994">
        <f t="shared" si="1789"/>
        <v>1598959.884</v>
      </c>
      <c r="G994">
        <f t="shared" si="1789"/>
        <v>1887085.885</v>
      </c>
      <c r="H994">
        <f t="shared" si="1789"/>
        <v>2159688.789</v>
      </c>
      <c r="I994">
        <f t="shared" si="1789"/>
        <v>3639184.222</v>
      </c>
      <c r="J994">
        <f t="shared" si="1789"/>
        <v>2177036.796</v>
      </c>
      <c r="K994">
        <f t="shared" si="1789"/>
        <v>2348614.016</v>
      </c>
      <c r="L994">
        <f t="shared" si="1789"/>
        <v>2054044.053</v>
      </c>
      <c r="M994">
        <f t="shared" si="1789"/>
        <v>1707301.15</v>
      </c>
      <c r="N994">
        <f t="shared" si="1789"/>
        <v>1385615.238</v>
      </c>
      <c r="O994">
        <f t="shared" si="1789"/>
        <v>1234150.626</v>
      </c>
      <c r="P994">
        <f t="shared" si="1782"/>
        <v>24951741.82</v>
      </c>
      <c r="Q994" s="18">
        <f t="shared" si="1783"/>
        <v>853650.5749</v>
      </c>
    </row>
    <row r="995">
      <c r="B995" s="1" t="s">
        <v>5582</v>
      </c>
      <c r="C995" s="33"/>
      <c r="D995">
        <f t="shared" ref="D995:O995" si="1790">SUM(D986,D990)</f>
        <v>198955.0556</v>
      </c>
      <c r="E995">
        <f t="shared" si="1790"/>
        <v>277051.0602</v>
      </c>
      <c r="F995">
        <f t="shared" si="1790"/>
        <v>159895.9884</v>
      </c>
      <c r="G995">
        <f t="shared" si="1790"/>
        <v>188708.5885</v>
      </c>
      <c r="H995">
        <f t="shared" si="1790"/>
        <v>215968.8789</v>
      </c>
      <c r="I995">
        <f t="shared" si="1790"/>
        <v>363918.4222</v>
      </c>
      <c r="J995">
        <f t="shared" si="1790"/>
        <v>217703.6796</v>
      </c>
      <c r="K995">
        <f t="shared" si="1790"/>
        <v>234861.4016</v>
      </c>
      <c r="L995">
        <f t="shared" si="1790"/>
        <v>205404.4053</v>
      </c>
      <c r="M995">
        <f t="shared" si="1790"/>
        <v>170730.115</v>
      </c>
      <c r="N995">
        <f t="shared" si="1790"/>
        <v>138561.5238</v>
      </c>
      <c r="O995">
        <f t="shared" si="1790"/>
        <v>123415.0626</v>
      </c>
      <c r="P995">
        <f t="shared" si="1782"/>
        <v>2495174.182</v>
      </c>
      <c r="Q995" s="18">
        <f t="shared" si="1783"/>
        <v>85365.05749</v>
      </c>
    </row>
    <row r="996">
      <c r="B996" s="1" t="s">
        <v>5602</v>
      </c>
      <c r="C996" s="33"/>
      <c r="D996">
        <f t="shared" ref="D996:O996" si="1791">SUM(D994:D995)</f>
        <v>2188505.612</v>
      </c>
      <c r="E996">
        <f t="shared" si="1791"/>
        <v>3047561.662</v>
      </c>
      <c r="F996">
        <f t="shared" si="1791"/>
        <v>1758855.872</v>
      </c>
      <c r="G996">
        <f t="shared" si="1791"/>
        <v>2075794.473</v>
      </c>
      <c r="H996">
        <f t="shared" si="1791"/>
        <v>2375657.668</v>
      </c>
      <c r="I996">
        <f t="shared" si="1791"/>
        <v>4003102.645</v>
      </c>
      <c r="J996">
        <f t="shared" si="1791"/>
        <v>2394740.476</v>
      </c>
      <c r="K996">
        <f t="shared" si="1791"/>
        <v>2583475.418</v>
      </c>
      <c r="L996">
        <f t="shared" si="1791"/>
        <v>2259448.458</v>
      </c>
      <c r="M996">
        <f t="shared" si="1791"/>
        <v>1878031.265</v>
      </c>
      <c r="N996">
        <f t="shared" si="1791"/>
        <v>1524176.761</v>
      </c>
      <c r="O996">
        <f t="shared" si="1791"/>
        <v>1357565.688</v>
      </c>
      <c r="P996">
        <f t="shared" si="1782"/>
        <v>27446916</v>
      </c>
      <c r="Q996" s="18">
        <f t="shared" si="1783"/>
        <v>939015.6324</v>
      </c>
    </row>
    <row r="997">
      <c r="B997" s="1"/>
      <c r="C997" s="33"/>
      <c r="D997" s="33" t="s">
        <v>5566</v>
      </c>
      <c r="E997" s="33" t="s">
        <v>5566</v>
      </c>
      <c r="F997" s="1" t="s">
        <v>5566</v>
      </c>
      <c r="G997" s="33" t="s">
        <v>5566</v>
      </c>
      <c r="H997" s="33" t="s">
        <v>5566</v>
      </c>
      <c r="I997" s="1" t="s">
        <v>5566</v>
      </c>
      <c r="J997" s="1" t="s">
        <v>5566</v>
      </c>
      <c r="K997" s="33" t="s">
        <v>5566</v>
      </c>
      <c r="L997" s="33" t="s">
        <v>5566</v>
      </c>
      <c r="M997" s="1" t="s">
        <v>5566</v>
      </c>
      <c r="N997" s="1" t="s">
        <v>5566</v>
      </c>
      <c r="O997" s="22" t="s">
        <v>5566</v>
      </c>
    </row>
    <row r="998">
      <c r="B998" s="1"/>
      <c r="C998" s="33"/>
      <c r="D998" s="34"/>
      <c r="E998" s="33"/>
      <c r="G998" s="33"/>
      <c r="H998" s="33"/>
      <c r="L998" s="33"/>
      <c r="O998" s="33"/>
    </row>
    <row r="999">
      <c r="B999" s="1"/>
      <c r="C999" s="33"/>
      <c r="D999" s="34"/>
      <c r="E999" s="33"/>
      <c r="G999" s="33"/>
      <c r="H999" s="33"/>
      <c r="L999" s="33"/>
      <c r="O999" s="33"/>
    </row>
    <row r="1000">
      <c r="B1000" s="1" t="s">
        <v>5867</v>
      </c>
      <c r="C1000" s="33"/>
      <c r="D1000" s="33">
        <v>1900000.0</v>
      </c>
      <c r="E1000" s="1">
        <v>2700000.0</v>
      </c>
      <c r="F1000" s="1">
        <v>1550000.0</v>
      </c>
      <c r="G1000" s="1">
        <v>1800000.0</v>
      </c>
      <c r="H1000" s="1">
        <v>2000000.0</v>
      </c>
      <c r="I1000" s="1">
        <v>3500000.0</v>
      </c>
      <c r="J1000" s="33">
        <v>2150000.0</v>
      </c>
      <c r="K1000" s="1">
        <v>2300000.0</v>
      </c>
      <c r="L1000" s="1">
        <v>1990000.0</v>
      </c>
      <c r="M1000" s="99">
        <v>1570000.0</v>
      </c>
      <c r="N1000" s="99">
        <v>1350000.0</v>
      </c>
      <c r="O1000" s="1">
        <v>1200000.0</v>
      </c>
      <c r="P1000">
        <f t="shared" ref="P1000:P1008" si="1793">SUM(D1000:O1000)</f>
        <v>24010000</v>
      </c>
      <c r="Q1000" s="18">
        <f t="shared" ref="Q1000:Q1008" si="1794">M1000*0.5</f>
        <v>785000</v>
      </c>
    </row>
    <row r="1001">
      <c r="B1001" s="1" t="s">
        <v>5499</v>
      </c>
      <c r="C1001" s="33"/>
      <c r="D1001" s="33">
        <f t="shared" ref="D1001:O1001" si="1792">D1000*0.1</f>
        <v>190000</v>
      </c>
      <c r="E1001" s="1">
        <f t="shared" si="1792"/>
        <v>270000</v>
      </c>
      <c r="F1001" s="1">
        <f t="shared" si="1792"/>
        <v>155000</v>
      </c>
      <c r="G1001" s="1">
        <f t="shared" si="1792"/>
        <v>180000</v>
      </c>
      <c r="H1001" s="1">
        <f t="shared" si="1792"/>
        <v>200000</v>
      </c>
      <c r="I1001" s="1">
        <f t="shared" si="1792"/>
        <v>350000</v>
      </c>
      <c r="J1001" s="33">
        <f t="shared" si="1792"/>
        <v>215000</v>
      </c>
      <c r="K1001" s="1">
        <f t="shared" si="1792"/>
        <v>230000</v>
      </c>
      <c r="L1001" s="1">
        <f t="shared" si="1792"/>
        <v>199000</v>
      </c>
      <c r="M1001" s="33">
        <f t="shared" si="1792"/>
        <v>157000</v>
      </c>
      <c r="N1001" s="1">
        <f t="shared" si="1792"/>
        <v>135000</v>
      </c>
      <c r="O1001" s="1">
        <f t="shared" si="1792"/>
        <v>120000</v>
      </c>
      <c r="P1001">
        <f t="shared" si="1793"/>
        <v>2401000</v>
      </c>
      <c r="Q1001" s="18">
        <f t="shared" si="1794"/>
        <v>78500</v>
      </c>
    </row>
    <row r="1002">
      <c r="B1002" s="1" t="s">
        <v>5520</v>
      </c>
      <c r="C1002" s="33"/>
      <c r="D1002" s="34">
        <f t="shared" ref="D1002:O1002" si="1795">D1000+D1001</f>
        <v>2090000</v>
      </c>
      <c r="E1002">
        <f t="shared" si="1795"/>
        <v>2970000</v>
      </c>
      <c r="F1002">
        <f t="shared" si="1795"/>
        <v>1705000</v>
      </c>
      <c r="G1002">
        <f t="shared" si="1795"/>
        <v>1980000</v>
      </c>
      <c r="H1002">
        <f t="shared" si="1795"/>
        <v>2200000</v>
      </c>
      <c r="I1002">
        <f t="shared" si="1795"/>
        <v>3850000</v>
      </c>
      <c r="J1002" s="34">
        <f t="shared" si="1795"/>
        <v>2365000</v>
      </c>
      <c r="K1002">
        <f t="shared" si="1795"/>
        <v>2530000</v>
      </c>
      <c r="L1002">
        <f t="shared" si="1795"/>
        <v>2189000</v>
      </c>
      <c r="M1002" s="34">
        <f t="shared" si="1795"/>
        <v>1727000</v>
      </c>
      <c r="N1002">
        <f t="shared" si="1795"/>
        <v>1485000</v>
      </c>
      <c r="O1002">
        <f t="shared" si="1795"/>
        <v>1320000</v>
      </c>
      <c r="P1002">
        <f t="shared" si="1793"/>
        <v>26411000</v>
      </c>
      <c r="Q1002" s="18">
        <f t="shared" si="1794"/>
        <v>863500</v>
      </c>
    </row>
    <row r="1003">
      <c r="B1003" s="1" t="s">
        <v>5545</v>
      </c>
      <c r="C1003" s="33"/>
      <c r="D1003" s="34">
        <v>150490.0630441309</v>
      </c>
      <c r="E1003" s="159">
        <v>116160.19213449415</v>
      </c>
      <c r="F1003">
        <v>60023.29630741519</v>
      </c>
      <c r="G1003" s="159">
        <v>154399.79645752028</v>
      </c>
      <c r="H1003" s="159">
        <v>234071.00630441308</v>
      </c>
      <c r="I1003">
        <v>200388.86880816572</v>
      </c>
      <c r="J1003">
        <v>26148.580606424497</v>
      </c>
      <c r="K1003">
        <v>92038.8156506547</v>
      </c>
      <c r="L1003" s="159">
        <v>122191.69890953744</v>
      </c>
      <c r="M1003" s="134">
        <v>172752.24317021915</v>
      </c>
      <c r="N1003" s="159">
        <v>75592.23116181327</v>
      </c>
      <c r="O1003" s="159">
        <v>34137.29270489342</v>
      </c>
      <c r="P1003">
        <f t="shared" si="1793"/>
        <v>1438394.085</v>
      </c>
      <c r="Q1003" s="18">
        <f t="shared" si="1794"/>
        <v>86376.12159</v>
      </c>
    </row>
    <row r="1004">
      <c r="C1004" s="33"/>
      <c r="D1004" s="1">
        <v>136809.0</v>
      </c>
      <c r="E1004">
        <f t="shared" ref="E1004:O1004" si="1796">E1003-E1005</f>
        <v>105600.1747</v>
      </c>
      <c r="F1004">
        <f t="shared" si="1796"/>
        <v>54566.63301</v>
      </c>
      <c r="G1004">
        <f t="shared" si="1796"/>
        <v>140363.4513</v>
      </c>
      <c r="H1004">
        <f t="shared" si="1796"/>
        <v>212791.8239</v>
      </c>
      <c r="I1004">
        <f t="shared" si="1796"/>
        <v>182171.6989</v>
      </c>
      <c r="J1004" s="34">
        <f t="shared" si="1796"/>
        <v>23771.43691</v>
      </c>
      <c r="K1004">
        <f t="shared" si="1796"/>
        <v>83671.65059</v>
      </c>
      <c r="L1004">
        <f t="shared" si="1796"/>
        <v>111083.3626</v>
      </c>
      <c r="M1004">
        <f t="shared" si="1796"/>
        <v>157047.4938</v>
      </c>
      <c r="N1004">
        <f t="shared" si="1796"/>
        <v>68720.21015</v>
      </c>
      <c r="O1004">
        <f t="shared" si="1796"/>
        <v>31033.90246</v>
      </c>
      <c r="P1004">
        <f t="shared" si="1793"/>
        <v>1307630.838</v>
      </c>
      <c r="Q1004" s="18">
        <f t="shared" si="1794"/>
        <v>78523.7469</v>
      </c>
    </row>
    <row r="1005">
      <c r="B1005" s="1" t="s">
        <v>5499</v>
      </c>
      <c r="C1005" s="33"/>
      <c r="D1005">
        <f t="shared" ref="D1005:O1005" si="1797">D1003/11</f>
        <v>13680.91482</v>
      </c>
      <c r="E1005">
        <f t="shared" si="1797"/>
        <v>10560.01747</v>
      </c>
      <c r="F1005">
        <f t="shared" si="1797"/>
        <v>5456.663301</v>
      </c>
      <c r="G1005">
        <f t="shared" si="1797"/>
        <v>14036.34513</v>
      </c>
      <c r="H1005">
        <f t="shared" si="1797"/>
        <v>21279.18239</v>
      </c>
      <c r="I1005">
        <f t="shared" si="1797"/>
        <v>18217.16989</v>
      </c>
      <c r="J1005" s="34">
        <f t="shared" si="1797"/>
        <v>2377.143691</v>
      </c>
      <c r="K1005">
        <f t="shared" si="1797"/>
        <v>8367.165059</v>
      </c>
      <c r="L1005">
        <f t="shared" si="1797"/>
        <v>11108.33626</v>
      </c>
      <c r="M1005">
        <f t="shared" si="1797"/>
        <v>15704.74938</v>
      </c>
      <c r="N1005">
        <f t="shared" si="1797"/>
        <v>6872.021015</v>
      </c>
      <c r="O1005">
        <f t="shared" si="1797"/>
        <v>3103.390246</v>
      </c>
      <c r="P1005">
        <f t="shared" si="1793"/>
        <v>130763.0987</v>
      </c>
      <c r="Q1005" s="18">
        <f t="shared" si="1794"/>
        <v>7852.37469</v>
      </c>
    </row>
    <row r="1006">
      <c r="B1006" s="23" t="s">
        <v>5528</v>
      </c>
      <c r="C1006" s="33"/>
      <c r="D1006" s="145">
        <f t="shared" ref="D1006:O1006" si="1798">SUM(D1002,D1003)</f>
        <v>2240490.063</v>
      </c>
      <c r="E1006" s="145">
        <f t="shared" si="1798"/>
        <v>3086160.192</v>
      </c>
      <c r="F1006" s="145">
        <f t="shared" si="1798"/>
        <v>1765023.296</v>
      </c>
      <c r="G1006" s="145">
        <f t="shared" si="1798"/>
        <v>2134399.796</v>
      </c>
      <c r="H1006" s="145">
        <f t="shared" si="1798"/>
        <v>2434071.006</v>
      </c>
      <c r="I1006" s="173">
        <f t="shared" si="1798"/>
        <v>4050388.869</v>
      </c>
      <c r="J1006" s="145">
        <f t="shared" si="1798"/>
        <v>2391148.581</v>
      </c>
      <c r="K1006" s="174">
        <f t="shared" si="1798"/>
        <v>2622038.816</v>
      </c>
      <c r="L1006" s="145">
        <f t="shared" si="1798"/>
        <v>2311191.699</v>
      </c>
      <c r="M1006" s="145">
        <f t="shared" si="1798"/>
        <v>1899752.243</v>
      </c>
      <c r="N1006" s="145">
        <f t="shared" si="1798"/>
        <v>1560592.231</v>
      </c>
      <c r="O1006" s="145">
        <f t="shared" si="1798"/>
        <v>1354137.293</v>
      </c>
      <c r="P1006">
        <f t="shared" si="1793"/>
        <v>27849394.09</v>
      </c>
      <c r="Q1006" s="18">
        <f t="shared" si="1794"/>
        <v>949876.1216</v>
      </c>
    </row>
    <row r="1007">
      <c r="B1007" s="1" t="s">
        <v>5580</v>
      </c>
      <c r="C1007" s="33"/>
      <c r="D1007">
        <f t="shared" ref="D1007:O1007" si="1799">D1000+D1004</f>
        <v>2036809</v>
      </c>
      <c r="E1007">
        <f t="shared" si="1799"/>
        <v>2805600.175</v>
      </c>
      <c r="F1007">
        <f t="shared" si="1799"/>
        <v>1604566.633</v>
      </c>
      <c r="G1007">
        <f t="shared" si="1799"/>
        <v>1940363.451</v>
      </c>
      <c r="H1007">
        <f t="shared" si="1799"/>
        <v>2212791.824</v>
      </c>
      <c r="I1007">
        <f t="shared" si="1799"/>
        <v>3682171.699</v>
      </c>
      <c r="J1007" s="34">
        <f t="shared" si="1799"/>
        <v>2173771.437</v>
      </c>
      <c r="K1007">
        <f t="shared" si="1799"/>
        <v>2383671.651</v>
      </c>
      <c r="L1007">
        <f t="shared" si="1799"/>
        <v>2101083.363</v>
      </c>
      <c r="M1007">
        <f t="shared" si="1799"/>
        <v>1727047.494</v>
      </c>
      <c r="N1007">
        <f t="shared" si="1799"/>
        <v>1418720.21</v>
      </c>
      <c r="O1007">
        <f t="shared" si="1799"/>
        <v>1231033.902</v>
      </c>
      <c r="P1007">
        <f t="shared" si="1793"/>
        <v>25317630.84</v>
      </c>
      <c r="Q1007" s="18">
        <f t="shared" si="1794"/>
        <v>863523.7469</v>
      </c>
    </row>
    <row r="1008">
      <c r="B1008" s="1" t="s">
        <v>5582</v>
      </c>
      <c r="C1008" s="33"/>
      <c r="D1008">
        <f t="shared" ref="D1008:O1008" si="1800">D1001+D1005</f>
        <v>203680.9148</v>
      </c>
      <c r="E1008">
        <f t="shared" si="1800"/>
        <v>280560.0175</v>
      </c>
      <c r="F1008">
        <f t="shared" si="1800"/>
        <v>160456.6633</v>
      </c>
      <c r="G1008">
        <f t="shared" si="1800"/>
        <v>194036.3451</v>
      </c>
      <c r="H1008">
        <f t="shared" si="1800"/>
        <v>221279.1824</v>
      </c>
      <c r="I1008">
        <f t="shared" si="1800"/>
        <v>368217.1699</v>
      </c>
      <c r="J1008" s="34">
        <f t="shared" si="1800"/>
        <v>217377.1437</v>
      </c>
      <c r="K1008">
        <f t="shared" si="1800"/>
        <v>238367.1651</v>
      </c>
      <c r="L1008">
        <f t="shared" si="1800"/>
        <v>210108.3363</v>
      </c>
      <c r="M1008">
        <f t="shared" si="1800"/>
        <v>172704.7494</v>
      </c>
      <c r="N1008">
        <f t="shared" si="1800"/>
        <v>141872.021</v>
      </c>
      <c r="O1008">
        <f t="shared" si="1800"/>
        <v>123103.3902</v>
      </c>
      <c r="P1008">
        <f t="shared" si="1793"/>
        <v>2531763.099</v>
      </c>
      <c r="Q1008" s="18">
        <f t="shared" si="1794"/>
        <v>86352.37469</v>
      </c>
    </row>
    <row r="1009">
      <c r="B1009" s="1"/>
      <c r="C1009" s="33"/>
      <c r="D1009" s="33" t="s">
        <v>5566</v>
      </c>
      <c r="E1009" s="33" t="s">
        <v>5566</v>
      </c>
      <c r="F1009" s="1" t="s">
        <v>5566</v>
      </c>
      <c r="G1009" s="33" t="s">
        <v>5566</v>
      </c>
      <c r="H1009" s="33" t="s">
        <v>5566</v>
      </c>
      <c r="I1009" s="1" t="s">
        <v>5566</v>
      </c>
      <c r="J1009" s="1" t="s">
        <v>5566</v>
      </c>
      <c r="K1009" s="33" t="s">
        <v>5566</v>
      </c>
      <c r="L1009" s="33" t="s">
        <v>5566</v>
      </c>
      <c r="M1009" s="1" t="s">
        <v>5566</v>
      </c>
      <c r="N1009" s="1" t="s">
        <v>5566</v>
      </c>
      <c r="O1009" s="56" t="s">
        <v>5566</v>
      </c>
    </row>
    <row r="1010">
      <c r="B1010" s="1"/>
      <c r="C1010" s="33"/>
      <c r="D1010" s="34"/>
      <c r="E1010" s="33"/>
      <c r="G1010" s="33"/>
      <c r="H1010" s="33"/>
      <c r="L1010" s="33"/>
      <c r="O1010" s="33"/>
    </row>
    <row r="1011">
      <c r="B1011" s="1"/>
      <c r="C1011" s="33"/>
      <c r="D1011" s="34"/>
      <c r="E1011" s="2" t="s">
        <v>5868</v>
      </c>
      <c r="G1011" s="33"/>
      <c r="H1011" s="33"/>
      <c r="L1011" s="33"/>
      <c r="O1011" s="33"/>
    </row>
    <row r="1012">
      <c r="B1012" s="1" t="s">
        <v>5869</v>
      </c>
      <c r="C1012" s="33"/>
      <c r="D1012" s="33">
        <v>1900000.0</v>
      </c>
      <c r="E1012" s="1">
        <f>2700000*23/31</f>
        <v>2003225.806</v>
      </c>
      <c r="F1012" s="1">
        <v>1550000.0</v>
      </c>
      <c r="G1012" s="1">
        <v>1800000.0</v>
      </c>
      <c r="H1012" s="1">
        <v>2000000.0</v>
      </c>
      <c r="I1012" s="1">
        <v>3500000.0</v>
      </c>
      <c r="J1012" s="33">
        <v>2150000.0</v>
      </c>
      <c r="K1012" s="1">
        <v>2300000.0</v>
      </c>
      <c r="L1012" s="1">
        <v>1990000.0</v>
      </c>
      <c r="M1012" s="99">
        <v>1570000.0</v>
      </c>
      <c r="N1012" s="99">
        <v>1350000.0</v>
      </c>
      <c r="O1012" s="1">
        <v>1200000.0</v>
      </c>
      <c r="P1012">
        <f t="shared" ref="P1012:P1014" si="1802">SUM(D1012:O1012)</f>
        <v>23313225.81</v>
      </c>
      <c r="Q1012" s="18">
        <f t="shared" ref="Q1012:Q1023" si="1803">M1012*0.5</f>
        <v>785000</v>
      </c>
    </row>
    <row r="1013">
      <c r="B1013" s="1" t="s">
        <v>5499</v>
      </c>
      <c r="C1013" s="33"/>
      <c r="D1013" s="33">
        <f t="shared" ref="D1013:O1013" si="1801">D1012*0.1</f>
        <v>190000</v>
      </c>
      <c r="E1013" s="1">
        <f t="shared" si="1801"/>
        <v>200322.5806</v>
      </c>
      <c r="F1013" s="1">
        <f t="shared" si="1801"/>
        <v>155000</v>
      </c>
      <c r="G1013" s="1">
        <f t="shared" si="1801"/>
        <v>180000</v>
      </c>
      <c r="H1013" s="1">
        <f t="shared" si="1801"/>
        <v>200000</v>
      </c>
      <c r="I1013" s="1">
        <f t="shared" si="1801"/>
        <v>350000</v>
      </c>
      <c r="J1013" s="33">
        <f t="shared" si="1801"/>
        <v>215000</v>
      </c>
      <c r="K1013" s="1">
        <f t="shared" si="1801"/>
        <v>230000</v>
      </c>
      <c r="L1013" s="1">
        <f t="shared" si="1801"/>
        <v>199000</v>
      </c>
      <c r="M1013" s="33">
        <f t="shared" si="1801"/>
        <v>157000</v>
      </c>
      <c r="N1013" s="1">
        <f t="shared" si="1801"/>
        <v>135000</v>
      </c>
      <c r="O1013" s="1">
        <f t="shared" si="1801"/>
        <v>120000</v>
      </c>
      <c r="P1013">
        <f t="shared" si="1802"/>
        <v>2331322.581</v>
      </c>
      <c r="Q1013" s="18">
        <f t="shared" si="1803"/>
        <v>78500</v>
      </c>
    </row>
    <row r="1014">
      <c r="B1014" s="1" t="s">
        <v>5520</v>
      </c>
      <c r="C1014" s="33"/>
      <c r="D1014" s="34">
        <f t="shared" ref="D1014:O1014" si="1804">D1012+D1013</f>
        <v>2090000</v>
      </c>
      <c r="E1014">
        <f t="shared" si="1804"/>
        <v>2203548.387</v>
      </c>
      <c r="F1014">
        <f t="shared" si="1804"/>
        <v>1705000</v>
      </c>
      <c r="G1014">
        <f t="shared" si="1804"/>
        <v>1980000</v>
      </c>
      <c r="H1014">
        <f t="shared" si="1804"/>
        <v>2200000</v>
      </c>
      <c r="I1014">
        <f t="shared" si="1804"/>
        <v>3850000</v>
      </c>
      <c r="J1014" s="34">
        <f t="shared" si="1804"/>
        <v>2365000</v>
      </c>
      <c r="K1014">
        <f t="shared" si="1804"/>
        <v>2530000</v>
      </c>
      <c r="L1014">
        <f t="shared" si="1804"/>
        <v>2189000</v>
      </c>
      <c r="M1014" s="34">
        <f t="shared" si="1804"/>
        <v>1727000</v>
      </c>
      <c r="N1014">
        <f t="shared" si="1804"/>
        <v>1485000</v>
      </c>
      <c r="O1014">
        <f t="shared" si="1804"/>
        <v>1320000</v>
      </c>
      <c r="P1014">
        <f t="shared" si="1802"/>
        <v>25644548.39</v>
      </c>
      <c r="Q1014" s="18">
        <f t="shared" si="1803"/>
        <v>863500</v>
      </c>
    </row>
    <row r="1015">
      <c r="B1015" s="1" t="s">
        <v>5545</v>
      </c>
      <c r="C1015" s="33"/>
      <c r="D1015" s="34">
        <v>229537.78139408733</v>
      </c>
      <c r="E1015" s="159">
        <f>218382.674260917-41002</f>
        <v>177380.6743</v>
      </c>
      <c r="F1015">
        <v>102970.21969080553</v>
      </c>
      <c r="G1015" s="159">
        <v>219120.9400596691</v>
      </c>
      <c r="H1015" s="159">
        <v>379797.38703553024</v>
      </c>
      <c r="I1015">
        <v>341183.5546514782</v>
      </c>
      <c r="J1015">
        <v>71959.3344182262</v>
      </c>
      <c r="K1015">
        <v>185376.82783255316</v>
      </c>
      <c r="L1015" s="159">
        <v>247287.49872019977</v>
      </c>
      <c r="M1015" s="134">
        <v>245078.016273393</v>
      </c>
      <c r="N1015" s="159">
        <v>84187.04800650936</v>
      </c>
      <c r="O1015" s="159">
        <v>47932.94982370491</v>
      </c>
      <c r="P1015">
        <f>SUM(D1015:O1015)+41002</f>
        <v>2372814.232</v>
      </c>
      <c r="Q1015" s="18">
        <f t="shared" si="1803"/>
        <v>122539.0081</v>
      </c>
    </row>
    <row r="1016">
      <c r="C1016" s="33"/>
      <c r="D1016">
        <f t="shared" ref="D1016:P1016" si="1805">D1015-D1017</f>
        <v>208670.7104</v>
      </c>
      <c r="E1016">
        <f t="shared" si="1805"/>
        <v>161255.1584</v>
      </c>
      <c r="F1016">
        <f t="shared" si="1805"/>
        <v>93609.29063</v>
      </c>
      <c r="G1016">
        <f t="shared" si="1805"/>
        <v>199200.8546</v>
      </c>
      <c r="H1016">
        <f t="shared" si="1805"/>
        <v>345270.3519</v>
      </c>
      <c r="I1016">
        <f t="shared" si="1805"/>
        <v>310166.8679</v>
      </c>
      <c r="J1016" s="34">
        <f t="shared" si="1805"/>
        <v>65417.57674</v>
      </c>
      <c r="K1016">
        <f t="shared" si="1805"/>
        <v>168524.3889</v>
      </c>
      <c r="L1016">
        <f t="shared" si="1805"/>
        <v>224806.817</v>
      </c>
      <c r="M1016">
        <f t="shared" si="1805"/>
        <v>222798.1966</v>
      </c>
      <c r="N1016">
        <f t="shared" si="1805"/>
        <v>76533.68001</v>
      </c>
      <c r="O1016">
        <f t="shared" si="1805"/>
        <v>43575.40893</v>
      </c>
      <c r="P1016">
        <f t="shared" si="1805"/>
        <v>2157103.847</v>
      </c>
      <c r="Q1016" s="18">
        <f t="shared" si="1803"/>
        <v>111399.0983</v>
      </c>
    </row>
    <row r="1017">
      <c r="B1017" s="1" t="s">
        <v>5499</v>
      </c>
      <c r="C1017" s="33"/>
      <c r="D1017">
        <f t="shared" ref="D1017:P1017" si="1806">D1015/11</f>
        <v>20867.07104</v>
      </c>
      <c r="E1017">
        <f t="shared" si="1806"/>
        <v>16125.51584</v>
      </c>
      <c r="F1017">
        <f t="shared" si="1806"/>
        <v>9360.929063</v>
      </c>
      <c r="G1017">
        <f t="shared" si="1806"/>
        <v>19920.08546</v>
      </c>
      <c r="H1017">
        <f t="shared" si="1806"/>
        <v>34527.03519</v>
      </c>
      <c r="I1017">
        <f t="shared" si="1806"/>
        <v>31016.68679</v>
      </c>
      <c r="J1017" s="34">
        <f t="shared" si="1806"/>
        <v>6541.757674</v>
      </c>
      <c r="K1017">
        <f t="shared" si="1806"/>
        <v>16852.43889</v>
      </c>
      <c r="L1017">
        <f t="shared" si="1806"/>
        <v>22480.6817</v>
      </c>
      <c r="M1017">
        <f t="shared" si="1806"/>
        <v>22279.81966</v>
      </c>
      <c r="N1017">
        <f t="shared" si="1806"/>
        <v>7653.368001</v>
      </c>
      <c r="O1017">
        <f t="shared" si="1806"/>
        <v>4357.540893</v>
      </c>
      <c r="P1017">
        <f t="shared" si="1806"/>
        <v>215710.3847</v>
      </c>
      <c r="Q1017" s="18">
        <f t="shared" si="1803"/>
        <v>11139.90983</v>
      </c>
    </row>
    <row r="1018">
      <c r="B1018" s="1" t="s">
        <v>5800</v>
      </c>
      <c r="C1018" s="33"/>
      <c r="D1018" s="34">
        <v>55607.31573206897</v>
      </c>
      <c r="E1018" s="33">
        <f>23155.4566022769-2773</f>
        <v>20382.4566</v>
      </c>
      <c r="F1018">
        <v>23155.456602276925</v>
      </c>
      <c r="G1018" s="159">
        <v>21244.84626686738</v>
      </c>
      <c r="H1018" s="159">
        <v>30569.765366552787</v>
      </c>
      <c r="I1018">
        <v>38811.05472376711</v>
      </c>
      <c r="J1018">
        <v>30883.447660425994</v>
      </c>
      <c r="K1018">
        <v>21073.746833845627</v>
      </c>
      <c r="L1018" s="159">
        <v>28231.406448588863</v>
      </c>
      <c r="M1018">
        <v>14398.01728878032</v>
      </c>
      <c r="N1018">
        <v>16568.128430939527</v>
      </c>
      <c r="O1018" s="159">
        <v>12661.358043609549</v>
      </c>
      <c r="P1018">
        <f>SUM(D1018:O1018)+2773</f>
        <v>316360</v>
      </c>
      <c r="Q1018" s="18">
        <f t="shared" si="1803"/>
        <v>7199.008644</v>
      </c>
    </row>
    <row r="1019">
      <c r="B1019" s="23" t="s">
        <v>5598</v>
      </c>
      <c r="C1019" s="33"/>
      <c r="D1019" s="18">
        <f t="shared" ref="D1019:O1019" si="1807">SUM(D1014,D1015,D1018)</f>
        <v>2375145.097</v>
      </c>
      <c r="E1019" s="18">
        <f t="shared" si="1807"/>
        <v>2401311.518</v>
      </c>
      <c r="F1019" s="18">
        <f t="shared" si="1807"/>
        <v>1831125.676</v>
      </c>
      <c r="G1019" s="18">
        <f t="shared" si="1807"/>
        <v>2220365.786</v>
      </c>
      <c r="H1019" s="18">
        <f t="shared" si="1807"/>
        <v>2610367.152</v>
      </c>
      <c r="I1019" s="18">
        <f t="shared" si="1807"/>
        <v>4229994.609</v>
      </c>
      <c r="J1019" s="18">
        <f t="shared" si="1807"/>
        <v>2467842.782</v>
      </c>
      <c r="K1019" s="18">
        <f t="shared" si="1807"/>
        <v>2736450.575</v>
      </c>
      <c r="L1019" s="18">
        <f t="shared" si="1807"/>
        <v>2464518.905</v>
      </c>
      <c r="M1019" s="18">
        <f t="shared" si="1807"/>
        <v>1986476.034</v>
      </c>
      <c r="N1019" s="18">
        <f t="shared" si="1807"/>
        <v>1585755.176</v>
      </c>
      <c r="O1019" s="18">
        <f t="shared" si="1807"/>
        <v>1380594.308</v>
      </c>
      <c r="P1019">
        <f t="shared" ref="P1019:P1023" si="1809">SUM(D1019:O1019)</f>
        <v>28289947.62</v>
      </c>
      <c r="Q1019" s="18">
        <f t="shared" si="1803"/>
        <v>993238.0168</v>
      </c>
    </row>
    <row r="1020">
      <c r="B1020" s="1" t="s">
        <v>5599</v>
      </c>
      <c r="C1020" s="33"/>
      <c r="D1020">
        <f t="shared" ref="D1020:O1020" si="1808">SUM(D1012,D1016,D1018)</f>
        <v>2164278.026</v>
      </c>
      <c r="E1020">
        <f t="shared" si="1808"/>
        <v>2184863.421</v>
      </c>
      <c r="F1020">
        <f t="shared" si="1808"/>
        <v>1666764.747</v>
      </c>
      <c r="G1020">
        <f t="shared" si="1808"/>
        <v>2020445.701</v>
      </c>
      <c r="H1020">
        <f t="shared" si="1808"/>
        <v>2375840.117</v>
      </c>
      <c r="I1020">
        <f t="shared" si="1808"/>
        <v>3848977.923</v>
      </c>
      <c r="J1020">
        <f t="shared" si="1808"/>
        <v>2246301.024</v>
      </c>
      <c r="K1020">
        <f t="shared" si="1808"/>
        <v>2489598.136</v>
      </c>
      <c r="L1020">
        <f t="shared" si="1808"/>
        <v>2243038.223</v>
      </c>
      <c r="M1020">
        <f t="shared" si="1808"/>
        <v>1807196.214</v>
      </c>
      <c r="N1020">
        <f t="shared" si="1808"/>
        <v>1443101.808</v>
      </c>
      <c r="O1020">
        <f t="shared" si="1808"/>
        <v>1256236.767</v>
      </c>
      <c r="P1020">
        <f t="shared" si="1809"/>
        <v>25746642.11</v>
      </c>
      <c r="Q1020" s="18">
        <f t="shared" si="1803"/>
        <v>903598.107</v>
      </c>
    </row>
    <row r="1021">
      <c r="B1021" s="1" t="s">
        <v>5601</v>
      </c>
      <c r="C1021" s="33"/>
      <c r="D1021">
        <f t="shared" ref="D1021:O1021" si="1810">SUM(D1012,D1016)</f>
        <v>2108670.71</v>
      </c>
      <c r="E1021">
        <f t="shared" si="1810"/>
        <v>2164480.965</v>
      </c>
      <c r="F1021">
        <f t="shared" si="1810"/>
        <v>1643609.291</v>
      </c>
      <c r="G1021">
        <f t="shared" si="1810"/>
        <v>1999200.855</v>
      </c>
      <c r="H1021">
        <f t="shared" si="1810"/>
        <v>2345270.352</v>
      </c>
      <c r="I1021">
        <f t="shared" si="1810"/>
        <v>3810166.868</v>
      </c>
      <c r="J1021">
        <f t="shared" si="1810"/>
        <v>2215417.577</v>
      </c>
      <c r="K1021">
        <f t="shared" si="1810"/>
        <v>2468524.389</v>
      </c>
      <c r="L1021">
        <f t="shared" si="1810"/>
        <v>2214806.817</v>
      </c>
      <c r="M1021">
        <f t="shared" si="1810"/>
        <v>1792798.197</v>
      </c>
      <c r="N1021">
        <f t="shared" si="1810"/>
        <v>1426533.68</v>
      </c>
      <c r="O1021">
        <f t="shared" si="1810"/>
        <v>1243575.409</v>
      </c>
      <c r="P1021">
        <f t="shared" si="1809"/>
        <v>25433055.11</v>
      </c>
      <c r="Q1021" s="18">
        <f t="shared" si="1803"/>
        <v>896399.0983</v>
      </c>
    </row>
    <row r="1022">
      <c r="B1022" s="1" t="s">
        <v>5582</v>
      </c>
      <c r="C1022" s="33"/>
      <c r="D1022">
        <f t="shared" ref="D1022:O1022" si="1811">SUM(D1013,D1017)</f>
        <v>210867.071</v>
      </c>
      <c r="E1022">
        <f t="shared" si="1811"/>
        <v>216448.0965</v>
      </c>
      <c r="F1022">
        <f t="shared" si="1811"/>
        <v>164360.9291</v>
      </c>
      <c r="G1022">
        <f t="shared" si="1811"/>
        <v>199920.0855</v>
      </c>
      <c r="H1022">
        <f t="shared" si="1811"/>
        <v>234527.0352</v>
      </c>
      <c r="I1022">
        <f t="shared" si="1811"/>
        <v>381016.6868</v>
      </c>
      <c r="J1022">
        <f t="shared" si="1811"/>
        <v>221541.7577</v>
      </c>
      <c r="K1022">
        <f t="shared" si="1811"/>
        <v>246852.4389</v>
      </c>
      <c r="L1022">
        <f t="shared" si="1811"/>
        <v>221480.6817</v>
      </c>
      <c r="M1022">
        <f t="shared" si="1811"/>
        <v>179279.8197</v>
      </c>
      <c r="N1022">
        <f t="shared" si="1811"/>
        <v>142653.368</v>
      </c>
      <c r="O1022">
        <f t="shared" si="1811"/>
        <v>124357.5409</v>
      </c>
      <c r="P1022">
        <f t="shared" si="1809"/>
        <v>2543305.511</v>
      </c>
      <c r="Q1022" s="18">
        <f t="shared" si="1803"/>
        <v>89639.90983</v>
      </c>
    </row>
    <row r="1023">
      <c r="B1023" s="1" t="s">
        <v>5602</v>
      </c>
      <c r="C1023" s="33"/>
      <c r="D1023">
        <f t="shared" ref="D1023:O1023" si="1812">SUM(D1021:D1022)</f>
        <v>2319537.781</v>
      </c>
      <c r="E1023">
        <f t="shared" si="1812"/>
        <v>2380929.061</v>
      </c>
      <c r="F1023">
        <f t="shared" si="1812"/>
        <v>1807970.22</v>
      </c>
      <c r="G1023">
        <f t="shared" si="1812"/>
        <v>2199120.94</v>
      </c>
      <c r="H1023">
        <f t="shared" si="1812"/>
        <v>2579797.387</v>
      </c>
      <c r="I1023">
        <f t="shared" si="1812"/>
        <v>4191183.555</v>
      </c>
      <c r="J1023">
        <f t="shared" si="1812"/>
        <v>2436959.334</v>
      </c>
      <c r="K1023">
        <f t="shared" si="1812"/>
        <v>2715376.828</v>
      </c>
      <c r="L1023">
        <f t="shared" si="1812"/>
        <v>2436287.499</v>
      </c>
      <c r="M1023">
        <f t="shared" si="1812"/>
        <v>1972078.016</v>
      </c>
      <c r="N1023">
        <f t="shared" si="1812"/>
        <v>1569187.048</v>
      </c>
      <c r="O1023">
        <f t="shared" si="1812"/>
        <v>1367932.95</v>
      </c>
      <c r="P1023">
        <f t="shared" si="1809"/>
        <v>27976360.62</v>
      </c>
      <c r="Q1023" s="18">
        <f t="shared" si="1803"/>
        <v>986039.0081</v>
      </c>
    </row>
    <row r="1024">
      <c r="B1024" s="1"/>
      <c r="C1024" s="33"/>
      <c r="D1024" s="33" t="s">
        <v>5566</v>
      </c>
      <c r="E1024" s="33" t="s">
        <v>5566</v>
      </c>
      <c r="F1024" s="1" t="s">
        <v>5566</v>
      </c>
      <c r="G1024" s="33" t="s">
        <v>5566</v>
      </c>
      <c r="H1024" s="33" t="s">
        <v>5566</v>
      </c>
      <c r="I1024" s="1" t="s">
        <v>5566</v>
      </c>
      <c r="J1024" s="1" t="s">
        <v>5566</v>
      </c>
      <c r="K1024" s="33" t="s">
        <v>5566</v>
      </c>
      <c r="L1024" s="33" t="s">
        <v>5566</v>
      </c>
      <c r="M1024" s="1" t="s">
        <v>5566</v>
      </c>
      <c r="N1024" s="1" t="s">
        <v>5566</v>
      </c>
      <c r="O1024" s="33" t="s">
        <v>5566</v>
      </c>
    </row>
    <row r="1025">
      <c r="B1025" s="1"/>
      <c r="C1025" s="33"/>
      <c r="D1025" s="34"/>
      <c r="E1025" s="33"/>
      <c r="G1025" s="33"/>
      <c r="H1025" s="33"/>
      <c r="L1025" s="33"/>
      <c r="O1025" s="33"/>
    </row>
    <row r="1026">
      <c r="B1026" s="1"/>
      <c r="C1026" s="33"/>
      <c r="D1026" s="34"/>
      <c r="E1026" s="33"/>
      <c r="G1026" s="33"/>
      <c r="H1026" s="33"/>
      <c r="L1026" s="33"/>
      <c r="O1026" s="33"/>
    </row>
    <row r="1027">
      <c r="B1027" s="1" t="s">
        <v>5870</v>
      </c>
      <c r="C1027" s="33"/>
      <c r="D1027" s="33">
        <v>1900000.0</v>
      </c>
      <c r="E1027" s="1">
        <v>2700000.0</v>
      </c>
      <c r="F1027" s="1">
        <v>1550000.0</v>
      </c>
      <c r="G1027" s="1">
        <v>1800000.0</v>
      </c>
      <c r="H1027" s="1">
        <v>2000000.0</v>
      </c>
      <c r="I1027" s="1">
        <v>3500000.0</v>
      </c>
      <c r="J1027" s="33">
        <v>2150000.0</v>
      </c>
      <c r="K1027" s="1">
        <v>2300000.0</v>
      </c>
      <c r="L1027" s="1">
        <v>1990000.0</v>
      </c>
      <c r="M1027" s="33">
        <v>1570000.0</v>
      </c>
      <c r="N1027" s="33">
        <v>1350000.0</v>
      </c>
      <c r="O1027" s="1">
        <v>1200000.0</v>
      </c>
      <c r="P1027">
        <f t="shared" ref="P1027:P1035" si="1814">SUM(D1027:O1027)</f>
        <v>24010000</v>
      </c>
      <c r="Q1027" s="18">
        <f t="shared" ref="Q1027:Q1035" si="1815">M1027*0.5</f>
        <v>785000</v>
      </c>
    </row>
    <row r="1028">
      <c r="B1028" s="1" t="s">
        <v>5499</v>
      </c>
      <c r="C1028" s="33"/>
      <c r="D1028" s="33">
        <f t="shared" ref="D1028:O1028" si="1813">D1027*0.1</f>
        <v>190000</v>
      </c>
      <c r="E1028" s="1">
        <f t="shared" si="1813"/>
        <v>270000</v>
      </c>
      <c r="F1028" s="1">
        <f t="shared" si="1813"/>
        <v>155000</v>
      </c>
      <c r="G1028" s="1">
        <f t="shared" si="1813"/>
        <v>180000</v>
      </c>
      <c r="H1028" s="1">
        <f t="shared" si="1813"/>
        <v>200000</v>
      </c>
      <c r="I1028" s="1">
        <f t="shared" si="1813"/>
        <v>350000</v>
      </c>
      <c r="J1028" s="33">
        <f t="shared" si="1813"/>
        <v>215000</v>
      </c>
      <c r="K1028" s="1">
        <f t="shared" si="1813"/>
        <v>230000</v>
      </c>
      <c r="L1028" s="1">
        <f t="shared" si="1813"/>
        <v>199000</v>
      </c>
      <c r="M1028" s="33">
        <f t="shared" si="1813"/>
        <v>157000</v>
      </c>
      <c r="N1028" s="1">
        <f t="shared" si="1813"/>
        <v>135000</v>
      </c>
      <c r="O1028" s="1">
        <f t="shared" si="1813"/>
        <v>120000</v>
      </c>
      <c r="P1028">
        <f t="shared" si="1814"/>
        <v>2401000</v>
      </c>
      <c r="Q1028" s="18">
        <f t="shared" si="1815"/>
        <v>78500</v>
      </c>
    </row>
    <row r="1029">
      <c r="B1029" s="1" t="s">
        <v>5520</v>
      </c>
      <c r="C1029" s="33"/>
      <c r="D1029" s="34">
        <f t="shared" ref="D1029:O1029" si="1816">D1027+D1028</f>
        <v>2090000</v>
      </c>
      <c r="E1029">
        <f t="shared" si="1816"/>
        <v>2970000</v>
      </c>
      <c r="F1029">
        <f t="shared" si="1816"/>
        <v>1705000</v>
      </c>
      <c r="G1029">
        <f t="shared" si="1816"/>
        <v>1980000</v>
      </c>
      <c r="H1029">
        <f t="shared" si="1816"/>
        <v>2200000</v>
      </c>
      <c r="I1029">
        <f t="shared" si="1816"/>
        <v>3850000</v>
      </c>
      <c r="J1029" s="34">
        <f t="shared" si="1816"/>
        <v>2365000</v>
      </c>
      <c r="K1029">
        <f t="shared" si="1816"/>
        <v>2530000</v>
      </c>
      <c r="L1029">
        <f t="shared" si="1816"/>
        <v>2189000</v>
      </c>
      <c r="M1029" s="34">
        <f t="shared" si="1816"/>
        <v>1727000</v>
      </c>
      <c r="N1029">
        <f t="shared" si="1816"/>
        <v>1485000</v>
      </c>
      <c r="O1029">
        <f t="shared" si="1816"/>
        <v>1320000</v>
      </c>
      <c r="P1029">
        <f t="shared" si="1814"/>
        <v>26411000</v>
      </c>
      <c r="Q1029" s="18">
        <f t="shared" si="1815"/>
        <v>863500</v>
      </c>
    </row>
    <row r="1030">
      <c r="B1030" s="1" t="s">
        <v>5545</v>
      </c>
      <c r="C1030" s="33"/>
      <c r="D1030" s="34">
        <v>267908.05118946475</v>
      </c>
      <c r="E1030" s="159">
        <v>182278.48555649957</v>
      </c>
      <c r="F1030">
        <v>95041.93075615972</v>
      </c>
      <c r="G1030" s="159">
        <v>222299.66652506372</v>
      </c>
      <c r="H1030" s="159">
        <v>366928.69158878503</v>
      </c>
      <c r="I1030">
        <v>292777.62000849616</v>
      </c>
      <c r="J1030">
        <v>43005.58942225998</v>
      </c>
      <c r="K1030">
        <v>172157.16978115344</v>
      </c>
      <c r="L1030" s="159">
        <v>229512.59551196464</v>
      </c>
      <c r="M1030" s="134">
        <v>226661.49426508072</v>
      </c>
      <c r="N1030" s="159">
        <v>6963.118096856415</v>
      </c>
      <c r="O1030" s="159">
        <v>56091.07264231096</v>
      </c>
      <c r="P1030">
        <f t="shared" si="1814"/>
        <v>2161625.485</v>
      </c>
      <c r="Q1030" s="18">
        <f t="shared" si="1815"/>
        <v>113330.7471</v>
      </c>
    </row>
    <row r="1031">
      <c r="C1031" s="33"/>
      <c r="D1031">
        <f t="shared" ref="D1031:O1031" si="1817">D1030-D1032</f>
        <v>243552.7738</v>
      </c>
      <c r="E1031">
        <f t="shared" si="1817"/>
        <v>165707.7141</v>
      </c>
      <c r="F1031">
        <f t="shared" si="1817"/>
        <v>86401.75523</v>
      </c>
      <c r="G1031">
        <f t="shared" si="1817"/>
        <v>202090.6059</v>
      </c>
      <c r="H1031">
        <f t="shared" si="1817"/>
        <v>333571.5378</v>
      </c>
      <c r="I1031">
        <f t="shared" si="1817"/>
        <v>266161.4727</v>
      </c>
      <c r="J1031" s="34">
        <f t="shared" si="1817"/>
        <v>39095.99038</v>
      </c>
      <c r="K1031">
        <f t="shared" si="1817"/>
        <v>156506.518</v>
      </c>
      <c r="L1031">
        <f t="shared" si="1817"/>
        <v>208647.8141</v>
      </c>
      <c r="M1031">
        <f t="shared" si="1817"/>
        <v>206055.9039</v>
      </c>
      <c r="N1031">
        <f t="shared" si="1817"/>
        <v>6330.107361</v>
      </c>
      <c r="O1031">
        <f t="shared" si="1817"/>
        <v>50991.88422</v>
      </c>
      <c r="P1031">
        <f t="shared" si="1814"/>
        <v>1965114.078</v>
      </c>
      <c r="Q1031" s="18">
        <f t="shared" si="1815"/>
        <v>103027.9519</v>
      </c>
    </row>
    <row r="1032">
      <c r="B1032" s="1" t="s">
        <v>5499</v>
      </c>
      <c r="C1032" s="33"/>
      <c r="D1032">
        <f t="shared" ref="D1032:O1032" si="1818">D1030/11</f>
        <v>24355.27738</v>
      </c>
      <c r="E1032">
        <f t="shared" si="1818"/>
        <v>16570.77141</v>
      </c>
      <c r="F1032">
        <f t="shared" si="1818"/>
        <v>8640.175523</v>
      </c>
      <c r="G1032">
        <f t="shared" si="1818"/>
        <v>20209.06059</v>
      </c>
      <c r="H1032">
        <f t="shared" si="1818"/>
        <v>33357.15378</v>
      </c>
      <c r="I1032">
        <f t="shared" si="1818"/>
        <v>26616.14727</v>
      </c>
      <c r="J1032" s="34">
        <f t="shared" si="1818"/>
        <v>3909.599038</v>
      </c>
      <c r="K1032">
        <f t="shared" si="1818"/>
        <v>15650.6518</v>
      </c>
      <c r="L1032">
        <f t="shared" si="1818"/>
        <v>20864.78141</v>
      </c>
      <c r="M1032">
        <f t="shared" si="1818"/>
        <v>20605.59039</v>
      </c>
      <c r="N1032">
        <f t="shared" si="1818"/>
        <v>633.0107361</v>
      </c>
      <c r="O1032">
        <f t="shared" si="1818"/>
        <v>5099.188422</v>
      </c>
      <c r="P1032">
        <f t="shared" si="1814"/>
        <v>196511.4078</v>
      </c>
      <c r="Q1032" s="18">
        <f t="shared" si="1815"/>
        <v>10302.79519</v>
      </c>
    </row>
    <row r="1033">
      <c r="B1033" s="23" t="s">
        <v>5528</v>
      </c>
      <c r="C1033" s="33"/>
      <c r="D1033" s="145">
        <f t="shared" ref="D1033:O1033" si="1819">SUM(D1029,D1030)</f>
        <v>2357908.051</v>
      </c>
      <c r="E1033" s="145">
        <f t="shared" si="1819"/>
        <v>3152278.486</v>
      </c>
      <c r="F1033" s="145">
        <f t="shared" si="1819"/>
        <v>1800041.931</v>
      </c>
      <c r="G1033" s="145">
        <f t="shared" si="1819"/>
        <v>2202299.667</v>
      </c>
      <c r="H1033" s="145">
        <f t="shared" si="1819"/>
        <v>2566928.692</v>
      </c>
      <c r="I1033" s="173">
        <f t="shared" si="1819"/>
        <v>4142777.62</v>
      </c>
      <c r="J1033" s="145">
        <f t="shared" si="1819"/>
        <v>2408005.589</v>
      </c>
      <c r="K1033" s="174">
        <f t="shared" si="1819"/>
        <v>2702157.17</v>
      </c>
      <c r="L1033" s="145">
        <f t="shared" si="1819"/>
        <v>2418512.596</v>
      </c>
      <c r="M1033" s="145">
        <f t="shared" si="1819"/>
        <v>1953661.494</v>
      </c>
      <c r="N1033" s="145">
        <f t="shared" si="1819"/>
        <v>1491963.118</v>
      </c>
      <c r="O1033" s="145">
        <f t="shared" si="1819"/>
        <v>1376091.073</v>
      </c>
      <c r="P1033">
        <f t="shared" si="1814"/>
        <v>28572625.49</v>
      </c>
      <c r="Q1033" s="18">
        <f t="shared" si="1815"/>
        <v>976830.7471</v>
      </c>
    </row>
    <row r="1034">
      <c r="B1034" s="1" t="s">
        <v>5580</v>
      </c>
      <c r="C1034" s="33"/>
      <c r="D1034">
        <f t="shared" ref="D1034:O1034" si="1820">D1027+D1031</f>
        <v>2143552.774</v>
      </c>
      <c r="E1034">
        <f t="shared" si="1820"/>
        <v>2865707.714</v>
      </c>
      <c r="F1034">
        <f t="shared" si="1820"/>
        <v>1636401.755</v>
      </c>
      <c r="G1034">
        <f t="shared" si="1820"/>
        <v>2002090.606</v>
      </c>
      <c r="H1034">
        <f t="shared" si="1820"/>
        <v>2333571.538</v>
      </c>
      <c r="I1034">
        <f t="shared" si="1820"/>
        <v>3766161.473</v>
      </c>
      <c r="J1034" s="34">
        <f t="shared" si="1820"/>
        <v>2189095.99</v>
      </c>
      <c r="K1034">
        <f t="shared" si="1820"/>
        <v>2456506.518</v>
      </c>
      <c r="L1034">
        <f t="shared" si="1820"/>
        <v>2198647.814</v>
      </c>
      <c r="M1034">
        <f t="shared" si="1820"/>
        <v>1776055.904</v>
      </c>
      <c r="N1034">
        <f t="shared" si="1820"/>
        <v>1356330.107</v>
      </c>
      <c r="O1034">
        <f t="shared" si="1820"/>
        <v>1250991.884</v>
      </c>
      <c r="P1034">
        <f t="shared" si="1814"/>
        <v>25975114.08</v>
      </c>
      <c r="Q1034" s="18">
        <f t="shared" si="1815"/>
        <v>888027.9519</v>
      </c>
    </row>
    <row r="1035">
      <c r="B1035" s="1" t="s">
        <v>5582</v>
      </c>
      <c r="C1035" s="33"/>
      <c r="D1035">
        <f t="shared" ref="D1035:O1035" si="1821">D1028+D1032</f>
        <v>214355.2774</v>
      </c>
      <c r="E1035">
        <f t="shared" si="1821"/>
        <v>286570.7714</v>
      </c>
      <c r="F1035">
        <f t="shared" si="1821"/>
        <v>163640.1755</v>
      </c>
      <c r="G1035">
        <f t="shared" si="1821"/>
        <v>200209.0606</v>
      </c>
      <c r="H1035">
        <f t="shared" si="1821"/>
        <v>233357.1538</v>
      </c>
      <c r="I1035">
        <f t="shared" si="1821"/>
        <v>376616.1473</v>
      </c>
      <c r="J1035" s="34">
        <f t="shared" si="1821"/>
        <v>218909.599</v>
      </c>
      <c r="K1035">
        <f t="shared" si="1821"/>
        <v>245650.6518</v>
      </c>
      <c r="L1035">
        <f t="shared" si="1821"/>
        <v>219864.7814</v>
      </c>
      <c r="M1035">
        <f t="shared" si="1821"/>
        <v>177605.5904</v>
      </c>
      <c r="N1035">
        <f t="shared" si="1821"/>
        <v>135633.0107</v>
      </c>
      <c r="O1035">
        <f t="shared" si="1821"/>
        <v>125099.1884</v>
      </c>
      <c r="P1035">
        <f t="shared" si="1814"/>
        <v>2597511.408</v>
      </c>
      <c r="Q1035" s="18">
        <f t="shared" si="1815"/>
        <v>88802.79519</v>
      </c>
    </row>
    <row r="1036">
      <c r="B1036" s="1"/>
      <c r="C1036" s="33"/>
      <c r="D1036" s="33" t="s">
        <v>5566</v>
      </c>
      <c r="E1036" s="33" t="s">
        <v>5566</v>
      </c>
      <c r="F1036" s="1" t="s">
        <v>5566</v>
      </c>
      <c r="G1036" s="33" t="s">
        <v>5566</v>
      </c>
      <c r="H1036" s="33" t="s">
        <v>5566</v>
      </c>
      <c r="I1036" s="1" t="s">
        <v>5566</v>
      </c>
      <c r="J1036" s="1" t="s">
        <v>5566</v>
      </c>
      <c r="K1036" s="29"/>
      <c r="L1036" s="33" t="s">
        <v>5566</v>
      </c>
      <c r="M1036" s="1" t="s">
        <v>5566</v>
      </c>
      <c r="N1036" s="1" t="s">
        <v>5566</v>
      </c>
      <c r="O1036" s="33" t="s">
        <v>5566</v>
      </c>
    </row>
    <row r="1037">
      <c r="B1037" s="1"/>
      <c r="C1037" s="33"/>
      <c r="D1037" s="34"/>
      <c r="E1037" s="33"/>
      <c r="G1037" s="33"/>
      <c r="H1037" s="33"/>
      <c r="L1037" s="33"/>
      <c r="O1037" s="33"/>
    </row>
    <row r="1038">
      <c r="B1038" s="1"/>
      <c r="C1038" s="33"/>
      <c r="D1038" s="34"/>
      <c r="E1038" s="33"/>
      <c r="G1038" s="33"/>
      <c r="H1038" s="33"/>
      <c r="L1038" s="33"/>
      <c r="O1038" s="33"/>
    </row>
    <row r="1039">
      <c r="B1039" s="1" t="s">
        <v>5871</v>
      </c>
      <c r="C1039" s="33"/>
      <c r="D1039" s="33">
        <v>1900000.0</v>
      </c>
      <c r="E1039" s="1">
        <v>2700000.0</v>
      </c>
      <c r="F1039" s="1">
        <v>1550000.0</v>
      </c>
      <c r="G1039" s="1">
        <v>1800000.0</v>
      </c>
      <c r="H1039" s="1">
        <v>2000000.0</v>
      </c>
      <c r="I1039" s="1">
        <v>3500000.0</v>
      </c>
      <c r="J1039" s="33">
        <v>2150000.0</v>
      </c>
      <c r="K1039" s="1">
        <v>2300000.0</v>
      </c>
      <c r="L1039" s="1">
        <v>1990000.0</v>
      </c>
      <c r="M1039" s="33">
        <v>1570000.0</v>
      </c>
      <c r="N1039" s="33">
        <v>1350000.0</v>
      </c>
      <c r="O1039" s="1">
        <v>1200000.0</v>
      </c>
      <c r="P1039">
        <f t="shared" ref="P1039:P1050" si="1823">SUM(D1039:O1039)</f>
        <v>24010000</v>
      </c>
      <c r="Q1039" s="18">
        <f t="shared" ref="Q1039:Q1050" si="1824">M1039*0.5</f>
        <v>785000</v>
      </c>
    </row>
    <row r="1040">
      <c r="B1040" s="1" t="s">
        <v>5499</v>
      </c>
      <c r="C1040" s="33"/>
      <c r="D1040" s="33">
        <f t="shared" ref="D1040:O1040" si="1822">D1039*0.1</f>
        <v>190000</v>
      </c>
      <c r="E1040" s="1">
        <f t="shared" si="1822"/>
        <v>270000</v>
      </c>
      <c r="F1040" s="1">
        <f t="shared" si="1822"/>
        <v>155000</v>
      </c>
      <c r="G1040" s="1">
        <f t="shared" si="1822"/>
        <v>180000</v>
      </c>
      <c r="H1040" s="1">
        <f t="shared" si="1822"/>
        <v>200000</v>
      </c>
      <c r="I1040" s="1">
        <f t="shared" si="1822"/>
        <v>350000</v>
      </c>
      <c r="J1040" s="33">
        <f t="shared" si="1822"/>
        <v>215000</v>
      </c>
      <c r="K1040" s="1">
        <f t="shared" si="1822"/>
        <v>230000</v>
      </c>
      <c r="L1040" s="1">
        <f t="shared" si="1822"/>
        <v>199000</v>
      </c>
      <c r="M1040" s="33">
        <f t="shared" si="1822"/>
        <v>157000</v>
      </c>
      <c r="N1040" s="1">
        <f t="shared" si="1822"/>
        <v>135000</v>
      </c>
      <c r="O1040" s="1">
        <f t="shared" si="1822"/>
        <v>120000</v>
      </c>
      <c r="P1040">
        <f t="shared" si="1823"/>
        <v>2401000</v>
      </c>
      <c r="Q1040" s="18">
        <f t="shared" si="1824"/>
        <v>78500</v>
      </c>
    </row>
    <row r="1041">
      <c r="B1041" s="1" t="s">
        <v>5520</v>
      </c>
      <c r="C1041" s="33"/>
      <c r="D1041" s="34">
        <f t="shared" ref="D1041:O1041" si="1825">D1039+D1040</f>
        <v>2090000</v>
      </c>
      <c r="E1041">
        <f t="shared" si="1825"/>
        <v>2970000</v>
      </c>
      <c r="F1041">
        <f t="shared" si="1825"/>
        <v>1705000</v>
      </c>
      <c r="G1041">
        <f t="shared" si="1825"/>
        <v>1980000</v>
      </c>
      <c r="H1041">
        <f t="shared" si="1825"/>
        <v>2200000</v>
      </c>
      <c r="I1041">
        <f t="shared" si="1825"/>
        <v>3850000</v>
      </c>
      <c r="J1041" s="34">
        <f t="shared" si="1825"/>
        <v>2365000</v>
      </c>
      <c r="K1041">
        <f t="shared" si="1825"/>
        <v>2530000</v>
      </c>
      <c r="L1041">
        <f t="shared" si="1825"/>
        <v>2189000</v>
      </c>
      <c r="M1041" s="34">
        <f t="shared" si="1825"/>
        <v>1727000</v>
      </c>
      <c r="N1041">
        <f t="shared" si="1825"/>
        <v>1485000</v>
      </c>
      <c r="O1041">
        <f t="shared" si="1825"/>
        <v>1320000</v>
      </c>
      <c r="P1041">
        <f t="shared" si="1823"/>
        <v>26411000</v>
      </c>
      <c r="Q1041" s="18">
        <f t="shared" si="1824"/>
        <v>863500</v>
      </c>
    </row>
    <row r="1042">
      <c r="B1042" s="1" t="s">
        <v>5545</v>
      </c>
      <c r="C1042" s="33"/>
      <c r="D1042" s="34">
        <v>193929.33913287497</v>
      </c>
      <c r="E1042" s="159">
        <v>123102.9717973902</v>
      </c>
      <c r="F1042">
        <v>79679.66325242037</v>
      </c>
      <c r="G1042" s="159">
        <v>117270.67588045461</v>
      </c>
      <c r="H1042" s="159">
        <v>289909.9462606988</v>
      </c>
      <c r="I1042">
        <v>211073.45404798654</v>
      </c>
      <c r="J1042">
        <v>35693.877788690894</v>
      </c>
      <c r="K1042">
        <v>89603.18129104914</v>
      </c>
      <c r="L1042" s="159">
        <v>119010.6609988344</v>
      </c>
      <c r="M1042" s="134">
        <v>174395.51382068192</v>
      </c>
      <c r="N1042" s="159">
        <v>39488.14746737758</v>
      </c>
      <c r="O1042" s="159">
        <v>29159.302230952715</v>
      </c>
      <c r="P1042">
        <f t="shared" si="1823"/>
        <v>1502316.734</v>
      </c>
      <c r="Q1042" s="18">
        <f t="shared" si="1824"/>
        <v>87197.75691</v>
      </c>
    </row>
    <row r="1043">
      <c r="C1043" s="33"/>
      <c r="D1043">
        <f t="shared" ref="D1043:O1043" si="1826">D1042-D1044</f>
        <v>176299.3992</v>
      </c>
      <c r="E1043">
        <f t="shared" si="1826"/>
        <v>111911.7925</v>
      </c>
      <c r="F1043">
        <f t="shared" si="1826"/>
        <v>72436.0575</v>
      </c>
      <c r="G1043">
        <f t="shared" si="1826"/>
        <v>106609.7053</v>
      </c>
      <c r="H1043">
        <f t="shared" si="1826"/>
        <v>263554.4966</v>
      </c>
      <c r="I1043">
        <f t="shared" si="1826"/>
        <v>191884.9582</v>
      </c>
      <c r="J1043" s="34">
        <f t="shared" si="1826"/>
        <v>32448.97981</v>
      </c>
      <c r="K1043">
        <f t="shared" si="1826"/>
        <v>81457.43754</v>
      </c>
      <c r="L1043">
        <f t="shared" si="1826"/>
        <v>108191.51</v>
      </c>
      <c r="M1043">
        <f t="shared" si="1826"/>
        <v>158541.3762</v>
      </c>
      <c r="N1043">
        <f t="shared" si="1826"/>
        <v>35898.31588</v>
      </c>
      <c r="O1043">
        <f t="shared" si="1826"/>
        <v>26508.45657</v>
      </c>
      <c r="P1043">
        <f t="shared" si="1823"/>
        <v>1365742.485</v>
      </c>
      <c r="Q1043" s="18">
        <f t="shared" si="1824"/>
        <v>79270.6881</v>
      </c>
    </row>
    <row r="1044">
      <c r="B1044" s="1" t="s">
        <v>5499</v>
      </c>
      <c r="C1044" s="33"/>
      <c r="D1044">
        <f t="shared" ref="D1044:O1044" si="1827">D1042/11</f>
        <v>17629.93992</v>
      </c>
      <c r="E1044">
        <f t="shared" si="1827"/>
        <v>11191.17925</v>
      </c>
      <c r="F1044">
        <f t="shared" si="1827"/>
        <v>7243.60575</v>
      </c>
      <c r="G1044">
        <f t="shared" si="1827"/>
        <v>10660.97053</v>
      </c>
      <c r="H1044">
        <f t="shared" si="1827"/>
        <v>26355.44966</v>
      </c>
      <c r="I1044">
        <f t="shared" si="1827"/>
        <v>19188.49582</v>
      </c>
      <c r="J1044" s="34">
        <f t="shared" si="1827"/>
        <v>3244.897981</v>
      </c>
      <c r="K1044">
        <f t="shared" si="1827"/>
        <v>8145.743754</v>
      </c>
      <c r="L1044">
        <f t="shared" si="1827"/>
        <v>10819.151</v>
      </c>
      <c r="M1044">
        <f t="shared" si="1827"/>
        <v>15854.13762</v>
      </c>
      <c r="N1044">
        <f t="shared" si="1827"/>
        <v>3589.831588</v>
      </c>
      <c r="O1044">
        <f t="shared" si="1827"/>
        <v>2650.845657</v>
      </c>
      <c r="P1044">
        <f t="shared" si="1823"/>
        <v>136574.2485</v>
      </c>
      <c r="Q1044" s="18">
        <f t="shared" si="1824"/>
        <v>7927.06881</v>
      </c>
    </row>
    <row r="1045">
      <c r="B1045" s="1" t="s">
        <v>5809</v>
      </c>
      <c r="C1045" s="33"/>
      <c r="D1045" s="34">
        <v>45841.40834152101</v>
      </c>
      <c r="E1045" s="159">
        <v>19088.83260170003</v>
      </c>
      <c r="F1045">
        <v>19088.83260170003</v>
      </c>
      <c r="G1045" s="159">
        <v>17513.76882791444</v>
      </c>
      <c r="H1045" s="159">
        <v>25201.0203805695</v>
      </c>
      <c r="I1045">
        <v>31994.952180928256</v>
      </c>
      <c r="J1045">
        <v>25459.612940444746</v>
      </c>
      <c r="K1045">
        <v>17372.71834070976</v>
      </c>
      <c r="L1045" s="159">
        <v>23273.330388772207</v>
      </c>
      <c r="M1045">
        <v>11869.398498273826</v>
      </c>
      <c r="N1045">
        <v>13658.388844319852</v>
      </c>
      <c r="O1045" s="159">
        <v>10437.736053146322</v>
      </c>
      <c r="P1045">
        <f t="shared" si="1823"/>
        <v>260800</v>
      </c>
      <c r="Q1045" s="18">
        <f t="shared" si="1824"/>
        <v>5934.699249</v>
      </c>
    </row>
    <row r="1046">
      <c r="B1046" s="23" t="s">
        <v>5598</v>
      </c>
      <c r="C1046" s="33"/>
      <c r="D1046" s="18">
        <f t="shared" ref="D1046:O1046" si="1828">SUM(D1041,D1042,D1045)</f>
        <v>2329770.747</v>
      </c>
      <c r="E1046" s="18">
        <f t="shared" si="1828"/>
        <v>3112191.804</v>
      </c>
      <c r="F1046" s="18">
        <f t="shared" si="1828"/>
        <v>1803768.496</v>
      </c>
      <c r="G1046" s="18">
        <f t="shared" si="1828"/>
        <v>2114784.445</v>
      </c>
      <c r="H1046" s="18">
        <f t="shared" si="1828"/>
        <v>2515110.967</v>
      </c>
      <c r="I1046" s="18">
        <f t="shared" si="1828"/>
        <v>4093068.406</v>
      </c>
      <c r="J1046" s="18">
        <f t="shared" si="1828"/>
        <v>2426153.491</v>
      </c>
      <c r="K1046" s="18">
        <f t="shared" si="1828"/>
        <v>2636975.9</v>
      </c>
      <c r="L1046" s="18">
        <f t="shared" si="1828"/>
        <v>2331283.991</v>
      </c>
      <c r="M1046" s="18">
        <f t="shared" si="1828"/>
        <v>1913264.912</v>
      </c>
      <c r="N1046" s="18">
        <f t="shared" si="1828"/>
        <v>1538146.536</v>
      </c>
      <c r="O1046" s="18">
        <f t="shared" si="1828"/>
        <v>1359597.038</v>
      </c>
      <c r="P1046">
        <f t="shared" si="1823"/>
        <v>28174116.73</v>
      </c>
      <c r="Q1046" s="18">
        <f t="shared" si="1824"/>
        <v>956632.4562</v>
      </c>
    </row>
    <row r="1047">
      <c r="B1047" s="1" t="s">
        <v>5599</v>
      </c>
      <c r="C1047" s="33"/>
      <c r="D1047">
        <f t="shared" ref="D1047:O1047" si="1829">SUM(D1039,D1043,D1045)</f>
        <v>2122140.808</v>
      </c>
      <c r="E1047">
        <f t="shared" si="1829"/>
        <v>2831000.625</v>
      </c>
      <c r="F1047">
        <f t="shared" si="1829"/>
        <v>1641524.89</v>
      </c>
      <c r="G1047">
        <f t="shared" si="1829"/>
        <v>1924123.474</v>
      </c>
      <c r="H1047">
        <f t="shared" si="1829"/>
        <v>2288755.517</v>
      </c>
      <c r="I1047">
        <f t="shared" si="1829"/>
        <v>3723879.91</v>
      </c>
      <c r="J1047">
        <f t="shared" si="1829"/>
        <v>2207908.593</v>
      </c>
      <c r="K1047">
        <f t="shared" si="1829"/>
        <v>2398830.156</v>
      </c>
      <c r="L1047">
        <f t="shared" si="1829"/>
        <v>2121464.84</v>
      </c>
      <c r="M1047">
        <f t="shared" si="1829"/>
        <v>1740410.775</v>
      </c>
      <c r="N1047">
        <f t="shared" si="1829"/>
        <v>1399556.705</v>
      </c>
      <c r="O1047">
        <f t="shared" si="1829"/>
        <v>1236946.193</v>
      </c>
      <c r="P1047">
        <f t="shared" si="1823"/>
        <v>25636542.49</v>
      </c>
      <c r="Q1047" s="18">
        <f t="shared" si="1824"/>
        <v>870205.3873</v>
      </c>
    </row>
    <row r="1048">
      <c r="B1048" s="1" t="s">
        <v>5601</v>
      </c>
      <c r="C1048" s="33"/>
      <c r="D1048">
        <f t="shared" ref="D1048:O1048" si="1830">SUM(D1039,D1043)</f>
        <v>2076299.399</v>
      </c>
      <c r="E1048">
        <f t="shared" si="1830"/>
        <v>2811911.793</v>
      </c>
      <c r="F1048">
        <f t="shared" si="1830"/>
        <v>1622436.058</v>
      </c>
      <c r="G1048">
        <f t="shared" si="1830"/>
        <v>1906609.705</v>
      </c>
      <c r="H1048">
        <f t="shared" si="1830"/>
        <v>2263554.497</v>
      </c>
      <c r="I1048">
        <f t="shared" si="1830"/>
        <v>3691884.958</v>
      </c>
      <c r="J1048">
        <f t="shared" si="1830"/>
        <v>2182448.98</v>
      </c>
      <c r="K1048">
        <f t="shared" si="1830"/>
        <v>2381457.438</v>
      </c>
      <c r="L1048">
        <f t="shared" si="1830"/>
        <v>2098191.51</v>
      </c>
      <c r="M1048">
        <f t="shared" si="1830"/>
        <v>1728541.376</v>
      </c>
      <c r="N1048">
        <f t="shared" si="1830"/>
        <v>1385898.316</v>
      </c>
      <c r="O1048">
        <f t="shared" si="1830"/>
        <v>1226508.457</v>
      </c>
      <c r="P1048">
        <f t="shared" si="1823"/>
        <v>25375742.49</v>
      </c>
      <c r="Q1048" s="18">
        <f t="shared" si="1824"/>
        <v>864270.6881</v>
      </c>
    </row>
    <row r="1049">
      <c r="B1049" s="1" t="s">
        <v>5582</v>
      </c>
      <c r="C1049" s="33"/>
      <c r="D1049">
        <f t="shared" ref="D1049:O1049" si="1831">SUM(D1040,D1044)</f>
        <v>207629.9399</v>
      </c>
      <c r="E1049">
        <f t="shared" si="1831"/>
        <v>281191.1793</v>
      </c>
      <c r="F1049">
        <f t="shared" si="1831"/>
        <v>162243.6058</v>
      </c>
      <c r="G1049" s="29">
        <f t="shared" si="1831"/>
        <v>190660.9705</v>
      </c>
      <c r="H1049">
        <f t="shared" si="1831"/>
        <v>226355.4497</v>
      </c>
      <c r="I1049">
        <f t="shared" si="1831"/>
        <v>369188.4958</v>
      </c>
      <c r="J1049">
        <f t="shared" si="1831"/>
        <v>218244.898</v>
      </c>
      <c r="K1049">
        <f t="shared" si="1831"/>
        <v>238145.7438</v>
      </c>
      <c r="L1049">
        <f t="shared" si="1831"/>
        <v>209819.151</v>
      </c>
      <c r="M1049">
        <f t="shared" si="1831"/>
        <v>172854.1376</v>
      </c>
      <c r="N1049">
        <f t="shared" si="1831"/>
        <v>138589.8316</v>
      </c>
      <c r="O1049">
        <f t="shared" si="1831"/>
        <v>122650.8457</v>
      </c>
      <c r="P1049">
        <f t="shared" si="1823"/>
        <v>2537574.249</v>
      </c>
      <c r="Q1049" s="18">
        <f t="shared" si="1824"/>
        <v>86427.06881</v>
      </c>
    </row>
    <row r="1050">
      <c r="B1050" s="1" t="s">
        <v>5602</v>
      </c>
      <c r="C1050" s="33"/>
      <c r="D1050">
        <f t="shared" ref="D1050:O1050" si="1832">SUM(D1048:D1049)</f>
        <v>2283929.339</v>
      </c>
      <c r="E1050">
        <f t="shared" si="1832"/>
        <v>3093102.972</v>
      </c>
      <c r="F1050">
        <f t="shared" si="1832"/>
        <v>1784679.663</v>
      </c>
      <c r="G1050">
        <f t="shared" si="1832"/>
        <v>2097270.676</v>
      </c>
      <c r="H1050">
        <f t="shared" si="1832"/>
        <v>2489909.946</v>
      </c>
      <c r="I1050">
        <f t="shared" si="1832"/>
        <v>4061073.454</v>
      </c>
      <c r="J1050">
        <f t="shared" si="1832"/>
        <v>2400693.878</v>
      </c>
      <c r="K1050">
        <f t="shared" si="1832"/>
        <v>2619603.181</v>
      </c>
      <c r="L1050">
        <f t="shared" si="1832"/>
        <v>2308010.661</v>
      </c>
      <c r="M1050">
        <f t="shared" si="1832"/>
        <v>1901395.514</v>
      </c>
      <c r="N1050">
        <f t="shared" si="1832"/>
        <v>1524488.147</v>
      </c>
      <c r="O1050">
        <f t="shared" si="1832"/>
        <v>1349159.302</v>
      </c>
      <c r="P1050">
        <f t="shared" si="1823"/>
        <v>27913316.73</v>
      </c>
      <c r="Q1050" s="18">
        <f t="shared" si="1824"/>
        <v>950697.7569</v>
      </c>
    </row>
    <row r="1051">
      <c r="B1051" s="1"/>
      <c r="C1051" s="33"/>
      <c r="D1051" s="33" t="s">
        <v>5566</v>
      </c>
      <c r="E1051" s="33" t="s">
        <v>5566</v>
      </c>
      <c r="F1051" s="1" t="s">
        <v>5566</v>
      </c>
      <c r="G1051" s="33" t="s">
        <v>5566</v>
      </c>
      <c r="H1051" s="33" t="s">
        <v>5566</v>
      </c>
      <c r="I1051" s="1" t="s">
        <v>5566</v>
      </c>
      <c r="J1051" s="1" t="s">
        <v>5566</v>
      </c>
      <c r="K1051" s="29"/>
      <c r="L1051" s="33" t="s">
        <v>5566</v>
      </c>
      <c r="M1051" s="1" t="s">
        <v>5566</v>
      </c>
      <c r="N1051" s="1" t="s">
        <v>5566</v>
      </c>
      <c r="O1051" s="33" t="s">
        <v>5566</v>
      </c>
    </row>
    <row r="1052">
      <c r="B1052" s="1"/>
      <c r="C1052" s="33"/>
      <c r="D1052" s="34"/>
      <c r="E1052" s="33"/>
      <c r="G1052" s="33"/>
      <c r="H1052" s="33"/>
      <c r="L1052" s="33"/>
      <c r="O1052" s="33"/>
    </row>
    <row r="1053">
      <c r="B1053" s="1"/>
      <c r="C1053" s="33"/>
      <c r="D1053" s="34"/>
      <c r="E1053" s="33"/>
      <c r="G1053" s="33"/>
      <c r="H1053" s="33"/>
      <c r="L1053" s="33"/>
      <c r="O1053" s="33"/>
    </row>
    <row r="1054">
      <c r="B1054" s="1" t="s">
        <v>5872</v>
      </c>
      <c r="C1054" s="33"/>
      <c r="D1054" s="33">
        <v>1900000.0</v>
      </c>
      <c r="E1054" s="1">
        <v>2700000.0</v>
      </c>
      <c r="F1054" s="1">
        <v>1550000.0</v>
      </c>
      <c r="G1054" s="1">
        <v>1800000.0</v>
      </c>
      <c r="H1054" s="1">
        <v>2000000.0</v>
      </c>
      <c r="I1054" s="1">
        <v>3500000.0</v>
      </c>
      <c r="J1054" s="33">
        <v>2150000.0</v>
      </c>
      <c r="K1054" s="1">
        <v>2300000.0</v>
      </c>
      <c r="L1054" s="1">
        <v>1990000.0</v>
      </c>
      <c r="M1054" s="33">
        <v>1570000.0</v>
      </c>
      <c r="N1054" s="33">
        <v>1350000.0</v>
      </c>
      <c r="O1054" s="1">
        <v>1200000.0</v>
      </c>
      <c r="P1054">
        <f t="shared" ref="P1054:P1062" si="1834">SUM(D1054:O1054)</f>
        <v>24010000</v>
      </c>
      <c r="Q1054" s="18">
        <f t="shared" ref="Q1054:Q1062" si="1835">M1054*0.5</f>
        <v>785000</v>
      </c>
    </row>
    <row r="1055">
      <c r="B1055" s="1" t="s">
        <v>5499</v>
      </c>
      <c r="C1055" s="33"/>
      <c r="D1055" s="33">
        <f t="shared" ref="D1055:O1055" si="1833">D1054*0.1</f>
        <v>190000</v>
      </c>
      <c r="E1055" s="1">
        <f t="shared" si="1833"/>
        <v>270000</v>
      </c>
      <c r="F1055" s="1">
        <f t="shared" si="1833"/>
        <v>155000</v>
      </c>
      <c r="G1055" s="1">
        <f t="shared" si="1833"/>
        <v>180000</v>
      </c>
      <c r="H1055" s="1">
        <f t="shared" si="1833"/>
        <v>200000</v>
      </c>
      <c r="I1055" s="1">
        <f t="shared" si="1833"/>
        <v>350000</v>
      </c>
      <c r="J1055" s="33">
        <f t="shared" si="1833"/>
        <v>215000</v>
      </c>
      <c r="K1055" s="1">
        <f t="shared" si="1833"/>
        <v>230000</v>
      </c>
      <c r="L1055" s="1">
        <f t="shared" si="1833"/>
        <v>199000</v>
      </c>
      <c r="M1055" s="33">
        <f t="shared" si="1833"/>
        <v>157000</v>
      </c>
      <c r="N1055" s="1">
        <f t="shared" si="1833"/>
        <v>135000</v>
      </c>
      <c r="O1055" s="1">
        <f t="shared" si="1833"/>
        <v>120000</v>
      </c>
      <c r="P1055">
        <f t="shared" si="1834"/>
        <v>2401000</v>
      </c>
      <c r="Q1055" s="18">
        <f t="shared" si="1835"/>
        <v>78500</v>
      </c>
    </row>
    <row r="1056">
      <c r="B1056" s="1" t="s">
        <v>5520</v>
      </c>
      <c r="C1056" s="33"/>
      <c r="D1056" s="34">
        <f t="shared" ref="D1056:O1056" si="1836">D1054+D1055</f>
        <v>2090000</v>
      </c>
      <c r="E1056">
        <f t="shared" si="1836"/>
        <v>2970000</v>
      </c>
      <c r="F1056">
        <f t="shared" si="1836"/>
        <v>1705000</v>
      </c>
      <c r="G1056">
        <f t="shared" si="1836"/>
        <v>1980000</v>
      </c>
      <c r="H1056">
        <f t="shared" si="1836"/>
        <v>2200000</v>
      </c>
      <c r="I1056">
        <f t="shared" si="1836"/>
        <v>3850000</v>
      </c>
      <c r="J1056" s="34">
        <f t="shared" si="1836"/>
        <v>2365000</v>
      </c>
      <c r="K1056">
        <f t="shared" si="1836"/>
        <v>2530000</v>
      </c>
      <c r="L1056">
        <f t="shared" si="1836"/>
        <v>2189000</v>
      </c>
      <c r="M1056" s="34">
        <f t="shared" si="1836"/>
        <v>1727000</v>
      </c>
      <c r="N1056">
        <f t="shared" si="1836"/>
        <v>1485000</v>
      </c>
      <c r="O1056">
        <f t="shared" si="1836"/>
        <v>1320000</v>
      </c>
      <c r="P1056">
        <f t="shared" si="1834"/>
        <v>26411000</v>
      </c>
      <c r="Q1056" s="18">
        <f t="shared" si="1835"/>
        <v>863500</v>
      </c>
    </row>
    <row r="1057">
      <c r="B1057" s="1" t="s">
        <v>5545</v>
      </c>
      <c r="C1057" s="33"/>
      <c r="D1057" s="34">
        <v>113155.32587736213</v>
      </c>
      <c r="E1057" s="159">
        <v>97524.92094099498</v>
      </c>
      <c r="F1057">
        <v>57238.10258387968</v>
      </c>
      <c r="G1057" s="159">
        <v>81234.02468183571</v>
      </c>
      <c r="H1057" s="159">
        <v>188225.2472040108</v>
      </c>
      <c r="I1057">
        <v>173695.57500964135</v>
      </c>
      <c r="J1057">
        <v>25536.947936752797</v>
      </c>
      <c r="K1057">
        <v>90683.39191313893</v>
      </c>
      <c r="L1057" s="159">
        <v>120437.04464683023</v>
      </c>
      <c r="M1057">
        <v>136050.51523332048</v>
      </c>
      <c r="N1057">
        <v>35663.68916313151</v>
      </c>
      <c r="O1057" s="159">
        <v>22234.749710759737</v>
      </c>
      <c r="P1057">
        <f t="shared" si="1834"/>
        <v>1141679.535</v>
      </c>
      <c r="Q1057" s="18">
        <f t="shared" si="1835"/>
        <v>68025.25762</v>
      </c>
    </row>
    <row r="1058">
      <c r="C1058" s="33"/>
      <c r="D1058">
        <f t="shared" ref="D1058:O1058" si="1837">D1057-D1059</f>
        <v>102868.4781</v>
      </c>
      <c r="E1058">
        <f t="shared" si="1837"/>
        <v>88659.01904</v>
      </c>
      <c r="F1058">
        <f t="shared" si="1837"/>
        <v>52034.63871</v>
      </c>
      <c r="G1058">
        <f t="shared" si="1837"/>
        <v>73849.11335</v>
      </c>
      <c r="H1058">
        <f t="shared" si="1837"/>
        <v>171113.8611</v>
      </c>
      <c r="I1058">
        <f t="shared" si="1837"/>
        <v>157905.0682</v>
      </c>
      <c r="J1058" s="34">
        <f t="shared" si="1837"/>
        <v>23215.40722</v>
      </c>
      <c r="K1058">
        <f t="shared" si="1837"/>
        <v>82439.44719</v>
      </c>
      <c r="L1058">
        <f t="shared" si="1837"/>
        <v>109488.2224</v>
      </c>
      <c r="M1058">
        <f t="shared" si="1837"/>
        <v>123682.2866</v>
      </c>
      <c r="N1058">
        <f t="shared" si="1837"/>
        <v>32421.5356</v>
      </c>
      <c r="O1058">
        <f t="shared" si="1837"/>
        <v>20213.40883</v>
      </c>
      <c r="P1058">
        <f t="shared" si="1834"/>
        <v>1037890.486</v>
      </c>
      <c r="Q1058" s="18">
        <f t="shared" si="1835"/>
        <v>61841.14329</v>
      </c>
    </row>
    <row r="1059">
      <c r="B1059" s="1" t="s">
        <v>5499</v>
      </c>
      <c r="C1059" s="33"/>
      <c r="D1059">
        <f t="shared" ref="D1059:O1059" si="1838">D1057/11</f>
        <v>10286.84781</v>
      </c>
      <c r="E1059">
        <f t="shared" si="1838"/>
        <v>8865.901904</v>
      </c>
      <c r="F1059">
        <f t="shared" si="1838"/>
        <v>5203.463871</v>
      </c>
      <c r="G1059">
        <f t="shared" si="1838"/>
        <v>7384.911335</v>
      </c>
      <c r="H1059">
        <f t="shared" si="1838"/>
        <v>17111.38611</v>
      </c>
      <c r="I1059">
        <f t="shared" si="1838"/>
        <v>15790.50682</v>
      </c>
      <c r="J1059" s="34">
        <f t="shared" si="1838"/>
        <v>2321.540722</v>
      </c>
      <c r="K1059">
        <f t="shared" si="1838"/>
        <v>8243.944719</v>
      </c>
      <c r="L1059">
        <f t="shared" si="1838"/>
        <v>10948.82224</v>
      </c>
      <c r="M1059">
        <f t="shared" si="1838"/>
        <v>12368.22866</v>
      </c>
      <c r="N1059">
        <f t="shared" si="1838"/>
        <v>3242.15356</v>
      </c>
      <c r="O1059">
        <f t="shared" si="1838"/>
        <v>2021.340883</v>
      </c>
      <c r="P1059">
        <f t="shared" si="1834"/>
        <v>103789.0486</v>
      </c>
      <c r="Q1059" s="18">
        <f t="shared" si="1835"/>
        <v>6184.114329</v>
      </c>
    </row>
    <row r="1060">
      <c r="B1060" s="23" t="s">
        <v>5528</v>
      </c>
      <c r="C1060" s="33"/>
      <c r="D1060" s="145">
        <f t="shared" ref="D1060:O1060" si="1839">SUM(D1056,D1057)</f>
        <v>2203155.326</v>
      </c>
      <c r="E1060" s="145">
        <f t="shared" si="1839"/>
        <v>3067524.921</v>
      </c>
      <c r="F1060" s="145">
        <f t="shared" si="1839"/>
        <v>1762238.103</v>
      </c>
      <c r="G1060" s="145">
        <f t="shared" si="1839"/>
        <v>2061234.025</v>
      </c>
      <c r="H1060" s="145">
        <f t="shared" si="1839"/>
        <v>2388225.247</v>
      </c>
      <c r="I1060" s="173">
        <f t="shared" si="1839"/>
        <v>4023695.575</v>
      </c>
      <c r="J1060" s="145">
        <f t="shared" si="1839"/>
        <v>2390536.948</v>
      </c>
      <c r="K1060" s="174">
        <f t="shared" si="1839"/>
        <v>2620683.392</v>
      </c>
      <c r="L1060" s="145">
        <f t="shared" si="1839"/>
        <v>2309437.045</v>
      </c>
      <c r="M1060" s="145">
        <f t="shared" si="1839"/>
        <v>1863050.515</v>
      </c>
      <c r="N1060" s="145">
        <f t="shared" si="1839"/>
        <v>1520663.689</v>
      </c>
      <c r="O1060" s="145">
        <f t="shared" si="1839"/>
        <v>1342234.75</v>
      </c>
      <c r="P1060">
        <f t="shared" si="1834"/>
        <v>27552679.53</v>
      </c>
      <c r="Q1060" s="18">
        <f t="shared" si="1835"/>
        <v>931525.2576</v>
      </c>
    </row>
    <row r="1061">
      <c r="B1061" s="1" t="s">
        <v>5580</v>
      </c>
      <c r="C1061" s="33"/>
      <c r="D1061">
        <f t="shared" ref="D1061:O1061" si="1840">D1054+D1058</f>
        <v>2002868.478</v>
      </c>
      <c r="E1061">
        <f t="shared" si="1840"/>
        <v>2788659.019</v>
      </c>
      <c r="F1061">
        <f t="shared" si="1840"/>
        <v>1602034.639</v>
      </c>
      <c r="G1061">
        <f t="shared" si="1840"/>
        <v>1873849.113</v>
      </c>
      <c r="H1061">
        <f t="shared" si="1840"/>
        <v>2171113.861</v>
      </c>
      <c r="I1061">
        <f t="shared" si="1840"/>
        <v>3657905.068</v>
      </c>
      <c r="J1061" s="34">
        <f t="shared" si="1840"/>
        <v>2173215.407</v>
      </c>
      <c r="K1061">
        <f t="shared" si="1840"/>
        <v>2382439.447</v>
      </c>
      <c r="L1061">
        <f t="shared" si="1840"/>
        <v>2099488.222</v>
      </c>
      <c r="M1061">
        <f t="shared" si="1840"/>
        <v>1693682.287</v>
      </c>
      <c r="N1061">
        <f t="shared" si="1840"/>
        <v>1382421.536</v>
      </c>
      <c r="O1061">
        <f t="shared" si="1840"/>
        <v>1220213.409</v>
      </c>
      <c r="P1061">
        <f t="shared" si="1834"/>
        <v>25047890.49</v>
      </c>
      <c r="Q1061" s="18">
        <f t="shared" si="1835"/>
        <v>846841.1433</v>
      </c>
    </row>
    <row r="1062">
      <c r="B1062" s="1" t="s">
        <v>5582</v>
      </c>
      <c r="C1062" s="33"/>
      <c r="D1062">
        <f t="shared" ref="D1062:O1062" si="1841">D1055+D1059</f>
        <v>200286.8478</v>
      </c>
      <c r="E1062">
        <f t="shared" si="1841"/>
        <v>278865.9019</v>
      </c>
      <c r="F1062">
        <f t="shared" si="1841"/>
        <v>160203.4639</v>
      </c>
      <c r="G1062">
        <f t="shared" si="1841"/>
        <v>187384.9113</v>
      </c>
      <c r="H1062">
        <f t="shared" si="1841"/>
        <v>217111.3861</v>
      </c>
      <c r="I1062">
        <f t="shared" si="1841"/>
        <v>365790.5068</v>
      </c>
      <c r="J1062" s="34">
        <f t="shared" si="1841"/>
        <v>217321.5407</v>
      </c>
      <c r="K1062">
        <f t="shared" si="1841"/>
        <v>238243.9447</v>
      </c>
      <c r="L1062">
        <f t="shared" si="1841"/>
        <v>209948.8222</v>
      </c>
      <c r="M1062">
        <f t="shared" si="1841"/>
        <v>169368.2287</v>
      </c>
      <c r="N1062">
        <f t="shared" si="1841"/>
        <v>138242.1536</v>
      </c>
      <c r="O1062">
        <f t="shared" si="1841"/>
        <v>122021.3409</v>
      </c>
      <c r="P1062">
        <f t="shared" si="1834"/>
        <v>2504789.049</v>
      </c>
      <c r="Q1062" s="18">
        <f t="shared" si="1835"/>
        <v>84684.11433</v>
      </c>
    </row>
    <row r="1063">
      <c r="B1063" s="1"/>
      <c r="C1063" s="33"/>
      <c r="D1063" s="33" t="s">
        <v>5566</v>
      </c>
      <c r="E1063" s="33" t="s">
        <v>5566</v>
      </c>
      <c r="F1063" s="1" t="s">
        <v>5566</v>
      </c>
      <c r="G1063" s="33" t="s">
        <v>5566</v>
      </c>
      <c r="H1063" s="33" t="s">
        <v>5566</v>
      </c>
      <c r="I1063" s="1" t="s">
        <v>5566</v>
      </c>
      <c r="J1063" s="1" t="s">
        <v>5566</v>
      </c>
      <c r="K1063" s="29"/>
      <c r="L1063" s="33" t="s">
        <v>5566</v>
      </c>
      <c r="M1063" s="1" t="s">
        <v>5566</v>
      </c>
      <c r="N1063" s="1" t="s">
        <v>5566</v>
      </c>
      <c r="O1063" s="33" t="s">
        <v>5566</v>
      </c>
    </row>
    <row r="1064">
      <c r="B1064" s="1"/>
      <c r="C1064" s="33"/>
      <c r="D1064" s="34"/>
      <c r="E1064" s="33"/>
      <c r="G1064" s="33"/>
      <c r="H1064" s="33"/>
      <c r="L1064" s="33"/>
      <c r="O1064" s="33"/>
    </row>
    <row r="1065">
      <c r="B1065" s="1"/>
      <c r="C1065" s="33"/>
      <c r="D1065" s="34"/>
      <c r="E1065" s="33"/>
      <c r="G1065" s="33"/>
      <c r="H1065" s="33"/>
      <c r="L1065" s="33"/>
      <c r="O1065" s="33"/>
    </row>
    <row r="1066">
      <c r="B1066" s="1" t="s">
        <v>5873</v>
      </c>
      <c r="C1066" s="33"/>
      <c r="D1066" s="33">
        <v>1900000.0</v>
      </c>
      <c r="E1066" s="1">
        <v>2700000.0</v>
      </c>
      <c r="F1066" s="1">
        <v>1550000.0</v>
      </c>
      <c r="G1066" s="1">
        <v>1800000.0</v>
      </c>
      <c r="H1066" s="1">
        <v>2000000.0</v>
      </c>
      <c r="I1066" s="1">
        <v>3500000.0</v>
      </c>
      <c r="J1066" s="33">
        <v>2150000.0</v>
      </c>
      <c r="K1066" s="1">
        <v>2300000.0</v>
      </c>
      <c r="L1066" s="1">
        <v>1990000.0</v>
      </c>
      <c r="M1066" s="33">
        <v>1570000.0</v>
      </c>
      <c r="N1066" s="33">
        <v>1350000.0</v>
      </c>
      <c r="O1066" s="1">
        <v>1200000.0</v>
      </c>
      <c r="P1066">
        <f t="shared" ref="P1066:P1077" si="1843">SUM(D1066:O1066)</f>
        <v>24010000</v>
      </c>
      <c r="Q1066" s="18">
        <f t="shared" ref="Q1066:Q1077" si="1844">M1066*0.5</f>
        <v>785000</v>
      </c>
    </row>
    <row r="1067">
      <c r="B1067" s="1" t="s">
        <v>5499</v>
      </c>
      <c r="C1067" s="33"/>
      <c r="D1067" s="33">
        <f t="shared" ref="D1067:O1067" si="1842">D1066*0.1</f>
        <v>190000</v>
      </c>
      <c r="E1067" s="1">
        <f t="shared" si="1842"/>
        <v>270000</v>
      </c>
      <c r="F1067" s="1">
        <f t="shared" si="1842"/>
        <v>155000</v>
      </c>
      <c r="G1067" s="1">
        <f t="shared" si="1842"/>
        <v>180000</v>
      </c>
      <c r="H1067" s="1">
        <f t="shared" si="1842"/>
        <v>200000</v>
      </c>
      <c r="I1067" s="1">
        <f t="shared" si="1842"/>
        <v>350000</v>
      </c>
      <c r="J1067" s="33">
        <f t="shared" si="1842"/>
        <v>215000</v>
      </c>
      <c r="K1067" s="1">
        <f t="shared" si="1842"/>
        <v>230000</v>
      </c>
      <c r="L1067" s="1">
        <f t="shared" si="1842"/>
        <v>199000</v>
      </c>
      <c r="M1067" s="33">
        <f t="shared" si="1842"/>
        <v>157000</v>
      </c>
      <c r="N1067" s="1">
        <f t="shared" si="1842"/>
        <v>135000</v>
      </c>
      <c r="O1067" s="1">
        <f t="shared" si="1842"/>
        <v>120000</v>
      </c>
      <c r="P1067">
        <f t="shared" si="1843"/>
        <v>2401000</v>
      </c>
      <c r="Q1067" s="18">
        <f t="shared" si="1844"/>
        <v>78500</v>
      </c>
    </row>
    <row r="1068">
      <c r="B1068" s="1" t="s">
        <v>5520</v>
      </c>
      <c r="C1068" s="33"/>
      <c r="D1068" s="34">
        <f t="shared" ref="D1068:O1068" si="1845">D1066+D1067</f>
        <v>2090000</v>
      </c>
      <c r="E1068">
        <f t="shared" si="1845"/>
        <v>2970000</v>
      </c>
      <c r="F1068">
        <f t="shared" si="1845"/>
        <v>1705000</v>
      </c>
      <c r="G1068">
        <f t="shared" si="1845"/>
        <v>1980000</v>
      </c>
      <c r="H1068">
        <f t="shared" si="1845"/>
        <v>2200000</v>
      </c>
      <c r="I1068">
        <f t="shared" si="1845"/>
        <v>3850000</v>
      </c>
      <c r="J1068" s="34">
        <f t="shared" si="1845"/>
        <v>2365000</v>
      </c>
      <c r="K1068">
        <f t="shared" si="1845"/>
        <v>2530000</v>
      </c>
      <c r="L1068">
        <f t="shared" si="1845"/>
        <v>2189000</v>
      </c>
      <c r="M1068" s="34">
        <f t="shared" si="1845"/>
        <v>1727000</v>
      </c>
      <c r="N1068">
        <f t="shared" si="1845"/>
        <v>1485000</v>
      </c>
      <c r="O1068">
        <f t="shared" si="1845"/>
        <v>1320000</v>
      </c>
      <c r="P1068">
        <f t="shared" si="1843"/>
        <v>26411000</v>
      </c>
      <c r="Q1068" s="18">
        <f t="shared" si="1844"/>
        <v>863500</v>
      </c>
    </row>
    <row r="1069">
      <c r="B1069" s="1" t="s">
        <v>5545</v>
      </c>
      <c r="C1069" s="33"/>
      <c r="D1069" s="33">
        <v>97284.53888</v>
      </c>
      <c r="E1069" s="33">
        <v>85619.19825</v>
      </c>
      <c r="F1069" s="1">
        <v>48642.26944</v>
      </c>
      <c r="G1069" s="33">
        <v>67668.52464</v>
      </c>
      <c r="H1069" s="33">
        <v>176398.3034</v>
      </c>
      <c r="I1069" s="1">
        <v>162091.7536</v>
      </c>
      <c r="J1069" s="1">
        <v>32012.20044</v>
      </c>
      <c r="K1069" s="1">
        <v>74581.39453</v>
      </c>
      <c r="L1069" s="33">
        <v>98833.0874</v>
      </c>
      <c r="M1069" s="1">
        <v>125114.8248</v>
      </c>
      <c r="N1069" s="33">
        <v>15944.84447</v>
      </c>
      <c r="O1069" s="33">
        <v>20566.96057</v>
      </c>
      <c r="P1069">
        <f t="shared" si="1843"/>
        <v>1004757.9</v>
      </c>
      <c r="Q1069" s="18">
        <f t="shared" si="1844"/>
        <v>62557.4124</v>
      </c>
    </row>
    <row r="1070">
      <c r="C1070" s="33"/>
      <c r="D1070">
        <f t="shared" ref="D1070:O1070" si="1846">D1069-D1071</f>
        <v>88440.48989</v>
      </c>
      <c r="E1070">
        <f t="shared" si="1846"/>
        <v>77835.63477</v>
      </c>
      <c r="F1070">
        <f t="shared" si="1846"/>
        <v>44220.24495</v>
      </c>
      <c r="G1070">
        <f t="shared" si="1846"/>
        <v>61516.84058</v>
      </c>
      <c r="H1070">
        <f t="shared" si="1846"/>
        <v>160362.094</v>
      </c>
      <c r="I1070">
        <f t="shared" si="1846"/>
        <v>147356.1396</v>
      </c>
      <c r="J1070" s="34">
        <f t="shared" si="1846"/>
        <v>29102.0004</v>
      </c>
      <c r="K1070">
        <f t="shared" si="1846"/>
        <v>67801.26775</v>
      </c>
      <c r="L1070">
        <f t="shared" si="1846"/>
        <v>89848.26127</v>
      </c>
      <c r="M1070">
        <f t="shared" si="1846"/>
        <v>113740.7498</v>
      </c>
      <c r="N1070">
        <f t="shared" si="1846"/>
        <v>14495.31315</v>
      </c>
      <c r="O1070">
        <f t="shared" si="1846"/>
        <v>18697.23688</v>
      </c>
      <c r="P1070">
        <f t="shared" si="1843"/>
        <v>913416.2731</v>
      </c>
      <c r="Q1070" s="18">
        <f t="shared" si="1844"/>
        <v>56870.37491</v>
      </c>
    </row>
    <row r="1071">
      <c r="B1071" s="1" t="s">
        <v>5499</v>
      </c>
      <c r="C1071" s="33"/>
      <c r="D1071">
        <f t="shared" ref="D1071:O1071" si="1847">D1069/11</f>
        <v>8844.048989</v>
      </c>
      <c r="E1071">
        <f t="shared" si="1847"/>
        <v>7783.563477</v>
      </c>
      <c r="F1071">
        <f t="shared" si="1847"/>
        <v>4422.024495</v>
      </c>
      <c r="G1071">
        <f t="shared" si="1847"/>
        <v>6151.684058</v>
      </c>
      <c r="H1071">
        <f t="shared" si="1847"/>
        <v>16036.2094</v>
      </c>
      <c r="I1071">
        <f t="shared" si="1847"/>
        <v>14735.61396</v>
      </c>
      <c r="J1071" s="34">
        <f t="shared" si="1847"/>
        <v>2910.20004</v>
      </c>
      <c r="K1071">
        <f t="shared" si="1847"/>
        <v>6780.126775</v>
      </c>
      <c r="L1071">
        <f t="shared" si="1847"/>
        <v>8984.826127</v>
      </c>
      <c r="M1071">
        <f t="shared" si="1847"/>
        <v>11374.07498</v>
      </c>
      <c r="N1071">
        <f t="shared" si="1847"/>
        <v>1449.531315</v>
      </c>
      <c r="O1071">
        <f t="shared" si="1847"/>
        <v>1869.723688</v>
      </c>
      <c r="P1071">
        <f t="shared" si="1843"/>
        <v>91341.62731</v>
      </c>
      <c r="Q1071" s="18">
        <f t="shared" si="1844"/>
        <v>5687.037491</v>
      </c>
    </row>
    <row r="1072">
      <c r="B1072" s="1" t="s">
        <v>5816</v>
      </c>
      <c r="C1072" s="33"/>
      <c r="D1072" s="33">
        <v>54165.98311</v>
      </c>
      <c r="E1072" s="33">
        <v>22555.27091</v>
      </c>
      <c r="F1072" s="1">
        <v>22555.27091</v>
      </c>
      <c r="G1072" s="33">
        <v>20694.18329</v>
      </c>
      <c r="H1072" s="33">
        <v>29777.402</v>
      </c>
      <c r="I1072" s="1">
        <v>37805.07847</v>
      </c>
      <c r="J1072" s="1">
        <v>30082.9537</v>
      </c>
      <c r="K1072" s="1">
        <v>20527.51873</v>
      </c>
      <c r="L1072" s="33">
        <v>27499.65296</v>
      </c>
      <c r="M1072" s="1">
        <v>14024.82301</v>
      </c>
      <c r="N1072" s="1">
        <v>16138.68522</v>
      </c>
      <c r="O1072" s="33">
        <v>12333.17769</v>
      </c>
      <c r="P1072">
        <f t="shared" si="1843"/>
        <v>308160</v>
      </c>
      <c r="Q1072" s="18">
        <f t="shared" si="1844"/>
        <v>7012.411505</v>
      </c>
    </row>
    <row r="1073">
      <c r="B1073" s="23" t="s">
        <v>5598</v>
      </c>
      <c r="C1073" s="33"/>
      <c r="D1073" s="18">
        <f t="shared" ref="D1073:O1073" si="1848">SUM(D1068,D1069,D1072)</f>
        <v>2241450.522</v>
      </c>
      <c r="E1073" s="18">
        <f t="shared" si="1848"/>
        <v>3078174.469</v>
      </c>
      <c r="F1073" s="18">
        <f t="shared" si="1848"/>
        <v>1776197.54</v>
      </c>
      <c r="G1073" s="18">
        <f t="shared" si="1848"/>
        <v>2068362.708</v>
      </c>
      <c r="H1073" s="18">
        <f t="shared" si="1848"/>
        <v>2406175.705</v>
      </c>
      <c r="I1073" s="18">
        <f t="shared" si="1848"/>
        <v>4049896.832</v>
      </c>
      <c r="J1073" s="18">
        <f t="shared" si="1848"/>
        <v>2427095.154</v>
      </c>
      <c r="K1073" s="18">
        <f t="shared" si="1848"/>
        <v>2625108.913</v>
      </c>
      <c r="L1073" s="18">
        <f t="shared" si="1848"/>
        <v>2315332.74</v>
      </c>
      <c r="M1073" s="18">
        <f t="shared" si="1848"/>
        <v>1866139.648</v>
      </c>
      <c r="N1073" s="18">
        <f t="shared" si="1848"/>
        <v>1517083.53</v>
      </c>
      <c r="O1073" s="18">
        <f t="shared" si="1848"/>
        <v>1352900.138</v>
      </c>
      <c r="P1073">
        <f t="shared" si="1843"/>
        <v>27723917.9</v>
      </c>
      <c r="Q1073" s="18">
        <f t="shared" si="1844"/>
        <v>933069.8239</v>
      </c>
    </row>
    <row r="1074">
      <c r="B1074" s="1" t="s">
        <v>5599</v>
      </c>
      <c r="C1074" s="33"/>
      <c r="D1074">
        <f t="shared" ref="D1074:O1074" si="1849">SUM(D1066,D1070,D1072)</f>
        <v>2042606.473</v>
      </c>
      <c r="E1074">
        <f t="shared" si="1849"/>
        <v>2800390.906</v>
      </c>
      <c r="F1074">
        <f t="shared" si="1849"/>
        <v>1616775.516</v>
      </c>
      <c r="G1074">
        <f t="shared" si="1849"/>
        <v>1882211.024</v>
      </c>
      <c r="H1074">
        <f t="shared" si="1849"/>
        <v>2190139.496</v>
      </c>
      <c r="I1074">
        <f t="shared" si="1849"/>
        <v>3685161.218</v>
      </c>
      <c r="J1074">
        <f t="shared" si="1849"/>
        <v>2209184.954</v>
      </c>
      <c r="K1074">
        <f t="shared" si="1849"/>
        <v>2388328.786</v>
      </c>
      <c r="L1074">
        <f t="shared" si="1849"/>
        <v>2107347.914</v>
      </c>
      <c r="M1074">
        <f t="shared" si="1849"/>
        <v>1697765.573</v>
      </c>
      <c r="N1074">
        <f t="shared" si="1849"/>
        <v>1380633.998</v>
      </c>
      <c r="O1074">
        <f t="shared" si="1849"/>
        <v>1231030.415</v>
      </c>
      <c r="P1074">
        <f t="shared" si="1843"/>
        <v>25231576.27</v>
      </c>
      <c r="Q1074" s="18">
        <f t="shared" si="1844"/>
        <v>848882.7864</v>
      </c>
    </row>
    <row r="1075">
      <c r="B1075" s="1" t="s">
        <v>5601</v>
      </c>
      <c r="C1075" s="33"/>
      <c r="D1075">
        <f t="shared" ref="D1075:O1075" si="1850">SUM(D1066,D1070)</f>
        <v>1988440.49</v>
      </c>
      <c r="E1075">
        <f t="shared" si="1850"/>
        <v>2777835.635</v>
      </c>
      <c r="F1075">
        <f t="shared" si="1850"/>
        <v>1594220.245</v>
      </c>
      <c r="G1075">
        <f t="shared" si="1850"/>
        <v>1861516.841</v>
      </c>
      <c r="H1075">
        <f t="shared" si="1850"/>
        <v>2160362.094</v>
      </c>
      <c r="I1075">
        <f t="shared" si="1850"/>
        <v>3647356.14</v>
      </c>
      <c r="J1075">
        <f t="shared" si="1850"/>
        <v>2179102</v>
      </c>
      <c r="K1075">
        <f t="shared" si="1850"/>
        <v>2367801.268</v>
      </c>
      <c r="L1075">
        <f t="shared" si="1850"/>
        <v>2079848.261</v>
      </c>
      <c r="M1075">
        <f t="shared" si="1850"/>
        <v>1683740.75</v>
      </c>
      <c r="N1075">
        <f t="shared" si="1850"/>
        <v>1364495.313</v>
      </c>
      <c r="O1075">
        <f t="shared" si="1850"/>
        <v>1218697.237</v>
      </c>
      <c r="P1075">
        <f t="shared" si="1843"/>
        <v>24923416.27</v>
      </c>
      <c r="Q1075" s="18">
        <f t="shared" si="1844"/>
        <v>841870.3749</v>
      </c>
    </row>
    <row r="1076">
      <c r="B1076" s="1" t="s">
        <v>5582</v>
      </c>
      <c r="C1076" s="33"/>
      <c r="D1076">
        <f t="shared" ref="D1076:O1076" si="1851">SUM(D1067,D1071)</f>
        <v>198844.049</v>
      </c>
      <c r="E1076">
        <f t="shared" si="1851"/>
        <v>277783.5635</v>
      </c>
      <c r="F1076">
        <f t="shared" si="1851"/>
        <v>159422.0245</v>
      </c>
      <c r="G1076" s="34">
        <f t="shared" si="1851"/>
        <v>186151.6841</v>
      </c>
      <c r="H1076">
        <f t="shared" si="1851"/>
        <v>216036.2094</v>
      </c>
      <c r="I1076">
        <f t="shared" si="1851"/>
        <v>364735.614</v>
      </c>
      <c r="J1076">
        <f t="shared" si="1851"/>
        <v>217910.2</v>
      </c>
      <c r="K1076">
        <f t="shared" si="1851"/>
        <v>236780.1268</v>
      </c>
      <c r="L1076">
        <f t="shared" si="1851"/>
        <v>207984.8261</v>
      </c>
      <c r="M1076">
        <f t="shared" si="1851"/>
        <v>168374.075</v>
      </c>
      <c r="N1076">
        <f t="shared" si="1851"/>
        <v>136449.5313</v>
      </c>
      <c r="O1076">
        <f t="shared" si="1851"/>
        <v>121869.7237</v>
      </c>
      <c r="P1076">
        <f t="shared" si="1843"/>
        <v>2492341.627</v>
      </c>
      <c r="Q1076" s="18">
        <f t="shared" si="1844"/>
        <v>84187.03749</v>
      </c>
    </row>
    <row r="1077">
      <c r="B1077" s="1" t="s">
        <v>5602</v>
      </c>
      <c r="C1077" s="33"/>
      <c r="D1077">
        <f t="shared" ref="D1077:O1077" si="1852">SUM(D1075:D1076)</f>
        <v>2187284.539</v>
      </c>
      <c r="E1077">
        <f t="shared" si="1852"/>
        <v>3055619.198</v>
      </c>
      <c r="F1077">
        <f t="shared" si="1852"/>
        <v>1753642.269</v>
      </c>
      <c r="G1077">
        <f t="shared" si="1852"/>
        <v>2047668.525</v>
      </c>
      <c r="H1077">
        <f t="shared" si="1852"/>
        <v>2376398.303</v>
      </c>
      <c r="I1077">
        <f t="shared" si="1852"/>
        <v>4012091.754</v>
      </c>
      <c r="J1077">
        <f t="shared" si="1852"/>
        <v>2397012.2</v>
      </c>
      <c r="K1077">
        <f t="shared" si="1852"/>
        <v>2604581.395</v>
      </c>
      <c r="L1077">
        <f t="shared" si="1852"/>
        <v>2287833.087</v>
      </c>
      <c r="M1077">
        <f t="shared" si="1852"/>
        <v>1852114.825</v>
      </c>
      <c r="N1077">
        <f t="shared" si="1852"/>
        <v>1500944.844</v>
      </c>
      <c r="O1077">
        <f t="shared" si="1852"/>
        <v>1340566.961</v>
      </c>
      <c r="P1077">
        <f t="shared" si="1843"/>
        <v>27415757.9</v>
      </c>
      <c r="Q1077" s="18">
        <f t="shared" si="1844"/>
        <v>926057.4124</v>
      </c>
    </row>
    <row r="1078">
      <c r="B1078" s="1"/>
      <c r="C1078" s="33"/>
      <c r="D1078" s="33" t="s">
        <v>5566</v>
      </c>
      <c r="E1078" s="33" t="s">
        <v>5566</v>
      </c>
      <c r="F1078" s="1" t="s">
        <v>5566</v>
      </c>
      <c r="G1078" s="33" t="s">
        <v>5566</v>
      </c>
      <c r="H1078" s="33" t="s">
        <v>5566</v>
      </c>
      <c r="I1078" s="1" t="s">
        <v>5566</v>
      </c>
      <c r="J1078" s="1" t="s">
        <v>5566</v>
      </c>
      <c r="K1078" s="29"/>
      <c r="L1078" s="33" t="s">
        <v>5566</v>
      </c>
      <c r="M1078" s="1" t="s">
        <v>5566</v>
      </c>
      <c r="N1078" s="1" t="s">
        <v>5566</v>
      </c>
      <c r="O1078" s="33" t="s">
        <v>5566</v>
      </c>
    </row>
    <row r="1079">
      <c r="B1079" s="1"/>
      <c r="C1079" s="33"/>
      <c r="D1079" s="34"/>
      <c r="E1079" s="33"/>
      <c r="G1079" s="33"/>
      <c r="H1079" s="33"/>
      <c r="L1079" s="33"/>
      <c r="O1079" s="33"/>
    </row>
    <row r="1080">
      <c r="B1080" s="1"/>
      <c r="C1080" s="33"/>
      <c r="D1080" s="34"/>
      <c r="E1080" s="33"/>
      <c r="G1080" s="33"/>
      <c r="H1080" s="33"/>
      <c r="L1080" s="33"/>
      <c r="O1080" s="33"/>
    </row>
    <row r="1081">
      <c r="B1081" s="1" t="s">
        <v>5874</v>
      </c>
      <c r="C1081" s="33"/>
      <c r="D1081" s="33">
        <v>1900000.0</v>
      </c>
      <c r="E1081" s="1">
        <v>2700000.0</v>
      </c>
      <c r="F1081" s="1">
        <v>1550000.0</v>
      </c>
      <c r="G1081" s="1">
        <v>1800000.0</v>
      </c>
      <c r="H1081" s="1">
        <v>2000000.0</v>
      </c>
      <c r="I1081" s="1">
        <v>3500000.0</v>
      </c>
      <c r="J1081" s="33">
        <v>2150000.0</v>
      </c>
      <c r="K1081" s="1">
        <v>2300000.0</v>
      </c>
      <c r="L1081" s="1">
        <v>1990000.0</v>
      </c>
      <c r="M1081" s="33">
        <v>1570000.0</v>
      </c>
      <c r="N1081" s="33">
        <v>1350000.0</v>
      </c>
      <c r="O1081" s="1">
        <v>1200000.0</v>
      </c>
      <c r="P1081">
        <f t="shared" ref="P1081:P1089" si="1854">SUM(D1081:O1081)</f>
        <v>24010000</v>
      </c>
      <c r="Q1081" s="18">
        <f t="shared" ref="Q1081:Q1089" si="1855">M1081*0.5</f>
        <v>785000</v>
      </c>
    </row>
    <row r="1082">
      <c r="B1082" s="1" t="s">
        <v>5499</v>
      </c>
      <c r="C1082" s="33"/>
      <c r="D1082" s="33">
        <f t="shared" ref="D1082:O1082" si="1853">D1081*0.1</f>
        <v>190000</v>
      </c>
      <c r="E1082" s="1">
        <f t="shared" si="1853"/>
        <v>270000</v>
      </c>
      <c r="F1082" s="1">
        <f t="shared" si="1853"/>
        <v>155000</v>
      </c>
      <c r="G1082" s="1">
        <f t="shared" si="1853"/>
        <v>180000</v>
      </c>
      <c r="H1082" s="1">
        <f t="shared" si="1853"/>
        <v>200000</v>
      </c>
      <c r="I1082" s="1">
        <f t="shared" si="1853"/>
        <v>350000</v>
      </c>
      <c r="J1082" s="33">
        <f t="shared" si="1853"/>
        <v>215000</v>
      </c>
      <c r="K1082" s="1">
        <f t="shared" si="1853"/>
        <v>230000</v>
      </c>
      <c r="L1082" s="1">
        <f t="shared" si="1853"/>
        <v>199000</v>
      </c>
      <c r="M1082" s="33">
        <f t="shared" si="1853"/>
        <v>157000</v>
      </c>
      <c r="N1082" s="1">
        <f t="shared" si="1853"/>
        <v>135000</v>
      </c>
      <c r="O1082" s="1">
        <f t="shared" si="1853"/>
        <v>120000</v>
      </c>
      <c r="P1082">
        <f t="shared" si="1854"/>
        <v>2401000</v>
      </c>
      <c r="Q1082" s="18">
        <f t="shared" si="1855"/>
        <v>78500</v>
      </c>
    </row>
    <row r="1083">
      <c r="B1083" s="1" t="s">
        <v>5520</v>
      </c>
      <c r="C1083" s="33"/>
      <c r="D1083" s="34">
        <f t="shared" ref="D1083:O1083" si="1856">D1081+D1082</f>
        <v>2090000</v>
      </c>
      <c r="E1083">
        <f t="shared" si="1856"/>
        <v>2970000</v>
      </c>
      <c r="F1083">
        <f t="shared" si="1856"/>
        <v>1705000</v>
      </c>
      <c r="G1083">
        <f t="shared" si="1856"/>
        <v>1980000</v>
      </c>
      <c r="H1083">
        <f t="shared" si="1856"/>
        <v>2200000</v>
      </c>
      <c r="I1083">
        <f t="shared" si="1856"/>
        <v>3850000</v>
      </c>
      <c r="J1083" s="34">
        <f t="shared" si="1856"/>
        <v>2365000</v>
      </c>
      <c r="K1083">
        <f t="shared" si="1856"/>
        <v>2530000</v>
      </c>
      <c r="L1083">
        <f t="shared" si="1856"/>
        <v>2189000</v>
      </c>
      <c r="M1083" s="34">
        <f t="shared" si="1856"/>
        <v>1727000</v>
      </c>
      <c r="N1083">
        <f t="shared" si="1856"/>
        <v>1485000</v>
      </c>
      <c r="O1083">
        <f t="shared" si="1856"/>
        <v>1320000</v>
      </c>
      <c r="P1083">
        <f t="shared" si="1854"/>
        <v>26411000</v>
      </c>
      <c r="Q1083" s="18">
        <f t="shared" si="1855"/>
        <v>863500</v>
      </c>
    </row>
    <row r="1084">
      <c r="B1084" s="1" t="s">
        <v>5545</v>
      </c>
      <c r="C1084" s="33"/>
      <c r="D1084" s="34">
        <v>102526.86793922867</v>
      </c>
      <c r="E1084" s="34">
        <v>83685.41488118426</v>
      </c>
      <c r="F1084">
        <v>39395.765485001946</v>
      </c>
      <c r="G1084" s="34">
        <v>82570.22516556291</v>
      </c>
      <c r="H1084" s="34">
        <v>292762.53915075964</v>
      </c>
      <c r="I1084">
        <v>178245.65562913907</v>
      </c>
      <c r="J1084">
        <v>76452.87027658746</v>
      </c>
      <c r="K1084">
        <v>88143.98814873029</v>
      </c>
      <c r="L1084" s="34">
        <v>116881.61605851552</v>
      </c>
      <c r="M1084">
        <v>140562.74951305025</v>
      </c>
      <c r="N1084">
        <v>21396.676275808335</v>
      </c>
      <c r="O1084" s="34">
        <v>33631.386053759255</v>
      </c>
      <c r="P1084">
        <f t="shared" si="1854"/>
        <v>1256255.755</v>
      </c>
      <c r="Q1084" s="18">
        <f t="shared" si="1855"/>
        <v>70281.37476</v>
      </c>
    </row>
    <row r="1085">
      <c r="C1085" s="33"/>
      <c r="D1085">
        <f t="shared" ref="D1085:O1085" si="1857">D1084-D1086</f>
        <v>93206.24358</v>
      </c>
      <c r="E1085">
        <f t="shared" si="1857"/>
        <v>76077.64989</v>
      </c>
      <c r="F1085">
        <f t="shared" si="1857"/>
        <v>35814.33226</v>
      </c>
      <c r="G1085">
        <f t="shared" si="1857"/>
        <v>75063.84106</v>
      </c>
      <c r="H1085">
        <f t="shared" si="1857"/>
        <v>266147.7629</v>
      </c>
      <c r="I1085">
        <f t="shared" si="1857"/>
        <v>162041.5051</v>
      </c>
      <c r="J1085" s="34">
        <f t="shared" si="1857"/>
        <v>69502.60934</v>
      </c>
      <c r="K1085">
        <f t="shared" si="1857"/>
        <v>80130.89832</v>
      </c>
      <c r="L1085">
        <f t="shared" si="1857"/>
        <v>106256.0146</v>
      </c>
      <c r="M1085">
        <f t="shared" si="1857"/>
        <v>127784.3177</v>
      </c>
      <c r="N1085">
        <f t="shared" si="1857"/>
        <v>19451.52389</v>
      </c>
      <c r="O1085">
        <f t="shared" si="1857"/>
        <v>30573.98732</v>
      </c>
      <c r="P1085">
        <f t="shared" si="1854"/>
        <v>1142050.686</v>
      </c>
      <c r="Q1085" s="18">
        <f t="shared" si="1855"/>
        <v>63892.15887</v>
      </c>
    </row>
    <row r="1086">
      <c r="B1086" s="1" t="s">
        <v>5499</v>
      </c>
      <c r="C1086" s="33"/>
      <c r="D1086">
        <f t="shared" ref="D1086:O1086" si="1858">D1084/11</f>
        <v>9320.624358</v>
      </c>
      <c r="E1086">
        <f t="shared" si="1858"/>
        <v>7607.764989</v>
      </c>
      <c r="F1086">
        <f t="shared" si="1858"/>
        <v>3581.433226</v>
      </c>
      <c r="G1086">
        <f t="shared" si="1858"/>
        <v>7506.384106</v>
      </c>
      <c r="H1086">
        <f t="shared" si="1858"/>
        <v>26614.77629</v>
      </c>
      <c r="I1086">
        <f t="shared" si="1858"/>
        <v>16204.15051</v>
      </c>
      <c r="J1086" s="34">
        <f t="shared" si="1858"/>
        <v>6950.260934</v>
      </c>
      <c r="K1086">
        <f t="shared" si="1858"/>
        <v>8013.089832</v>
      </c>
      <c r="L1086">
        <f t="shared" si="1858"/>
        <v>10625.60146</v>
      </c>
      <c r="M1086">
        <f t="shared" si="1858"/>
        <v>12778.43177</v>
      </c>
      <c r="N1086">
        <f t="shared" si="1858"/>
        <v>1945.152389</v>
      </c>
      <c r="O1086">
        <f t="shared" si="1858"/>
        <v>3057.398732</v>
      </c>
      <c r="P1086">
        <f t="shared" si="1854"/>
        <v>114205.0686</v>
      </c>
      <c r="Q1086" s="18">
        <f t="shared" si="1855"/>
        <v>6389.215887</v>
      </c>
    </row>
    <row r="1087">
      <c r="B1087" s="23" t="s">
        <v>5528</v>
      </c>
      <c r="C1087" s="33"/>
      <c r="D1087" s="145">
        <f t="shared" ref="D1087:O1087" si="1859">SUM(D1083,D1084)</f>
        <v>2192526.868</v>
      </c>
      <c r="E1087" s="145">
        <f t="shared" si="1859"/>
        <v>3053685.415</v>
      </c>
      <c r="F1087" s="145">
        <f t="shared" si="1859"/>
        <v>1744395.765</v>
      </c>
      <c r="G1087" s="145">
        <f t="shared" si="1859"/>
        <v>2062570.225</v>
      </c>
      <c r="H1087" s="145">
        <f t="shared" si="1859"/>
        <v>2492762.539</v>
      </c>
      <c r="I1087" s="173">
        <f t="shared" si="1859"/>
        <v>4028245.656</v>
      </c>
      <c r="J1087" s="145">
        <f t="shared" si="1859"/>
        <v>2441452.87</v>
      </c>
      <c r="K1087" s="174">
        <f t="shared" si="1859"/>
        <v>2618143.988</v>
      </c>
      <c r="L1087" s="145">
        <f t="shared" si="1859"/>
        <v>2305881.616</v>
      </c>
      <c r="M1087" s="145">
        <f t="shared" si="1859"/>
        <v>1867562.75</v>
      </c>
      <c r="N1087" s="145">
        <f t="shared" si="1859"/>
        <v>1506396.676</v>
      </c>
      <c r="O1087" s="145">
        <f t="shared" si="1859"/>
        <v>1353631.386</v>
      </c>
      <c r="P1087">
        <f t="shared" si="1854"/>
        <v>27667255.75</v>
      </c>
      <c r="Q1087" s="18">
        <f t="shared" si="1855"/>
        <v>933781.3748</v>
      </c>
    </row>
    <row r="1088">
      <c r="B1088" s="1" t="s">
        <v>5580</v>
      </c>
      <c r="C1088" s="33"/>
      <c r="D1088">
        <f t="shared" ref="D1088:O1088" si="1860">D1081+D1085</f>
        <v>1993206.244</v>
      </c>
      <c r="E1088">
        <f t="shared" si="1860"/>
        <v>2776077.65</v>
      </c>
      <c r="F1088">
        <f t="shared" si="1860"/>
        <v>1585814.332</v>
      </c>
      <c r="G1088">
        <f t="shared" si="1860"/>
        <v>1875063.841</v>
      </c>
      <c r="H1088">
        <f t="shared" si="1860"/>
        <v>2266147.763</v>
      </c>
      <c r="I1088">
        <f t="shared" si="1860"/>
        <v>3662041.505</v>
      </c>
      <c r="J1088" s="34">
        <f t="shared" si="1860"/>
        <v>2219502.609</v>
      </c>
      <c r="K1088">
        <f t="shared" si="1860"/>
        <v>2380130.898</v>
      </c>
      <c r="L1088">
        <f t="shared" si="1860"/>
        <v>2096256.015</v>
      </c>
      <c r="M1088">
        <f t="shared" si="1860"/>
        <v>1697784.318</v>
      </c>
      <c r="N1088">
        <f t="shared" si="1860"/>
        <v>1369451.524</v>
      </c>
      <c r="O1088">
        <f t="shared" si="1860"/>
        <v>1230573.987</v>
      </c>
      <c r="P1088">
        <f t="shared" si="1854"/>
        <v>25152050.69</v>
      </c>
      <c r="Q1088" s="18">
        <f t="shared" si="1855"/>
        <v>848892.1589</v>
      </c>
    </row>
    <row r="1089">
      <c r="B1089" s="1" t="s">
        <v>5582</v>
      </c>
      <c r="C1089" s="33"/>
      <c r="D1089">
        <f t="shared" ref="D1089:O1089" si="1861">D1082+D1086</f>
        <v>199320.6244</v>
      </c>
      <c r="E1089">
        <f t="shared" si="1861"/>
        <v>277607.765</v>
      </c>
      <c r="F1089">
        <f t="shared" si="1861"/>
        <v>158581.4332</v>
      </c>
      <c r="G1089">
        <f t="shared" si="1861"/>
        <v>187506.3841</v>
      </c>
      <c r="H1089">
        <f t="shared" si="1861"/>
        <v>226614.7763</v>
      </c>
      <c r="I1089">
        <f t="shared" si="1861"/>
        <v>366204.1505</v>
      </c>
      <c r="J1089" s="34">
        <f t="shared" si="1861"/>
        <v>221950.2609</v>
      </c>
      <c r="K1089">
        <f t="shared" si="1861"/>
        <v>238013.0898</v>
      </c>
      <c r="L1089">
        <f t="shared" si="1861"/>
        <v>209625.6015</v>
      </c>
      <c r="M1089">
        <f t="shared" si="1861"/>
        <v>169778.4318</v>
      </c>
      <c r="N1089">
        <f t="shared" si="1861"/>
        <v>136945.1524</v>
      </c>
      <c r="O1089">
        <f t="shared" si="1861"/>
        <v>123057.3987</v>
      </c>
      <c r="P1089">
        <f t="shared" si="1854"/>
        <v>2515205.069</v>
      </c>
      <c r="Q1089" s="18">
        <f t="shared" si="1855"/>
        <v>84889.21589</v>
      </c>
    </row>
    <row r="1090">
      <c r="B1090" s="1"/>
      <c r="C1090" s="33"/>
      <c r="D1090" s="33" t="s">
        <v>5566</v>
      </c>
      <c r="E1090" s="33" t="s">
        <v>5566</v>
      </c>
      <c r="F1090" s="1" t="s">
        <v>5566</v>
      </c>
      <c r="G1090" s="33" t="s">
        <v>5566</v>
      </c>
      <c r="H1090" s="33" t="s">
        <v>5566</v>
      </c>
      <c r="I1090" s="1" t="s">
        <v>5566</v>
      </c>
      <c r="J1090" s="1" t="s">
        <v>5566</v>
      </c>
      <c r="K1090" s="29"/>
      <c r="L1090" s="33" t="s">
        <v>5566</v>
      </c>
      <c r="M1090" s="1" t="s">
        <v>5566</v>
      </c>
      <c r="N1090" s="1" t="s">
        <v>5566</v>
      </c>
      <c r="O1090" s="33" t="s">
        <v>5566</v>
      </c>
    </row>
    <row r="1091">
      <c r="B1091" s="1"/>
      <c r="C1091" s="33"/>
      <c r="D1091" s="34"/>
      <c r="E1091" s="33"/>
      <c r="G1091" s="33"/>
      <c r="H1091" s="33"/>
      <c r="L1091" s="33"/>
      <c r="O1091" s="33"/>
    </row>
    <row r="1092">
      <c r="B1092" s="1"/>
      <c r="C1092" s="33"/>
      <c r="D1092" s="34"/>
      <c r="E1092" s="33"/>
      <c r="G1092" s="33"/>
      <c r="H1092" s="33"/>
      <c r="L1092" s="33"/>
      <c r="O1092" s="33"/>
    </row>
    <row r="1093">
      <c r="B1093" s="1" t="s">
        <v>5875</v>
      </c>
      <c r="C1093" s="33"/>
      <c r="D1093" s="33">
        <v>1900000.0</v>
      </c>
      <c r="E1093" s="1">
        <v>2700000.0</v>
      </c>
      <c r="F1093" s="1">
        <v>1550000.0</v>
      </c>
      <c r="G1093" s="1">
        <v>1800000.0</v>
      </c>
      <c r="H1093" s="1">
        <v>2000000.0</v>
      </c>
      <c r="I1093" s="1">
        <v>3500000.0</v>
      </c>
      <c r="J1093" s="33">
        <v>2150000.0</v>
      </c>
      <c r="K1093" s="1">
        <v>2300000.0</v>
      </c>
      <c r="L1093" s="1">
        <v>1990000.0</v>
      </c>
      <c r="M1093" s="33">
        <v>1570000.0</v>
      </c>
      <c r="N1093" s="33">
        <v>1350000.0</v>
      </c>
      <c r="O1093" s="1">
        <v>1200000.0</v>
      </c>
      <c r="P1093">
        <f t="shared" ref="P1093:P1104" si="1863">SUM(D1093:O1093)</f>
        <v>24010000</v>
      </c>
      <c r="Q1093" s="18">
        <f t="shared" ref="Q1093:Q1104" si="1864">M1093*0.5</f>
        <v>785000</v>
      </c>
    </row>
    <row r="1094">
      <c r="B1094" s="1" t="s">
        <v>5499</v>
      </c>
      <c r="C1094" s="33"/>
      <c r="D1094" s="33">
        <f t="shared" ref="D1094:O1094" si="1862">D1093*0.1</f>
        <v>190000</v>
      </c>
      <c r="E1094" s="1">
        <f t="shared" si="1862"/>
        <v>270000</v>
      </c>
      <c r="F1094" s="1">
        <f t="shared" si="1862"/>
        <v>155000</v>
      </c>
      <c r="G1094" s="1">
        <f t="shared" si="1862"/>
        <v>180000</v>
      </c>
      <c r="H1094" s="1">
        <f t="shared" si="1862"/>
        <v>200000</v>
      </c>
      <c r="I1094" s="1">
        <f t="shared" si="1862"/>
        <v>350000</v>
      </c>
      <c r="J1094" s="33">
        <f t="shared" si="1862"/>
        <v>215000</v>
      </c>
      <c r="K1094" s="1">
        <f t="shared" si="1862"/>
        <v>230000</v>
      </c>
      <c r="L1094" s="1">
        <f t="shared" si="1862"/>
        <v>199000</v>
      </c>
      <c r="M1094" s="33">
        <f t="shared" si="1862"/>
        <v>157000</v>
      </c>
      <c r="N1094" s="1">
        <f t="shared" si="1862"/>
        <v>135000</v>
      </c>
      <c r="O1094" s="1">
        <f t="shared" si="1862"/>
        <v>120000</v>
      </c>
      <c r="P1094">
        <f t="shared" si="1863"/>
        <v>2401000</v>
      </c>
      <c r="Q1094" s="18">
        <f t="shared" si="1864"/>
        <v>78500</v>
      </c>
    </row>
    <row r="1095">
      <c r="B1095" s="1" t="s">
        <v>5520</v>
      </c>
      <c r="C1095" s="33"/>
      <c r="D1095" s="34">
        <f t="shared" ref="D1095:O1095" si="1865">D1093+D1094</f>
        <v>2090000</v>
      </c>
      <c r="E1095">
        <f t="shared" si="1865"/>
        <v>2970000</v>
      </c>
      <c r="F1095">
        <f t="shared" si="1865"/>
        <v>1705000</v>
      </c>
      <c r="G1095">
        <f t="shared" si="1865"/>
        <v>1980000</v>
      </c>
      <c r="H1095">
        <f t="shared" si="1865"/>
        <v>2200000</v>
      </c>
      <c r="I1095">
        <f t="shared" si="1865"/>
        <v>3850000</v>
      </c>
      <c r="J1095" s="34">
        <f t="shared" si="1865"/>
        <v>2365000</v>
      </c>
      <c r="K1095">
        <f t="shared" si="1865"/>
        <v>2530000</v>
      </c>
      <c r="L1095">
        <f t="shared" si="1865"/>
        <v>2189000</v>
      </c>
      <c r="M1095" s="34">
        <f t="shared" si="1865"/>
        <v>1727000</v>
      </c>
      <c r="N1095">
        <f t="shared" si="1865"/>
        <v>1485000</v>
      </c>
      <c r="O1095">
        <f t="shared" si="1865"/>
        <v>1320000</v>
      </c>
      <c r="P1095">
        <f t="shared" si="1863"/>
        <v>26411000</v>
      </c>
      <c r="Q1095" s="18">
        <f t="shared" si="1864"/>
        <v>863500</v>
      </c>
    </row>
    <row r="1096">
      <c r="B1096" s="1" t="s">
        <v>5545</v>
      </c>
      <c r="C1096" s="33"/>
      <c r="D1096" s="34">
        <v>98509.39372325249</v>
      </c>
      <c r="E1096" s="34">
        <v>107238.07417974323</v>
      </c>
      <c r="F1096">
        <v>37658.02139800286</v>
      </c>
      <c r="G1096" s="34">
        <v>132148.90727532096</v>
      </c>
      <c r="H1096" s="34">
        <v>307221.2981455064</v>
      </c>
      <c r="I1096">
        <v>218438.14835948645</v>
      </c>
      <c r="J1096">
        <v>153347.13124108416</v>
      </c>
      <c r="K1096">
        <v>129742.11950209113</v>
      </c>
      <c r="L1096" s="34">
        <v>172463.1073167391</v>
      </c>
      <c r="M1096">
        <v>199983.2239657632</v>
      </c>
      <c r="N1096" s="34">
        <v>148359.31383737517</v>
      </c>
      <c r="O1096" s="34">
        <v>43116.36661911555</v>
      </c>
      <c r="P1096">
        <f t="shared" si="1863"/>
        <v>1748225.106</v>
      </c>
      <c r="Q1096" s="18">
        <f t="shared" si="1864"/>
        <v>99991.61198</v>
      </c>
    </row>
    <row r="1097">
      <c r="C1097" s="33"/>
      <c r="D1097">
        <f t="shared" ref="D1097:O1097" si="1866">D1096-D1098</f>
        <v>89553.99429</v>
      </c>
      <c r="E1097">
        <f t="shared" si="1866"/>
        <v>97489.15835</v>
      </c>
      <c r="F1097">
        <f t="shared" si="1866"/>
        <v>34234.56491</v>
      </c>
      <c r="G1097">
        <f t="shared" si="1866"/>
        <v>120135.3703</v>
      </c>
      <c r="H1097">
        <f t="shared" si="1866"/>
        <v>279292.0892</v>
      </c>
      <c r="I1097">
        <f t="shared" si="1866"/>
        <v>198580.1349</v>
      </c>
      <c r="J1097" s="34">
        <f t="shared" si="1866"/>
        <v>139406.4829</v>
      </c>
      <c r="K1097">
        <f t="shared" si="1866"/>
        <v>117947.3814</v>
      </c>
      <c r="L1097">
        <f t="shared" si="1866"/>
        <v>156784.643</v>
      </c>
      <c r="M1097">
        <f t="shared" si="1866"/>
        <v>181802.9309</v>
      </c>
      <c r="N1097">
        <f t="shared" si="1866"/>
        <v>134872.1035</v>
      </c>
      <c r="O1097">
        <f t="shared" si="1866"/>
        <v>39196.69693</v>
      </c>
      <c r="P1097">
        <f t="shared" si="1863"/>
        <v>1589295.551</v>
      </c>
      <c r="Q1097" s="18">
        <f t="shared" si="1864"/>
        <v>90901.46544</v>
      </c>
    </row>
    <row r="1098">
      <c r="B1098" s="1" t="s">
        <v>5499</v>
      </c>
      <c r="C1098" s="33"/>
      <c r="D1098">
        <f t="shared" ref="D1098:O1098" si="1867">D1096/11</f>
        <v>8955.399429</v>
      </c>
      <c r="E1098">
        <f t="shared" si="1867"/>
        <v>9748.915835</v>
      </c>
      <c r="F1098">
        <f t="shared" si="1867"/>
        <v>3423.456491</v>
      </c>
      <c r="G1098">
        <f t="shared" si="1867"/>
        <v>12013.53703</v>
      </c>
      <c r="H1098">
        <f t="shared" si="1867"/>
        <v>27929.20892</v>
      </c>
      <c r="I1098">
        <f t="shared" si="1867"/>
        <v>19858.01349</v>
      </c>
      <c r="J1098" s="34">
        <f t="shared" si="1867"/>
        <v>13940.64829</v>
      </c>
      <c r="K1098">
        <f t="shared" si="1867"/>
        <v>11794.73814</v>
      </c>
      <c r="L1098">
        <f t="shared" si="1867"/>
        <v>15678.4643</v>
      </c>
      <c r="M1098">
        <f t="shared" si="1867"/>
        <v>18180.29309</v>
      </c>
      <c r="N1098">
        <f t="shared" si="1867"/>
        <v>13487.21035</v>
      </c>
      <c r="O1098">
        <f t="shared" si="1867"/>
        <v>3919.669693</v>
      </c>
      <c r="P1098">
        <f t="shared" si="1863"/>
        <v>158929.5551</v>
      </c>
      <c r="Q1098" s="18">
        <f t="shared" si="1864"/>
        <v>9090.146544</v>
      </c>
    </row>
    <row r="1099">
      <c r="B1099" s="1" t="s">
        <v>5777</v>
      </c>
      <c r="C1099" s="33"/>
      <c r="D1099" s="34">
        <v>61970.271951252485</v>
      </c>
      <c r="E1099" s="34">
        <v>25805.056833034367</v>
      </c>
      <c r="F1099">
        <v>25805.056833034367</v>
      </c>
      <c r="G1099" s="34">
        <v>23675.82184804262</v>
      </c>
      <c r="H1099" s="34">
        <v>34067.75975986803</v>
      </c>
      <c r="I1099">
        <v>43252.07185931007</v>
      </c>
      <c r="J1099">
        <v>34417.33565292638</v>
      </c>
      <c r="K1099">
        <v>23485.14408819261</v>
      </c>
      <c r="L1099" s="34">
        <v>31461.830375251262</v>
      </c>
      <c r="M1099">
        <v>16045.533491378144</v>
      </c>
      <c r="N1099">
        <v>18463.963078809076</v>
      </c>
      <c r="O1099" s="34">
        <v>14110.154228900565</v>
      </c>
      <c r="P1099">
        <f t="shared" si="1863"/>
        <v>352560</v>
      </c>
      <c r="Q1099" s="18">
        <f t="shared" si="1864"/>
        <v>8022.766746</v>
      </c>
    </row>
    <row r="1100">
      <c r="B1100" s="23" t="s">
        <v>5598</v>
      </c>
      <c r="C1100" s="33"/>
      <c r="D1100" s="18">
        <f t="shared" ref="D1100:O1100" si="1868">SUM(D1095,D1096,D1099)</f>
        <v>2250479.666</v>
      </c>
      <c r="E1100" s="18">
        <f t="shared" si="1868"/>
        <v>3103043.131</v>
      </c>
      <c r="F1100" s="18">
        <f t="shared" si="1868"/>
        <v>1768463.078</v>
      </c>
      <c r="G1100" s="18">
        <f t="shared" si="1868"/>
        <v>2135824.729</v>
      </c>
      <c r="H1100" s="18">
        <f t="shared" si="1868"/>
        <v>2541289.058</v>
      </c>
      <c r="I1100" s="18">
        <f t="shared" si="1868"/>
        <v>4111690.22</v>
      </c>
      <c r="J1100" s="18">
        <f t="shared" si="1868"/>
        <v>2552764.467</v>
      </c>
      <c r="K1100" s="18">
        <f t="shared" si="1868"/>
        <v>2683227.264</v>
      </c>
      <c r="L1100" s="18">
        <f t="shared" si="1868"/>
        <v>2392924.938</v>
      </c>
      <c r="M1100" s="18">
        <f t="shared" si="1868"/>
        <v>1943028.757</v>
      </c>
      <c r="N1100" s="18">
        <f t="shared" si="1868"/>
        <v>1651823.277</v>
      </c>
      <c r="O1100" s="18">
        <f t="shared" si="1868"/>
        <v>1377226.521</v>
      </c>
      <c r="P1100">
        <f t="shared" si="1863"/>
        <v>28511785.11</v>
      </c>
      <c r="Q1100" s="18">
        <f t="shared" si="1864"/>
        <v>971514.3787</v>
      </c>
    </row>
    <row r="1101">
      <c r="B1101" s="1" t="s">
        <v>5599</v>
      </c>
      <c r="C1101" s="33"/>
      <c r="D1101">
        <f t="shared" ref="D1101:O1101" si="1869">SUM(D1093,D1097,D1099)</f>
        <v>2051524.266</v>
      </c>
      <c r="E1101">
        <f t="shared" si="1869"/>
        <v>2823294.215</v>
      </c>
      <c r="F1101">
        <f t="shared" si="1869"/>
        <v>1610039.622</v>
      </c>
      <c r="G1101">
        <f t="shared" si="1869"/>
        <v>1943811.192</v>
      </c>
      <c r="H1101">
        <f t="shared" si="1869"/>
        <v>2313359.849</v>
      </c>
      <c r="I1101">
        <f t="shared" si="1869"/>
        <v>3741832.207</v>
      </c>
      <c r="J1101">
        <f t="shared" si="1869"/>
        <v>2323823.819</v>
      </c>
      <c r="K1101">
        <f t="shared" si="1869"/>
        <v>2441432.525</v>
      </c>
      <c r="L1101">
        <f t="shared" si="1869"/>
        <v>2178246.473</v>
      </c>
      <c r="M1101">
        <f t="shared" si="1869"/>
        <v>1767848.464</v>
      </c>
      <c r="N1101">
        <f t="shared" si="1869"/>
        <v>1503336.067</v>
      </c>
      <c r="O1101">
        <f t="shared" si="1869"/>
        <v>1253306.851</v>
      </c>
      <c r="P1101">
        <f t="shared" si="1863"/>
        <v>25951855.55</v>
      </c>
      <c r="Q1101" s="18">
        <f t="shared" si="1864"/>
        <v>883924.2322</v>
      </c>
    </row>
    <row r="1102">
      <c r="B1102" s="1" t="s">
        <v>5601</v>
      </c>
      <c r="C1102" s="33"/>
      <c r="D1102">
        <f t="shared" ref="D1102:O1102" si="1870">SUM(D1093,D1097)</f>
        <v>1989553.994</v>
      </c>
      <c r="E1102">
        <f t="shared" si="1870"/>
        <v>2797489.158</v>
      </c>
      <c r="F1102">
        <f t="shared" si="1870"/>
        <v>1584234.565</v>
      </c>
      <c r="G1102">
        <f t="shared" si="1870"/>
        <v>1920135.37</v>
      </c>
      <c r="H1102">
        <f t="shared" si="1870"/>
        <v>2279292.089</v>
      </c>
      <c r="I1102">
        <f t="shared" si="1870"/>
        <v>3698580.135</v>
      </c>
      <c r="J1102">
        <f t="shared" si="1870"/>
        <v>2289406.483</v>
      </c>
      <c r="K1102">
        <f t="shared" si="1870"/>
        <v>2417947.381</v>
      </c>
      <c r="L1102">
        <f t="shared" si="1870"/>
        <v>2146784.643</v>
      </c>
      <c r="M1102">
        <f t="shared" si="1870"/>
        <v>1751802.931</v>
      </c>
      <c r="N1102">
        <f t="shared" si="1870"/>
        <v>1484872.103</v>
      </c>
      <c r="O1102">
        <f t="shared" si="1870"/>
        <v>1239196.697</v>
      </c>
      <c r="P1102">
        <f t="shared" si="1863"/>
        <v>25599295.55</v>
      </c>
      <c r="Q1102" s="18">
        <f t="shared" si="1864"/>
        <v>875901.4654</v>
      </c>
    </row>
    <row r="1103">
      <c r="B1103" s="1" t="s">
        <v>5582</v>
      </c>
      <c r="C1103" s="33"/>
      <c r="D1103">
        <f t="shared" ref="D1103:O1103" si="1871">SUM(D1094,D1098)</f>
        <v>198955.3994</v>
      </c>
      <c r="E1103">
        <f t="shared" si="1871"/>
        <v>279748.9158</v>
      </c>
      <c r="F1103">
        <f t="shared" si="1871"/>
        <v>158423.4565</v>
      </c>
      <c r="G1103" s="34">
        <f t="shared" si="1871"/>
        <v>192013.537</v>
      </c>
      <c r="H1103">
        <f t="shared" si="1871"/>
        <v>227929.2089</v>
      </c>
      <c r="I1103">
        <f t="shared" si="1871"/>
        <v>369858.0135</v>
      </c>
      <c r="J1103">
        <f t="shared" si="1871"/>
        <v>228940.6483</v>
      </c>
      <c r="K1103">
        <f t="shared" si="1871"/>
        <v>241794.7381</v>
      </c>
      <c r="L1103">
        <f t="shared" si="1871"/>
        <v>214678.4643</v>
      </c>
      <c r="M1103">
        <f t="shared" si="1871"/>
        <v>175180.2931</v>
      </c>
      <c r="N1103">
        <f t="shared" si="1871"/>
        <v>148487.2103</v>
      </c>
      <c r="O1103">
        <f t="shared" si="1871"/>
        <v>123919.6697</v>
      </c>
      <c r="P1103">
        <f t="shared" si="1863"/>
        <v>2559929.555</v>
      </c>
      <c r="Q1103" s="18">
        <f t="shared" si="1864"/>
        <v>87590.14654</v>
      </c>
    </row>
    <row r="1104">
      <c r="B1104" s="1" t="s">
        <v>5602</v>
      </c>
      <c r="C1104" s="33"/>
      <c r="D1104">
        <f t="shared" ref="D1104:O1104" si="1872">SUM(D1102:D1103)</f>
        <v>2188509.394</v>
      </c>
      <c r="E1104">
        <f t="shared" si="1872"/>
        <v>3077238.074</v>
      </c>
      <c r="F1104">
        <f t="shared" si="1872"/>
        <v>1742658.021</v>
      </c>
      <c r="G1104">
        <f t="shared" si="1872"/>
        <v>2112148.907</v>
      </c>
      <c r="H1104">
        <f t="shared" si="1872"/>
        <v>2507221.298</v>
      </c>
      <c r="I1104">
        <f t="shared" si="1872"/>
        <v>4068438.148</v>
      </c>
      <c r="J1104">
        <f t="shared" si="1872"/>
        <v>2518347.131</v>
      </c>
      <c r="K1104">
        <f t="shared" si="1872"/>
        <v>2659742.12</v>
      </c>
      <c r="L1104">
        <f t="shared" si="1872"/>
        <v>2361463.107</v>
      </c>
      <c r="M1104">
        <f t="shared" si="1872"/>
        <v>1926983.224</v>
      </c>
      <c r="N1104">
        <f t="shared" si="1872"/>
        <v>1633359.314</v>
      </c>
      <c r="O1104">
        <f t="shared" si="1872"/>
        <v>1363116.367</v>
      </c>
      <c r="P1104">
        <f t="shared" si="1863"/>
        <v>28159225.11</v>
      </c>
      <c r="Q1104" s="18">
        <f t="shared" si="1864"/>
        <v>963491.612</v>
      </c>
    </row>
    <row r="1105">
      <c r="B1105" s="1"/>
      <c r="C1105" s="33"/>
      <c r="D1105" s="33" t="s">
        <v>5566</v>
      </c>
      <c r="E1105" s="33" t="s">
        <v>5566</v>
      </c>
      <c r="F1105" s="1" t="s">
        <v>5566</v>
      </c>
      <c r="G1105" s="33" t="s">
        <v>5566</v>
      </c>
      <c r="H1105" s="33" t="s">
        <v>5566</v>
      </c>
      <c r="I1105" s="1" t="s">
        <v>5566</v>
      </c>
      <c r="J1105" s="1" t="s">
        <v>5566</v>
      </c>
      <c r="K1105" s="29"/>
      <c r="L1105" s="33" t="s">
        <v>5566</v>
      </c>
      <c r="M1105" s="1" t="s">
        <v>5566</v>
      </c>
      <c r="N1105" s="1" t="s">
        <v>5566</v>
      </c>
      <c r="O1105" s="33" t="s">
        <v>5566</v>
      </c>
    </row>
    <row r="1106">
      <c r="B1106" s="1"/>
      <c r="C1106" s="33"/>
      <c r="D1106" s="34"/>
      <c r="E1106" s="33"/>
      <c r="G1106" s="33"/>
      <c r="H1106" s="33"/>
      <c r="L1106" s="33"/>
      <c r="O1106" s="33"/>
    </row>
    <row r="1107">
      <c r="B1107" s="1"/>
      <c r="C1107" s="33"/>
      <c r="D1107" s="2" t="s">
        <v>5876</v>
      </c>
      <c r="E1107" s="33"/>
      <c r="G1107" s="33"/>
      <c r="H1107" s="33"/>
      <c r="L1107" s="33"/>
      <c r="O1107" s="33"/>
    </row>
    <row r="1108">
      <c r="B1108" s="1" t="s">
        <v>5877</v>
      </c>
      <c r="C1108" s="33"/>
      <c r="D1108" s="33">
        <v>1900000.0</v>
      </c>
      <c r="E1108" s="1">
        <v>2700000.0</v>
      </c>
      <c r="F1108" s="1">
        <v>1550000.0</v>
      </c>
      <c r="G1108" s="1">
        <v>1800000.0</v>
      </c>
      <c r="H1108" s="1">
        <v>2000000.0</v>
      </c>
      <c r="I1108" s="1">
        <v>3500000.0</v>
      </c>
      <c r="J1108" s="33">
        <v>2150000.0</v>
      </c>
      <c r="K1108" s="1">
        <v>2300000.0</v>
      </c>
      <c r="L1108" s="1">
        <v>1990000.0</v>
      </c>
      <c r="M1108" s="33">
        <v>1570000.0</v>
      </c>
      <c r="N1108" s="33">
        <v>1350000.0</v>
      </c>
      <c r="O1108" s="1">
        <v>1200000.0</v>
      </c>
      <c r="P1108">
        <f t="shared" ref="P1108:P1116" si="1874">SUM(D1108:O1108)</f>
        <v>24010000</v>
      </c>
      <c r="Q1108" s="18">
        <f t="shared" ref="Q1108:Q1116" si="1875">M1108*0.5</f>
        <v>785000</v>
      </c>
    </row>
    <row r="1109">
      <c r="B1109" s="1" t="s">
        <v>5499</v>
      </c>
      <c r="C1109" s="33"/>
      <c r="D1109" s="33">
        <f t="shared" ref="D1109:O1109" si="1873">D1108*0.1</f>
        <v>190000</v>
      </c>
      <c r="E1109" s="1">
        <f t="shared" si="1873"/>
        <v>270000</v>
      </c>
      <c r="F1109" s="1">
        <f t="shared" si="1873"/>
        <v>155000</v>
      </c>
      <c r="G1109" s="1">
        <f t="shared" si="1873"/>
        <v>180000</v>
      </c>
      <c r="H1109" s="1">
        <f t="shared" si="1873"/>
        <v>200000</v>
      </c>
      <c r="I1109" s="1">
        <f t="shared" si="1873"/>
        <v>350000</v>
      </c>
      <c r="J1109" s="33">
        <f t="shared" si="1873"/>
        <v>215000</v>
      </c>
      <c r="K1109" s="1">
        <f t="shared" si="1873"/>
        <v>230000</v>
      </c>
      <c r="L1109" s="1">
        <f t="shared" si="1873"/>
        <v>199000</v>
      </c>
      <c r="M1109" s="33">
        <f t="shared" si="1873"/>
        <v>157000</v>
      </c>
      <c r="N1109" s="1">
        <f t="shared" si="1873"/>
        <v>135000</v>
      </c>
      <c r="O1109" s="1">
        <f t="shared" si="1873"/>
        <v>120000</v>
      </c>
      <c r="P1109">
        <f t="shared" si="1874"/>
        <v>2401000</v>
      </c>
      <c r="Q1109" s="18">
        <f t="shared" si="1875"/>
        <v>78500</v>
      </c>
    </row>
    <row r="1110">
      <c r="B1110" s="1" t="s">
        <v>5520</v>
      </c>
      <c r="C1110" s="33"/>
      <c r="D1110" s="34">
        <f t="shared" ref="D1110:O1110" si="1876">D1108+D1109</f>
        <v>2090000</v>
      </c>
      <c r="E1110">
        <f t="shared" si="1876"/>
        <v>2970000</v>
      </c>
      <c r="F1110">
        <f t="shared" si="1876"/>
        <v>1705000</v>
      </c>
      <c r="G1110">
        <f t="shared" si="1876"/>
        <v>1980000</v>
      </c>
      <c r="H1110">
        <f t="shared" si="1876"/>
        <v>2200000</v>
      </c>
      <c r="I1110">
        <f t="shared" si="1876"/>
        <v>3850000</v>
      </c>
      <c r="J1110" s="34">
        <f t="shared" si="1876"/>
        <v>2365000</v>
      </c>
      <c r="K1110">
        <f t="shared" si="1876"/>
        <v>2530000</v>
      </c>
      <c r="L1110">
        <f t="shared" si="1876"/>
        <v>2189000</v>
      </c>
      <c r="M1110" s="34">
        <f t="shared" si="1876"/>
        <v>1727000</v>
      </c>
      <c r="N1110">
        <f t="shared" si="1876"/>
        <v>1485000</v>
      </c>
      <c r="O1110">
        <f t="shared" si="1876"/>
        <v>1320000</v>
      </c>
      <c r="P1110">
        <f t="shared" si="1874"/>
        <v>26411000</v>
      </c>
      <c r="Q1110" s="18">
        <f t="shared" si="1875"/>
        <v>863500</v>
      </c>
    </row>
    <row r="1111">
      <c r="B1111" s="1" t="s">
        <v>5545</v>
      </c>
      <c r="C1111" s="33"/>
      <c r="D1111" s="34">
        <v>138202.15323799558</v>
      </c>
      <c r="E1111" s="34">
        <v>115542.3846064411</v>
      </c>
      <c r="F1111">
        <v>35447.9548889664</v>
      </c>
      <c r="G1111" s="34">
        <v>171231.8379258226</v>
      </c>
      <c r="H1111" s="34">
        <v>318632.5111033601</v>
      </c>
      <c r="I1111">
        <v>177962.46227182884</v>
      </c>
      <c r="J1111">
        <v>214980.8961748634</v>
      </c>
      <c r="K1111">
        <v>147926.38611042913</v>
      </c>
      <c r="L1111" s="34">
        <v>196780.83118988478</v>
      </c>
      <c r="M1111">
        <v>179981.64957563073</v>
      </c>
      <c r="N1111">
        <v>187160.98221137078</v>
      </c>
      <c r="O1111" s="34">
        <v>45817.87094523892</v>
      </c>
      <c r="P1111">
        <f t="shared" si="1874"/>
        <v>1929667.92</v>
      </c>
      <c r="Q1111" s="18">
        <f t="shared" si="1875"/>
        <v>89990.82479</v>
      </c>
    </row>
    <row r="1112">
      <c r="C1112" s="33"/>
      <c r="D1112">
        <f t="shared" ref="D1112:O1112" si="1877">D1111-D1113</f>
        <v>125638.3211</v>
      </c>
      <c r="E1112">
        <f t="shared" si="1877"/>
        <v>105038.5315</v>
      </c>
      <c r="F1112">
        <f t="shared" si="1877"/>
        <v>32225.41354</v>
      </c>
      <c r="G1112">
        <f t="shared" si="1877"/>
        <v>155665.3072</v>
      </c>
      <c r="H1112">
        <f t="shared" si="1877"/>
        <v>289665.9192</v>
      </c>
      <c r="I1112">
        <f t="shared" si="1877"/>
        <v>161784.0566</v>
      </c>
      <c r="J1112" s="34">
        <f t="shared" si="1877"/>
        <v>195437.1783</v>
      </c>
      <c r="K1112">
        <f t="shared" si="1877"/>
        <v>134478.5328</v>
      </c>
      <c r="L1112">
        <f t="shared" si="1877"/>
        <v>178891.6647</v>
      </c>
      <c r="M1112">
        <f t="shared" si="1877"/>
        <v>163619.6814</v>
      </c>
      <c r="N1112">
        <f t="shared" si="1877"/>
        <v>170146.3475</v>
      </c>
      <c r="O1112">
        <f t="shared" si="1877"/>
        <v>41652.60995</v>
      </c>
      <c r="P1112">
        <f t="shared" si="1874"/>
        <v>1754243.564</v>
      </c>
      <c r="Q1112" s="18">
        <f t="shared" si="1875"/>
        <v>81809.84072</v>
      </c>
    </row>
    <row r="1113">
      <c r="B1113" s="1" t="s">
        <v>5499</v>
      </c>
      <c r="C1113" s="33"/>
      <c r="D1113">
        <f t="shared" ref="D1113:O1113" si="1878">D1111/11</f>
        <v>12563.83211</v>
      </c>
      <c r="E1113">
        <f t="shared" si="1878"/>
        <v>10503.85315</v>
      </c>
      <c r="F1113">
        <f t="shared" si="1878"/>
        <v>3222.541354</v>
      </c>
      <c r="G1113">
        <f t="shared" si="1878"/>
        <v>15566.53072</v>
      </c>
      <c r="H1113">
        <f t="shared" si="1878"/>
        <v>28966.59192</v>
      </c>
      <c r="I1113">
        <f t="shared" si="1878"/>
        <v>16178.40566</v>
      </c>
      <c r="J1113" s="34">
        <f t="shared" si="1878"/>
        <v>19543.71783</v>
      </c>
      <c r="K1113">
        <f t="shared" si="1878"/>
        <v>13447.85328</v>
      </c>
      <c r="L1113">
        <f t="shared" si="1878"/>
        <v>17889.16647</v>
      </c>
      <c r="M1113">
        <f t="shared" si="1878"/>
        <v>16361.96814</v>
      </c>
      <c r="N1113">
        <f t="shared" si="1878"/>
        <v>17014.63475</v>
      </c>
      <c r="O1113">
        <f t="shared" si="1878"/>
        <v>4165.260995</v>
      </c>
      <c r="P1113">
        <f t="shared" si="1874"/>
        <v>175424.3564</v>
      </c>
      <c r="Q1113" s="18">
        <f t="shared" si="1875"/>
        <v>8180.984072</v>
      </c>
    </row>
    <row r="1114">
      <c r="B1114" s="23" t="s">
        <v>5528</v>
      </c>
      <c r="C1114" s="33"/>
      <c r="D1114" s="145">
        <f t="shared" ref="D1114:O1114" si="1879">SUM(D1110,D1111)</f>
        <v>2228202.153</v>
      </c>
      <c r="E1114" s="145">
        <f t="shared" si="1879"/>
        <v>3085542.385</v>
      </c>
      <c r="F1114" s="145">
        <f t="shared" si="1879"/>
        <v>1740447.955</v>
      </c>
      <c r="G1114" s="145">
        <f t="shared" si="1879"/>
        <v>2151231.838</v>
      </c>
      <c r="H1114" s="145">
        <f t="shared" si="1879"/>
        <v>2518632.511</v>
      </c>
      <c r="I1114" s="173">
        <f t="shared" si="1879"/>
        <v>4027962.462</v>
      </c>
      <c r="J1114" s="145">
        <f t="shared" si="1879"/>
        <v>2579980.896</v>
      </c>
      <c r="K1114" s="174">
        <f t="shared" si="1879"/>
        <v>2677926.386</v>
      </c>
      <c r="L1114" s="145">
        <f t="shared" si="1879"/>
        <v>2385780.831</v>
      </c>
      <c r="M1114" s="145">
        <f t="shared" si="1879"/>
        <v>1906981.65</v>
      </c>
      <c r="N1114" s="145">
        <f t="shared" si="1879"/>
        <v>1672160.982</v>
      </c>
      <c r="O1114" s="145">
        <f t="shared" si="1879"/>
        <v>1365817.871</v>
      </c>
      <c r="P1114">
        <f t="shared" si="1874"/>
        <v>28340667.92</v>
      </c>
      <c r="Q1114" s="18">
        <f t="shared" si="1875"/>
        <v>953490.8248</v>
      </c>
    </row>
    <row r="1115">
      <c r="B1115" s="1" t="s">
        <v>5580</v>
      </c>
      <c r="C1115" s="33"/>
      <c r="D1115">
        <f t="shared" ref="D1115:O1115" si="1880">D1108+D1112</f>
        <v>2025638.321</v>
      </c>
      <c r="E1115">
        <f t="shared" si="1880"/>
        <v>2805038.531</v>
      </c>
      <c r="F1115">
        <f t="shared" si="1880"/>
        <v>1582225.414</v>
      </c>
      <c r="G1115">
        <f t="shared" si="1880"/>
        <v>1955665.307</v>
      </c>
      <c r="H1115">
        <f t="shared" si="1880"/>
        <v>2289665.919</v>
      </c>
      <c r="I1115">
        <f t="shared" si="1880"/>
        <v>3661784.057</v>
      </c>
      <c r="J1115" s="34">
        <f t="shared" si="1880"/>
        <v>2345437.178</v>
      </c>
      <c r="K1115">
        <f t="shared" si="1880"/>
        <v>2434478.533</v>
      </c>
      <c r="L1115">
        <f t="shared" si="1880"/>
        <v>2168891.665</v>
      </c>
      <c r="M1115">
        <f t="shared" si="1880"/>
        <v>1733619.681</v>
      </c>
      <c r="N1115">
        <f t="shared" si="1880"/>
        <v>1520146.347</v>
      </c>
      <c r="O1115">
        <f t="shared" si="1880"/>
        <v>1241652.61</v>
      </c>
      <c r="P1115">
        <f t="shared" si="1874"/>
        <v>25764243.56</v>
      </c>
      <c r="Q1115" s="18">
        <f t="shared" si="1875"/>
        <v>866809.8407</v>
      </c>
    </row>
    <row r="1116">
      <c r="B1116" s="1" t="s">
        <v>5582</v>
      </c>
      <c r="C1116" s="33"/>
      <c r="D1116">
        <f t="shared" ref="D1116:O1116" si="1881">D1109+D1113</f>
        <v>202563.8321</v>
      </c>
      <c r="E1116">
        <f t="shared" si="1881"/>
        <v>280503.8531</v>
      </c>
      <c r="F1116">
        <f t="shared" si="1881"/>
        <v>158222.5414</v>
      </c>
      <c r="G1116">
        <f t="shared" si="1881"/>
        <v>195566.5307</v>
      </c>
      <c r="H1116">
        <f t="shared" si="1881"/>
        <v>228966.5919</v>
      </c>
      <c r="I1116">
        <f t="shared" si="1881"/>
        <v>366178.4057</v>
      </c>
      <c r="J1116" s="34">
        <f t="shared" si="1881"/>
        <v>234543.7178</v>
      </c>
      <c r="K1116">
        <f t="shared" si="1881"/>
        <v>243447.8533</v>
      </c>
      <c r="L1116">
        <f t="shared" si="1881"/>
        <v>216889.1665</v>
      </c>
      <c r="M1116">
        <f t="shared" si="1881"/>
        <v>173361.9681</v>
      </c>
      <c r="N1116">
        <f t="shared" si="1881"/>
        <v>152014.6347</v>
      </c>
      <c r="O1116">
        <f t="shared" si="1881"/>
        <v>124165.261</v>
      </c>
      <c r="P1116">
        <f t="shared" si="1874"/>
        <v>2576424.356</v>
      </c>
      <c r="Q1116" s="18">
        <f t="shared" si="1875"/>
        <v>86680.98407</v>
      </c>
    </row>
    <row r="1117">
      <c r="B1117" s="1"/>
      <c r="C1117" s="33"/>
      <c r="D1117" s="33" t="s">
        <v>5566</v>
      </c>
      <c r="E1117" s="33" t="s">
        <v>5566</v>
      </c>
      <c r="F1117" s="1" t="s">
        <v>5566</v>
      </c>
      <c r="G1117" s="33" t="s">
        <v>5566</v>
      </c>
      <c r="H1117" s="33" t="s">
        <v>5566</v>
      </c>
      <c r="I1117" s="1" t="s">
        <v>5566</v>
      </c>
      <c r="J1117" s="1" t="s">
        <v>5566</v>
      </c>
      <c r="K1117" s="29"/>
      <c r="L1117" s="33" t="s">
        <v>5566</v>
      </c>
      <c r="M1117" s="1" t="s">
        <v>5566</v>
      </c>
      <c r="N1117" s="1" t="s">
        <v>5566</v>
      </c>
      <c r="O1117" s="33" t="s">
        <v>5566</v>
      </c>
    </row>
    <row r="1118">
      <c r="B1118" s="1"/>
      <c r="C1118" s="33"/>
      <c r="D1118" s="34"/>
      <c r="E1118" s="33"/>
      <c r="G1118" s="33"/>
      <c r="H1118" s="33"/>
      <c r="L1118" s="33"/>
      <c r="O1118" s="33"/>
    </row>
    <row r="1119">
      <c r="B1119" s="1"/>
      <c r="C1119" s="33"/>
      <c r="D1119" s="2" t="s">
        <v>5876</v>
      </c>
      <c r="E1119" s="33"/>
      <c r="G1119" s="33"/>
      <c r="H1119" s="33"/>
      <c r="L1119" s="33"/>
      <c r="O1119" s="33"/>
    </row>
    <row r="1120">
      <c r="B1120" s="1" t="s">
        <v>5878</v>
      </c>
      <c r="C1120" s="33"/>
      <c r="D1120" s="33">
        <f>1900000*(19/30)+1990000*(11/30)</f>
        <v>1933000</v>
      </c>
      <c r="E1120" s="1">
        <v>2700000.0</v>
      </c>
      <c r="F1120" s="1">
        <v>1550000.0</v>
      </c>
      <c r="G1120" s="1">
        <v>1800000.0</v>
      </c>
      <c r="H1120" s="1">
        <v>2000000.0</v>
      </c>
      <c r="I1120" s="1">
        <v>3500000.0</v>
      </c>
      <c r="J1120" s="33">
        <v>2150000.0</v>
      </c>
      <c r="K1120" s="1">
        <v>2300000.0</v>
      </c>
      <c r="L1120" s="1">
        <v>1990000.0</v>
      </c>
      <c r="M1120" s="33">
        <v>1570000.0</v>
      </c>
      <c r="N1120" s="33">
        <v>1350000.0</v>
      </c>
      <c r="O1120" s="1">
        <v>1200000.0</v>
      </c>
      <c r="P1120">
        <f t="shared" ref="P1120:P1131" si="1883">SUM(D1120:O1120)</f>
        <v>24043000</v>
      </c>
      <c r="Q1120" s="18">
        <f t="shared" ref="Q1120:Q1131" si="1884">M1120*0.5</f>
        <v>785000</v>
      </c>
    </row>
    <row r="1121">
      <c r="B1121" s="1" t="s">
        <v>5499</v>
      </c>
      <c r="C1121" s="33"/>
      <c r="D1121" s="33">
        <f t="shared" ref="D1121:O1121" si="1882">D1120*0.1</f>
        <v>193300</v>
      </c>
      <c r="E1121" s="1">
        <f t="shared" si="1882"/>
        <v>270000</v>
      </c>
      <c r="F1121" s="1">
        <f t="shared" si="1882"/>
        <v>155000</v>
      </c>
      <c r="G1121" s="1">
        <f t="shared" si="1882"/>
        <v>180000</v>
      </c>
      <c r="H1121" s="1">
        <f t="shared" si="1882"/>
        <v>200000</v>
      </c>
      <c r="I1121" s="1">
        <f t="shared" si="1882"/>
        <v>350000</v>
      </c>
      <c r="J1121" s="33">
        <f t="shared" si="1882"/>
        <v>215000</v>
      </c>
      <c r="K1121" s="1">
        <f t="shared" si="1882"/>
        <v>230000</v>
      </c>
      <c r="L1121" s="1">
        <f t="shared" si="1882"/>
        <v>199000</v>
      </c>
      <c r="M1121" s="33">
        <f t="shared" si="1882"/>
        <v>157000</v>
      </c>
      <c r="N1121" s="1">
        <f t="shared" si="1882"/>
        <v>135000</v>
      </c>
      <c r="O1121" s="1">
        <f t="shared" si="1882"/>
        <v>120000</v>
      </c>
      <c r="P1121">
        <f t="shared" si="1883"/>
        <v>2404300</v>
      </c>
      <c r="Q1121" s="18">
        <f t="shared" si="1884"/>
        <v>78500</v>
      </c>
    </row>
    <row r="1122">
      <c r="B1122" s="1" t="s">
        <v>5520</v>
      </c>
      <c r="C1122" s="33"/>
      <c r="D1122" s="34">
        <f t="shared" ref="D1122:O1122" si="1885">D1120+D1121</f>
        <v>2126300</v>
      </c>
      <c r="E1122">
        <f t="shared" si="1885"/>
        <v>2970000</v>
      </c>
      <c r="F1122">
        <f t="shared" si="1885"/>
        <v>1705000</v>
      </c>
      <c r="G1122">
        <f t="shared" si="1885"/>
        <v>1980000</v>
      </c>
      <c r="H1122">
        <f t="shared" si="1885"/>
        <v>2200000</v>
      </c>
      <c r="I1122">
        <f t="shared" si="1885"/>
        <v>3850000</v>
      </c>
      <c r="J1122" s="34">
        <f t="shared" si="1885"/>
        <v>2365000</v>
      </c>
      <c r="K1122">
        <f t="shared" si="1885"/>
        <v>2530000</v>
      </c>
      <c r="L1122">
        <f t="shared" si="1885"/>
        <v>2189000</v>
      </c>
      <c r="M1122" s="34">
        <f t="shared" si="1885"/>
        <v>1727000</v>
      </c>
      <c r="N1122">
        <f t="shared" si="1885"/>
        <v>1485000</v>
      </c>
      <c r="O1122">
        <f t="shared" si="1885"/>
        <v>1320000</v>
      </c>
      <c r="P1122">
        <f t="shared" si="1883"/>
        <v>26447300</v>
      </c>
      <c r="Q1122" s="18">
        <f t="shared" si="1884"/>
        <v>863500</v>
      </c>
    </row>
    <row r="1123">
      <c r="B1123" s="1" t="s">
        <v>5545</v>
      </c>
      <c r="C1123" s="33"/>
      <c r="D1123" s="34">
        <v>140258.82303699982</v>
      </c>
      <c r="E1123" s="34">
        <v>116019.91963837268</v>
      </c>
      <c r="F1123">
        <v>41124.43160890675</v>
      </c>
      <c r="G1123" s="34">
        <v>120104.26686757074</v>
      </c>
      <c r="H1123" s="34">
        <v>339071.4391428093</v>
      </c>
      <c r="I1123">
        <v>254916.14532060942</v>
      </c>
      <c r="J1123">
        <v>44119.38992131257</v>
      </c>
      <c r="K1123">
        <v>107761.8495795181</v>
      </c>
      <c r="L1123" s="34">
        <v>143068.22609434763</v>
      </c>
      <c r="M1123">
        <v>184650.56018751048</v>
      </c>
      <c r="N1123" s="34">
        <v>56647.36246442324</v>
      </c>
      <c r="O1123" s="34">
        <v>78979.83525866398</v>
      </c>
      <c r="P1123">
        <f t="shared" si="1883"/>
        <v>1626722.249</v>
      </c>
      <c r="Q1123" s="18">
        <f t="shared" si="1884"/>
        <v>92325.28009</v>
      </c>
    </row>
    <row r="1124">
      <c r="C1124" s="33"/>
      <c r="D1124">
        <f t="shared" ref="D1124:O1124" si="1886">D1123-D1125</f>
        <v>127508.0209</v>
      </c>
      <c r="E1124">
        <f t="shared" si="1886"/>
        <v>105472.6542</v>
      </c>
      <c r="F1124">
        <f t="shared" si="1886"/>
        <v>37385.84692</v>
      </c>
      <c r="G1124">
        <f t="shared" si="1886"/>
        <v>109185.6972</v>
      </c>
      <c r="H1124">
        <f t="shared" si="1886"/>
        <v>308246.7629</v>
      </c>
      <c r="I1124">
        <f t="shared" si="1886"/>
        <v>231741.9503</v>
      </c>
      <c r="J1124" s="34">
        <f t="shared" si="1886"/>
        <v>40108.53629</v>
      </c>
      <c r="K1124">
        <f t="shared" si="1886"/>
        <v>97965.3178</v>
      </c>
      <c r="L1124">
        <f t="shared" si="1886"/>
        <v>130062.0237</v>
      </c>
      <c r="M1124">
        <f t="shared" si="1886"/>
        <v>167864.1456</v>
      </c>
      <c r="N1124">
        <f t="shared" si="1886"/>
        <v>51497.60224</v>
      </c>
      <c r="O1124">
        <f t="shared" si="1886"/>
        <v>71799.85024</v>
      </c>
      <c r="P1124">
        <f t="shared" si="1883"/>
        <v>1478838.408</v>
      </c>
      <c r="Q1124" s="18">
        <f t="shared" si="1884"/>
        <v>83932.07281</v>
      </c>
    </row>
    <row r="1125">
      <c r="B1125" s="1" t="s">
        <v>5499</v>
      </c>
      <c r="C1125" s="33"/>
      <c r="D1125">
        <f t="shared" ref="D1125:O1125" si="1887">D1123/11</f>
        <v>12750.80209</v>
      </c>
      <c r="E1125">
        <f t="shared" si="1887"/>
        <v>10547.26542</v>
      </c>
      <c r="F1125">
        <f t="shared" si="1887"/>
        <v>3738.584692</v>
      </c>
      <c r="G1125">
        <f t="shared" si="1887"/>
        <v>10918.56972</v>
      </c>
      <c r="H1125">
        <f t="shared" si="1887"/>
        <v>30824.67629</v>
      </c>
      <c r="I1125">
        <f t="shared" si="1887"/>
        <v>23174.19503</v>
      </c>
      <c r="J1125" s="34">
        <f t="shared" si="1887"/>
        <v>4010.853629</v>
      </c>
      <c r="K1125">
        <f t="shared" si="1887"/>
        <v>9796.53178</v>
      </c>
      <c r="L1125">
        <f t="shared" si="1887"/>
        <v>13006.20237</v>
      </c>
      <c r="M1125">
        <f t="shared" si="1887"/>
        <v>16786.41456</v>
      </c>
      <c r="N1125">
        <f t="shared" si="1887"/>
        <v>5149.760224</v>
      </c>
      <c r="O1125">
        <f t="shared" si="1887"/>
        <v>7179.985024</v>
      </c>
      <c r="P1125">
        <f t="shared" si="1883"/>
        <v>147883.8408</v>
      </c>
      <c r="Q1125" s="18">
        <f t="shared" si="1884"/>
        <v>8393.207281</v>
      </c>
    </row>
    <row r="1126">
      <c r="B1126" s="1" t="s">
        <v>5785</v>
      </c>
      <c r="C1126" s="33"/>
      <c r="D1126" s="34">
        <v>52605.12533915034</v>
      </c>
      <c r="E1126" s="34">
        <v>21905.31373096927</v>
      </c>
      <c r="F1126" s="1">
        <v>21905.0</v>
      </c>
      <c r="G1126" s="34">
        <v>20097.85557829077</v>
      </c>
      <c r="H1126" s="34">
        <v>28919.33044285598</v>
      </c>
      <c r="I1126">
        <v>36715.6797879916</v>
      </c>
      <c r="J1126">
        <v>29216.077303743496</v>
      </c>
      <c r="K1126">
        <v>19935.99365417031</v>
      </c>
      <c r="L1126" s="34">
        <v>26707.217479876326</v>
      </c>
      <c r="M1126">
        <v>13620.680914736928</v>
      </c>
      <c r="N1126">
        <v>15673.629652331461</v>
      </c>
      <c r="O1126" s="34">
        <v>11977.782384914231</v>
      </c>
      <c r="P1126">
        <f t="shared" si="1883"/>
        <v>299279.6863</v>
      </c>
      <c r="Q1126" s="18">
        <f t="shared" si="1884"/>
        <v>6810.340457</v>
      </c>
    </row>
    <row r="1127">
      <c r="B1127" s="23" t="s">
        <v>5598</v>
      </c>
      <c r="C1127" s="33"/>
      <c r="D1127" s="18">
        <f t="shared" ref="D1127:O1127" si="1888">SUM(D1122,D1123,D1126)</f>
        <v>2319163.948</v>
      </c>
      <c r="E1127" s="18">
        <f t="shared" si="1888"/>
        <v>3107925.233</v>
      </c>
      <c r="F1127" s="18">
        <f t="shared" si="1888"/>
        <v>1768029.432</v>
      </c>
      <c r="G1127" s="18">
        <f t="shared" si="1888"/>
        <v>2120202.122</v>
      </c>
      <c r="H1127" s="18">
        <f t="shared" si="1888"/>
        <v>2567990.77</v>
      </c>
      <c r="I1127" s="18">
        <f t="shared" si="1888"/>
        <v>4141631.825</v>
      </c>
      <c r="J1127" s="18">
        <f t="shared" si="1888"/>
        <v>2438335.467</v>
      </c>
      <c r="K1127" s="18">
        <f t="shared" si="1888"/>
        <v>2657697.843</v>
      </c>
      <c r="L1127" s="18">
        <f t="shared" si="1888"/>
        <v>2358775.444</v>
      </c>
      <c r="M1127" s="18">
        <f t="shared" si="1888"/>
        <v>1925271.241</v>
      </c>
      <c r="N1127" s="18">
        <f t="shared" si="1888"/>
        <v>1557320.992</v>
      </c>
      <c r="O1127" s="18">
        <f t="shared" si="1888"/>
        <v>1410957.618</v>
      </c>
      <c r="P1127">
        <f t="shared" si="1883"/>
        <v>28373301.94</v>
      </c>
      <c r="Q1127" s="18">
        <f t="shared" si="1884"/>
        <v>962635.6206</v>
      </c>
    </row>
    <row r="1128">
      <c r="B1128" s="1" t="s">
        <v>5599</v>
      </c>
      <c r="C1128" s="33"/>
      <c r="D1128">
        <f t="shared" ref="D1128:O1128" si="1889">SUM(D1120,D1124,D1126)</f>
        <v>2113113.146</v>
      </c>
      <c r="E1128">
        <f t="shared" si="1889"/>
        <v>2827377.968</v>
      </c>
      <c r="F1128">
        <f t="shared" si="1889"/>
        <v>1609290.847</v>
      </c>
      <c r="G1128">
        <f t="shared" si="1889"/>
        <v>1929283.553</v>
      </c>
      <c r="H1128">
        <f t="shared" si="1889"/>
        <v>2337166.093</v>
      </c>
      <c r="I1128">
        <f t="shared" si="1889"/>
        <v>3768457.63</v>
      </c>
      <c r="J1128">
        <f t="shared" si="1889"/>
        <v>2219324.614</v>
      </c>
      <c r="K1128">
        <f t="shared" si="1889"/>
        <v>2417901.311</v>
      </c>
      <c r="L1128">
        <f t="shared" si="1889"/>
        <v>2146769.241</v>
      </c>
      <c r="M1128">
        <f t="shared" si="1889"/>
        <v>1751484.827</v>
      </c>
      <c r="N1128">
        <f t="shared" si="1889"/>
        <v>1417171.232</v>
      </c>
      <c r="O1128">
        <f t="shared" si="1889"/>
        <v>1283777.633</v>
      </c>
      <c r="P1128">
        <f t="shared" si="1883"/>
        <v>25821118.09</v>
      </c>
      <c r="Q1128" s="18">
        <f t="shared" si="1884"/>
        <v>875742.4133</v>
      </c>
    </row>
    <row r="1129">
      <c r="B1129" s="1" t="s">
        <v>5601</v>
      </c>
      <c r="C1129" s="33"/>
      <c r="D1129">
        <f t="shared" ref="D1129:O1129" si="1890">SUM(D1120,D1124)</f>
        <v>2060508.021</v>
      </c>
      <c r="E1129">
        <f t="shared" si="1890"/>
        <v>2805472.654</v>
      </c>
      <c r="F1129">
        <f t="shared" si="1890"/>
        <v>1587385.847</v>
      </c>
      <c r="G1129">
        <f t="shared" si="1890"/>
        <v>1909185.697</v>
      </c>
      <c r="H1129">
        <f t="shared" si="1890"/>
        <v>2308246.763</v>
      </c>
      <c r="I1129">
        <f t="shared" si="1890"/>
        <v>3731741.95</v>
      </c>
      <c r="J1129">
        <f t="shared" si="1890"/>
        <v>2190108.536</v>
      </c>
      <c r="K1129">
        <f t="shared" si="1890"/>
        <v>2397965.318</v>
      </c>
      <c r="L1129">
        <f t="shared" si="1890"/>
        <v>2120062.024</v>
      </c>
      <c r="M1129">
        <f t="shared" si="1890"/>
        <v>1737864.146</v>
      </c>
      <c r="N1129">
        <f t="shared" si="1890"/>
        <v>1401497.602</v>
      </c>
      <c r="O1129">
        <f t="shared" si="1890"/>
        <v>1271799.85</v>
      </c>
      <c r="P1129">
        <f t="shared" si="1883"/>
        <v>25521838.41</v>
      </c>
      <c r="Q1129" s="18">
        <f t="shared" si="1884"/>
        <v>868932.0728</v>
      </c>
    </row>
    <row r="1130">
      <c r="B1130" s="1" t="s">
        <v>5582</v>
      </c>
      <c r="C1130" s="33"/>
      <c r="D1130">
        <f t="shared" ref="D1130:O1130" si="1891">SUM(D1121,D1125)</f>
        <v>206050.8021</v>
      </c>
      <c r="E1130">
        <f t="shared" si="1891"/>
        <v>280547.2654</v>
      </c>
      <c r="F1130">
        <f t="shared" si="1891"/>
        <v>158738.5847</v>
      </c>
      <c r="G1130" s="34">
        <f t="shared" si="1891"/>
        <v>190918.5697</v>
      </c>
      <c r="H1130">
        <f t="shared" si="1891"/>
        <v>230824.6763</v>
      </c>
      <c r="I1130">
        <f t="shared" si="1891"/>
        <v>373174.195</v>
      </c>
      <c r="J1130">
        <f t="shared" si="1891"/>
        <v>219010.8536</v>
      </c>
      <c r="K1130">
        <f t="shared" si="1891"/>
        <v>239796.5318</v>
      </c>
      <c r="L1130">
        <f t="shared" si="1891"/>
        <v>212006.2024</v>
      </c>
      <c r="M1130">
        <f t="shared" si="1891"/>
        <v>173786.4146</v>
      </c>
      <c r="N1130">
        <f t="shared" si="1891"/>
        <v>140149.7602</v>
      </c>
      <c r="O1130">
        <f t="shared" si="1891"/>
        <v>127179.985</v>
      </c>
      <c r="P1130">
        <f t="shared" si="1883"/>
        <v>2552183.841</v>
      </c>
      <c r="Q1130" s="18">
        <f t="shared" si="1884"/>
        <v>86893.20728</v>
      </c>
    </row>
    <row r="1131">
      <c r="B1131" s="1" t="s">
        <v>5602</v>
      </c>
      <c r="C1131" s="33"/>
      <c r="D1131">
        <f t="shared" ref="D1131:O1131" si="1892">SUM(D1129:D1130)</f>
        <v>2266558.823</v>
      </c>
      <c r="E1131">
        <f t="shared" si="1892"/>
        <v>3086019.92</v>
      </c>
      <c r="F1131">
        <f t="shared" si="1892"/>
        <v>1746124.432</v>
      </c>
      <c r="G1131">
        <f t="shared" si="1892"/>
        <v>2100104.267</v>
      </c>
      <c r="H1131">
        <f t="shared" si="1892"/>
        <v>2539071.439</v>
      </c>
      <c r="I1131">
        <f t="shared" si="1892"/>
        <v>4104916.145</v>
      </c>
      <c r="J1131">
        <f t="shared" si="1892"/>
        <v>2409119.39</v>
      </c>
      <c r="K1131">
        <f t="shared" si="1892"/>
        <v>2637761.85</v>
      </c>
      <c r="L1131">
        <f t="shared" si="1892"/>
        <v>2332068.226</v>
      </c>
      <c r="M1131">
        <f t="shared" si="1892"/>
        <v>1911650.56</v>
      </c>
      <c r="N1131">
        <f t="shared" si="1892"/>
        <v>1541647.362</v>
      </c>
      <c r="O1131">
        <f t="shared" si="1892"/>
        <v>1398979.835</v>
      </c>
      <c r="P1131">
        <f t="shared" si="1883"/>
        <v>28074022.25</v>
      </c>
      <c r="Q1131" s="18">
        <f t="shared" si="1884"/>
        <v>955825.2801</v>
      </c>
    </row>
    <row r="1132">
      <c r="B1132" s="1"/>
      <c r="C1132" s="33"/>
      <c r="D1132" s="33" t="s">
        <v>5566</v>
      </c>
      <c r="E1132" s="33" t="s">
        <v>5566</v>
      </c>
      <c r="F1132" s="1" t="s">
        <v>5566</v>
      </c>
      <c r="G1132" s="33" t="s">
        <v>5566</v>
      </c>
      <c r="H1132" s="33" t="s">
        <v>5566</v>
      </c>
      <c r="I1132" s="1" t="s">
        <v>5566</v>
      </c>
      <c r="J1132" s="1" t="s">
        <v>5566</v>
      </c>
      <c r="K1132" s="29">
        <f>SUM(K1114,K1127,K1100,K1087,K1073,K1060,K1046,K1033)</f>
        <v>21221920.86</v>
      </c>
      <c r="L1132" s="33" t="s">
        <v>5566</v>
      </c>
      <c r="M1132" s="1" t="s">
        <v>5566</v>
      </c>
      <c r="N1132" s="1" t="s">
        <v>5566</v>
      </c>
      <c r="O1132" s="33" t="s">
        <v>5566</v>
      </c>
    </row>
    <row r="1133">
      <c r="B1133" s="1"/>
      <c r="C1133" s="33"/>
      <c r="D1133" s="34"/>
      <c r="E1133" s="33"/>
      <c r="G1133" s="33"/>
      <c r="H1133" s="33"/>
      <c r="L1133" s="33"/>
      <c r="O1133" s="33"/>
    </row>
    <row r="1134">
      <c r="B1134" s="1"/>
      <c r="C1134" s="33"/>
      <c r="D1134" s="2" t="s">
        <v>5876</v>
      </c>
      <c r="E1134" s="33"/>
      <c r="G1134" s="33"/>
      <c r="H1134" s="33"/>
      <c r="L1134" s="33"/>
      <c r="O1134" s="33"/>
    </row>
    <row r="1135">
      <c r="B1135" s="1" t="s">
        <v>5879</v>
      </c>
      <c r="C1135" s="33"/>
      <c r="D1135" s="33">
        <v>1990000.0</v>
      </c>
      <c r="E1135" s="1">
        <v>2700000.0</v>
      </c>
      <c r="F1135" s="1">
        <v>1550000.0</v>
      </c>
      <c r="G1135" s="1">
        <v>1800000.0</v>
      </c>
      <c r="H1135" s="1">
        <v>2000000.0</v>
      </c>
      <c r="I1135" s="1">
        <v>3500000.0</v>
      </c>
      <c r="J1135" s="33">
        <v>2150000.0</v>
      </c>
      <c r="K1135" s="1">
        <v>2300000.0</v>
      </c>
      <c r="L1135" s="1">
        <v>1990000.0</v>
      </c>
      <c r="M1135" s="33">
        <v>1570000.0</v>
      </c>
      <c r="N1135" s="33">
        <v>1350000.0</v>
      </c>
      <c r="O1135" s="1">
        <v>1200000.0</v>
      </c>
      <c r="P1135">
        <f t="shared" ref="P1135:P1143" si="1894">SUM(D1135:O1135)</f>
        <v>24100000</v>
      </c>
      <c r="Q1135" s="18">
        <f t="shared" ref="Q1135:Q1143" si="1895">M1135*0.5</f>
        <v>785000</v>
      </c>
    </row>
    <row r="1136">
      <c r="B1136" s="1" t="s">
        <v>5499</v>
      </c>
      <c r="C1136" s="33"/>
      <c r="D1136" s="33">
        <f t="shared" ref="D1136:O1136" si="1893">D1135*0.1</f>
        <v>199000</v>
      </c>
      <c r="E1136" s="1">
        <f t="shared" si="1893"/>
        <v>270000</v>
      </c>
      <c r="F1136" s="1">
        <f t="shared" si="1893"/>
        <v>155000</v>
      </c>
      <c r="G1136" s="1">
        <f t="shared" si="1893"/>
        <v>180000</v>
      </c>
      <c r="H1136" s="1">
        <f t="shared" si="1893"/>
        <v>200000</v>
      </c>
      <c r="I1136" s="1">
        <f t="shared" si="1893"/>
        <v>350000</v>
      </c>
      <c r="J1136" s="33">
        <f t="shared" si="1893"/>
        <v>215000</v>
      </c>
      <c r="K1136" s="1">
        <f t="shared" si="1893"/>
        <v>230000</v>
      </c>
      <c r="L1136" s="1">
        <f t="shared" si="1893"/>
        <v>199000</v>
      </c>
      <c r="M1136" s="33">
        <f t="shared" si="1893"/>
        <v>157000</v>
      </c>
      <c r="N1136" s="1">
        <f t="shared" si="1893"/>
        <v>135000</v>
      </c>
      <c r="O1136" s="1">
        <f t="shared" si="1893"/>
        <v>120000</v>
      </c>
      <c r="P1136">
        <f t="shared" si="1894"/>
        <v>2410000</v>
      </c>
      <c r="Q1136" s="18">
        <f t="shared" si="1895"/>
        <v>78500</v>
      </c>
    </row>
    <row r="1137">
      <c r="B1137" s="1" t="s">
        <v>5520</v>
      </c>
      <c r="C1137" s="33"/>
      <c r="D1137" s="34">
        <f t="shared" ref="D1137:O1137" si="1896">D1135+D1136</f>
        <v>2189000</v>
      </c>
      <c r="E1137">
        <f t="shared" si="1896"/>
        <v>2970000</v>
      </c>
      <c r="F1137">
        <f t="shared" si="1896"/>
        <v>1705000</v>
      </c>
      <c r="G1137">
        <f t="shared" si="1896"/>
        <v>1980000</v>
      </c>
      <c r="H1137">
        <f t="shared" si="1896"/>
        <v>2200000</v>
      </c>
      <c r="I1137">
        <f t="shared" si="1896"/>
        <v>3850000</v>
      </c>
      <c r="J1137" s="34">
        <f t="shared" si="1896"/>
        <v>2365000</v>
      </c>
      <c r="K1137">
        <f t="shared" si="1896"/>
        <v>2530000</v>
      </c>
      <c r="L1137">
        <f t="shared" si="1896"/>
        <v>2189000</v>
      </c>
      <c r="M1137" s="34">
        <f t="shared" si="1896"/>
        <v>1727000</v>
      </c>
      <c r="N1137">
        <f t="shared" si="1896"/>
        <v>1485000</v>
      </c>
      <c r="O1137">
        <f t="shared" si="1896"/>
        <v>1320000</v>
      </c>
      <c r="P1137">
        <f t="shared" si="1894"/>
        <v>26510000</v>
      </c>
      <c r="Q1137" s="18">
        <f t="shared" si="1895"/>
        <v>863500</v>
      </c>
    </row>
    <row r="1138">
      <c r="B1138" s="1" t="s">
        <v>5545</v>
      </c>
      <c r="C1138" s="33"/>
      <c r="D1138" s="34">
        <v>93451.14304376225</v>
      </c>
      <c r="E1138" s="34">
        <v>82285.5519268452</v>
      </c>
      <c r="F1138">
        <v>35195.88504245591</v>
      </c>
      <c r="G1138" s="34">
        <v>72360.38863487917</v>
      </c>
      <c r="H1138" s="34">
        <v>224794.98040496407</v>
      </c>
      <c r="I1138">
        <v>179404.42521227954</v>
      </c>
      <c r="J1138">
        <v>33280.8197256695</v>
      </c>
      <c r="K1138">
        <v>83206.03630427121</v>
      </c>
      <c r="L1138" s="34">
        <v>110303.51954158118</v>
      </c>
      <c r="M1138">
        <v>117508.21358589157</v>
      </c>
      <c r="N1138">
        <v>43718.220117570214</v>
      </c>
      <c r="O1138" s="34">
        <v>39349.07576747224</v>
      </c>
      <c r="P1138">
        <f t="shared" si="1894"/>
        <v>1114858.259</v>
      </c>
      <c r="Q1138" s="18">
        <f t="shared" si="1895"/>
        <v>58754.10679</v>
      </c>
    </row>
    <row r="1139">
      <c r="C1139" s="33"/>
      <c r="D1139">
        <f t="shared" ref="D1139:O1139" si="1897">D1138-D1140</f>
        <v>84955.58459</v>
      </c>
      <c r="E1139">
        <f t="shared" si="1897"/>
        <v>74805.04721</v>
      </c>
      <c r="F1139">
        <f t="shared" si="1897"/>
        <v>31996.25913</v>
      </c>
      <c r="G1139">
        <f t="shared" si="1897"/>
        <v>65782.17149</v>
      </c>
      <c r="H1139">
        <f t="shared" si="1897"/>
        <v>204359.0731</v>
      </c>
      <c r="I1139">
        <f t="shared" si="1897"/>
        <v>163094.932</v>
      </c>
      <c r="J1139" s="34">
        <f t="shared" si="1897"/>
        <v>30255.29066</v>
      </c>
      <c r="K1139">
        <f t="shared" si="1897"/>
        <v>75641.85119</v>
      </c>
      <c r="L1139">
        <f t="shared" si="1897"/>
        <v>100275.9269</v>
      </c>
      <c r="M1139">
        <f t="shared" si="1897"/>
        <v>106825.6487</v>
      </c>
      <c r="N1139">
        <f t="shared" si="1897"/>
        <v>39743.83647</v>
      </c>
      <c r="O1139">
        <f t="shared" si="1897"/>
        <v>35771.88706</v>
      </c>
      <c r="P1139">
        <f t="shared" si="1894"/>
        <v>1013507.508</v>
      </c>
      <c r="Q1139" s="18">
        <f t="shared" si="1895"/>
        <v>53412.82436</v>
      </c>
    </row>
    <row r="1140">
      <c r="B1140" s="1" t="s">
        <v>5499</v>
      </c>
      <c r="C1140" s="33"/>
      <c r="D1140">
        <f t="shared" ref="D1140:O1140" si="1898">D1138/11</f>
        <v>8495.558459</v>
      </c>
      <c r="E1140">
        <f t="shared" si="1898"/>
        <v>7480.504721</v>
      </c>
      <c r="F1140">
        <f t="shared" si="1898"/>
        <v>3199.625913</v>
      </c>
      <c r="G1140">
        <f t="shared" si="1898"/>
        <v>6578.217149</v>
      </c>
      <c r="H1140">
        <f t="shared" si="1898"/>
        <v>20435.90731</v>
      </c>
      <c r="I1140">
        <f t="shared" si="1898"/>
        <v>16309.4932</v>
      </c>
      <c r="J1140" s="34">
        <f t="shared" si="1898"/>
        <v>3025.529066</v>
      </c>
      <c r="K1140">
        <f t="shared" si="1898"/>
        <v>7564.185119</v>
      </c>
      <c r="L1140">
        <f t="shared" si="1898"/>
        <v>10027.59269</v>
      </c>
      <c r="M1140">
        <f t="shared" si="1898"/>
        <v>10682.56487</v>
      </c>
      <c r="N1140">
        <f t="shared" si="1898"/>
        <v>3974.383647</v>
      </c>
      <c r="O1140">
        <f t="shared" si="1898"/>
        <v>3577.188706</v>
      </c>
      <c r="P1140">
        <f t="shared" si="1894"/>
        <v>101350.7508</v>
      </c>
      <c r="Q1140" s="18">
        <f t="shared" si="1895"/>
        <v>5341.282436</v>
      </c>
    </row>
    <row r="1141">
      <c r="B1141" s="23" t="s">
        <v>5528</v>
      </c>
      <c r="C1141" s="33"/>
      <c r="D1141" s="145">
        <f t="shared" ref="D1141:O1141" si="1899">SUM(D1137,D1138)</f>
        <v>2282451.143</v>
      </c>
      <c r="E1141" s="145">
        <f t="shared" si="1899"/>
        <v>3052285.552</v>
      </c>
      <c r="F1141" s="145">
        <f t="shared" si="1899"/>
        <v>1740195.885</v>
      </c>
      <c r="G1141" s="145">
        <f t="shared" si="1899"/>
        <v>2052360.389</v>
      </c>
      <c r="H1141" s="145">
        <f t="shared" si="1899"/>
        <v>2424794.98</v>
      </c>
      <c r="I1141" s="173">
        <f t="shared" si="1899"/>
        <v>4029404.425</v>
      </c>
      <c r="J1141" s="145">
        <f t="shared" si="1899"/>
        <v>2398280.82</v>
      </c>
      <c r="K1141" s="174">
        <f t="shared" si="1899"/>
        <v>2613206.036</v>
      </c>
      <c r="L1141" s="145">
        <f t="shared" si="1899"/>
        <v>2299303.52</v>
      </c>
      <c r="M1141" s="145">
        <f t="shared" si="1899"/>
        <v>1844508.214</v>
      </c>
      <c r="N1141" s="145">
        <f t="shared" si="1899"/>
        <v>1528718.22</v>
      </c>
      <c r="O1141" s="145">
        <f t="shared" si="1899"/>
        <v>1359349.076</v>
      </c>
      <c r="P1141">
        <f t="shared" si="1894"/>
        <v>27624858.26</v>
      </c>
      <c r="Q1141" s="18">
        <f t="shared" si="1895"/>
        <v>922254.1068</v>
      </c>
    </row>
    <row r="1142">
      <c r="B1142" s="1" t="s">
        <v>5580</v>
      </c>
      <c r="C1142" s="33"/>
      <c r="D1142">
        <f t="shared" ref="D1142:O1142" si="1900">D1135+D1139</f>
        <v>2074955.585</v>
      </c>
      <c r="E1142">
        <f t="shared" si="1900"/>
        <v>2774805.047</v>
      </c>
      <c r="F1142">
        <f t="shared" si="1900"/>
        <v>1581996.259</v>
      </c>
      <c r="G1142">
        <f t="shared" si="1900"/>
        <v>1865782.171</v>
      </c>
      <c r="H1142">
        <f t="shared" si="1900"/>
        <v>2204359.073</v>
      </c>
      <c r="I1142">
        <f t="shared" si="1900"/>
        <v>3663094.932</v>
      </c>
      <c r="J1142" s="34">
        <f t="shared" si="1900"/>
        <v>2180255.291</v>
      </c>
      <c r="K1142">
        <f t="shared" si="1900"/>
        <v>2375641.851</v>
      </c>
      <c r="L1142">
        <f t="shared" si="1900"/>
        <v>2090275.927</v>
      </c>
      <c r="M1142">
        <f t="shared" si="1900"/>
        <v>1676825.649</v>
      </c>
      <c r="N1142">
        <f t="shared" si="1900"/>
        <v>1389743.836</v>
      </c>
      <c r="O1142">
        <f t="shared" si="1900"/>
        <v>1235771.887</v>
      </c>
      <c r="P1142">
        <f t="shared" si="1894"/>
        <v>25113507.51</v>
      </c>
      <c r="Q1142" s="18">
        <f t="shared" si="1895"/>
        <v>838412.8244</v>
      </c>
    </row>
    <row r="1143">
      <c r="B1143" s="1" t="s">
        <v>5582</v>
      </c>
      <c r="C1143" s="33"/>
      <c r="D1143">
        <f t="shared" ref="D1143:O1143" si="1901">D1136+D1140</f>
        <v>207495.5585</v>
      </c>
      <c r="E1143">
        <f t="shared" si="1901"/>
        <v>277480.5047</v>
      </c>
      <c r="F1143">
        <f t="shared" si="1901"/>
        <v>158199.6259</v>
      </c>
      <c r="G1143">
        <f t="shared" si="1901"/>
        <v>186578.2171</v>
      </c>
      <c r="H1143">
        <f t="shared" si="1901"/>
        <v>220435.9073</v>
      </c>
      <c r="I1143">
        <f t="shared" si="1901"/>
        <v>366309.4932</v>
      </c>
      <c r="J1143" s="34">
        <f t="shared" si="1901"/>
        <v>218025.5291</v>
      </c>
      <c r="K1143">
        <f t="shared" si="1901"/>
        <v>237564.1851</v>
      </c>
      <c r="L1143">
        <f t="shared" si="1901"/>
        <v>209027.5927</v>
      </c>
      <c r="M1143">
        <f t="shared" si="1901"/>
        <v>167682.5649</v>
      </c>
      <c r="N1143">
        <f t="shared" si="1901"/>
        <v>138974.3836</v>
      </c>
      <c r="O1143">
        <f t="shared" si="1901"/>
        <v>123577.1887</v>
      </c>
      <c r="P1143">
        <f t="shared" si="1894"/>
        <v>2511350.751</v>
      </c>
      <c r="Q1143" s="18">
        <f t="shared" si="1895"/>
        <v>83841.28244</v>
      </c>
    </row>
    <row r="1144">
      <c r="B1144" s="1"/>
      <c r="C1144" s="33"/>
      <c r="D1144" s="33" t="s">
        <v>5566</v>
      </c>
      <c r="E1144" s="33" t="s">
        <v>5566</v>
      </c>
      <c r="F1144" s="1" t="s">
        <v>5566</v>
      </c>
      <c r="G1144" s="33" t="s">
        <v>5566</v>
      </c>
      <c r="H1144" s="33" t="s">
        <v>5566</v>
      </c>
      <c r="I1144" s="1" t="s">
        <v>5566</v>
      </c>
      <c r="J1144" s="1" t="s">
        <v>5880</v>
      </c>
      <c r="K1144" s="179">
        <f>SUM(K1132,K1141)</f>
        <v>23835126.89</v>
      </c>
      <c r="L1144" s="180">
        <v>2.5514214450654227E7</v>
      </c>
      <c r="M1144" s="1" t="s">
        <v>5566</v>
      </c>
      <c r="N1144" s="1" t="s">
        <v>5566</v>
      </c>
      <c r="O1144" s="33" t="s">
        <v>5566</v>
      </c>
    </row>
    <row r="1145">
      <c r="B1145" s="1"/>
      <c r="C1145" s="33"/>
      <c r="D1145" s="34"/>
      <c r="E1145" s="33"/>
      <c r="G1145" s="33"/>
      <c r="H1145" s="33"/>
      <c r="L1145" s="33" t="s">
        <v>5566</v>
      </c>
      <c r="O1145" s="33"/>
    </row>
    <row r="1146">
      <c r="B1146" s="1"/>
      <c r="C1146" s="33"/>
      <c r="D1146" s="34"/>
      <c r="E1146" s="33"/>
      <c r="G1146" s="33"/>
      <c r="H1146" s="33"/>
      <c r="L1146" s="33"/>
      <c r="O1146" s="33"/>
    </row>
    <row r="1147">
      <c r="B1147" s="1" t="s">
        <v>5881</v>
      </c>
      <c r="C1147" s="33"/>
      <c r="D1147" s="33">
        <v>1990000.0</v>
      </c>
      <c r="E1147" s="1">
        <v>2700000.0</v>
      </c>
      <c r="F1147" s="1">
        <v>1550000.0</v>
      </c>
      <c r="G1147" s="1">
        <v>1800000.0</v>
      </c>
      <c r="H1147" s="1">
        <v>2000000.0</v>
      </c>
      <c r="I1147" s="1">
        <v>3500000.0</v>
      </c>
      <c r="J1147" s="33">
        <v>2150000.0</v>
      </c>
      <c r="K1147" s="22">
        <f>2400000*11/30</f>
        <v>880000</v>
      </c>
      <c r="L1147" s="1">
        <v>1990000.0</v>
      </c>
      <c r="M1147" s="33">
        <v>1570000.0</v>
      </c>
      <c r="N1147" s="33">
        <v>1350000.0</v>
      </c>
      <c r="O1147" s="1">
        <v>1200000.0</v>
      </c>
      <c r="P1147">
        <f t="shared" ref="P1147:P1158" si="1903">SUM(D1147:O1147)</f>
        <v>22680000</v>
      </c>
      <c r="Q1147" s="18">
        <f t="shared" ref="Q1147:Q1158" si="1904">M1147*0.5</f>
        <v>785000</v>
      </c>
    </row>
    <row r="1148">
      <c r="B1148" s="1" t="s">
        <v>5499</v>
      </c>
      <c r="C1148" s="33"/>
      <c r="D1148" s="33">
        <f t="shared" ref="D1148:O1148" si="1902">D1147*0.1</f>
        <v>199000</v>
      </c>
      <c r="E1148" s="1">
        <f t="shared" si="1902"/>
        <v>270000</v>
      </c>
      <c r="F1148" s="1">
        <f t="shared" si="1902"/>
        <v>155000</v>
      </c>
      <c r="G1148" s="1">
        <f t="shared" si="1902"/>
        <v>180000</v>
      </c>
      <c r="H1148" s="1">
        <f t="shared" si="1902"/>
        <v>200000</v>
      </c>
      <c r="I1148" s="1">
        <f t="shared" si="1902"/>
        <v>350000</v>
      </c>
      <c r="J1148" s="33">
        <f t="shared" si="1902"/>
        <v>215000</v>
      </c>
      <c r="K1148" s="22">
        <f t="shared" si="1902"/>
        <v>88000</v>
      </c>
      <c r="L1148" s="1">
        <f t="shared" si="1902"/>
        <v>199000</v>
      </c>
      <c r="M1148" s="33">
        <f t="shared" si="1902"/>
        <v>157000</v>
      </c>
      <c r="N1148" s="1">
        <f t="shared" si="1902"/>
        <v>135000</v>
      </c>
      <c r="O1148" s="1">
        <f t="shared" si="1902"/>
        <v>120000</v>
      </c>
      <c r="P1148">
        <f t="shared" si="1903"/>
        <v>2268000</v>
      </c>
      <c r="Q1148" s="18">
        <f t="shared" si="1904"/>
        <v>78500</v>
      </c>
    </row>
    <row r="1149">
      <c r="B1149" s="1" t="s">
        <v>5520</v>
      </c>
      <c r="C1149" s="33"/>
      <c r="D1149" s="34">
        <f t="shared" ref="D1149:O1149" si="1905">D1147+D1148</f>
        <v>2189000</v>
      </c>
      <c r="E1149">
        <f t="shared" si="1905"/>
        <v>2970000</v>
      </c>
      <c r="F1149">
        <f t="shared" si="1905"/>
        <v>1705000</v>
      </c>
      <c r="G1149">
        <f t="shared" si="1905"/>
        <v>1980000</v>
      </c>
      <c r="H1149">
        <f t="shared" si="1905"/>
        <v>2200000</v>
      </c>
      <c r="I1149">
        <f t="shared" si="1905"/>
        <v>3850000</v>
      </c>
      <c r="J1149" s="34">
        <f t="shared" si="1905"/>
        <v>2365000</v>
      </c>
      <c r="K1149" s="78">
        <f t="shared" si="1905"/>
        <v>968000</v>
      </c>
      <c r="L1149">
        <f t="shared" si="1905"/>
        <v>2189000</v>
      </c>
      <c r="M1149" s="34">
        <f t="shared" si="1905"/>
        <v>1727000</v>
      </c>
      <c r="N1149">
        <f t="shared" si="1905"/>
        <v>1485000</v>
      </c>
      <c r="O1149">
        <f t="shared" si="1905"/>
        <v>1320000</v>
      </c>
      <c r="P1149">
        <f t="shared" si="1903"/>
        <v>24948000</v>
      </c>
      <c r="Q1149" s="18">
        <f t="shared" si="1904"/>
        <v>863500</v>
      </c>
    </row>
    <row r="1150">
      <c r="B1150" s="1" t="s">
        <v>5545</v>
      </c>
      <c r="C1150" s="33"/>
      <c r="D1150" s="34">
        <v>94147.43838540655</v>
      </c>
      <c r="E1150" s="34">
        <v>91489.15777217154</v>
      </c>
      <c r="F1150">
        <v>50950.37842033767</v>
      </c>
      <c r="G1150" s="34">
        <v>64364.4073355327</v>
      </c>
      <c r="H1150" s="34">
        <v>232279.13273821076</v>
      </c>
      <c r="I1150">
        <v>194620.15738404813</v>
      </c>
      <c r="J1150">
        <v>30249.806132350088</v>
      </c>
      <c r="K1150" s="78">
        <v>33481.85705897325</v>
      </c>
      <c r="L1150" s="34">
        <v>91314.15561538159</v>
      </c>
      <c r="M1150">
        <v>137467.12419949545</v>
      </c>
      <c r="N1150" s="34">
        <v>50851.4808849214</v>
      </c>
      <c r="O1150" s="34">
        <v>34680.2738210751</v>
      </c>
      <c r="P1150">
        <f t="shared" si="1903"/>
        <v>1105895.37</v>
      </c>
      <c r="Q1150" s="18">
        <f t="shared" si="1904"/>
        <v>68733.5621</v>
      </c>
    </row>
    <row r="1151">
      <c r="C1151" s="33"/>
      <c r="D1151">
        <f t="shared" ref="D1151:O1151" si="1906">D1150-D1152</f>
        <v>85588.58035</v>
      </c>
      <c r="E1151">
        <f t="shared" si="1906"/>
        <v>83171.96161</v>
      </c>
      <c r="F1151">
        <f t="shared" si="1906"/>
        <v>46318.52584</v>
      </c>
      <c r="G1151">
        <f t="shared" si="1906"/>
        <v>58513.09758</v>
      </c>
      <c r="H1151">
        <f t="shared" si="1906"/>
        <v>211162.8479</v>
      </c>
      <c r="I1151">
        <f t="shared" si="1906"/>
        <v>176927.4158</v>
      </c>
      <c r="J1151" s="34">
        <f t="shared" si="1906"/>
        <v>27499.82376</v>
      </c>
      <c r="K1151" s="78">
        <f t="shared" si="1906"/>
        <v>30438.05187</v>
      </c>
      <c r="L1151">
        <f t="shared" si="1906"/>
        <v>83012.86874</v>
      </c>
      <c r="M1151">
        <f t="shared" si="1906"/>
        <v>124970.1129</v>
      </c>
      <c r="N1151">
        <f t="shared" si="1906"/>
        <v>46228.61899</v>
      </c>
      <c r="O1151">
        <f t="shared" si="1906"/>
        <v>31527.52166</v>
      </c>
      <c r="P1151">
        <f t="shared" si="1903"/>
        <v>1005359.427</v>
      </c>
      <c r="Q1151" s="18">
        <f t="shared" si="1904"/>
        <v>62485.05645</v>
      </c>
    </row>
    <row r="1152">
      <c r="B1152" s="1" t="s">
        <v>5499</v>
      </c>
      <c r="C1152" s="33"/>
      <c r="D1152">
        <f t="shared" ref="D1152:O1152" si="1907">D1150/11</f>
        <v>8558.858035</v>
      </c>
      <c r="E1152">
        <f t="shared" si="1907"/>
        <v>8317.196161</v>
      </c>
      <c r="F1152">
        <f t="shared" si="1907"/>
        <v>4631.852584</v>
      </c>
      <c r="G1152">
        <f t="shared" si="1907"/>
        <v>5851.309758</v>
      </c>
      <c r="H1152">
        <f t="shared" si="1907"/>
        <v>21116.28479</v>
      </c>
      <c r="I1152">
        <f t="shared" si="1907"/>
        <v>17692.74158</v>
      </c>
      <c r="J1152" s="34">
        <f t="shared" si="1907"/>
        <v>2749.982376</v>
      </c>
      <c r="K1152" s="78">
        <f t="shared" si="1907"/>
        <v>3043.805187</v>
      </c>
      <c r="L1152">
        <f t="shared" si="1907"/>
        <v>8301.286874</v>
      </c>
      <c r="M1152">
        <f t="shared" si="1907"/>
        <v>12497.01129</v>
      </c>
      <c r="N1152">
        <f t="shared" si="1907"/>
        <v>4622.861899</v>
      </c>
      <c r="O1152">
        <f t="shared" si="1907"/>
        <v>3152.752166</v>
      </c>
      <c r="P1152">
        <f t="shared" si="1903"/>
        <v>100535.9427</v>
      </c>
      <c r="Q1152" s="18">
        <f t="shared" si="1904"/>
        <v>6248.505645</v>
      </c>
    </row>
    <row r="1153">
      <c r="B1153" s="1" t="s">
        <v>5791</v>
      </c>
      <c r="C1153" s="33"/>
      <c r="D1153" s="34">
        <v>41953.32570151164</v>
      </c>
      <c r="E1153" s="34">
        <v>17469.79511262946</v>
      </c>
      <c r="F1153">
        <v>17469.79511262946</v>
      </c>
      <c r="G1153" s="34">
        <v>16028.321870577523</v>
      </c>
      <c r="H1153" s="34">
        <v>23063.571872831013</v>
      </c>
      <c r="I1153">
        <v>29281.269887055045</v>
      </c>
      <c r="J1153">
        <v>23300.23165883954</v>
      </c>
      <c r="K1153" s="78">
        <v>3904.8864691406984</v>
      </c>
      <c r="L1153" s="34">
        <v>21299.380740767447</v>
      </c>
      <c r="M1153">
        <v>10862.6841777914</v>
      </c>
      <c r="N1153">
        <v>12499.93960645039</v>
      </c>
      <c r="O1153" s="34">
        <v>9552.449544344188</v>
      </c>
      <c r="P1153">
        <f t="shared" si="1903"/>
        <v>226685.6518</v>
      </c>
      <c r="Q1153" s="18">
        <f t="shared" si="1904"/>
        <v>5431.342089</v>
      </c>
    </row>
    <row r="1154">
      <c r="B1154" s="23" t="s">
        <v>5598</v>
      </c>
      <c r="C1154" s="33"/>
      <c r="D1154" s="18">
        <f t="shared" ref="D1154:O1154" si="1908">SUM(D1149,D1150,D1153)</f>
        <v>2325100.764</v>
      </c>
      <c r="E1154" s="18">
        <f t="shared" si="1908"/>
        <v>3078958.953</v>
      </c>
      <c r="F1154" s="18">
        <f t="shared" si="1908"/>
        <v>1773420.174</v>
      </c>
      <c r="G1154" s="18">
        <f t="shared" si="1908"/>
        <v>2060392.729</v>
      </c>
      <c r="H1154" s="18">
        <f t="shared" si="1908"/>
        <v>2455342.705</v>
      </c>
      <c r="I1154" s="18">
        <f t="shared" si="1908"/>
        <v>4073901.427</v>
      </c>
      <c r="J1154" s="18">
        <f t="shared" si="1908"/>
        <v>2418550.038</v>
      </c>
      <c r="K1154" s="171">
        <f t="shared" si="1908"/>
        <v>1005386.744</v>
      </c>
      <c r="L1154" s="18">
        <f t="shared" si="1908"/>
        <v>2301613.536</v>
      </c>
      <c r="M1154" s="18">
        <f t="shared" si="1908"/>
        <v>1875329.808</v>
      </c>
      <c r="N1154" s="18">
        <f t="shared" si="1908"/>
        <v>1548351.42</v>
      </c>
      <c r="O1154" s="18">
        <f t="shared" si="1908"/>
        <v>1364232.723</v>
      </c>
      <c r="P1154">
        <f t="shared" si="1903"/>
        <v>26280581.02</v>
      </c>
      <c r="Q1154" s="18">
        <f t="shared" si="1904"/>
        <v>937664.9042</v>
      </c>
    </row>
    <row r="1155">
      <c r="B1155" s="1" t="s">
        <v>5599</v>
      </c>
      <c r="C1155" s="33"/>
      <c r="D1155">
        <f t="shared" ref="D1155:O1155" si="1909">SUM(D1147,D1151,D1153)</f>
        <v>2117541.906</v>
      </c>
      <c r="E1155">
        <f t="shared" si="1909"/>
        <v>2800641.757</v>
      </c>
      <c r="F1155">
        <f t="shared" si="1909"/>
        <v>1613788.321</v>
      </c>
      <c r="G1155">
        <f t="shared" si="1909"/>
        <v>1874541.419</v>
      </c>
      <c r="H1155">
        <f t="shared" si="1909"/>
        <v>2234226.42</v>
      </c>
      <c r="I1155">
        <f t="shared" si="1909"/>
        <v>3706208.686</v>
      </c>
      <c r="J1155">
        <f t="shared" si="1909"/>
        <v>2200800.055</v>
      </c>
      <c r="K1155" s="78">
        <f t="shared" si="1909"/>
        <v>914342.9383</v>
      </c>
      <c r="L1155">
        <f t="shared" si="1909"/>
        <v>2094312.249</v>
      </c>
      <c r="M1155">
        <f t="shared" si="1909"/>
        <v>1705832.797</v>
      </c>
      <c r="N1155">
        <f t="shared" si="1909"/>
        <v>1408728.559</v>
      </c>
      <c r="O1155">
        <f t="shared" si="1909"/>
        <v>1241079.971</v>
      </c>
      <c r="P1155">
        <f t="shared" si="1903"/>
        <v>23912045.08</v>
      </c>
      <c r="Q1155" s="18">
        <f t="shared" si="1904"/>
        <v>852916.3985</v>
      </c>
    </row>
    <row r="1156">
      <c r="B1156" s="1" t="s">
        <v>5601</v>
      </c>
      <c r="C1156" s="33"/>
      <c r="D1156">
        <f t="shared" ref="D1156:O1156" si="1910">SUM(D1147,D1151)</f>
        <v>2075588.58</v>
      </c>
      <c r="E1156">
        <f t="shared" si="1910"/>
        <v>2783171.962</v>
      </c>
      <c r="F1156">
        <f t="shared" si="1910"/>
        <v>1596318.526</v>
      </c>
      <c r="G1156">
        <f t="shared" si="1910"/>
        <v>1858513.098</v>
      </c>
      <c r="H1156">
        <f t="shared" si="1910"/>
        <v>2211162.848</v>
      </c>
      <c r="I1156">
        <f t="shared" si="1910"/>
        <v>3676927.416</v>
      </c>
      <c r="J1156">
        <f t="shared" si="1910"/>
        <v>2177499.824</v>
      </c>
      <c r="K1156" s="78">
        <f t="shared" si="1910"/>
        <v>910438.0519</v>
      </c>
      <c r="L1156">
        <f t="shared" si="1910"/>
        <v>2073012.869</v>
      </c>
      <c r="M1156">
        <f t="shared" si="1910"/>
        <v>1694970.113</v>
      </c>
      <c r="N1156">
        <f t="shared" si="1910"/>
        <v>1396228.619</v>
      </c>
      <c r="O1156">
        <f t="shared" si="1910"/>
        <v>1231527.522</v>
      </c>
      <c r="P1156">
        <f t="shared" si="1903"/>
        <v>23685359.43</v>
      </c>
      <c r="Q1156" s="18">
        <f t="shared" si="1904"/>
        <v>847485.0565</v>
      </c>
    </row>
    <row r="1157">
      <c r="B1157" s="1" t="s">
        <v>5582</v>
      </c>
      <c r="C1157" s="33"/>
      <c r="D1157">
        <f t="shared" ref="D1157:O1157" si="1911">SUM(D1148,D1152)</f>
        <v>207558.858</v>
      </c>
      <c r="E1157">
        <f t="shared" si="1911"/>
        <v>278317.1962</v>
      </c>
      <c r="F1157">
        <f t="shared" si="1911"/>
        <v>159631.8526</v>
      </c>
      <c r="G1157" s="34">
        <f t="shared" si="1911"/>
        <v>185851.3098</v>
      </c>
      <c r="H1157">
        <f t="shared" si="1911"/>
        <v>221116.2848</v>
      </c>
      <c r="I1157">
        <f t="shared" si="1911"/>
        <v>367692.7416</v>
      </c>
      <c r="J1157">
        <f t="shared" si="1911"/>
        <v>217749.9824</v>
      </c>
      <c r="K1157" s="78">
        <f t="shared" si="1911"/>
        <v>91043.80519</v>
      </c>
      <c r="L1157">
        <f t="shared" si="1911"/>
        <v>207301.2869</v>
      </c>
      <c r="M1157">
        <f t="shared" si="1911"/>
        <v>169497.0113</v>
      </c>
      <c r="N1157">
        <f t="shared" si="1911"/>
        <v>139622.8619</v>
      </c>
      <c r="O1157">
        <f t="shared" si="1911"/>
        <v>123152.7522</v>
      </c>
      <c r="P1157">
        <f t="shared" si="1903"/>
        <v>2368535.943</v>
      </c>
      <c r="Q1157" s="18">
        <f t="shared" si="1904"/>
        <v>84748.50565</v>
      </c>
    </row>
    <row r="1158">
      <c r="B1158" s="1" t="s">
        <v>5602</v>
      </c>
      <c r="C1158" s="33"/>
      <c r="D1158">
        <f t="shared" ref="D1158:O1158" si="1912">SUM(D1156:D1157)</f>
        <v>2283147.438</v>
      </c>
      <c r="E1158">
        <f t="shared" si="1912"/>
        <v>3061489.158</v>
      </c>
      <c r="F1158">
        <f t="shared" si="1912"/>
        <v>1755950.378</v>
      </c>
      <c r="G1158">
        <f t="shared" si="1912"/>
        <v>2044364.407</v>
      </c>
      <c r="H1158">
        <f t="shared" si="1912"/>
        <v>2432279.133</v>
      </c>
      <c r="I1158">
        <f t="shared" si="1912"/>
        <v>4044620.157</v>
      </c>
      <c r="J1158">
        <f t="shared" si="1912"/>
        <v>2395249.806</v>
      </c>
      <c r="K1158" s="78">
        <f t="shared" si="1912"/>
        <v>1001481.857</v>
      </c>
      <c r="L1158">
        <f t="shared" si="1912"/>
        <v>2280314.156</v>
      </c>
      <c r="M1158">
        <f t="shared" si="1912"/>
        <v>1864467.124</v>
      </c>
      <c r="N1158">
        <f t="shared" si="1912"/>
        <v>1535851.481</v>
      </c>
      <c r="O1158">
        <f t="shared" si="1912"/>
        <v>1354680.274</v>
      </c>
      <c r="P1158">
        <f t="shared" si="1903"/>
        <v>26053895.37</v>
      </c>
      <c r="Q1158" s="18">
        <f t="shared" si="1904"/>
        <v>932233.5621</v>
      </c>
    </row>
    <row r="1159">
      <c r="C1159" s="33"/>
      <c r="D1159" s="33" t="s">
        <v>5566</v>
      </c>
      <c r="E1159" s="33" t="s">
        <v>5566</v>
      </c>
      <c r="F1159" s="1" t="s">
        <v>5566</v>
      </c>
      <c r="G1159" s="33" t="s">
        <v>5566</v>
      </c>
      <c r="H1159" s="33" t="s">
        <v>5566</v>
      </c>
      <c r="I1159" s="1" t="s">
        <v>5566</v>
      </c>
      <c r="J1159" s="1" t="s">
        <v>5566</v>
      </c>
      <c r="K1159" s="1" t="s">
        <v>5566</v>
      </c>
      <c r="L1159" s="33" t="s">
        <v>5566</v>
      </c>
      <c r="M1159" s="1" t="s">
        <v>5566</v>
      </c>
      <c r="N1159" s="1" t="s">
        <v>5566</v>
      </c>
      <c r="O1159" s="33" t="s">
        <v>5566</v>
      </c>
    </row>
    <row r="1160">
      <c r="C1160" s="33"/>
      <c r="D1160" s="34"/>
      <c r="E1160" s="33"/>
      <c r="G1160" s="33"/>
      <c r="H1160" s="33"/>
      <c r="L1160" s="33"/>
      <c r="O1160" s="33"/>
    </row>
    <row r="1161">
      <c r="C1161" s="33"/>
      <c r="D1161" s="34"/>
      <c r="E1161" s="33"/>
      <c r="G1161" s="33"/>
      <c r="H1161" s="33"/>
      <c r="L1161" s="33"/>
      <c r="O1161" s="33"/>
    </row>
    <row r="1162">
      <c r="B1162" s="1" t="s">
        <v>5882</v>
      </c>
      <c r="C1162" s="33"/>
      <c r="D1162" s="33">
        <v>1990000.0</v>
      </c>
      <c r="E1162" s="1">
        <v>2700000.0</v>
      </c>
      <c r="F1162" s="1">
        <v>1550000.0</v>
      </c>
      <c r="G1162" s="1">
        <v>1800000.0</v>
      </c>
      <c r="H1162" s="1">
        <v>2000000.0</v>
      </c>
      <c r="I1162" s="1">
        <v>3500000.0</v>
      </c>
      <c r="J1162" s="33">
        <v>2150000.0</v>
      </c>
      <c r="K1162" s="1">
        <v>2400000.0</v>
      </c>
      <c r="L1162" s="1">
        <v>1990000.0</v>
      </c>
      <c r="M1162" s="33">
        <v>1570000.0</v>
      </c>
      <c r="N1162" s="33">
        <v>1350000.0</v>
      </c>
      <c r="O1162" s="1">
        <v>1200000.0</v>
      </c>
      <c r="P1162">
        <f t="shared" ref="P1162:P1170" si="1914">SUM(D1162:O1162)</f>
        <v>24200000</v>
      </c>
      <c r="Q1162" s="18">
        <f t="shared" ref="Q1162:Q1170" si="1915">M1162*0.5</f>
        <v>785000</v>
      </c>
    </row>
    <row r="1163">
      <c r="B1163" s="1" t="s">
        <v>5499</v>
      </c>
      <c r="C1163" s="33"/>
      <c r="D1163" s="33">
        <f t="shared" ref="D1163:O1163" si="1913">D1162*0.1</f>
        <v>199000</v>
      </c>
      <c r="E1163" s="1">
        <f t="shared" si="1913"/>
        <v>270000</v>
      </c>
      <c r="F1163" s="1">
        <f t="shared" si="1913"/>
        <v>155000</v>
      </c>
      <c r="G1163" s="1">
        <f t="shared" si="1913"/>
        <v>180000</v>
      </c>
      <c r="H1163" s="1">
        <f t="shared" si="1913"/>
        <v>200000</v>
      </c>
      <c r="I1163" s="1">
        <f t="shared" si="1913"/>
        <v>350000</v>
      </c>
      <c r="J1163" s="33">
        <f t="shared" si="1913"/>
        <v>215000</v>
      </c>
      <c r="K1163" s="1">
        <f t="shared" si="1913"/>
        <v>240000</v>
      </c>
      <c r="L1163" s="1">
        <f t="shared" si="1913"/>
        <v>199000</v>
      </c>
      <c r="M1163" s="33">
        <f t="shared" si="1913"/>
        <v>157000</v>
      </c>
      <c r="N1163" s="1">
        <f t="shared" si="1913"/>
        <v>135000</v>
      </c>
      <c r="O1163" s="1">
        <f t="shared" si="1913"/>
        <v>120000</v>
      </c>
      <c r="P1163">
        <f t="shared" si="1914"/>
        <v>2420000</v>
      </c>
      <c r="Q1163" s="18">
        <f t="shared" si="1915"/>
        <v>78500</v>
      </c>
    </row>
    <row r="1164">
      <c r="B1164" s="1" t="s">
        <v>5520</v>
      </c>
      <c r="C1164" s="33"/>
      <c r="D1164" s="34">
        <f t="shared" ref="D1164:O1164" si="1916">D1162+D1163</f>
        <v>2189000</v>
      </c>
      <c r="E1164">
        <f t="shared" si="1916"/>
        <v>2970000</v>
      </c>
      <c r="F1164">
        <f t="shared" si="1916"/>
        <v>1705000</v>
      </c>
      <c r="G1164">
        <f t="shared" si="1916"/>
        <v>1980000</v>
      </c>
      <c r="H1164">
        <f t="shared" si="1916"/>
        <v>2200000</v>
      </c>
      <c r="I1164">
        <f t="shared" si="1916"/>
        <v>3850000</v>
      </c>
      <c r="J1164" s="34">
        <f t="shared" si="1916"/>
        <v>2365000</v>
      </c>
      <c r="K1164">
        <f t="shared" si="1916"/>
        <v>2640000</v>
      </c>
      <c r="L1164">
        <f t="shared" si="1916"/>
        <v>2189000</v>
      </c>
      <c r="M1164" s="34">
        <f t="shared" si="1916"/>
        <v>1727000</v>
      </c>
      <c r="N1164">
        <f t="shared" si="1916"/>
        <v>1485000</v>
      </c>
      <c r="O1164">
        <f t="shared" si="1916"/>
        <v>1320000</v>
      </c>
      <c r="P1164">
        <f t="shared" si="1914"/>
        <v>26620000</v>
      </c>
      <c r="Q1164" s="18">
        <f t="shared" si="1915"/>
        <v>863500</v>
      </c>
    </row>
    <row r="1165">
      <c r="B1165" s="1" t="s">
        <v>5545</v>
      </c>
      <c r="C1165" s="33"/>
      <c r="D1165" s="34">
        <v>188433.70786516854</v>
      </c>
      <c r="E1165" s="34">
        <v>165919.55056179775</v>
      </c>
      <c r="F1165">
        <v>82959.77528089887</v>
      </c>
      <c r="G1165" s="34">
        <v>142235.73033707865</v>
      </c>
      <c r="H1165" s="34">
        <v>324306.7415730337</v>
      </c>
      <c r="I1165">
        <v>298855.9550561798</v>
      </c>
      <c r="J1165">
        <v>42635.05617977528</v>
      </c>
      <c r="K1165">
        <v>116444.2619946582</v>
      </c>
      <c r="L1165" s="34">
        <v>154812.36721882495</v>
      </c>
      <c r="M1165">
        <v>219322.24719101124</v>
      </c>
      <c r="N1165">
        <v>38719.550561797754</v>
      </c>
      <c r="O1165" s="34">
        <v>54871.011235955055</v>
      </c>
      <c r="P1165">
        <f t="shared" si="1914"/>
        <v>1829515.955</v>
      </c>
      <c r="Q1165" s="18">
        <f t="shared" si="1915"/>
        <v>109661.1236</v>
      </c>
    </row>
    <row r="1166">
      <c r="C1166" s="33"/>
      <c r="D1166">
        <f t="shared" ref="D1166:O1166" si="1917">D1165-D1167</f>
        <v>171303.3708</v>
      </c>
      <c r="E1166">
        <f t="shared" si="1917"/>
        <v>150835.9551</v>
      </c>
      <c r="F1166">
        <f t="shared" si="1917"/>
        <v>75417.97753</v>
      </c>
      <c r="G1166">
        <f t="shared" si="1917"/>
        <v>129305.2094</v>
      </c>
      <c r="H1166">
        <f t="shared" si="1917"/>
        <v>294824.3105</v>
      </c>
      <c r="I1166">
        <f t="shared" si="1917"/>
        <v>271687.2319</v>
      </c>
      <c r="J1166" s="34">
        <f t="shared" si="1917"/>
        <v>38759.14198</v>
      </c>
      <c r="K1166">
        <f t="shared" si="1917"/>
        <v>105858.42</v>
      </c>
      <c r="L1166">
        <f t="shared" si="1917"/>
        <v>140738.5157</v>
      </c>
      <c r="M1166">
        <f t="shared" si="1917"/>
        <v>199383.8611</v>
      </c>
      <c r="N1166">
        <f t="shared" si="1917"/>
        <v>35199.59142</v>
      </c>
      <c r="O1166">
        <f t="shared" si="1917"/>
        <v>49882.73749</v>
      </c>
      <c r="P1166">
        <f t="shared" si="1914"/>
        <v>1663196.323</v>
      </c>
      <c r="Q1166" s="18">
        <f t="shared" si="1915"/>
        <v>99691.93054</v>
      </c>
    </row>
    <row r="1167">
      <c r="B1167" s="1" t="s">
        <v>5499</v>
      </c>
      <c r="C1167" s="33"/>
      <c r="D1167">
        <f t="shared" ref="D1167:O1167" si="1918">D1165/11</f>
        <v>17130.33708</v>
      </c>
      <c r="E1167">
        <f t="shared" si="1918"/>
        <v>15083.59551</v>
      </c>
      <c r="F1167">
        <f t="shared" si="1918"/>
        <v>7541.797753</v>
      </c>
      <c r="G1167">
        <f t="shared" si="1918"/>
        <v>12930.52094</v>
      </c>
      <c r="H1167">
        <f t="shared" si="1918"/>
        <v>29482.43105</v>
      </c>
      <c r="I1167">
        <f t="shared" si="1918"/>
        <v>27168.72319</v>
      </c>
      <c r="J1167" s="34">
        <f t="shared" si="1918"/>
        <v>3875.914198</v>
      </c>
      <c r="K1167">
        <f t="shared" si="1918"/>
        <v>10585.842</v>
      </c>
      <c r="L1167">
        <f t="shared" si="1918"/>
        <v>14073.85157</v>
      </c>
      <c r="M1167">
        <f t="shared" si="1918"/>
        <v>19938.38611</v>
      </c>
      <c r="N1167">
        <f t="shared" si="1918"/>
        <v>3519.959142</v>
      </c>
      <c r="O1167">
        <f t="shared" si="1918"/>
        <v>4988.273749</v>
      </c>
      <c r="P1167">
        <f t="shared" si="1914"/>
        <v>166319.6323</v>
      </c>
      <c r="Q1167" s="18">
        <f t="shared" si="1915"/>
        <v>9969.193054</v>
      </c>
    </row>
    <row r="1168">
      <c r="B1168" s="23" t="s">
        <v>5528</v>
      </c>
      <c r="C1168" s="33"/>
      <c r="D1168" s="145">
        <f t="shared" ref="D1168:O1168" si="1919">SUM(D1164,D1165)</f>
        <v>2377433.708</v>
      </c>
      <c r="E1168" s="145">
        <f t="shared" si="1919"/>
        <v>3135919.551</v>
      </c>
      <c r="F1168" s="145">
        <f t="shared" si="1919"/>
        <v>1787959.775</v>
      </c>
      <c r="G1168" s="145">
        <f t="shared" si="1919"/>
        <v>2122235.73</v>
      </c>
      <c r="H1168" s="145">
        <f t="shared" si="1919"/>
        <v>2524306.742</v>
      </c>
      <c r="I1168" s="173">
        <f t="shared" si="1919"/>
        <v>4148855.955</v>
      </c>
      <c r="J1168" s="145">
        <f t="shared" si="1919"/>
        <v>2407635.056</v>
      </c>
      <c r="K1168" s="174">
        <f t="shared" si="1919"/>
        <v>2756444.262</v>
      </c>
      <c r="L1168" s="145">
        <f t="shared" si="1919"/>
        <v>2343812.367</v>
      </c>
      <c r="M1168" s="145">
        <f t="shared" si="1919"/>
        <v>1946322.247</v>
      </c>
      <c r="N1168" s="145">
        <f t="shared" si="1919"/>
        <v>1523719.551</v>
      </c>
      <c r="O1168" s="145">
        <f t="shared" si="1919"/>
        <v>1374871.011</v>
      </c>
      <c r="P1168">
        <f t="shared" si="1914"/>
        <v>28449515.96</v>
      </c>
      <c r="Q1168" s="18">
        <f t="shared" si="1915"/>
        <v>973161.1236</v>
      </c>
    </row>
    <row r="1169">
      <c r="B1169" s="1" t="s">
        <v>5580</v>
      </c>
      <c r="C1169" s="33"/>
      <c r="D1169">
        <f t="shared" ref="D1169:O1169" si="1920">D1162+D1166</f>
        <v>2161303.371</v>
      </c>
      <c r="E1169">
        <f t="shared" si="1920"/>
        <v>2850835.955</v>
      </c>
      <c r="F1169">
        <f t="shared" si="1920"/>
        <v>1625417.978</v>
      </c>
      <c r="G1169">
        <f t="shared" si="1920"/>
        <v>1929305.209</v>
      </c>
      <c r="H1169">
        <f t="shared" si="1920"/>
        <v>2294824.311</v>
      </c>
      <c r="I1169">
        <f t="shared" si="1920"/>
        <v>3771687.232</v>
      </c>
      <c r="J1169" s="34">
        <f t="shared" si="1920"/>
        <v>2188759.142</v>
      </c>
      <c r="K1169">
        <f t="shared" si="1920"/>
        <v>2505858.42</v>
      </c>
      <c r="L1169">
        <f t="shared" si="1920"/>
        <v>2130738.516</v>
      </c>
      <c r="M1169">
        <f t="shared" si="1920"/>
        <v>1769383.861</v>
      </c>
      <c r="N1169">
        <f t="shared" si="1920"/>
        <v>1385199.591</v>
      </c>
      <c r="O1169">
        <f t="shared" si="1920"/>
        <v>1249882.737</v>
      </c>
      <c r="P1169">
        <f t="shared" si="1914"/>
        <v>25863196.32</v>
      </c>
      <c r="Q1169" s="18">
        <f t="shared" si="1915"/>
        <v>884691.9305</v>
      </c>
    </row>
    <row r="1170">
      <c r="B1170" s="1" t="s">
        <v>5582</v>
      </c>
      <c r="C1170" s="33"/>
      <c r="D1170">
        <f t="shared" ref="D1170:O1170" si="1921">D1163+D1167</f>
        <v>216130.3371</v>
      </c>
      <c r="E1170">
        <f t="shared" si="1921"/>
        <v>285083.5955</v>
      </c>
      <c r="F1170">
        <f t="shared" si="1921"/>
        <v>162541.7978</v>
      </c>
      <c r="G1170">
        <f t="shared" si="1921"/>
        <v>192930.5209</v>
      </c>
      <c r="H1170">
        <f t="shared" si="1921"/>
        <v>229482.4311</v>
      </c>
      <c r="I1170">
        <f t="shared" si="1921"/>
        <v>377168.7232</v>
      </c>
      <c r="J1170" s="34">
        <f t="shared" si="1921"/>
        <v>218875.9142</v>
      </c>
      <c r="K1170">
        <f t="shared" si="1921"/>
        <v>250585.842</v>
      </c>
      <c r="L1170">
        <f t="shared" si="1921"/>
        <v>213073.8516</v>
      </c>
      <c r="M1170">
        <f t="shared" si="1921"/>
        <v>176938.3861</v>
      </c>
      <c r="N1170">
        <f t="shared" si="1921"/>
        <v>138519.9591</v>
      </c>
      <c r="O1170">
        <f t="shared" si="1921"/>
        <v>124988.2737</v>
      </c>
      <c r="P1170">
        <f t="shared" si="1914"/>
        <v>2586319.632</v>
      </c>
      <c r="Q1170" s="18">
        <f t="shared" si="1915"/>
        <v>88469.19305</v>
      </c>
    </row>
    <row r="1171">
      <c r="C1171" s="33"/>
      <c r="D1171" s="33" t="s">
        <v>5566</v>
      </c>
      <c r="E1171" s="33" t="s">
        <v>5566</v>
      </c>
      <c r="F1171" s="1" t="s">
        <v>5566</v>
      </c>
      <c r="G1171" s="33" t="s">
        <v>5566</v>
      </c>
      <c r="H1171" s="33" t="s">
        <v>5566</v>
      </c>
      <c r="I1171" s="1" t="s">
        <v>5566</v>
      </c>
      <c r="J1171" s="1" t="s">
        <v>5566</v>
      </c>
      <c r="K1171" s="1" t="s">
        <v>5566</v>
      </c>
      <c r="L1171" s="33" t="s">
        <v>5566</v>
      </c>
      <c r="M1171" s="1" t="s">
        <v>5566</v>
      </c>
      <c r="N1171" s="1" t="s">
        <v>5566</v>
      </c>
      <c r="O1171" s="33" t="s">
        <v>5566</v>
      </c>
    </row>
    <row r="1172">
      <c r="C1172" s="33"/>
      <c r="D1172" s="34"/>
      <c r="E1172" s="33"/>
      <c r="G1172" s="33"/>
      <c r="H1172" s="33"/>
      <c r="L1172" s="33"/>
      <c r="O1172" s="33"/>
    </row>
    <row r="1173">
      <c r="C1173" s="33"/>
      <c r="D1173" s="34"/>
      <c r="E1173" s="33"/>
      <c r="G1173" s="181" t="s">
        <v>5883</v>
      </c>
      <c r="H1173" s="33"/>
      <c r="L1173" s="33"/>
      <c r="O1173" s="33"/>
    </row>
    <row r="1174">
      <c r="B1174" s="1" t="s">
        <v>5884</v>
      </c>
      <c r="C1174" s="33"/>
      <c r="D1174" s="33">
        <v>1990000.0</v>
      </c>
      <c r="E1174" s="1">
        <v>2700000.0</v>
      </c>
      <c r="F1174" s="1">
        <v>1550000.0</v>
      </c>
      <c r="G1174" s="1">
        <v>1800000.0</v>
      </c>
      <c r="H1174" s="1">
        <v>2000000.0</v>
      </c>
      <c r="I1174" s="1">
        <v>3500000.0</v>
      </c>
      <c r="J1174" s="33">
        <v>2150000.0</v>
      </c>
      <c r="K1174" s="1">
        <v>2400000.0</v>
      </c>
      <c r="L1174" s="1">
        <v>1990000.0</v>
      </c>
      <c r="M1174" s="33">
        <v>1570000.0</v>
      </c>
      <c r="N1174" s="33">
        <v>1350000.0</v>
      </c>
      <c r="O1174" s="1">
        <v>1200000.0</v>
      </c>
      <c r="P1174">
        <f t="shared" ref="P1174:P1185" si="1923">SUM(D1174:O1174)</f>
        <v>24200000</v>
      </c>
      <c r="Q1174" s="18">
        <f t="shared" ref="Q1174:Q1185" si="1924">M1174*0.5</f>
        <v>785000</v>
      </c>
    </row>
    <row r="1175">
      <c r="B1175" s="1" t="s">
        <v>5499</v>
      </c>
      <c r="C1175" s="33"/>
      <c r="D1175" s="33">
        <f t="shared" ref="D1175:O1175" si="1922">D1174*0.1</f>
        <v>199000</v>
      </c>
      <c r="E1175" s="1">
        <f t="shared" si="1922"/>
        <v>270000</v>
      </c>
      <c r="F1175" s="1">
        <f t="shared" si="1922"/>
        <v>155000</v>
      </c>
      <c r="G1175" s="1">
        <f t="shared" si="1922"/>
        <v>180000</v>
      </c>
      <c r="H1175" s="1">
        <f t="shared" si="1922"/>
        <v>200000</v>
      </c>
      <c r="I1175" s="1">
        <f t="shared" si="1922"/>
        <v>350000</v>
      </c>
      <c r="J1175" s="33">
        <f t="shared" si="1922"/>
        <v>215000</v>
      </c>
      <c r="K1175" s="1">
        <f t="shared" si="1922"/>
        <v>240000</v>
      </c>
      <c r="L1175" s="1">
        <f t="shared" si="1922"/>
        <v>199000</v>
      </c>
      <c r="M1175" s="33">
        <f t="shared" si="1922"/>
        <v>157000</v>
      </c>
      <c r="N1175" s="1">
        <f t="shared" si="1922"/>
        <v>135000</v>
      </c>
      <c r="O1175" s="1">
        <f t="shared" si="1922"/>
        <v>120000</v>
      </c>
      <c r="P1175">
        <f t="shared" si="1923"/>
        <v>2420000</v>
      </c>
      <c r="Q1175" s="18">
        <f t="shared" si="1924"/>
        <v>78500</v>
      </c>
    </row>
    <row r="1176">
      <c r="B1176" s="1" t="s">
        <v>5520</v>
      </c>
      <c r="C1176" s="33"/>
      <c r="D1176" s="34">
        <f t="shared" ref="D1176:O1176" si="1925">D1174+D1175</f>
        <v>2189000</v>
      </c>
      <c r="E1176">
        <f t="shared" si="1925"/>
        <v>2970000</v>
      </c>
      <c r="F1176">
        <f t="shared" si="1925"/>
        <v>1705000</v>
      </c>
      <c r="G1176">
        <f t="shared" si="1925"/>
        <v>1980000</v>
      </c>
      <c r="H1176">
        <f t="shared" si="1925"/>
        <v>2200000</v>
      </c>
      <c r="I1176">
        <f t="shared" si="1925"/>
        <v>3850000</v>
      </c>
      <c r="J1176" s="34">
        <f t="shared" si="1925"/>
        <v>2365000</v>
      </c>
      <c r="K1176">
        <f t="shared" si="1925"/>
        <v>2640000</v>
      </c>
      <c r="L1176">
        <f t="shared" si="1925"/>
        <v>2189000</v>
      </c>
      <c r="M1176" s="34">
        <f t="shared" si="1925"/>
        <v>1727000</v>
      </c>
      <c r="N1176">
        <f t="shared" si="1925"/>
        <v>1485000</v>
      </c>
      <c r="O1176">
        <f t="shared" si="1925"/>
        <v>1320000</v>
      </c>
      <c r="P1176">
        <f t="shared" si="1923"/>
        <v>26620000</v>
      </c>
      <c r="Q1176" s="18">
        <f t="shared" si="1924"/>
        <v>863500</v>
      </c>
    </row>
    <row r="1177">
      <c r="B1177" s="1" t="s">
        <v>5545</v>
      </c>
      <c r="C1177" s="33"/>
      <c r="D1177" s="34">
        <v>216161.31167841493</v>
      </c>
      <c r="E1177" s="34">
        <v>199864.333206325</v>
      </c>
      <c r="F1177">
        <v>74241.79081729853</v>
      </c>
      <c r="G1177" s="34">
        <v>195990.88473995047</v>
      </c>
      <c r="H1177" s="34">
        <v>415094.70642027055</v>
      </c>
      <c r="I1177">
        <v>307353.5709658982</v>
      </c>
      <c r="J1177">
        <v>98435.36083063441</v>
      </c>
      <c r="K1177">
        <v>196503.5363023236</v>
      </c>
      <c r="L1177" s="34">
        <v>262024.2286052779</v>
      </c>
      <c r="M1177">
        <v>234696.20861116404</v>
      </c>
      <c r="N1177">
        <v>99793.44236997524</v>
      </c>
      <c r="O1177" s="34">
        <v>76027.01543151076</v>
      </c>
      <c r="P1177">
        <f t="shared" si="1923"/>
        <v>2376186.39</v>
      </c>
      <c r="Q1177" s="18">
        <f t="shared" si="1924"/>
        <v>117348.1043</v>
      </c>
    </row>
    <row r="1178">
      <c r="C1178" s="33"/>
      <c r="D1178">
        <f t="shared" ref="D1178:O1178" si="1926">D1177-D1179</f>
        <v>196510.2833</v>
      </c>
      <c r="E1178">
        <f t="shared" si="1926"/>
        <v>181694.8484</v>
      </c>
      <c r="F1178">
        <f t="shared" si="1926"/>
        <v>67492.53711</v>
      </c>
      <c r="G1178">
        <f t="shared" si="1926"/>
        <v>178173.5316</v>
      </c>
      <c r="H1178">
        <f t="shared" si="1926"/>
        <v>377358.824</v>
      </c>
      <c r="I1178">
        <f t="shared" si="1926"/>
        <v>279412.3372</v>
      </c>
      <c r="J1178" s="34">
        <f t="shared" si="1926"/>
        <v>89486.69166</v>
      </c>
      <c r="K1178">
        <f t="shared" si="1926"/>
        <v>178639.5785</v>
      </c>
      <c r="L1178">
        <f t="shared" si="1926"/>
        <v>238203.8442</v>
      </c>
      <c r="M1178">
        <f t="shared" si="1926"/>
        <v>213360.1896</v>
      </c>
      <c r="N1178">
        <f t="shared" si="1926"/>
        <v>90721.31125</v>
      </c>
      <c r="O1178">
        <f t="shared" si="1926"/>
        <v>69115.46857</v>
      </c>
      <c r="P1178">
        <f t="shared" si="1923"/>
        <v>2160169.445</v>
      </c>
      <c r="Q1178" s="18">
        <f t="shared" si="1924"/>
        <v>106680.0948</v>
      </c>
    </row>
    <row r="1179">
      <c r="B1179" s="1" t="s">
        <v>5499</v>
      </c>
      <c r="C1179" s="33"/>
      <c r="D1179">
        <f t="shared" ref="D1179:O1179" si="1927">D1177/11</f>
        <v>19651.02833</v>
      </c>
      <c r="E1179">
        <f t="shared" si="1927"/>
        <v>18169.48484</v>
      </c>
      <c r="F1179">
        <f t="shared" si="1927"/>
        <v>6749.253711</v>
      </c>
      <c r="G1179">
        <f t="shared" si="1927"/>
        <v>17817.35316</v>
      </c>
      <c r="H1179">
        <f t="shared" si="1927"/>
        <v>37735.8824</v>
      </c>
      <c r="I1179">
        <f t="shared" si="1927"/>
        <v>27941.23372</v>
      </c>
      <c r="J1179" s="34">
        <f t="shared" si="1927"/>
        <v>8948.669166</v>
      </c>
      <c r="K1179">
        <f t="shared" si="1927"/>
        <v>17863.95785</v>
      </c>
      <c r="L1179">
        <f t="shared" si="1927"/>
        <v>23820.38442</v>
      </c>
      <c r="M1179">
        <f t="shared" si="1927"/>
        <v>21336.01896</v>
      </c>
      <c r="N1179">
        <f t="shared" si="1927"/>
        <v>9072.131125</v>
      </c>
      <c r="O1179">
        <f t="shared" si="1927"/>
        <v>6911.546857</v>
      </c>
      <c r="P1179">
        <f t="shared" si="1923"/>
        <v>216016.9445</v>
      </c>
      <c r="Q1179" s="18">
        <f t="shared" si="1924"/>
        <v>10668.00948</v>
      </c>
    </row>
    <row r="1180">
      <c r="B1180" s="1" t="s">
        <v>5800</v>
      </c>
      <c r="C1180" s="33"/>
      <c r="D1180" s="34">
        <v>42811.094385202676</v>
      </c>
      <c r="E1180" s="34">
        <v>17826.978790145935</v>
      </c>
      <c r="F1180">
        <v>17826.978790145935</v>
      </c>
      <c r="G1180" s="34">
        <v>16356.033495885125</v>
      </c>
      <c r="H1180" s="34">
        <v>23535.124708172956</v>
      </c>
      <c r="I1180">
        <v>29879.94844013377</v>
      </c>
      <c r="J1180">
        <v>23776.623189320253</v>
      </c>
      <c r="K1180" s="34">
        <v>16224.307051622964</v>
      </c>
      <c r="L1180" s="34">
        <v>21734.86330325674</v>
      </c>
      <c r="M1180">
        <v>11084.78028466094</v>
      </c>
      <c r="N1180">
        <v>12755.510686052696</v>
      </c>
      <c r="O1180" s="34">
        <v>9747.756875399993</v>
      </c>
      <c r="P1180">
        <f t="shared" si="1923"/>
        <v>243560</v>
      </c>
      <c r="Q1180" s="18">
        <f t="shared" si="1924"/>
        <v>5542.390142</v>
      </c>
    </row>
    <row r="1181">
      <c r="B1181" s="23" t="s">
        <v>5598</v>
      </c>
      <c r="C1181" s="33"/>
      <c r="D1181" s="18">
        <f t="shared" ref="D1181:O1181" si="1928">SUM(D1176,D1177,D1180)</f>
        <v>2447972.406</v>
      </c>
      <c r="E1181" s="18">
        <f t="shared" si="1928"/>
        <v>3187691.312</v>
      </c>
      <c r="F1181" s="18">
        <f t="shared" si="1928"/>
        <v>1797068.77</v>
      </c>
      <c r="G1181" s="18">
        <f t="shared" si="1928"/>
        <v>2192346.918</v>
      </c>
      <c r="H1181" s="18">
        <f t="shared" si="1928"/>
        <v>2638629.831</v>
      </c>
      <c r="I1181" s="18">
        <f t="shared" si="1928"/>
        <v>4187233.519</v>
      </c>
      <c r="J1181" s="18">
        <f t="shared" si="1928"/>
        <v>2487211.984</v>
      </c>
      <c r="K1181" s="145">
        <f t="shared" si="1928"/>
        <v>2852727.843</v>
      </c>
      <c r="L1181" s="18">
        <f t="shared" si="1928"/>
        <v>2472759.092</v>
      </c>
      <c r="M1181" s="18">
        <f t="shared" si="1928"/>
        <v>1972780.989</v>
      </c>
      <c r="N1181" s="18">
        <f t="shared" si="1928"/>
        <v>1597548.953</v>
      </c>
      <c r="O1181" s="18">
        <f t="shared" si="1928"/>
        <v>1405774.772</v>
      </c>
      <c r="P1181">
        <f t="shared" si="1923"/>
        <v>29239746.39</v>
      </c>
      <c r="Q1181" s="18">
        <f t="shared" si="1924"/>
        <v>986390.4944</v>
      </c>
    </row>
    <row r="1182">
      <c r="B1182" s="1" t="s">
        <v>5599</v>
      </c>
      <c r="C1182" s="33"/>
      <c r="D1182">
        <f t="shared" ref="D1182:O1182" si="1929">SUM(D1174,D1178,D1180)</f>
        <v>2229321.378</v>
      </c>
      <c r="E1182">
        <f t="shared" si="1929"/>
        <v>2899521.827</v>
      </c>
      <c r="F1182">
        <f t="shared" si="1929"/>
        <v>1635319.516</v>
      </c>
      <c r="G1182">
        <f t="shared" si="1929"/>
        <v>1994529.565</v>
      </c>
      <c r="H1182">
        <f t="shared" si="1929"/>
        <v>2400893.949</v>
      </c>
      <c r="I1182">
        <f t="shared" si="1929"/>
        <v>3809292.286</v>
      </c>
      <c r="J1182">
        <f t="shared" si="1929"/>
        <v>2263263.315</v>
      </c>
      <c r="K1182" s="44">
        <f t="shared" si="1929"/>
        <v>2594863.886</v>
      </c>
      <c r="L1182">
        <f t="shared" si="1929"/>
        <v>2249938.707</v>
      </c>
      <c r="M1182">
        <f t="shared" si="1929"/>
        <v>1794444.97</v>
      </c>
      <c r="N1182">
        <f t="shared" si="1929"/>
        <v>1453476.822</v>
      </c>
      <c r="O1182">
        <f t="shared" si="1929"/>
        <v>1278863.225</v>
      </c>
      <c r="P1182">
        <f t="shared" si="1923"/>
        <v>26603729.45</v>
      </c>
      <c r="Q1182" s="18">
        <f t="shared" si="1924"/>
        <v>897222.485</v>
      </c>
    </row>
    <row r="1183">
      <c r="B1183" s="1" t="s">
        <v>5601</v>
      </c>
      <c r="C1183" s="33"/>
      <c r="D1183">
        <f t="shared" ref="D1183:O1183" si="1930">SUM(D1174,D1178)</f>
        <v>2186510.283</v>
      </c>
      <c r="E1183">
        <f t="shared" si="1930"/>
        <v>2881694.848</v>
      </c>
      <c r="F1183">
        <f t="shared" si="1930"/>
        <v>1617492.537</v>
      </c>
      <c r="G1183">
        <f t="shared" si="1930"/>
        <v>1978173.532</v>
      </c>
      <c r="H1183">
        <f t="shared" si="1930"/>
        <v>2377358.824</v>
      </c>
      <c r="I1183">
        <f t="shared" si="1930"/>
        <v>3779412.337</v>
      </c>
      <c r="J1183">
        <f t="shared" si="1930"/>
        <v>2239486.692</v>
      </c>
      <c r="K1183" s="34">
        <f t="shared" si="1930"/>
        <v>2578639.578</v>
      </c>
      <c r="L1183">
        <f t="shared" si="1930"/>
        <v>2228203.844</v>
      </c>
      <c r="M1183">
        <f t="shared" si="1930"/>
        <v>1783360.19</v>
      </c>
      <c r="N1183">
        <f t="shared" si="1930"/>
        <v>1440721.311</v>
      </c>
      <c r="O1183">
        <f t="shared" si="1930"/>
        <v>1269115.469</v>
      </c>
      <c r="P1183">
        <f t="shared" si="1923"/>
        <v>26360169.45</v>
      </c>
      <c r="Q1183" s="18">
        <f t="shared" si="1924"/>
        <v>891680.0948</v>
      </c>
    </row>
    <row r="1184">
      <c r="B1184" s="1" t="s">
        <v>5582</v>
      </c>
      <c r="C1184" s="33"/>
      <c r="D1184">
        <f t="shared" ref="D1184:O1184" si="1931">SUM(D1175,D1179)</f>
        <v>218651.0283</v>
      </c>
      <c r="E1184">
        <f t="shared" si="1931"/>
        <v>288169.4848</v>
      </c>
      <c r="F1184">
        <f t="shared" si="1931"/>
        <v>161749.2537</v>
      </c>
      <c r="G1184" s="34">
        <f t="shared" si="1931"/>
        <v>197817.3532</v>
      </c>
      <c r="H1184">
        <f t="shared" si="1931"/>
        <v>237735.8824</v>
      </c>
      <c r="I1184">
        <f t="shared" si="1931"/>
        <v>377941.2337</v>
      </c>
      <c r="J1184">
        <f t="shared" si="1931"/>
        <v>223948.6692</v>
      </c>
      <c r="K1184" s="182">
        <f t="shared" si="1931"/>
        <v>257863.9578</v>
      </c>
      <c r="L1184">
        <f t="shared" si="1931"/>
        <v>222820.3844</v>
      </c>
      <c r="M1184">
        <f t="shared" si="1931"/>
        <v>178336.019</v>
      </c>
      <c r="N1184">
        <f t="shared" si="1931"/>
        <v>144072.1311</v>
      </c>
      <c r="O1184">
        <f t="shared" si="1931"/>
        <v>126911.5469</v>
      </c>
      <c r="P1184">
        <f t="shared" si="1923"/>
        <v>2636016.945</v>
      </c>
      <c r="Q1184" s="18">
        <f t="shared" si="1924"/>
        <v>89168.00948</v>
      </c>
    </row>
    <row r="1185">
      <c r="B1185" s="1" t="s">
        <v>5602</v>
      </c>
      <c r="C1185" s="33"/>
      <c r="D1185">
        <f t="shared" ref="D1185:O1185" si="1932">SUM(D1183:D1184)</f>
        <v>2405161.312</v>
      </c>
      <c r="E1185">
        <f t="shared" si="1932"/>
        <v>3169864.333</v>
      </c>
      <c r="F1185">
        <f t="shared" si="1932"/>
        <v>1779241.791</v>
      </c>
      <c r="G1185">
        <f t="shared" si="1932"/>
        <v>2175990.885</v>
      </c>
      <c r="H1185">
        <f t="shared" si="1932"/>
        <v>2615094.706</v>
      </c>
      <c r="I1185">
        <f t="shared" si="1932"/>
        <v>4157353.571</v>
      </c>
      <c r="J1185">
        <f t="shared" si="1932"/>
        <v>2463435.361</v>
      </c>
      <c r="K1185" s="34">
        <f t="shared" si="1932"/>
        <v>2836503.536</v>
      </c>
      <c r="L1185">
        <f t="shared" si="1932"/>
        <v>2451024.229</v>
      </c>
      <c r="M1185">
        <f t="shared" si="1932"/>
        <v>1961696.209</v>
      </c>
      <c r="N1185">
        <f t="shared" si="1932"/>
        <v>1584793.442</v>
      </c>
      <c r="O1185">
        <f t="shared" si="1932"/>
        <v>1396027.015</v>
      </c>
      <c r="P1185">
        <f t="shared" si="1923"/>
        <v>28996186.39</v>
      </c>
      <c r="Q1185" s="18">
        <f t="shared" si="1924"/>
        <v>980848.1043</v>
      </c>
    </row>
    <row r="1186">
      <c r="C1186" s="33"/>
      <c r="D1186" s="33" t="s">
        <v>5566</v>
      </c>
      <c r="E1186" s="33" t="s">
        <v>5566</v>
      </c>
      <c r="F1186" s="1" t="s">
        <v>5566</v>
      </c>
      <c r="G1186" s="33" t="s">
        <v>5566</v>
      </c>
      <c r="H1186" s="33" t="s">
        <v>5566</v>
      </c>
      <c r="I1186" s="1" t="s">
        <v>5566</v>
      </c>
      <c r="J1186" s="1" t="s">
        <v>5566</v>
      </c>
      <c r="K1186" s="1" t="s">
        <v>5885</v>
      </c>
      <c r="L1186" s="33" t="s">
        <v>5566</v>
      </c>
      <c r="M1186" s="1" t="s">
        <v>5566</v>
      </c>
      <c r="N1186" s="1" t="s">
        <v>5566</v>
      </c>
      <c r="O1186" s="33" t="s">
        <v>5566</v>
      </c>
    </row>
    <row r="1187">
      <c r="C1187" s="33"/>
      <c r="D1187" s="34"/>
      <c r="E1187" s="33"/>
      <c r="G1187" s="33"/>
      <c r="H1187" s="33"/>
      <c r="L1187" s="33"/>
      <c r="O1187" s="33"/>
    </row>
    <row r="1188">
      <c r="C1188" s="33"/>
      <c r="D1188" s="34"/>
      <c r="E1188" s="33"/>
      <c r="G1188" s="181" t="s">
        <v>5883</v>
      </c>
      <c r="H1188" s="33"/>
      <c r="L1188" s="33"/>
      <c r="O1188" s="33"/>
    </row>
    <row r="1189">
      <c r="B1189" s="1" t="s">
        <v>5886</v>
      </c>
      <c r="C1189" s="33"/>
      <c r="D1189" s="33">
        <v>1990000.0</v>
      </c>
      <c r="E1189" s="1">
        <v>2700000.0</v>
      </c>
      <c r="F1189" s="1">
        <v>1550000.0</v>
      </c>
      <c r="G1189" s="1">
        <f>(1800000*25+1890000*4)/29</f>
        <v>1812413.793</v>
      </c>
      <c r="H1189" s="1">
        <v>2000000.0</v>
      </c>
      <c r="I1189" s="1">
        <v>3500000.0</v>
      </c>
      <c r="J1189" s="33">
        <v>2150000.0</v>
      </c>
      <c r="K1189" s="1">
        <v>2400000.0</v>
      </c>
      <c r="L1189" s="1">
        <v>1990000.0</v>
      </c>
      <c r="M1189" s="33">
        <v>1570000.0</v>
      </c>
      <c r="N1189" s="33">
        <v>1350000.0</v>
      </c>
      <c r="O1189" s="1">
        <v>1200000.0</v>
      </c>
      <c r="P1189">
        <f t="shared" ref="P1189:P1197" si="1934">SUM(D1189:O1189)</f>
        <v>24212413.79</v>
      </c>
      <c r="Q1189" s="18">
        <f t="shared" ref="Q1189:Q1197" si="1935">M1189*0.5</f>
        <v>785000</v>
      </c>
    </row>
    <row r="1190">
      <c r="B1190" s="1" t="s">
        <v>5499</v>
      </c>
      <c r="C1190" s="33"/>
      <c r="D1190" s="33">
        <f t="shared" ref="D1190:O1190" si="1933">D1189*0.1</f>
        <v>199000</v>
      </c>
      <c r="E1190" s="1">
        <f t="shared" si="1933"/>
        <v>270000</v>
      </c>
      <c r="F1190" s="1">
        <f t="shared" si="1933"/>
        <v>155000</v>
      </c>
      <c r="G1190" s="1">
        <f t="shared" si="1933"/>
        <v>181241.3793</v>
      </c>
      <c r="H1190" s="1">
        <f t="shared" si="1933"/>
        <v>200000</v>
      </c>
      <c r="I1190" s="1">
        <f t="shared" si="1933"/>
        <v>350000</v>
      </c>
      <c r="J1190" s="33">
        <f t="shared" si="1933"/>
        <v>215000</v>
      </c>
      <c r="K1190" s="1">
        <f t="shared" si="1933"/>
        <v>240000</v>
      </c>
      <c r="L1190" s="1">
        <f t="shared" si="1933"/>
        <v>199000</v>
      </c>
      <c r="M1190" s="33">
        <f t="shared" si="1933"/>
        <v>157000</v>
      </c>
      <c r="N1190" s="1">
        <f t="shared" si="1933"/>
        <v>135000</v>
      </c>
      <c r="O1190" s="1">
        <f t="shared" si="1933"/>
        <v>120000</v>
      </c>
      <c r="P1190">
        <f t="shared" si="1934"/>
        <v>2421241.379</v>
      </c>
      <c r="Q1190" s="18">
        <f t="shared" si="1935"/>
        <v>78500</v>
      </c>
    </row>
    <row r="1191">
      <c r="B1191" s="1" t="s">
        <v>5520</v>
      </c>
      <c r="C1191" s="33"/>
      <c r="D1191" s="34">
        <f t="shared" ref="D1191:O1191" si="1936">D1189+D1190</f>
        <v>2189000</v>
      </c>
      <c r="E1191">
        <f t="shared" si="1936"/>
        <v>2970000</v>
      </c>
      <c r="F1191">
        <f t="shared" si="1936"/>
        <v>1705000</v>
      </c>
      <c r="G1191">
        <f t="shared" si="1936"/>
        <v>1993655.172</v>
      </c>
      <c r="H1191">
        <f t="shared" si="1936"/>
        <v>2200000</v>
      </c>
      <c r="I1191">
        <f t="shared" si="1936"/>
        <v>3850000</v>
      </c>
      <c r="J1191" s="34">
        <f t="shared" si="1936"/>
        <v>2365000</v>
      </c>
      <c r="K1191">
        <f t="shared" si="1936"/>
        <v>2640000</v>
      </c>
      <c r="L1191">
        <f t="shared" si="1936"/>
        <v>2189000</v>
      </c>
      <c r="M1191" s="34">
        <f t="shared" si="1936"/>
        <v>1727000</v>
      </c>
      <c r="N1191">
        <f t="shared" si="1936"/>
        <v>1485000</v>
      </c>
      <c r="O1191">
        <f t="shared" si="1936"/>
        <v>1320000</v>
      </c>
      <c r="P1191">
        <f t="shared" si="1934"/>
        <v>26633655.17</v>
      </c>
      <c r="Q1191" s="18">
        <f t="shared" si="1935"/>
        <v>863500</v>
      </c>
    </row>
    <row r="1192">
      <c r="B1192" s="1" t="s">
        <v>5545</v>
      </c>
      <c r="C1192" s="33"/>
      <c r="D1192" s="34">
        <v>310524.253164557</v>
      </c>
      <c r="E1192" s="34">
        <v>183166.37974683545</v>
      </c>
      <c r="F1192">
        <v>88005.72151898734</v>
      </c>
      <c r="G1192" s="34">
        <v>186716.88185654007</v>
      </c>
      <c r="H1192" s="34">
        <v>393971.54852320673</v>
      </c>
      <c r="I1192">
        <v>317890.7215189873</v>
      </c>
      <c r="J1192">
        <v>48149.60759493671</v>
      </c>
      <c r="K1192">
        <v>160772.7530535199</v>
      </c>
      <c r="L1192" s="34">
        <v>214091.99800133245</v>
      </c>
      <c r="M1192">
        <v>181231.43037974683</v>
      </c>
      <c r="N1192">
        <v>103481.11814345991</v>
      </c>
      <c r="O1192" s="34">
        <v>72953.38818565401</v>
      </c>
      <c r="P1192">
        <f t="shared" si="1934"/>
        <v>2260955.802</v>
      </c>
      <c r="Q1192" s="18">
        <f t="shared" si="1935"/>
        <v>90615.71519</v>
      </c>
    </row>
    <row r="1193">
      <c r="C1193" s="33"/>
      <c r="D1193">
        <f t="shared" ref="D1193:O1193" si="1937">D1192-D1194</f>
        <v>282294.7756</v>
      </c>
      <c r="E1193">
        <f t="shared" si="1937"/>
        <v>166514.8907</v>
      </c>
      <c r="F1193">
        <f t="shared" si="1937"/>
        <v>80005.20138</v>
      </c>
      <c r="G1193">
        <f t="shared" si="1937"/>
        <v>169742.6199</v>
      </c>
      <c r="H1193">
        <f t="shared" si="1937"/>
        <v>358155.9532</v>
      </c>
      <c r="I1193">
        <f t="shared" si="1937"/>
        <v>288991.565</v>
      </c>
      <c r="J1193" s="34">
        <f t="shared" si="1937"/>
        <v>43772.37054</v>
      </c>
      <c r="K1193">
        <f t="shared" si="1937"/>
        <v>146157.0482</v>
      </c>
      <c r="L1193">
        <f t="shared" si="1937"/>
        <v>194629.0891</v>
      </c>
      <c r="M1193">
        <f t="shared" si="1937"/>
        <v>164755.8458</v>
      </c>
      <c r="N1193">
        <f t="shared" si="1937"/>
        <v>94073.74377</v>
      </c>
      <c r="O1193">
        <f t="shared" si="1937"/>
        <v>66321.26199</v>
      </c>
      <c r="P1193">
        <f t="shared" si="1934"/>
        <v>2055414.365</v>
      </c>
      <c r="Q1193" s="18">
        <f t="shared" si="1935"/>
        <v>82377.9229</v>
      </c>
    </row>
    <row r="1194">
      <c r="B1194" s="1" t="s">
        <v>5499</v>
      </c>
      <c r="C1194" s="33"/>
      <c r="D1194">
        <f t="shared" ref="D1194:O1194" si="1938">D1192/11</f>
        <v>28229.47756</v>
      </c>
      <c r="E1194">
        <f t="shared" si="1938"/>
        <v>16651.48907</v>
      </c>
      <c r="F1194">
        <f t="shared" si="1938"/>
        <v>8000.520138</v>
      </c>
      <c r="G1194">
        <f t="shared" si="1938"/>
        <v>16974.26199</v>
      </c>
      <c r="H1194">
        <f t="shared" si="1938"/>
        <v>35815.59532</v>
      </c>
      <c r="I1194">
        <f t="shared" si="1938"/>
        <v>28899.1565</v>
      </c>
      <c r="J1194" s="34">
        <f t="shared" si="1938"/>
        <v>4377.237054</v>
      </c>
      <c r="K1194">
        <f t="shared" si="1938"/>
        <v>14615.70482</v>
      </c>
      <c r="L1194">
        <f t="shared" si="1938"/>
        <v>19462.90891</v>
      </c>
      <c r="M1194">
        <f t="shared" si="1938"/>
        <v>16475.58458</v>
      </c>
      <c r="N1194">
        <f t="shared" si="1938"/>
        <v>9407.374377</v>
      </c>
      <c r="O1194">
        <f t="shared" si="1938"/>
        <v>6632.126199</v>
      </c>
      <c r="P1194">
        <f t="shared" si="1934"/>
        <v>205541.4365</v>
      </c>
      <c r="Q1194" s="18">
        <f t="shared" si="1935"/>
        <v>8237.79229</v>
      </c>
    </row>
    <row r="1195">
      <c r="B1195" s="23" t="s">
        <v>5528</v>
      </c>
      <c r="C1195" s="33"/>
      <c r="D1195" s="145">
        <f t="shared" ref="D1195:O1195" si="1939">SUM(D1191,D1192)</f>
        <v>2499524.253</v>
      </c>
      <c r="E1195" s="145">
        <f t="shared" si="1939"/>
        <v>3153166.38</v>
      </c>
      <c r="F1195" s="145">
        <f t="shared" si="1939"/>
        <v>1793005.722</v>
      </c>
      <c r="G1195" s="145">
        <f t="shared" si="1939"/>
        <v>2180372.054</v>
      </c>
      <c r="H1195" s="145">
        <f t="shared" si="1939"/>
        <v>2593971.549</v>
      </c>
      <c r="I1195" s="173">
        <f t="shared" si="1939"/>
        <v>4167890.722</v>
      </c>
      <c r="J1195" s="145">
        <f t="shared" si="1939"/>
        <v>2413149.608</v>
      </c>
      <c r="K1195" s="183">
        <f t="shared" si="1939"/>
        <v>2800772.753</v>
      </c>
      <c r="L1195" s="145">
        <f t="shared" si="1939"/>
        <v>2403091.998</v>
      </c>
      <c r="M1195" s="145">
        <f t="shared" si="1939"/>
        <v>1908231.43</v>
      </c>
      <c r="N1195" s="145">
        <f t="shared" si="1939"/>
        <v>1588481.118</v>
      </c>
      <c r="O1195" s="145">
        <f t="shared" si="1939"/>
        <v>1392953.388</v>
      </c>
      <c r="P1195">
        <f t="shared" si="1934"/>
        <v>28894610.97</v>
      </c>
      <c r="Q1195" s="18">
        <f t="shared" si="1935"/>
        <v>954115.7152</v>
      </c>
    </row>
    <row r="1196">
      <c r="B1196" s="1" t="s">
        <v>5580</v>
      </c>
      <c r="C1196" s="33"/>
      <c r="D1196">
        <f t="shared" ref="D1196:O1196" si="1940">D1189+D1193</f>
        <v>2272294.776</v>
      </c>
      <c r="E1196">
        <f t="shared" si="1940"/>
        <v>2866514.891</v>
      </c>
      <c r="F1196">
        <f t="shared" si="1940"/>
        <v>1630005.201</v>
      </c>
      <c r="G1196">
        <f t="shared" si="1940"/>
        <v>1982156.413</v>
      </c>
      <c r="H1196">
        <f t="shared" si="1940"/>
        <v>2358155.953</v>
      </c>
      <c r="I1196">
        <f t="shared" si="1940"/>
        <v>3788991.565</v>
      </c>
      <c r="J1196" s="34">
        <f t="shared" si="1940"/>
        <v>2193772.371</v>
      </c>
      <c r="K1196">
        <f t="shared" si="1940"/>
        <v>2546157.048</v>
      </c>
      <c r="L1196">
        <f t="shared" si="1940"/>
        <v>2184629.089</v>
      </c>
      <c r="M1196">
        <f t="shared" si="1940"/>
        <v>1734755.846</v>
      </c>
      <c r="N1196">
        <f t="shared" si="1940"/>
        <v>1444073.744</v>
      </c>
      <c r="O1196">
        <f t="shared" si="1940"/>
        <v>1266321.262</v>
      </c>
      <c r="P1196">
        <f t="shared" si="1934"/>
        <v>26267828.16</v>
      </c>
      <c r="Q1196" s="18">
        <f t="shared" si="1935"/>
        <v>867377.9229</v>
      </c>
    </row>
    <row r="1197">
      <c r="B1197" s="1" t="s">
        <v>5582</v>
      </c>
      <c r="C1197" s="33"/>
      <c r="D1197">
        <f t="shared" ref="D1197:O1197" si="1941">D1190+D1194</f>
        <v>227229.4776</v>
      </c>
      <c r="E1197">
        <f t="shared" si="1941"/>
        <v>286651.4891</v>
      </c>
      <c r="F1197">
        <f t="shared" si="1941"/>
        <v>163000.5201</v>
      </c>
      <c r="G1197">
        <f t="shared" si="1941"/>
        <v>198215.6413</v>
      </c>
      <c r="H1197">
        <f t="shared" si="1941"/>
        <v>235815.5953</v>
      </c>
      <c r="I1197">
        <f t="shared" si="1941"/>
        <v>378899.1565</v>
      </c>
      <c r="J1197" s="34">
        <f t="shared" si="1941"/>
        <v>219377.2371</v>
      </c>
      <c r="K1197">
        <f t="shared" si="1941"/>
        <v>254615.7048</v>
      </c>
      <c r="L1197">
        <f t="shared" si="1941"/>
        <v>218462.9089</v>
      </c>
      <c r="M1197">
        <f t="shared" si="1941"/>
        <v>173475.5846</v>
      </c>
      <c r="N1197">
        <f t="shared" si="1941"/>
        <v>144407.3744</v>
      </c>
      <c r="O1197">
        <f t="shared" si="1941"/>
        <v>126632.1262</v>
      </c>
      <c r="P1197">
        <f t="shared" si="1934"/>
        <v>2626782.816</v>
      </c>
      <c r="Q1197" s="18">
        <f t="shared" si="1935"/>
        <v>86737.79229</v>
      </c>
    </row>
    <row r="1198">
      <c r="C1198" s="33"/>
      <c r="D1198" s="33" t="s">
        <v>5566</v>
      </c>
      <c r="E1198" s="33" t="s">
        <v>5566</v>
      </c>
      <c r="F1198" s="1" t="s">
        <v>5566</v>
      </c>
      <c r="G1198" s="33" t="s">
        <v>5566</v>
      </c>
      <c r="H1198" s="33" t="s">
        <v>5566</v>
      </c>
      <c r="I1198" s="1" t="s">
        <v>5566</v>
      </c>
      <c r="J1198" s="1" t="s">
        <v>5566</v>
      </c>
      <c r="K1198" s="1" t="s">
        <v>5887</v>
      </c>
      <c r="L1198" s="33" t="s">
        <v>5566</v>
      </c>
      <c r="M1198" s="1" t="s">
        <v>5566</v>
      </c>
      <c r="N1198" s="1" t="s">
        <v>5566</v>
      </c>
      <c r="O1198" s="33" t="s">
        <v>5566</v>
      </c>
    </row>
    <row r="1199">
      <c r="C1199" s="33"/>
      <c r="D1199" s="34"/>
      <c r="E1199" s="33"/>
      <c r="G1199" s="33"/>
      <c r="H1199" s="33"/>
      <c r="L1199" s="33"/>
      <c r="O1199" s="33"/>
    </row>
    <row r="1200">
      <c r="C1200" s="33"/>
      <c r="D1200" s="34"/>
      <c r="E1200" s="33"/>
      <c r="G1200" s="181" t="s">
        <v>5883</v>
      </c>
      <c r="H1200" s="33"/>
      <c r="L1200" s="33"/>
      <c r="O1200" s="33"/>
    </row>
    <row r="1201">
      <c r="B1201" s="1" t="s">
        <v>5888</v>
      </c>
      <c r="C1201" s="33"/>
      <c r="D1201" s="33">
        <v>1990000.0</v>
      </c>
      <c r="E1201" s="1">
        <v>2700000.0</v>
      </c>
      <c r="F1201" s="1">
        <v>1550000.0</v>
      </c>
      <c r="G1201" s="1">
        <v>1890000.0</v>
      </c>
      <c r="H1201" s="1">
        <v>2000000.0</v>
      </c>
      <c r="I1201" s="1">
        <v>3500000.0</v>
      </c>
      <c r="J1201" s="33">
        <v>2150000.0</v>
      </c>
      <c r="K1201" s="1">
        <v>2400000.0</v>
      </c>
      <c r="L1201" s="1">
        <v>1990000.0</v>
      </c>
      <c r="M1201" s="33">
        <v>1570000.0</v>
      </c>
      <c r="N1201" s="33">
        <v>1350000.0</v>
      </c>
      <c r="O1201" s="1">
        <v>1200000.0</v>
      </c>
      <c r="P1201">
        <f t="shared" ref="P1201:P1212" si="1943">SUM(D1201:O1201)</f>
        <v>24290000</v>
      </c>
      <c r="Q1201" s="18">
        <f t="shared" ref="Q1201:Q1212" si="1944">M1201*0.5</f>
        <v>785000</v>
      </c>
    </row>
    <row r="1202">
      <c r="B1202" s="1" t="s">
        <v>5499</v>
      </c>
      <c r="C1202" s="33"/>
      <c r="D1202" s="33">
        <f t="shared" ref="D1202:O1202" si="1942">D1201*0.1</f>
        <v>199000</v>
      </c>
      <c r="E1202" s="1">
        <f t="shared" si="1942"/>
        <v>270000</v>
      </c>
      <c r="F1202" s="1">
        <f t="shared" si="1942"/>
        <v>155000</v>
      </c>
      <c r="G1202" s="1">
        <f t="shared" si="1942"/>
        <v>189000</v>
      </c>
      <c r="H1202" s="1">
        <f t="shared" si="1942"/>
        <v>200000</v>
      </c>
      <c r="I1202" s="1">
        <f t="shared" si="1942"/>
        <v>350000</v>
      </c>
      <c r="J1202" s="33">
        <f t="shared" si="1942"/>
        <v>215000</v>
      </c>
      <c r="K1202" s="1">
        <f t="shared" si="1942"/>
        <v>240000</v>
      </c>
      <c r="L1202" s="1">
        <f t="shared" si="1942"/>
        <v>199000</v>
      </c>
      <c r="M1202" s="33">
        <f t="shared" si="1942"/>
        <v>157000</v>
      </c>
      <c r="N1202" s="1">
        <f t="shared" si="1942"/>
        <v>135000</v>
      </c>
      <c r="O1202" s="1">
        <f t="shared" si="1942"/>
        <v>120000</v>
      </c>
      <c r="P1202">
        <f t="shared" si="1943"/>
        <v>2429000</v>
      </c>
      <c r="Q1202" s="18">
        <f t="shared" si="1944"/>
        <v>78500</v>
      </c>
    </row>
    <row r="1203">
      <c r="B1203" s="1" t="s">
        <v>5520</v>
      </c>
      <c r="C1203" s="33"/>
      <c r="D1203" s="34">
        <f t="shared" ref="D1203:O1203" si="1945">D1201+D1202</f>
        <v>2189000</v>
      </c>
      <c r="E1203">
        <f t="shared" si="1945"/>
        <v>2970000</v>
      </c>
      <c r="F1203">
        <f t="shared" si="1945"/>
        <v>1705000</v>
      </c>
      <c r="G1203">
        <f t="shared" si="1945"/>
        <v>2079000</v>
      </c>
      <c r="H1203">
        <f t="shared" si="1945"/>
        <v>2200000</v>
      </c>
      <c r="I1203">
        <f t="shared" si="1945"/>
        <v>3850000</v>
      </c>
      <c r="J1203" s="34">
        <f t="shared" si="1945"/>
        <v>2365000</v>
      </c>
      <c r="K1203">
        <f t="shared" si="1945"/>
        <v>2640000</v>
      </c>
      <c r="L1203">
        <f t="shared" si="1945"/>
        <v>2189000</v>
      </c>
      <c r="M1203" s="34">
        <f t="shared" si="1945"/>
        <v>1727000</v>
      </c>
      <c r="N1203">
        <f t="shared" si="1945"/>
        <v>1485000</v>
      </c>
      <c r="O1203">
        <f t="shared" si="1945"/>
        <v>1320000</v>
      </c>
      <c r="P1203">
        <f t="shared" si="1943"/>
        <v>26719000</v>
      </c>
      <c r="Q1203" s="18">
        <f t="shared" si="1944"/>
        <v>863500</v>
      </c>
    </row>
    <row r="1204">
      <c r="B1204" s="1" t="s">
        <v>5545</v>
      </c>
      <c r="C1204" s="33"/>
      <c r="D1204" s="34">
        <v>174129.01621621623</v>
      </c>
      <c r="E1204" s="34">
        <v>144585.2756756757</v>
      </c>
      <c r="F1204">
        <v>58639.84864864865</v>
      </c>
      <c r="G1204" s="34">
        <v>142197.87027027027</v>
      </c>
      <c r="H1204" s="34">
        <v>325503.35135135136</v>
      </c>
      <c r="I1204">
        <v>250301.10270270272</v>
      </c>
      <c r="J1204">
        <v>42599.65405405405</v>
      </c>
      <c r="K1204">
        <v>113602.33897425477</v>
      </c>
      <c r="L1204" s="34">
        <v>151097.57453925876</v>
      </c>
      <c r="M1204">
        <v>169727.26486486488</v>
      </c>
      <c r="N1204">
        <v>51552.302702702706</v>
      </c>
      <c r="O1204" s="34">
        <v>32304.108108108107</v>
      </c>
      <c r="P1204">
        <f t="shared" si="1943"/>
        <v>1656239.708</v>
      </c>
      <c r="Q1204" s="18">
        <f t="shared" si="1944"/>
        <v>84863.63243</v>
      </c>
    </row>
    <row r="1205">
      <c r="C1205" s="33"/>
      <c r="D1205">
        <f t="shared" ref="D1205:O1205" si="1946">D1204-D1206</f>
        <v>158299.1057</v>
      </c>
      <c r="E1205">
        <f t="shared" si="1946"/>
        <v>131441.1597</v>
      </c>
      <c r="F1205">
        <f t="shared" si="1946"/>
        <v>53308.95332</v>
      </c>
      <c r="G1205">
        <f t="shared" si="1946"/>
        <v>129270.7912</v>
      </c>
      <c r="H1205">
        <f t="shared" si="1946"/>
        <v>295912.1376</v>
      </c>
      <c r="I1205">
        <f t="shared" si="1946"/>
        <v>227546.457</v>
      </c>
      <c r="J1205" s="34">
        <f t="shared" si="1946"/>
        <v>38726.95823</v>
      </c>
      <c r="K1205">
        <f t="shared" si="1946"/>
        <v>103274.8536</v>
      </c>
      <c r="L1205">
        <f t="shared" si="1946"/>
        <v>137361.4314</v>
      </c>
      <c r="M1205">
        <f t="shared" si="1946"/>
        <v>154297.5135</v>
      </c>
      <c r="N1205">
        <f t="shared" si="1946"/>
        <v>46865.72973</v>
      </c>
      <c r="O1205">
        <f t="shared" si="1946"/>
        <v>29367.37101</v>
      </c>
      <c r="P1205">
        <f t="shared" si="1943"/>
        <v>1505672.462</v>
      </c>
      <c r="Q1205" s="18">
        <f t="shared" si="1944"/>
        <v>77148.75676</v>
      </c>
    </row>
    <row r="1206">
      <c r="B1206" s="1" t="s">
        <v>5499</v>
      </c>
      <c r="C1206" s="33"/>
      <c r="D1206">
        <f t="shared" ref="D1206:O1206" si="1947">D1204/11</f>
        <v>15829.91057</v>
      </c>
      <c r="E1206">
        <f t="shared" si="1947"/>
        <v>13144.11597</v>
      </c>
      <c r="F1206">
        <f t="shared" si="1947"/>
        <v>5330.895332</v>
      </c>
      <c r="G1206">
        <f t="shared" si="1947"/>
        <v>12927.07912</v>
      </c>
      <c r="H1206">
        <f t="shared" si="1947"/>
        <v>29591.21376</v>
      </c>
      <c r="I1206">
        <f t="shared" si="1947"/>
        <v>22754.6457</v>
      </c>
      <c r="J1206" s="34">
        <f t="shared" si="1947"/>
        <v>3872.695823</v>
      </c>
      <c r="K1206">
        <f t="shared" si="1947"/>
        <v>10327.48536</v>
      </c>
      <c r="L1206">
        <f t="shared" si="1947"/>
        <v>13736.14314</v>
      </c>
      <c r="M1206">
        <f t="shared" si="1947"/>
        <v>15429.75135</v>
      </c>
      <c r="N1206">
        <f t="shared" si="1947"/>
        <v>4686.572973</v>
      </c>
      <c r="O1206">
        <f t="shared" si="1947"/>
        <v>2936.737101</v>
      </c>
      <c r="P1206">
        <f t="shared" si="1943"/>
        <v>150567.2462</v>
      </c>
      <c r="Q1206" s="18">
        <f t="shared" si="1944"/>
        <v>7714.875676</v>
      </c>
    </row>
    <row r="1207">
      <c r="B1207" s="1" t="s">
        <v>5809</v>
      </c>
      <c r="C1207" s="33"/>
      <c r="D1207" s="34">
        <v>38522.25096674749</v>
      </c>
      <c r="E1207" s="34">
        <v>16041.06040256357</v>
      </c>
      <c r="F1207">
        <v>16041.06040256357</v>
      </c>
      <c r="G1207" s="34">
        <v>14717.475369347118</v>
      </c>
      <c r="H1207" s="34">
        <v>21177.360531463233</v>
      </c>
      <c r="I1207">
        <v>26886.55567474017</v>
      </c>
      <c r="J1207">
        <v>21394.66553691668</v>
      </c>
      <c r="K1207" s="34">
        <v>14598.94536637251</v>
      </c>
      <c r="L1207" s="34">
        <v>19557.450490810264</v>
      </c>
      <c r="M1207">
        <v>9974.299750313236</v>
      </c>
      <c r="N1207">
        <v>11477.655288041176</v>
      </c>
      <c r="O1207" s="34">
        <v>8771.220220120966</v>
      </c>
      <c r="P1207">
        <f t="shared" si="1943"/>
        <v>219160</v>
      </c>
      <c r="Q1207" s="18">
        <f t="shared" si="1944"/>
        <v>4987.149875</v>
      </c>
    </row>
    <row r="1208">
      <c r="B1208" s="23" t="s">
        <v>5598</v>
      </c>
      <c r="C1208" s="33"/>
      <c r="D1208" s="18">
        <f t="shared" ref="D1208:O1208" si="1948">SUM(D1203,D1204,D1207)</f>
        <v>2401651.267</v>
      </c>
      <c r="E1208" s="18">
        <f t="shared" si="1948"/>
        <v>3130626.336</v>
      </c>
      <c r="F1208" s="18">
        <f t="shared" si="1948"/>
        <v>1779680.909</v>
      </c>
      <c r="G1208" s="18">
        <f t="shared" si="1948"/>
        <v>2235915.346</v>
      </c>
      <c r="H1208" s="18">
        <f t="shared" si="1948"/>
        <v>2546680.712</v>
      </c>
      <c r="I1208" s="18">
        <f t="shared" si="1948"/>
        <v>4127187.658</v>
      </c>
      <c r="J1208" s="18">
        <f t="shared" si="1948"/>
        <v>2428994.32</v>
      </c>
      <c r="K1208" s="145">
        <f t="shared" si="1948"/>
        <v>2768201.284</v>
      </c>
      <c r="L1208" s="18">
        <f t="shared" si="1948"/>
        <v>2359655.025</v>
      </c>
      <c r="M1208" s="18">
        <f t="shared" si="1948"/>
        <v>1906701.565</v>
      </c>
      <c r="N1208" s="18">
        <f t="shared" si="1948"/>
        <v>1548029.958</v>
      </c>
      <c r="O1208" s="18">
        <f t="shared" si="1948"/>
        <v>1361075.328</v>
      </c>
      <c r="P1208">
        <f t="shared" si="1943"/>
        <v>28594399.71</v>
      </c>
      <c r="Q1208" s="18">
        <f t="shared" si="1944"/>
        <v>953350.7823</v>
      </c>
    </row>
    <row r="1209">
      <c r="B1209" s="1" t="s">
        <v>5599</v>
      </c>
      <c r="C1209" s="33"/>
      <c r="D1209">
        <f t="shared" ref="D1209:O1209" si="1949">SUM(D1201,D1205,D1207)</f>
        <v>2186821.357</v>
      </c>
      <c r="E1209">
        <f t="shared" si="1949"/>
        <v>2847482.22</v>
      </c>
      <c r="F1209">
        <f t="shared" si="1949"/>
        <v>1619350.014</v>
      </c>
      <c r="G1209">
        <f t="shared" si="1949"/>
        <v>2033988.267</v>
      </c>
      <c r="H1209">
        <f t="shared" si="1949"/>
        <v>2317089.498</v>
      </c>
      <c r="I1209">
        <f t="shared" si="1949"/>
        <v>3754433.013</v>
      </c>
      <c r="J1209">
        <f t="shared" si="1949"/>
        <v>2210121.624</v>
      </c>
      <c r="K1209" s="34">
        <f t="shared" si="1949"/>
        <v>2517873.799</v>
      </c>
      <c r="L1209">
        <f t="shared" si="1949"/>
        <v>2146918.882</v>
      </c>
      <c r="M1209">
        <f t="shared" si="1949"/>
        <v>1734271.813</v>
      </c>
      <c r="N1209">
        <f t="shared" si="1949"/>
        <v>1408343.385</v>
      </c>
      <c r="O1209">
        <f t="shared" si="1949"/>
        <v>1238138.591</v>
      </c>
      <c r="P1209">
        <f t="shared" si="1943"/>
        <v>26014832.46</v>
      </c>
      <c r="Q1209" s="18">
        <f t="shared" si="1944"/>
        <v>867135.9066</v>
      </c>
    </row>
    <row r="1210">
      <c r="B1210" s="1" t="s">
        <v>5601</v>
      </c>
      <c r="C1210" s="33"/>
      <c r="D1210">
        <f t="shared" ref="D1210:O1210" si="1950">SUM(D1201,D1205)</f>
        <v>2148299.106</v>
      </c>
      <c r="E1210">
        <f t="shared" si="1950"/>
        <v>2831441.16</v>
      </c>
      <c r="F1210">
        <f t="shared" si="1950"/>
        <v>1603308.953</v>
      </c>
      <c r="G1210">
        <f t="shared" si="1950"/>
        <v>2019270.791</v>
      </c>
      <c r="H1210">
        <f t="shared" si="1950"/>
        <v>2295912.138</v>
      </c>
      <c r="I1210">
        <f t="shared" si="1950"/>
        <v>3727546.457</v>
      </c>
      <c r="J1210">
        <f t="shared" si="1950"/>
        <v>2188726.958</v>
      </c>
      <c r="K1210" s="34">
        <f t="shared" si="1950"/>
        <v>2503274.854</v>
      </c>
      <c r="L1210">
        <f t="shared" si="1950"/>
        <v>2127361.431</v>
      </c>
      <c r="M1210">
        <f t="shared" si="1950"/>
        <v>1724297.514</v>
      </c>
      <c r="N1210">
        <f t="shared" si="1950"/>
        <v>1396865.73</v>
      </c>
      <c r="O1210">
        <f t="shared" si="1950"/>
        <v>1229367.371</v>
      </c>
      <c r="P1210">
        <f t="shared" si="1943"/>
        <v>25795672.46</v>
      </c>
      <c r="Q1210" s="18">
        <f t="shared" si="1944"/>
        <v>862148.7568</v>
      </c>
    </row>
    <row r="1211">
      <c r="B1211" s="1" t="s">
        <v>5582</v>
      </c>
      <c r="C1211" s="33"/>
      <c r="D1211">
        <f t="shared" ref="D1211:O1211" si="1951">SUM(D1202,D1206)</f>
        <v>214829.9106</v>
      </c>
      <c r="E1211">
        <f t="shared" si="1951"/>
        <v>283144.116</v>
      </c>
      <c r="F1211">
        <f t="shared" si="1951"/>
        <v>160330.8953</v>
      </c>
      <c r="G1211" s="34">
        <f t="shared" si="1951"/>
        <v>201927.0791</v>
      </c>
      <c r="H1211">
        <f t="shared" si="1951"/>
        <v>229591.2138</v>
      </c>
      <c r="I1211">
        <f t="shared" si="1951"/>
        <v>372754.6457</v>
      </c>
      <c r="J1211">
        <f t="shared" si="1951"/>
        <v>218872.6958</v>
      </c>
      <c r="K1211" s="34">
        <f t="shared" si="1951"/>
        <v>250327.4854</v>
      </c>
      <c r="L1211">
        <f t="shared" si="1951"/>
        <v>212736.1431</v>
      </c>
      <c r="M1211">
        <f t="shared" si="1951"/>
        <v>172429.7514</v>
      </c>
      <c r="N1211">
        <f t="shared" si="1951"/>
        <v>139686.573</v>
      </c>
      <c r="O1211">
        <f t="shared" si="1951"/>
        <v>122936.7371</v>
      </c>
      <c r="P1211">
        <f t="shared" si="1943"/>
        <v>2579567.246</v>
      </c>
      <c r="Q1211" s="18">
        <f t="shared" si="1944"/>
        <v>86214.87568</v>
      </c>
    </row>
    <row r="1212">
      <c r="B1212" s="1" t="s">
        <v>5602</v>
      </c>
      <c r="C1212" s="33"/>
      <c r="D1212">
        <f t="shared" ref="D1212:O1212" si="1952">SUM(D1210:D1211)</f>
        <v>2363129.016</v>
      </c>
      <c r="E1212">
        <f t="shared" si="1952"/>
        <v>3114585.276</v>
      </c>
      <c r="F1212">
        <f t="shared" si="1952"/>
        <v>1763639.849</v>
      </c>
      <c r="G1212">
        <f t="shared" si="1952"/>
        <v>2221197.87</v>
      </c>
      <c r="H1212">
        <f t="shared" si="1952"/>
        <v>2525503.351</v>
      </c>
      <c r="I1212">
        <f t="shared" si="1952"/>
        <v>4100301.103</v>
      </c>
      <c r="J1212">
        <f t="shared" si="1952"/>
        <v>2407599.654</v>
      </c>
      <c r="K1212" s="34">
        <f t="shared" si="1952"/>
        <v>2753602.339</v>
      </c>
      <c r="L1212">
        <f t="shared" si="1952"/>
        <v>2340097.575</v>
      </c>
      <c r="M1212">
        <f t="shared" si="1952"/>
        <v>1896727.265</v>
      </c>
      <c r="N1212">
        <f t="shared" si="1952"/>
        <v>1536552.303</v>
      </c>
      <c r="O1212">
        <f t="shared" si="1952"/>
        <v>1352304.108</v>
      </c>
      <c r="P1212">
        <f t="shared" si="1943"/>
        <v>28375239.71</v>
      </c>
      <c r="Q1212" s="18">
        <f t="shared" si="1944"/>
        <v>948363.6324</v>
      </c>
    </row>
    <row r="1213">
      <c r="C1213" s="33"/>
      <c r="D1213" s="33" t="s">
        <v>5566</v>
      </c>
      <c r="E1213" s="33" t="s">
        <v>5566</v>
      </c>
      <c r="F1213" s="1" t="s">
        <v>5566</v>
      </c>
      <c r="G1213" s="33" t="s">
        <v>5566</v>
      </c>
      <c r="H1213" s="33" t="s">
        <v>5566</v>
      </c>
      <c r="I1213" s="1" t="s">
        <v>5566</v>
      </c>
      <c r="J1213" s="1" t="s">
        <v>5566</v>
      </c>
      <c r="K1213" s="1" t="s">
        <v>5566</v>
      </c>
      <c r="L1213" s="33" t="s">
        <v>5566</v>
      </c>
      <c r="M1213" s="1" t="s">
        <v>5566</v>
      </c>
      <c r="N1213" s="1" t="s">
        <v>5566</v>
      </c>
      <c r="O1213" s="33" t="s">
        <v>5566</v>
      </c>
    </row>
    <row r="1214">
      <c r="C1214" s="33"/>
      <c r="D1214" s="34"/>
      <c r="E1214" s="33"/>
      <c r="G1214" s="33"/>
      <c r="H1214" s="33"/>
      <c r="L1214" s="33"/>
      <c r="O1214" s="33"/>
    </row>
    <row r="1215">
      <c r="C1215" s="33"/>
      <c r="D1215" s="34"/>
      <c r="E1215" s="2" t="s">
        <v>5889</v>
      </c>
      <c r="G1215" s="33"/>
      <c r="H1215" s="33"/>
      <c r="L1215" s="33"/>
      <c r="O1215" s="33"/>
    </row>
    <row r="1216">
      <c r="B1216" s="1" t="s">
        <v>5890</v>
      </c>
      <c r="C1216" s="33"/>
      <c r="D1216" s="33">
        <v>1990000.0</v>
      </c>
      <c r="E1216" s="1">
        <v>2700000.0</v>
      </c>
      <c r="F1216" s="1">
        <v>1550000.0</v>
      </c>
      <c r="G1216" s="1">
        <v>1890000.0</v>
      </c>
      <c r="H1216" s="1">
        <v>2000000.0</v>
      </c>
      <c r="I1216" s="1">
        <v>3500000.0</v>
      </c>
      <c r="J1216" s="33">
        <v>2150000.0</v>
      </c>
      <c r="K1216" s="1">
        <v>2400000.0</v>
      </c>
      <c r="L1216" s="1">
        <v>1990000.0</v>
      </c>
      <c r="M1216" s="33">
        <v>1570000.0</v>
      </c>
      <c r="N1216" s="33">
        <v>1350000.0</v>
      </c>
      <c r="O1216" s="1">
        <v>1200000.0</v>
      </c>
      <c r="P1216">
        <f t="shared" ref="P1216:P1224" si="1954">SUM(D1216:O1216)</f>
        <v>24290000</v>
      </c>
      <c r="Q1216" s="18">
        <f t="shared" ref="Q1216:Q1224" si="1955">M1216*0.5</f>
        <v>785000</v>
      </c>
    </row>
    <row r="1217">
      <c r="B1217" s="1" t="s">
        <v>5499</v>
      </c>
      <c r="C1217" s="33"/>
      <c r="D1217" s="33">
        <f t="shared" ref="D1217:O1217" si="1953">D1216*0.1</f>
        <v>199000</v>
      </c>
      <c r="E1217" s="1">
        <f t="shared" si="1953"/>
        <v>270000</v>
      </c>
      <c r="F1217" s="1">
        <f t="shared" si="1953"/>
        <v>155000</v>
      </c>
      <c r="G1217" s="1">
        <f t="shared" si="1953"/>
        <v>189000</v>
      </c>
      <c r="H1217" s="1">
        <f t="shared" si="1953"/>
        <v>200000</v>
      </c>
      <c r="I1217" s="1">
        <f t="shared" si="1953"/>
        <v>350000</v>
      </c>
      <c r="J1217" s="33">
        <f t="shared" si="1953"/>
        <v>215000</v>
      </c>
      <c r="K1217" s="1">
        <f t="shared" si="1953"/>
        <v>240000</v>
      </c>
      <c r="L1217" s="1">
        <f t="shared" si="1953"/>
        <v>199000</v>
      </c>
      <c r="M1217" s="33">
        <f t="shared" si="1953"/>
        <v>157000</v>
      </c>
      <c r="N1217" s="1">
        <f t="shared" si="1953"/>
        <v>135000</v>
      </c>
      <c r="O1217" s="1">
        <f t="shared" si="1953"/>
        <v>120000</v>
      </c>
      <c r="P1217">
        <f t="shared" si="1954"/>
        <v>2429000</v>
      </c>
      <c r="Q1217" s="18">
        <f t="shared" si="1955"/>
        <v>78500</v>
      </c>
    </row>
    <row r="1218">
      <c r="B1218" s="1" t="s">
        <v>5520</v>
      </c>
      <c r="C1218" s="33"/>
      <c r="D1218" s="34">
        <f t="shared" ref="D1218:O1218" si="1956">D1216+D1217</f>
        <v>2189000</v>
      </c>
      <c r="E1218">
        <f t="shared" si="1956"/>
        <v>2970000</v>
      </c>
      <c r="F1218">
        <f t="shared" si="1956"/>
        <v>1705000</v>
      </c>
      <c r="G1218">
        <f t="shared" si="1956"/>
        <v>2079000</v>
      </c>
      <c r="H1218">
        <f t="shared" si="1956"/>
        <v>2200000</v>
      </c>
      <c r="I1218">
        <f t="shared" si="1956"/>
        <v>3850000</v>
      </c>
      <c r="J1218" s="34">
        <f t="shared" si="1956"/>
        <v>2365000</v>
      </c>
      <c r="K1218">
        <f t="shared" si="1956"/>
        <v>2640000</v>
      </c>
      <c r="L1218">
        <f t="shared" si="1956"/>
        <v>2189000</v>
      </c>
      <c r="M1218" s="34">
        <f t="shared" si="1956"/>
        <v>1727000</v>
      </c>
      <c r="N1218">
        <f t="shared" si="1956"/>
        <v>1485000</v>
      </c>
      <c r="O1218">
        <f t="shared" si="1956"/>
        <v>1320000</v>
      </c>
      <c r="P1218">
        <f t="shared" si="1954"/>
        <v>26719000</v>
      </c>
      <c r="Q1218" s="18">
        <f t="shared" si="1955"/>
        <v>863500</v>
      </c>
    </row>
    <row r="1219">
      <c r="B1219" s="1" t="s">
        <v>5545</v>
      </c>
      <c r="C1219" s="33"/>
      <c r="D1219" s="34">
        <v>108717.98214586491</v>
      </c>
      <c r="E1219" s="34">
        <v>101627.67896243895</v>
      </c>
      <c r="F1219">
        <v>36525.80427825501</v>
      </c>
      <c r="G1219" s="34">
        <v>84820.05777328617</v>
      </c>
      <c r="H1219" s="34">
        <v>250045.60771433383</v>
      </c>
      <c r="I1219">
        <v>208792.9346471282</v>
      </c>
      <c r="J1219">
        <v>23155.905844702713</v>
      </c>
      <c r="K1219">
        <v>108078.99105997589</v>
      </c>
      <c r="L1219" s="34">
        <v>143636.7552765577</v>
      </c>
      <c r="M1219">
        <v>156582.52029644602</v>
      </c>
      <c r="N1219">
        <v>27667.91696142833</v>
      </c>
      <c r="O1219" s="34">
        <v>25949.055583628095</v>
      </c>
      <c r="P1219">
        <f t="shared" si="1954"/>
        <v>1275601.211</v>
      </c>
      <c r="Q1219" s="18">
        <f t="shared" si="1955"/>
        <v>78291.26015</v>
      </c>
    </row>
    <row r="1220">
      <c r="C1220" s="33"/>
      <c r="D1220">
        <f t="shared" ref="D1220:O1220" si="1957">D1219-D1221</f>
        <v>98834.52922</v>
      </c>
      <c r="E1220">
        <f t="shared" si="1957"/>
        <v>92388.79906</v>
      </c>
      <c r="F1220">
        <f t="shared" si="1957"/>
        <v>33205.27662</v>
      </c>
      <c r="G1220">
        <f t="shared" si="1957"/>
        <v>77109.14343</v>
      </c>
      <c r="H1220">
        <f t="shared" si="1957"/>
        <v>227314.1888</v>
      </c>
      <c r="I1220">
        <f t="shared" si="1957"/>
        <v>189811.7588</v>
      </c>
      <c r="J1220" s="34">
        <f t="shared" si="1957"/>
        <v>21050.8235</v>
      </c>
      <c r="K1220">
        <f t="shared" si="1957"/>
        <v>98253.62824</v>
      </c>
      <c r="L1220">
        <f t="shared" si="1957"/>
        <v>130578.8684</v>
      </c>
      <c r="M1220">
        <f t="shared" si="1957"/>
        <v>142347.7457</v>
      </c>
      <c r="N1220">
        <f t="shared" si="1957"/>
        <v>25152.65178</v>
      </c>
      <c r="O1220">
        <f t="shared" si="1957"/>
        <v>23590.05053</v>
      </c>
      <c r="P1220">
        <f t="shared" si="1954"/>
        <v>1159637.464</v>
      </c>
      <c r="Q1220" s="18">
        <f t="shared" si="1955"/>
        <v>71173.87286</v>
      </c>
    </row>
    <row r="1221">
      <c r="B1221" s="1" t="s">
        <v>5499</v>
      </c>
      <c r="C1221" s="33"/>
      <c r="D1221">
        <f t="shared" ref="D1221:O1221" si="1958">D1219/11</f>
        <v>9883.452922</v>
      </c>
      <c r="E1221">
        <f t="shared" si="1958"/>
        <v>9238.879906</v>
      </c>
      <c r="F1221">
        <f t="shared" si="1958"/>
        <v>3320.527662</v>
      </c>
      <c r="G1221">
        <f t="shared" si="1958"/>
        <v>7710.914343</v>
      </c>
      <c r="H1221">
        <f t="shared" si="1958"/>
        <v>22731.41888</v>
      </c>
      <c r="I1221">
        <f t="shared" si="1958"/>
        <v>18981.17588</v>
      </c>
      <c r="J1221" s="34">
        <f t="shared" si="1958"/>
        <v>2105.08235</v>
      </c>
      <c r="K1221">
        <f t="shared" si="1958"/>
        <v>9825.362824</v>
      </c>
      <c r="L1221">
        <f t="shared" si="1958"/>
        <v>13057.88684</v>
      </c>
      <c r="M1221">
        <f t="shared" si="1958"/>
        <v>14234.77457</v>
      </c>
      <c r="N1221">
        <f t="shared" si="1958"/>
        <v>2515.265178</v>
      </c>
      <c r="O1221">
        <f t="shared" si="1958"/>
        <v>2359.005053</v>
      </c>
      <c r="P1221">
        <f t="shared" si="1954"/>
        <v>115963.7464</v>
      </c>
      <c r="Q1221" s="18">
        <f t="shared" si="1955"/>
        <v>7117.387286</v>
      </c>
    </row>
    <row r="1222">
      <c r="B1222" s="23" t="s">
        <v>5528</v>
      </c>
      <c r="C1222" s="33"/>
      <c r="D1222" s="145">
        <f t="shared" ref="D1222:O1222" si="1959">SUM(D1218,D1219)</f>
        <v>2297717.982</v>
      </c>
      <c r="E1222" s="145">
        <f t="shared" si="1959"/>
        <v>3071627.679</v>
      </c>
      <c r="F1222" s="145">
        <f t="shared" si="1959"/>
        <v>1741525.804</v>
      </c>
      <c r="G1222" s="145">
        <f t="shared" si="1959"/>
        <v>2163820.058</v>
      </c>
      <c r="H1222" s="145">
        <f t="shared" si="1959"/>
        <v>2450045.608</v>
      </c>
      <c r="I1222" s="173">
        <f t="shared" si="1959"/>
        <v>4058792.935</v>
      </c>
      <c r="J1222" s="145">
        <f t="shared" si="1959"/>
        <v>2388155.906</v>
      </c>
      <c r="K1222" s="174">
        <f t="shared" si="1959"/>
        <v>2748078.991</v>
      </c>
      <c r="L1222" s="145">
        <f t="shared" si="1959"/>
        <v>2332636.755</v>
      </c>
      <c r="M1222" s="145">
        <f t="shared" si="1959"/>
        <v>1883582.52</v>
      </c>
      <c r="N1222" s="145">
        <f t="shared" si="1959"/>
        <v>1512667.917</v>
      </c>
      <c r="O1222" s="145">
        <f t="shared" si="1959"/>
        <v>1345949.056</v>
      </c>
      <c r="P1222">
        <f t="shared" si="1954"/>
        <v>27994601.21</v>
      </c>
      <c r="Q1222" s="18">
        <f t="shared" si="1955"/>
        <v>941791.2601</v>
      </c>
    </row>
    <row r="1223">
      <c r="B1223" s="1" t="s">
        <v>5580</v>
      </c>
      <c r="C1223" s="33"/>
      <c r="D1223">
        <f t="shared" ref="D1223:O1223" si="1960">D1216+D1220</f>
        <v>2088834.529</v>
      </c>
      <c r="E1223">
        <f t="shared" si="1960"/>
        <v>2792388.799</v>
      </c>
      <c r="F1223">
        <f t="shared" si="1960"/>
        <v>1583205.277</v>
      </c>
      <c r="G1223">
        <f t="shared" si="1960"/>
        <v>1967109.143</v>
      </c>
      <c r="H1223">
        <f t="shared" si="1960"/>
        <v>2227314.189</v>
      </c>
      <c r="I1223">
        <f t="shared" si="1960"/>
        <v>3689811.759</v>
      </c>
      <c r="J1223" s="34">
        <f t="shared" si="1960"/>
        <v>2171050.823</v>
      </c>
      <c r="K1223">
        <f t="shared" si="1960"/>
        <v>2498253.628</v>
      </c>
      <c r="L1223">
        <f t="shared" si="1960"/>
        <v>2120578.868</v>
      </c>
      <c r="M1223">
        <f t="shared" si="1960"/>
        <v>1712347.746</v>
      </c>
      <c r="N1223">
        <f t="shared" si="1960"/>
        <v>1375152.652</v>
      </c>
      <c r="O1223">
        <f t="shared" si="1960"/>
        <v>1223590.051</v>
      </c>
      <c r="P1223">
        <f t="shared" si="1954"/>
        <v>25449637.46</v>
      </c>
      <c r="Q1223" s="18">
        <f t="shared" si="1955"/>
        <v>856173.8729</v>
      </c>
    </row>
    <row r="1224">
      <c r="B1224" s="1" t="s">
        <v>5582</v>
      </c>
      <c r="C1224" s="33"/>
      <c r="D1224">
        <f t="shared" ref="D1224:O1224" si="1961">D1217+D1221</f>
        <v>208883.4529</v>
      </c>
      <c r="E1224">
        <f t="shared" si="1961"/>
        <v>279238.8799</v>
      </c>
      <c r="F1224">
        <f t="shared" si="1961"/>
        <v>158320.5277</v>
      </c>
      <c r="G1224">
        <f t="shared" si="1961"/>
        <v>196710.9143</v>
      </c>
      <c r="H1224">
        <f t="shared" si="1961"/>
        <v>222731.4189</v>
      </c>
      <c r="I1224">
        <f t="shared" si="1961"/>
        <v>368981.1759</v>
      </c>
      <c r="J1224" s="34">
        <f t="shared" si="1961"/>
        <v>217105.0823</v>
      </c>
      <c r="K1224">
        <f t="shared" si="1961"/>
        <v>249825.3628</v>
      </c>
      <c r="L1224">
        <f t="shared" si="1961"/>
        <v>212057.8868</v>
      </c>
      <c r="M1224">
        <f t="shared" si="1961"/>
        <v>171234.7746</v>
      </c>
      <c r="N1224">
        <f t="shared" si="1961"/>
        <v>137515.2652</v>
      </c>
      <c r="O1224">
        <f t="shared" si="1961"/>
        <v>122359.0051</v>
      </c>
      <c r="P1224">
        <f t="shared" si="1954"/>
        <v>2544963.746</v>
      </c>
      <c r="Q1224" s="18">
        <f t="shared" si="1955"/>
        <v>85617.38729</v>
      </c>
    </row>
    <row r="1225">
      <c r="C1225" s="33"/>
      <c r="D1225" s="33" t="s">
        <v>5566</v>
      </c>
      <c r="E1225" s="33" t="s">
        <v>5566</v>
      </c>
      <c r="F1225" s="1" t="s">
        <v>5566</v>
      </c>
      <c r="G1225" s="33" t="s">
        <v>5566</v>
      </c>
      <c r="H1225" s="33" t="s">
        <v>5566</v>
      </c>
      <c r="I1225" s="1" t="s">
        <v>5566</v>
      </c>
      <c r="J1225" s="1" t="s">
        <v>5566</v>
      </c>
      <c r="K1225" s="1" t="s">
        <v>5566</v>
      </c>
      <c r="L1225" s="33" t="s">
        <v>5566</v>
      </c>
      <c r="M1225" s="1" t="s">
        <v>5566</v>
      </c>
      <c r="N1225" s="1" t="s">
        <v>5566</v>
      </c>
      <c r="O1225" s="33" t="s">
        <v>5566</v>
      </c>
    </row>
    <row r="1226">
      <c r="C1226" s="33"/>
      <c r="D1226" s="34"/>
      <c r="E1226" s="33"/>
      <c r="G1226" s="33"/>
      <c r="H1226" s="33"/>
      <c r="L1226" s="33"/>
      <c r="O1226" s="33"/>
    </row>
    <row r="1227">
      <c r="C1227" s="33"/>
      <c r="D1227" s="34"/>
      <c r="E1227" s="2" t="s">
        <v>5889</v>
      </c>
      <c r="G1227" s="33"/>
      <c r="H1227" s="33"/>
      <c r="L1227" s="33"/>
      <c r="O1227" s="33"/>
    </row>
    <row r="1228">
      <c r="B1228" s="1" t="s">
        <v>5891</v>
      </c>
      <c r="C1228" s="33"/>
      <c r="D1228" s="33">
        <v>1990000.0</v>
      </c>
      <c r="E1228" s="1">
        <f>(2700000*6+2830000*25)/31</f>
        <v>2804838.71</v>
      </c>
      <c r="F1228" s="1">
        <v>1550000.0</v>
      </c>
      <c r="G1228" s="1">
        <v>1890000.0</v>
      </c>
      <c r="H1228" s="1">
        <v>2000000.0</v>
      </c>
      <c r="I1228" s="1">
        <v>3500000.0</v>
      </c>
      <c r="J1228" s="33">
        <v>2150000.0</v>
      </c>
      <c r="K1228" s="1">
        <v>2400000.0</v>
      </c>
      <c r="L1228" s="1">
        <v>1990000.0</v>
      </c>
      <c r="M1228" s="33">
        <v>1570000.0</v>
      </c>
      <c r="N1228" s="33">
        <v>1350000.0</v>
      </c>
      <c r="O1228" s="1">
        <v>1200000.0</v>
      </c>
      <c r="P1228">
        <f t="shared" ref="P1228:P1239" si="1963">SUM(D1228:O1228)</f>
        <v>24394838.71</v>
      </c>
      <c r="Q1228" s="18">
        <f t="shared" ref="Q1228:Q1239" si="1964">M1228*0.5</f>
        <v>785000</v>
      </c>
    </row>
    <row r="1229">
      <c r="B1229" s="1" t="s">
        <v>5499</v>
      </c>
      <c r="C1229" s="33"/>
      <c r="D1229" s="33">
        <f t="shared" ref="D1229:O1229" si="1962">D1228*0.1</f>
        <v>199000</v>
      </c>
      <c r="E1229" s="1">
        <f t="shared" si="1962"/>
        <v>280483.871</v>
      </c>
      <c r="F1229" s="1">
        <f t="shared" si="1962"/>
        <v>155000</v>
      </c>
      <c r="G1229" s="1">
        <f t="shared" si="1962"/>
        <v>189000</v>
      </c>
      <c r="H1229" s="1">
        <f t="shared" si="1962"/>
        <v>200000</v>
      </c>
      <c r="I1229" s="1">
        <f t="shared" si="1962"/>
        <v>350000</v>
      </c>
      <c r="J1229" s="33">
        <f t="shared" si="1962"/>
        <v>215000</v>
      </c>
      <c r="K1229" s="1">
        <f t="shared" si="1962"/>
        <v>240000</v>
      </c>
      <c r="L1229" s="1">
        <f t="shared" si="1962"/>
        <v>199000</v>
      </c>
      <c r="M1229" s="33">
        <f t="shared" si="1962"/>
        <v>157000</v>
      </c>
      <c r="N1229" s="1">
        <f t="shared" si="1962"/>
        <v>135000</v>
      </c>
      <c r="O1229" s="1">
        <f t="shared" si="1962"/>
        <v>120000</v>
      </c>
      <c r="P1229">
        <f t="shared" si="1963"/>
        <v>2439483.871</v>
      </c>
      <c r="Q1229" s="18">
        <f t="shared" si="1964"/>
        <v>78500</v>
      </c>
    </row>
    <row r="1230">
      <c r="B1230" s="1" t="s">
        <v>5520</v>
      </c>
      <c r="C1230" s="33"/>
      <c r="D1230" s="34">
        <f t="shared" ref="D1230:O1230" si="1965">D1228+D1229</f>
        <v>2189000</v>
      </c>
      <c r="E1230">
        <f t="shared" si="1965"/>
        <v>3085322.581</v>
      </c>
      <c r="F1230">
        <f t="shared" si="1965"/>
        <v>1705000</v>
      </c>
      <c r="G1230">
        <f t="shared" si="1965"/>
        <v>2079000</v>
      </c>
      <c r="H1230">
        <f t="shared" si="1965"/>
        <v>2200000</v>
      </c>
      <c r="I1230">
        <f t="shared" si="1965"/>
        <v>3850000</v>
      </c>
      <c r="J1230" s="34">
        <f t="shared" si="1965"/>
        <v>2365000</v>
      </c>
      <c r="K1230">
        <f t="shared" si="1965"/>
        <v>2640000</v>
      </c>
      <c r="L1230">
        <f t="shared" si="1965"/>
        <v>2189000</v>
      </c>
      <c r="M1230" s="34">
        <f t="shared" si="1965"/>
        <v>1727000</v>
      </c>
      <c r="N1230">
        <f t="shared" si="1965"/>
        <v>1485000</v>
      </c>
      <c r="O1230">
        <f t="shared" si="1965"/>
        <v>1320000</v>
      </c>
      <c r="P1230">
        <f t="shared" si="1963"/>
        <v>26834322.58</v>
      </c>
      <c r="Q1230" s="18">
        <f t="shared" si="1964"/>
        <v>863500</v>
      </c>
    </row>
    <row r="1231">
      <c r="B1231" s="1" t="s">
        <v>5545</v>
      </c>
      <c r="C1231" s="33"/>
      <c r="D1231" s="34">
        <v>81184.02074952361</v>
      </c>
      <c r="E1231" s="34">
        <v>73824.56277789541</v>
      </c>
      <c r="F1231">
        <v>35877.35761168749</v>
      </c>
      <c r="G1231" s="34">
        <v>60689.78234173195</v>
      </c>
      <c r="H1231" s="34">
        <v>228807.4003811137</v>
      </c>
      <c r="I1231">
        <v>158432.58352741902</v>
      </c>
      <c r="J1231">
        <v>49190.62926106288</v>
      </c>
      <c r="K1231">
        <v>100935.75400348785</v>
      </c>
      <c r="L1231" s="34">
        <v>134055.44311698643</v>
      </c>
      <c r="M1231">
        <v>108526.25915731526</v>
      </c>
      <c r="N1231">
        <v>20442.74655939022</v>
      </c>
      <c r="O1231" s="34">
        <v>34241.7302561931</v>
      </c>
      <c r="P1231">
        <f t="shared" si="1963"/>
        <v>1086208.27</v>
      </c>
      <c r="Q1231" s="18">
        <f t="shared" si="1964"/>
        <v>54263.12958</v>
      </c>
    </row>
    <row r="1232">
      <c r="C1232" s="33"/>
      <c r="D1232">
        <f t="shared" ref="D1232:O1232" si="1966">D1231-D1233</f>
        <v>73803.65523</v>
      </c>
      <c r="E1232">
        <f t="shared" si="1966"/>
        <v>67113.23889</v>
      </c>
      <c r="F1232">
        <f t="shared" si="1966"/>
        <v>32615.77965</v>
      </c>
      <c r="G1232">
        <f t="shared" si="1966"/>
        <v>55172.5294</v>
      </c>
      <c r="H1232">
        <f t="shared" si="1966"/>
        <v>208006.7276</v>
      </c>
      <c r="I1232">
        <f t="shared" si="1966"/>
        <v>144029.6214</v>
      </c>
      <c r="J1232" s="34">
        <f t="shared" si="1966"/>
        <v>44718.75387</v>
      </c>
      <c r="K1232">
        <f t="shared" si="1966"/>
        <v>91759.77637</v>
      </c>
      <c r="L1232">
        <f t="shared" si="1966"/>
        <v>121868.5847</v>
      </c>
      <c r="M1232">
        <f t="shared" si="1966"/>
        <v>98660.2356</v>
      </c>
      <c r="N1232">
        <f t="shared" si="1966"/>
        <v>18584.31505</v>
      </c>
      <c r="O1232">
        <f t="shared" si="1966"/>
        <v>31128.84569</v>
      </c>
      <c r="P1232">
        <f t="shared" si="1963"/>
        <v>987462.0634</v>
      </c>
      <c r="Q1232" s="18">
        <f t="shared" si="1964"/>
        <v>49330.1178</v>
      </c>
    </row>
    <row r="1233">
      <c r="B1233" s="1" t="s">
        <v>5499</v>
      </c>
      <c r="C1233" s="33"/>
      <c r="D1233">
        <f t="shared" ref="D1233:O1233" si="1967">D1231/11</f>
        <v>7380.365523</v>
      </c>
      <c r="E1233">
        <f t="shared" si="1967"/>
        <v>6711.323889</v>
      </c>
      <c r="F1233">
        <f t="shared" si="1967"/>
        <v>3261.577965</v>
      </c>
      <c r="G1233">
        <f t="shared" si="1967"/>
        <v>5517.25294</v>
      </c>
      <c r="H1233">
        <f t="shared" si="1967"/>
        <v>20800.67276</v>
      </c>
      <c r="I1233">
        <f t="shared" si="1967"/>
        <v>14402.96214</v>
      </c>
      <c r="J1233" s="34">
        <f t="shared" si="1967"/>
        <v>4471.875387</v>
      </c>
      <c r="K1233">
        <f t="shared" si="1967"/>
        <v>9175.977637</v>
      </c>
      <c r="L1233">
        <f t="shared" si="1967"/>
        <v>12186.85847</v>
      </c>
      <c r="M1233">
        <f t="shared" si="1967"/>
        <v>9866.02356</v>
      </c>
      <c r="N1233">
        <f t="shared" si="1967"/>
        <v>1858.431505</v>
      </c>
      <c r="O1233">
        <f t="shared" si="1967"/>
        <v>3112.884569</v>
      </c>
      <c r="P1233">
        <f t="shared" si="1963"/>
        <v>98746.20634</v>
      </c>
      <c r="Q1233" s="18">
        <f t="shared" si="1964"/>
        <v>4933.01178</v>
      </c>
    </row>
    <row r="1234">
      <c r="B1234" s="1" t="s">
        <v>5816</v>
      </c>
      <c r="C1234" s="33"/>
      <c r="D1234" s="34">
        <v>57807.98456809598</v>
      </c>
      <c r="E1234" s="34">
        <v>24071.83767656099</v>
      </c>
      <c r="F1234">
        <v>24071.83767656099</v>
      </c>
      <c r="G1234" s="34">
        <v>22085.614617041796</v>
      </c>
      <c r="H1234" s="34">
        <v>31779.56895230712</v>
      </c>
      <c r="I1234">
        <v>40347.00871650186</v>
      </c>
      <c r="J1234">
        <v>32105.665275511765</v>
      </c>
      <c r="K1234" s="34">
        <v>21907.74389529381</v>
      </c>
      <c r="L1234" s="34">
        <v>29348.669088417955</v>
      </c>
      <c r="M1234">
        <v>14967.821235093159</v>
      </c>
      <c r="N1234">
        <v>17223.81488926347</v>
      </c>
      <c r="O1234" s="34">
        <v>13162.433409351082</v>
      </c>
      <c r="P1234">
        <f t="shared" si="1963"/>
        <v>328880</v>
      </c>
      <c r="Q1234" s="18">
        <f t="shared" si="1964"/>
        <v>7483.910618</v>
      </c>
    </row>
    <row r="1235">
      <c r="B1235" s="23" t="s">
        <v>5598</v>
      </c>
      <c r="C1235" s="33"/>
      <c r="D1235" s="18">
        <f t="shared" ref="D1235:O1235" si="1968">SUM(D1230,D1231,D1234)</f>
        <v>2327992.005</v>
      </c>
      <c r="E1235" s="18">
        <f t="shared" si="1968"/>
        <v>3183218.981</v>
      </c>
      <c r="F1235" s="18">
        <f t="shared" si="1968"/>
        <v>1764949.195</v>
      </c>
      <c r="G1235" s="18">
        <f t="shared" si="1968"/>
        <v>2161775.397</v>
      </c>
      <c r="H1235" s="18">
        <f t="shared" si="1968"/>
        <v>2460586.969</v>
      </c>
      <c r="I1235" s="18">
        <f t="shared" si="1968"/>
        <v>4048779.592</v>
      </c>
      <c r="J1235" s="18">
        <f t="shared" si="1968"/>
        <v>2446296.295</v>
      </c>
      <c r="K1235" s="145">
        <f t="shared" si="1968"/>
        <v>2762843.498</v>
      </c>
      <c r="L1235" s="18">
        <f t="shared" si="1968"/>
        <v>2352404.112</v>
      </c>
      <c r="M1235" s="18">
        <f t="shared" si="1968"/>
        <v>1850494.08</v>
      </c>
      <c r="N1235" s="18">
        <f t="shared" si="1968"/>
        <v>1522666.561</v>
      </c>
      <c r="O1235" s="18">
        <f t="shared" si="1968"/>
        <v>1367404.164</v>
      </c>
      <c r="P1235">
        <f t="shared" si="1963"/>
        <v>28249410.85</v>
      </c>
      <c r="Q1235" s="18">
        <f t="shared" si="1964"/>
        <v>925247.0402</v>
      </c>
    </row>
    <row r="1236">
      <c r="B1236" s="1" t="s">
        <v>5599</v>
      </c>
      <c r="C1236" s="33"/>
      <c r="D1236">
        <f t="shared" ref="D1236:O1236" si="1969">SUM(D1228,D1232,D1234)</f>
        <v>2121611.64</v>
      </c>
      <c r="E1236">
        <f t="shared" si="1969"/>
        <v>2896023.786</v>
      </c>
      <c r="F1236">
        <f t="shared" si="1969"/>
        <v>1606687.617</v>
      </c>
      <c r="G1236">
        <f t="shared" si="1969"/>
        <v>1967258.144</v>
      </c>
      <c r="H1236">
        <f t="shared" si="1969"/>
        <v>2239786.297</v>
      </c>
      <c r="I1236">
        <f t="shared" si="1969"/>
        <v>3684376.63</v>
      </c>
      <c r="J1236">
        <f t="shared" si="1969"/>
        <v>2226824.419</v>
      </c>
      <c r="K1236" s="34">
        <f t="shared" si="1969"/>
        <v>2513667.52</v>
      </c>
      <c r="L1236">
        <f t="shared" si="1969"/>
        <v>2141217.254</v>
      </c>
      <c r="M1236">
        <f t="shared" si="1969"/>
        <v>1683628.057</v>
      </c>
      <c r="N1236">
        <f t="shared" si="1969"/>
        <v>1385808.13</v>
      </c>
      <c r="O1236">
        <f t="shared" si="1969"/>
        <v>1244291.279</v>
      </c>
      <c r="P1236">
        <f t="shared" si="1963"/>
        <v>25711180.77</v>
      </c>
      <c r="Q1236" s="18">
        <f t="shared" si="1964"/>
        <v>841814.0284</v>
      </c>
    </row>
    <row r="1237">
      <c r="B1237" s="1" t="s">
        <v>5601</v>
      </c>
      <c r="C1237" s="33"/>
      <c r="D1237">
        <f t="shared" ref="D1237:O1237" si="1970">SUM(D1228,D1232)</f>
        <v>2063803.655</v>
      </c>
      <c r="E1237">
        <f t="shared" si="1970"/>
        <v>2871951.949</v>
      </c>
      <c r="F1237">
        <f t="shared" si="1970"/>
        <v>1582615.78</v>
      </c>
      <c r="G1237">
        <f t="shared" si="1970"/>
        <v>1945172.529</v>
      </c>
      <c r="H1237">
        <f t="shared" si="1970"/>
        <v>2208006.728</v>
      </c>
      <c r="I1237">
        <f t="shared" si="1970"/>
        <v>3644029.621</v>
      </c>
      <c r="J1237">
        <f t="shared" si="1970"/>
        <v>2194718.754</v>
      </c>
      <c r="K1237" s="34">
        <f t="shared" si="1970"/>
        <v>2491759.776</v>
      </c>
      <c r="L1237">
        <f t="shared" si="1970"/>
        <v>2111868.585</v>
      </c>
      <c r="M1237">
        <f t="shared" si="1970"/>
        <v>1668660.236</v>
      </c>
      <c r="N1237">
        <f t="shared" si="1970"/>
        <v>1368584.315</v>
      </c>
      <c r="O1237">
        <f t="shared" si="1970"/>
        <v>1231128.846</v>
      </c>
      <c r="P1237">
        <f t="shared" si="1963"/>
        <v>25382300.77</v>
      </c>
      <c r="Q1237" s="18">
        <f t="shared" si="1964"/>
        <v>834330.1178</v>
      </c>
    </row>
    <row r="1238">
      <c r="B1238" s="1" t="s">
        <v>5582</v>
      </c>
      <c r="C1238" s="33"/>
      <c r="D1238">
        <f t="shared" ref="D1238:O1238" si="1971">SUM(D1229,D1233)</f>
        <v>206380.3655</v>
      </c>
      <c r="E1238">
        <f t="shared" si="1971"/>
        <v>287195.1949</v>
      </c>
      <c r="F1238">
        <f t="shared" si="1971"/>
        <v>158261.578</v>
      </c>
      <c r="G1238" s="34">
        <f t="shared" si="1971"/>
        <v>194517.2529</v>
      </c>
      <c r="H1238">
        <f t="shared" si="1971"/>
        <v>220800.6728</v>
      </c>
      <c r="I1238">
        <f t="shared" si="1971"/>
        <v>364402.9621</v>
      </c>
      <c r="J1238">
        <f t="shared" si="1971"/>
        <v>219471.8754</v>
      </c>
      <c r="K1238" s="34">
        <f t="shared" si="1971"/>
        <v>249175.9776</v>
      </c>
      <c r="L1238">
        <f t="shared" si="1971"/>
        <v>211186.8585</v>
      </c>
      <c r="M1238">
        <f t="shared" si="1971"/>
        <v>166866.0236</v>
      </c>
      <c r="N1238">
        <f t="shared" si="1971"/>
        <v>136858.4315</v>
      </c>
      <c r="O1238">
        <f t="shared" si="1971"/>
        <v>123112.8846</v>
      </c>
      <c r="P1238">
        <f t="shared" si="1963"/>
        <v>2538230.077</v>
      </c>
      <c r="Q1238" s="18">
        <f t="shared" si="1964"/>
        <v>83433.01178</v>
      </c>
    </row>
    <row r="1239">
      <c r="B1239" s="1" t="s">
        <v>5602</v>
      </c>
      <c r="C1239" s="33"/>
      <c r="D1239">
        <f t="shared" ref="D1239:O1239" si="1972">SUM(D1237:D1238)</f>
        <v>2270184.021</v>
      </c>
      <c r="E1239">
        <f t="shared" si="1972"/>
        <v>3159147.143</v>
      </c>
      <c r="F1239">
        <f t="shared" si="1972"/>
        <v>1740877.358</v>
      </c>
      <c r="G1239">
        <f t="shared" si="1972"/>
        <v>2139689.782</v>
      </c>
      <c r="H1239">
        <f t="shared" si="1972"/>
        <v>2428807.4</v>
      </c>
      <c r="I1239">
        <f t="shared" si="1972"/>
        <v>4008432.584</v>
      </c>
      <c r="J1239">
        <f t="shared" si="1972"/>
        <v>2414190.629</v>
      </c>
      <c r="K1239" s="34">
        <f t="shared" si="1972"/>
        <v>2740935.754</v>
      </c>
      <c r="L1239">
        <f t="shared" si="1972"/>
        <v>2323055.443</v>
      </c>
      <c r="M1239">
        <f t="shared" si="1972"/>
        <v>1835526.259</v>
      </c>
      <c r="N1239">
        <f t="shared" si="1972"/>
        <v>1505442.747</v>
      </c>
      <c r="O1239">
        <f t="shared" si="1972"/>
        <v>1354241.73</v>
      </c>
      <c r="P1239">
        <f t="shared" si="1963"/>
        <v>27920530.85</v>
      </c>
      <c r="Q1239" s="18">
        <f t="shared" si="1964"/>
        <v>917763.1296</v>
      </c>
    </row>
    <row r="1240">
      <c r="C1240" s="33"/>
      <c r="D1240" s="33" t="s">
        <v>5566</v>
      </c>
      <c r="E1240" s="33" t="s">
        <v>5566</v>
      </c>
      <c r="F1240" s="1" t="s">
        <v>5566</v>
      </c>
      <c r="G1240" s="33" t="s">
        <v>5566</v>
      </c>
      <c r="H1240" s="33" t="s">
        <v>5566</v>
      </c>
      <c r="I1240" s="1" t="s">
        <v>5566</v>
      </c>
      <c r="J1240" s="1" t="s">
        <v>5566</v>
      </c>
      <c r="K1240" s="1" t="s">
        <v>5566</v>
      </c>
      <c r="L1240" s="33" t="s">
        <v>5566</v>
      </c>
      <c r="M1240" s="1" t="s">
        <v>5566</v>
      </c>
      <c r="N1240" s="1" t="s">
        <v>5566</v>
      </c>
      <c r="O1240" s="33" t="s">
        <v>5566</v>
      </c>
    </row>
    <row r="1241">
      <c r="C1241" s="33"/>
      <c r="D1241" s="34"/>
      <c r="E1241" s="33"/>
      <c r="G1241" s="33"/>
      <c r="H1241" s="33"/>
      <c r="L1241" s="33"/>
      <c r="O1241" s="33"/>
    </row>
    <row r="1242">
      <c r="C1242" s="33"/>
      <c r="D1242" s="34"/>
      <c r="E1242" s="2" t="s">
        <v>5889</v>
      </c>
      <c r="G1242" s="33"/>
      <c r="H1242" s="33"/>
      <c r="L1242" s="33"/>
      <c r="O1242" s="33"/>
    </row>
    <row r="1243">
      <c r="B1243" s="1" t="s">
        <v>5892</v>
      </c>
      <c r="C1243" s="33"/>
      <c r="D1243" s="33">
        <v>1990000.0</v>
      </c>
      <c r="E1243" s="1">
        <v>2830000.0</v>
      </c>
      <c r="F1243" s="1">
        <v>1550000.0</v>
      </c>
      <c r="G1243" s="1">
        <v>1890000.0</v>
      </c>
      <c r="H1243" s="1">
        <v>2000000.0</v>
      </c>
      <c r="I1243" s="1">
        <v>3500000.0</v>
      </c>
      <c r="J1243" s="33">
        <v>2150000.0</v>
      </c>
      <c r="K1243" s="1">
        <v>2400000.0</v>
      </c>
      <c r="L1243" s="1">
        <v>1990000.0</v>
      </c>
      <c r="M1243" s="33">
        <v>1570000.0</v>
      </c>
      <c r="N1243" s="33">
        <v>1350000.0</v>
      </c>
      <c r="O1243" s="1">
        <v>1200000.0</v>
      </c>
      <c r="P1243">
        <f t="shared" ref="P1243:P1251" si="1974">SUM(D1243:O1243)</f>
        <v>24420000</v>
      </c>
      <c r="Q1243" s="18">
        <f t="shared" ref="Q1243:Q1251" si="1975">M1243*0.5</f>
        <v>785000</v>
      </c>
    </row>
    <row r="1244">
      <c r="B1244" s="1" t="s">
        <v>5499</v>
      </c>
      <c r="C1244" s="33"/>
      <c r="D1244" s="33">
        <f t="shared" ref="D1244:O1244" si="1973">D1243*0.1</f>
        <v>199000</v>
      </c>
      <c r="E1244" s="1">
        <f t="shared" si="1973"/>
        <v>283000</v>
      </c>
      <c r="F1244" s="1">
        <f t="shared" si="1973"/>
        <v>155000</v>
      </c>
      <c r="G1244" s="1">
        <f t="shared" si="1973"/>
        <v>189000</v>
      </c>
      <c r="H1244" s="1">
        <f t="shared" si="1973"/>
        <v>200000</v>
      </c>
      <c r="I1244" s="1">
        <f t="shared" si="1973"/>
        <v>350000</v>
      </c>
      <c r="J1244" s="33">
        <f t="shared" si="1973"/>
        <v>215000</v>
      </c>
      <c r="K1244" s="1">
        <f t="shared" si="1973"/>
        <v>240000</v>
      </c>
      <c r="L1244" s="1">
        <f t="shared" si="1973"/>
        <v>199000</v>
      </c>
      <c r="M1244" s="33">
        <f t="shared" si="1973"/>
        <v>157000</v>
      </c>
      <c r="N1244" s="1">
        <f t="shared" si="1973"/>
        <v>135000</v>
      </c>
      <c r="O1244" s="1">
        <f t="shared" si="1973"/>
        <v>120000</v>
      </c>
      <c r="P1244">
        <f t="shared" si="1974"/>
        <v>2442000</v>
      </c>
      <c r="Q1244" s="18">
        <f t="shared" si="1975"/>
        <v>78500</v>
      </c>
    </row>
    <row r="1245">
      <c r="B1245" s="1" t="s">
        <v>5520</v>
      </c>
      <c r="C1245" s="33"/>
      <c r="D1245" s="34">
        <f t="shared" ref="D1245:O1245" si="1976">D1243+D1244</f>
        <v>2189000</v>
      </c>
      <c r="E1245">
        <f t="shared" si="1976"/>
        <v>3113000</v>
      </c>
      <c r="F1245">
        <f t="shared" si="1976"/>
        <v>1705000</v>
      </c>
      <c r="G1245">
        <f t="shared" si="1976"/>
        <v>2079000</v>
      </c>
      <c r="H1245">
        <f t="shared" si="1976"/>
        <v>2200000</v>
      </c>
      <c r="I1245">
        <f t="shared" si="1976"/>
        <v>3850000</v>
      </c>
      <c r="J1245" s="34">
        <f t="shared" si="1976"/>
        <v>2365000</v>
      </c>
      <c r="K1245">
        <f t="shared" si="1976"/>
        <v>2640000</v>
      </c>
      <c r="L1245">
        <f t="shared" si="1976"/>
        <v>2189000</v>
      </c>
      <c r="M1245" s="34">
        <f t="shared" si="1976"/>
        <v>1727000</v>
      </c>
      <c r="N1245">
        <f t="shared" si="1976"/>
        <v>1485000</v>
      </c>
      <c r="O1245">
        <f t="shared" si="1976"/>
        <v>1320000</v>
      </c>
      <c r="P1245">
        <f t="shared" si="1974"/>
        <v>26862000</v>
      </c>
      <c r="Q1245" s="18">
        <f t="shared" si="1975"/>
        <v>863500</v>
      </c>
    </row>
    <row r="1246">
      <c r="B1246" s="1" t="s">
        <v>5545</v>
      </c>
      <c r="C1246" s="33"/>
      <c r="D1246" s="34">
        <v>93818.17477096547</v>
      </c>
      <c r="E1246" s="34">
        <v>85161.6349541931</v>
      </c>
      <c r="F1246">
        <v>37901.6067653277</v>
      </c>
      <c r="G1246" s="34">
        <v>62389.09443269909</v>
      </c>
      <c r="H1246" s="34">
        <v>263829.11557434814</v>
      </c>
      <c r="I1246">
        <v>187090.05990133897</v>
      </c>
      <c r="J1246">
        <v>108245.35940803382</v>
      </c>
      <c r="K1246">
        <v>121762.83868110673</v>
      </c>
      <c r="L1246" s="34">
        <v>161874.5538488439</v>
      </c>
      <c r="M1246">
        <v>121815.0704721635</v>
      </c>
      <c r="N1246">
        <v>40630.764622973926</v>
      </c>
      <c r="O1246" s="34">
        <v>43438.29105003524</v>
      </c>
      <c r="P1246">
        <f t="shared" si="1974"/>
        <v>1327956.564</v>
      </c>
      <c r="Q1246" s="18">
        <f t="shared" si="1975"/>
        <v>60907.53524</v>
      </c>
    </row>
    <row r="1247">
      <c r="C1247" s="33"/>
      <c r="D1247">
        <f t="shared" ref="D1247:O1247" si="1977">D1246-D1248</f>
        <v>85289.24979</v>
      </c>
      <c r="E1247">
        <f t="shared" si="1977"/>
        <v>77419.66814</v>
      </c>
      <c r="F1247">
        <f t="shared" si="1977"/>
        <v>34456.00615</v>
      </c>
      <c r="G1247">
        <f t="shared" si="1977"/>
        <v>56717.35858</v>
      </c>
      <c r="H1247">
        <f t="shared" si="1977"/>
        <v>239844.6505</v>
      </c>
      <c r="I1247">
        <f t="shared" si="1977"/>
        <v>170081.8726</v>
      </c>
      <c r="J1247" s="34">
        <f t="shared" si="1977"/>
        <v>98404.87219</v>
      </c>
      <c r="K1247">
        <f t="shared" si="1977"/>
        <v>110693.4897</v>
      </c>
      <c r="L1247">
        <f t="shared" si="1977"/>
        <v>147158.6853</v>
      </c>
      <c r="M1247">
        <f t="shared" si="1977"/>
        <v>110740.9732</v>
      </c>
      <c r="N1247">
        <f t="shared" si="1977"/>
        <v>36937.05875</v>
      </c>
      <c r="O1247">
        <f t="shared" si="1977"/>
        <v>39489.3555</v>
      </c>
      <c r="P1247">
        <f t="shared" si="1974"/>
        <v>1207233.24</v>
      </c>
      <c r="Q1247" s="18">
        <f t="shared" si="1975"/>
        <v>55370.48658</v>
      </c>
    </row>
    <row r="1248">
      <c r="B1248" s="1" t="s">
        <v>5499</v>
      </c>
      <c r="C1248" s="33"/>
      <c r="D1248">
        <f t="shared" ref="D1248:O1248" si="1978">D1246/11</f>
        <v>8528.924979</v>
      </c>
      <c r="E1248">
        <f t="shared" si="1978"/>
        <v>7741.966814</v>
      </c>
      <c r="F1248">
        <f t="shared" si="1978"/>
        <v>3445.600615</v>
      </c>
      <c r="G1248">
        <f t="shared" si="1978"/>
        <v>5671.735858</v>
      </c>
      <c r="H1248">
        <f t="shared" si="1978"/>
        <v>23984.46505</v>
      </c>
      <c r="I1248">
        <f t="shared" si="1978"/>
        <v>17008.18726</v>
      </c>
      <c r="J1248" s="34">
        <f t="shared" si="1978"/>
        <v>9840.487219</v>
      </c>
      <c r="K1248">
        <f t="shared" si="1978"/>
        <v>11069.34897</v>
      </c>
      <c r="L1248">
        <f t="shared" si="1978"/>
        <v>14715.86853</v>
      </c>
      <c r="M1248">
        <f t="shared" si="1978"/>
        <v>11074.09732</v>
      </c>
      <c r="N1248">
        <f t="shared" si="1978"/>
        <v>3693.705875</v>
      </c>
      <c r="O1248">
        <f t="shared" si="1978"/>
        <v>3948.93555</v>
      </c>
      <c r="P1248">
        <f t="shared" si="1974"/>
        <v>120723.324</v>
      </c>
      <c r="Q1248" s="18">
        <f t="shared" si="1975"/>
        <v>5537.048658</v>
      </c>
    </row>
    <row r="1249">
      <c r="B1249" s="23" t="s">
        <v>5528</v>
      </c>
      <c r="C1249" s="33"/>
      <c r="D1249" s="145">
        <f t="shared" ref="D1249:O1249" si="1979">SUM(D1245,D1246)</f>
        <v>2282818.175</v>
      </c>
      <c r="E1249" s="145">
        <f t="shared" si="1979"/>
        <v>3198161.635</v>
      </c>
      <c r="F1249" s="145">
        <f t="shared" si="1979"/>
        <v>1742901.607</v>
      </c>
      <c r="G1249" s="145">
        <f t="shared" si="1979"/>
        <v>2141389.094</v>
      </c>
      <c r="H1249" s="145">
        <f t="shared" si="1979"/>
        <v>2463829.116</v>
      </c>
      <c r="I1249" s="173">
        <f t="shared" si="1979"/>
        <v>4037090.06</v>
      </c>
      <c r="J1249" s="145">
        <f t="shared" si="1979"/>
        <v>2473245.359</v>
      </c>
      <c r="K1249" s="183">
        <f t="shared" si="1979"/>
        <v>2761762.839</v>
      </c>
      <c r="L1249" s="145">
        <f t="shared" si="1979"/>
        <v>2350874.554</v>
      </c>
      <c r="M1249" s="145">
        <f t="shared" si="1979"/>
        <v>1848815.07</v>
      </c>
      <c r="N1249" s="145">
        <f t="shared" si="1979"/>
        <v>1525630.765</v>
      </c>
      <c r="O1249" s="145">
        <f t="shared" si="1979"/>
        <v>1363438.291</v>
      </c>
      <c r="P1249">
        <f t="shared" si="1974"/>
        <v>28189956.56</v>
      </c>
      <c r="Q1249" s="18">
        <f t="shared" si="1975"/>
        <v>924407.5352</v>
      </c>
    </row>
    <row r="1250">
      <c r="B1250" s="1" t="s">
        <v>5580</v>
      </c>
      <c r="C1250" s="33"/>
      <c r="D1250">
        <f t="shared" ref="D1250:O1250" si="1980">D1243+D1247</f>
        <v>2075289.25</v>
      </c>
      <c r="E1250">
        <f t="shared" si="1980"/>
        <v>2907419.668</v>
      </c>
      <c r="F1250">
        <f t="shared" si="1980"/>
        <v>1584456.006</v>
      </c>
      <c r="G1250">
        <f t="shared" si="1980"/>
        <v>1946717.359</v>
      </c>
      <c r="H1250">
        <f t="shared" si="1980"/>
        <v>2239844.651</v>
      </c>
      <c r="I1250">
        <f t="shared" si="1980"/>
        <v>3670081.873</v>
      </c>
      <c r="J1250" s="34">
        <f t="shared" si="1980"/>
        <v>2248404.872</v>
      </c>
      <c r="K1250">
        <f t="shared" si="1980"/>
        <v>2510693.49</v>
      </c>
      <c r="L1250">
        <f t="shared" si="1980"/>
        <v>2137158.685</v>
      </c>
      <c r="M1250">
        <f t="shared" si="1980"/>
        <v>1680740.973</v>
      </c>
      <c r="N1250">
        <f t="shared" si="1980"/>
        <v>1386937.059</v>
      </c>
      <c r="O1250">
        <f t="shared" si="1980"/>
        <v>1239489.356</v>
      </c>
      <c r="P1250">
        <f t="shared" si="1974"/>
        <v>25627233.24</v>
      </c>
      <c r="Q1250" s="18">
        <f t="shared" si="1975"/>
        <v>840370.4866</v>
      </c>
    </row>
    <row r="1251">
      <c r="B1251" s="1" t="s">
        <v>5582</v>
      </c>
      <c r="C1251" s="33"/>
      <c r="D1251">
        <f t="shared" ref="D1251:O1251" si="1981">D1244+D1248</f>
        <v>207528.925</v>
      </c>
      <c r="E1251">
        <f t="shared" si="1981"/>
        <v>290741.9668</v>
      </c>
      <c r="F1251">
        <f t="shared" si="1981"/>
        <v>158445.6006</v>
      </c>
      <c r="G1251">
        <f t="shared" si="1981"/>
        <v>194671.7359</v>
      </c>
      <c r="H1251">
        <f t="shared" si="1981"/>
        <v>223984.4651</v>
      </c>
      <c r="I1251">
        <f t="shared" si="1981"/>
        <v>367008.1873</v>
      </c>
      <c r="J1251" s="34">
        <f t="shared" si="1981"/>
        <v>224840.4872</v>
      </c>
      <c r="K1251">
        <f t="shared" si="1981"/>
        <v>251069.349</v>
      </c>
      <c r="L1251">
        <f t="shared" si="1981"/>
        <v>213715.8685</v>
      </c>
      <c r="M1251">
        <f t="shared" si="1981"/>
        <v>168074.0973</v>
      </c>
      <c r="N1251">
        <f t="shared" si="1981"/>
        <v>138693.7059</v>
      </c>
      <c r="O1251">
        <f t="shared" si="1981"/>
        <v>123948.9356</v>
      </c>
      <c r="P1251">
        <f t="shared" si="1974"/>
        <v>2562723.324</v>
      </c>
      <c r="Q1251" s="18">
        <f t="shared" si="1975"/>
        <v>84037.04866</v>
      </c>
    </row>
    <row r="1252">
      <c r="C1252" s="33"/>
      <c r="D1252" s="33" t="s">
        <v>5566</v>
      </c>
      <c r="E1252" s="33" t="s">
        <v>5566</v>
      </c>
      <c r="F1252" s="1" t="s">
        <v>5566</v>
      </c>
      <c r="G1252" s="33" t="s">
        <v>5566</v>
      </c>
      <c r="H1252" s="33" t="s">
        <v>5566</v>
      </c>
      <c r="I1252" s="1" t="s">
        <v>5566</v>
      </c>
      <c r="J1252" s="1" t="s">
        <v>5566</v>
      </c>
      <c r="L1252" s="33" t="s">
        <v>5566</v>
      </c>
      <c r="M1252" s="1" t="s">
        <v>5566</v>
      </c>
      <c r="N1252" s="1" t="s">
        <v>5566</v>
      </c>
      <c r="O1252" s="33" t="s">
        <v>5566</v>
      </c>
    </row>
    <row r="1253">
      <c r="C1253" s="33"/>
      <c r="D1253" s="34"/>
      <c r="E1253" s="33"/>
      <c r="G1253" s="33"/>
      <c r="H1253" s="33"/>
      <c r="L1253" s="33"/>
      <c r="O1253" s="33"/>
    </row>
    <row r="1254">
      <c r="C1254" s="33"/>
      <c r="D1254" s="34"/>
      <c r="E1254" s="33"/>
      <c r="G1254" s="33"/>
      <c r="H1254" s="33"/>
      <c r="L1254" s="33"/>
      <c r="O1254" s="33"/>
    </row>
    <row r="1255">
      <c r="B1255" s="1" t="s">
        <v>5893</v>
      </c>
      <c r="C1255" s="33"/>
      <c r="D1255" s="33">
        <v>1990000.0</v>
      </c>
      <c r="E1255" s="1">
        <v>2830000.0</v>
      </c>
      <c r="F1255" s="1">
        <v>1550000.0</v>
      </c>
      <c r="G1255" s="1">
        <v>1890000.0</v>
      </c>
      <c r="H1255" s="1">
        <v>2000000.0</v>
      </c>
      <c r="I1255" s="1">
        <v>3500000.0</v>
      </c>
      <c r="J1255" s="33">
        <v>2150000.0</v>
      </c>
      <c r="K1255" s="1">
        <v>2400000.0</v>
      </c>
      <c r="L1255" s="1">
        <v>1990000.0</v>
      </c>
      <c r="M1255" s="33">
        <v>1570000.0</v>
      </c>
      <c r="N1255" s="33">
        <v>1350000.0</v>
      </c>
      <c r="O1255" s="1">
        <v>1200000.0</v>
      </c>
      <c r="P1255">
        <f t="shared" ref="P1255:P1266" si="1983">SUM(D1255:O1255)</f>
        <v>24420000</v>
      </c>
      <c r="Q1255" s="18">
        <f t="shared" ref="Q1255:Q1266" si="1984">M1255*0.5</f>
        <v>785000</v>
      </c>
    </row>
    <row r="1256">
      <c r="B1256" s="1" t="s">
        <v>5499</v>
      </c>
      <c r="C1256" s="33"/>
      <c r="D1256" s="33">
        <f t="shared" ref="D1256:O1256" si="1982">D1255*0.1</f>
        <v>199000</v>
      </c>
      <c r="E1256" s="1">
        <f t="shared" si="1982"/>
        <v>283000</v>
      </c>
      <c r="F1256" s="1">
        <f t="shared" si="1982"/>
        <v>155000</v>
      </c>
      <c r="G1256" s="1">
        <f t="shared" si="1982"/>
        <v>189000</v>
      </c>
      <c r="H1256" s="1">
        <f t="shared" si="1982"/>
        <v>200000</v>
      </c>
      <c r="I1256" s="1">
        <f t="shared" si="1982"/>
        <v>350000</v>
      </c>
      <c r="J1256" s="33">
        <f t="shared" si="1982"/>
        <v>215000</v>
      </c>
      <c r="K1256" s="1">
        <f t="shared" si="1982"/>
        <v>240000</v>
      </c>
      <c r="L1256" s="1">
        <f t="shared" si="1982"/>
        <v>199000</v>
      </c>
      <c r="M1256" s="33">
        <f t="shared" si="1982"/>
        <v>157000</v>
      </c>
      <c r="N1256" s="1">
        <f t="shared" si="1982"/>
        <v>135000</v>
      </c>
      <c r="O1256" s="1">
        <f t="shared" si="1982"/>
        <v>120000</v>
      </c>
      <c r="P1256">
        <f t="shared" si="1983"/>
        <v>2442000</v>
      </c>
      <c r="Q1256" s="18">
        <f t="shared" si="1984"/>
        <v>78500</v>
      </c>
    </row>
    <row r="1257">
      <c r="B1257" s="1" t="s">
        <v>5520</v>
      </c>
      <c r="C1257" s="33"/>
      <c r="D1257" s="34">
        <f t="shared" ref="D1257:O1257" si="1985">D1255+D1256</f>
        <v>2189000</v>
      </c>
      <c r="E1257">
        <f t="shared" si="1985"/>
        <v>3113000</v>
      </c>
      <c r="F1257">
        <f t="shared" si="1985"/>
        <v>1705000</v>
      </c>
      <c r="G1257">
        <f t="shared" si="1985"/>
        <v>2079000</v>
      </c>
      <c r="H1257">
        <f t="shared" si="1985"/>
        <v>2200000</v>
      </c>
      <c r="I1257">
        <f t="shared" si="1985"/>
        <v>3850000</v>
      </c>
      <c r="J1257" s="34">
        <f t="shared" si="1985"/>
        <v>2365000</v>
      </c>
      <c r="K1257">
        <f t="shared" si="1985"/>
        <v>2640000</v>
      </c>
      <c r="L1257">
        <f t="shared" si="1985"/>
        <v>2189000</v>
      </c>
      <c r="M1257" s="34">
        <f t="shared" si="1985"/>
        <v>1727000</v>
      </c>
      <c r="N1257">
        <f t="shared" si="1985"/>
        <v>1485000</v>
      </c>
      <c r="O1257">
        <f t="shared" si="1985"/>
        <v>1320000</v>
      </c>
      <c r="P1257">
        <f t="shared" si="1983"/>
        <v>26862000</v>
      </c>
      <c r="Q1257" s="18">
        <f t="shared" si="1984"/>
        <v>863500</v>
      </c>
    </row>
    <row r="1258">
      <c r="B1258" s="1" t="s">
        <v>5545</v>
      </c>
      <c r="C1258" s="33"/>
      <c r="D1258" s="34">
        <v>121315.54415571963</v>
      </c>
      <c r="E1258" s="34">
        <v>103833.39150445872</v>
      </c>
      <c r="F1258">
        <v>36377.00450666411</v>
      </c>
      <c r="G1258" s="34">
        <v>129360.05436762873</v>
      </c>
      <c r="H1258" s="34">
        <v>300296.6580688465</v>
      </c>
      <c r="I1258">
        <v>175802.54070380668</v>
      </c>
      <c r="J1258">
        <v>175096.19110173555</v>
      </c>
      <c r="K1258">
        <v>194333.59595964692</v>
      </c>
      <c r="L1258" s="34">
        <v>258985.82814621174</v>
      </c>
      <c r="M1258">
        <v>172270.79269345096</v>
      </c>
      <c r="N1258">
        <v>128653.70476555757</v>
      </c>
      <c r="O1258" s="34">
        <v>45304.45172116214</v>
      </c>
      <c r="P1258">
        <f t="shared" si="1983"/>
        <v>1841629.758</v>
      </c>
      <c r="Q1258" s="18">
        <f t="shared" si="1984"/>
        <v>86135.39635</v>
      </c>
    </row>
    <row r="1259">
      <c r="C1259" s="33"/>
      <c r="D1259">
        <f t="shared" ref="D1259:O1259" si="1986">D1258-D1260</f>
        <v>110286.8583</v>
      </c>
      <c r="E1259">
        <f t="shared" si="1986"/>
        <v>94393.99228</v>
      </c>
      <c r="F1259">
        <f t="shared" si="1986"/>
        <v>33070.0041</v>
      </c>
      <c r="G1259">
        <f t="shared" si="1986"/>
        <v>117600.0494</v>
      </c>
      <c r="H1259">
        <f t="shared" si="1986"/>
        <v>272996.9619</v>
      </c>
      <c r="I1259">
        <f t="shared" si="1986"/>
        <v>159820.4915</v>
      </c>
      <c r="J1259" s="34">
        <f t="shared" si="1986"/>
        <v>159178.3555</v>
      </c>
      <c r="K1259">
        <f t="shared" si="1986"/>
        <v>176666.9054</v>
      </c>
      <c r="L1259">
        <f t="shared" si="1986"/>
        <v>235441.662</v>
      </c>
      <c r="M1259">
        <f t="shared" si="1986"/>
        <v>156609.8115</v>
      </c>
      <c r="N1259">
        <f t="shared" si="1986"/>
        <v>116957.9134</v>
      </c>
      <c r="O1259">
        <f t="shared" si="1986"/>
        <v>41185.8652</v>
      </c>
      <c r="P1259">
        <f t="shared" si="1983"/>
        <v>1674208.871</v>
      </c>
      <c r="Q1259" s="18">
        <f t="shared" si="1984"/>
        <v>78304.90577</v>
      </c>
    </row>
    <row r="1260">
      <c r="B1260" s="1" t="s">
        <v>5499</v>
      </c>
      <c r="C1260" s="33"/>
      <c r="D1260">
        <f t="shared" ref="D1260:O1260" si="1987">D1258/11</f>
        <v>11028.68583</v>
      </c>
      <c r="E1260">
        <f t="shared" si="1987"/>
        <v>9439.399228</v>
      </c>
      <c r="F1260">
        <f t="shared" si="1987"/>
        <v>3307.00041</v>
      </c>
      <c r="G1260">
        <f t="shared" si="1987"/>
        <v>11760.00494</v>
      </c>
      <c r="H1260">
        <f t="shared" si="1987"/>
        <v>27299.69619</v>
      </c>
      <c r="I1260">
        <f t="shared" si="1987"/>
        <v>15982.04915</v>
      </c>
      <c r="J1260" s="34">
        <f t="shared" si="1987"/>
        <v>15917.83555</v>
      </c>
      <c r="K1260">
        <f t="shared" si="1987"/>
        <v>17666.69054</v>
      </c>
      <c r="L1260">
        <f t="shared" si="1987"/>
        <v>23544.1662</v>
      </c>
      <c r="M1260">
        <f t="shared" si="1987"/>
        <v>15660.98115</v>
      </c>
      <c r="N1260">
        <f t="shared" si="1987"/>
        <v>11695.79134</v>
      </c>
      <c r="O1260">
        <f t="shared" si="1987"/>
        <v>4118.58652</v>
      </c>
      <c r="P1260">
        <f t="shared" si="1983"/>
        <v>167420.8871</v>
      </c>
      <c r="Q1260" s="18">
        <f t="shared" si="1984"/>
        <v>7830.490577</v>
      </c>
    </row>
    <row r="1261">
      <c r="C1261" s="33"/>
      <c r="D1261" s="34">
        <v>56247.12679941228</v>
      </c>
      <c r="E1261" s="34">
        <v>23421.880492883472</v>
      </c>
      <c r="F1261">
        <v>23421.880492883472</v>
      </c>
      <c r="G1261" s="34">
        <v>21489.286905416488</v>
      </c>
      <c r="H1261" s="34">
        <v>30921.497399471777</v>
      </c>
      <c r="I1261">
        <v>39257.610037948776</v>
      </c>
      <c r="J1261">
        <v>31238.788883981284</v>
      </c>
      <c r="K1261">
        <v>21316.218822956762</v>
      </c>
      <c r="L1261" s="34">
        <v>28556.23360585547</v>
      </c>
      <c r="M1261">
        <v>14563.67913898629</v>
      </c>
      <c r="N1261">
        <v>16758.759318183867</v>
      </c>
      <c r="O1261" s="34">
        <v>12807.038102020028</v>
      </c>
      <c r="P1261">
        <f t="shared" si="1983"/>
        <v>320000</v>
      </c>
      <c r="Q1261" s="18">
        <f t="shared" si="1984"/>
        <v>7281.839569</v>
      </c>
    </row>
    <row r="1262">
      <c r="B1262" s="23" t="s">
        <v>5598</v>
      </c>
      <c r="C1262" s="33"/>
      <c r="D1262" s="18">
        <f t="shared" ref="D1262:O1262" si="1988">SUM(D1257,D1258,D1261)</f>
        <v>2366562.671</v>
      </c>
      <c r="E1262" s="18">
        <f t="shared" si="1988"/>
        <v>3240255.272</v>
      </c>
      <c r="F1262" s="18">
        <f t="shared" si="1988"/>
        <v>1764798.885</v>
      </c>
      <c r="G1262" s="18">
        <f t="shared" si="1988"/>
        <v>2229849.341</v>
      </c>
      <c r="H1262" s="18">
        <f t="shared" si="1988"/>
        <v>2531218.155</v>
      </c>
      <c r="I1262" s="18">
        <f t="shared" si="1988"/>
        <v>4065060.151</v>
      </c>
      <c r="J1262" s="18">
        <f t="shared" si="1988"/>
        <v>2571334.98</v>
      </c>
      <c r="K1262" s="184">
        <f t="shared" si="1988"/>
        <v>2855649.815</v>
      </c>
      <c r="L1262" s="18">
        <f t="shared" si="1988"/>
        <v>2476542.062</v>
      </c>
      <c r="M1262" s="18">
        <f t="shared" si="1988"/>
        <v>1913834.472</v>
      </c>
      <c r="N1262" s="18">
        <f t="shared" si="1988"/>
        <v>1630412.464</v>
      </c>
      <c r="O1262" s="18">
        <f t="shared" si="1988"/>
        <v>1378111.49</v>
      </c>
      <c r="P1262">
        <f t="shared" si="1983"/>
        <v>29023629.76</v>
      </c>
      <c r="Q1262" s="18">
        <f t="shared" si="1984"/>
        <v>956917.2359</v>
      </c>
    </row>
    <row r="1263">
      <c r="B1263" s="1" t="s">
        <v>5599</v>
      </c>
      <c r="C1263" s="33"/>
      <c r="D1263">
        <f t="shared" ref="D1263:O1263" si="1989">SUM(D1255,D1259,D1261)</f>
        <v>2156533.985</v>
      </c>
      <c r="E1263">
        <f t="shared" si="1989"/>
        <v>2947815.873</v>
      </c>
      <c r="F1263">
        <f t="shared" si="1989"/>
        <v>1606491.885</v>
      </c>
      <c r="G1263">
        <f t="shared" si="1989"/>
        <v>2029089.336</v>
      </c>
      <c r="H1263">
        <f t="shared" si="1989"/>
        <v>2303918.459</v>
      </c>
      <c r="I1263">
        <f t="shared" si="1989"/>
        <v>3699078.102</v>
      </c>
      <c r="J1263">
        <f t="shared" si="1989"/>
        <v>2340417.144</v>
      </c>
      <c r="K1263" s="34">
        <f t="shared" si="1989"/>
        <v>2597983.124</v>
      </c>
      <c r="L1263">
        <f t="shared" si="1989"/>
        <v>2253997.896</v>
      </c>
      <c r="M1263">
        <f t="shared" si="1989"/>
        <v>1741173.491</v>
      </c>
      <c r="N1263">
        <f t="shared" si="1989"/>
        <v>1483716.673</v>
      </c>
      <c r="O1263">
        <f t="shared" si="1989"/>
        <v>1253992.903</v>
      </c>
      <c r="P1263">
        <f t="shared" si="1983"/>
        <v>26414208.87</v>
      </c>
      <c r="Q1263" s="18">
        <f t="shared" si="1984"/>
        <v>870586.7453</v>
      </c>
    </row>
    <row r="1264">
      <c r="B1264" s="1" t="s">
        <v>5601</v>
      </c>
      <c r="C1264" s="33"/>
      <c r="D1264">
        <f t="shared" ref="D1264:O1264" si="1990">SUM(D1255,D1259)</f>
        <v>2100286.858</v>
      </c>
      <c r="E1264">
        <f t="shared" si="1990"/>
        <v>2924393.992</v>
      </c>
      <c r="F1264">
        <f t="shared" si="1990"/>
        <v>1583070.004</v>
      </c>
      <c r="G1264">
        <f t="shared" si="1990"/>
        <v>2007600.049</v>
      </c>
      <c r="H1264">
        <f t="shared" si="1990"/>
        <v>2272996.962</v>
      </c>
      <c r="I1264">
        <f t="shared" si="1990"/>
        <v>3659820.492</v>
      </c>
      <c r="J1264">
        <f t="shared" si="1990"/>
        <v>2309178.356</v>
      </c>
      <c r="K1264" s="34">
        <f t="shared" si="1990"/>
        <v>2576666.905</v>
      </c>
      <c r="L1264">
        <f t="shared" si="1990"/>
        <v>2225441.662</v>
      </c>
      <c r="M1264">
        <f t="shared" si="1990"/>
        <v>1726609.812</v>
      </c>
      <c r="N1264">
        <f t="shared" si="1990"/>
        <v>1466957.913</v>
      </c>
      <c r="O1264">
        <f t="shared" si="1990"/>
        <v>1241185.865</v>
      </c>
      <c r="P1264">
        <f t="shared" si="1983"/>
        <v>26094208.87</v>
      </c>
      <c r="Q1264" s="18">
        <f t="shared" si="1984"/>
        <v>863304.9058</v>
      </c>
    </row>
    <row r="1265">
      <c r="B1265" s="1" t="s">
        <v>5582</v>
      </c>
      <c r="C1265" s="33"/>
      <c r="D1265">
        <f t="shared" ref="D1265:O1265" si="1991">SUM(D1256,D1260)</f>
        <v>210028.6858</v>
      </c>
      <c r="E1265">
        <f t="shared" si="1991"/>
        <v>292439.3992</v>
      </c>
      <c r="F1265">
        <f t="shared" si="1991"/>
        <v>158307.0004</v>
      </c>
      <c r="G1265" s="34">
        <f t="shared" si="1991"/>
        <v>200760.0049</v>
      </c>
      <c r="H1265">
        <f t="shared" si="1991"/>
        <v>227299.6962</v>
      </c>
      <c r="I1265">
        <f t="shared" si="1991"/>
        <v>365982.0492</v>
      </c>
      <c r="J1265">
        <f t="shared" si="1991"/>
        <v>230917.8356</v>
      </c>
      <c r="K1265" s="34">
        <f t="shared" si="1991"/>
        <v>257666.6905</v>
      </c>
      <c r="L1265">
        <f t="shared" si="1991"/>
        <v>222544.1662</v>
      </c>
      <c r="M1265">
        <f t="shared" si="1991"/>
        <v>172660.9812</v>
      </c>
      <c r="N1265">
        <f t="shared" si="1991"/>
        <v>146695.7913</v>
      </c>
      <c r="O1265">
        <f t="shared" si="1991"/>
        <v>124118.5865</v>
      </c>
      <c r="P1265">
        <f t="shared" si="1983"/>
        <v>2609420.887</v>
      </c>
      <c r="Q1265" s="18">
        <f t="shared" si="1984"/>
        <v>86330.49058</v>
      </c>
    </row>
    <row r="1266">
      <c r="B1266" s="1" t="s">
        <v>5602</v>
      </c>
      <c r="C1266" s="33"/>
      <c r="D1266">
        <f t="shared" ref="D1266:O1266" si="1992">SUM(D1264:D1265)</f>
        <v>2310315.544</v>
      </c>
      <c r="E1266">
        <f t="shared" si="1992"/>
        <v>3216833.392</v>
      </c>
      <c r="F1266">
        <f t="shared" si="1992"/>
        <v>1741377.005</v>
      </c>
      <c r="G1266">
        <f t="shared" si="1992"/>
        <v>2208360.054</v>
      </c>
      <c r="H1266">
        <f t="shared" si="1992"/>
        <v>2500296.658</v>
      </c>
      <c r="I1266">
        <f t="shared" si="1992"/>
        <v>4025802.541</v>
      </c>
      <c r="J1266">
        <f t="shared" si="1992"/>
        <v>2540096.191</v>
      </c>
      <c r="K1266" s="34">
        <f t="shared" si="1992"/>
        <v>2834333.596</v>
      </c>
      <c r="L1266">
        <f t="shared" si="1992"/>
        <v>2447985.828</v>
      </c>
      <c r="M1266">
        <f t="shared" si="1992"/>
        <v>1899270.793</v>
      </c>
      <c r="N1266">
        <f t="shared" si="1992"/>
        <v>1613653.705</v>
      </c>
      <c r="O1266">
        <f t="shared" si="1992"/>
        <v>1365304.452</v>
      </c>
      <c r="P1266">
        <f t="shared" si="1983"/>
        <v>28703629.76</v>
      </c>
      <c r="Q1266" s="18">
        <f t="shared" si="1984"/>
        <v>949635.3963</v>
      </c>
    </row>
    <row r="1267">
      <c r="C1267" s="33"/>
      <c r="D1267" s="33" t="s">
        <v>5566</v>
      </c>
      <c r="E1267" s="33" t="s">
        <v>5566</v>
      </c>
      <c r="F1267" s="1" t="s">
        <v>5566</v>
      </c>
      <c r="G1267" s="33" t="s">
        <v>5566</v>
      </c>
      <c r="H1267" s="33" t="s">
        <v>5566</v>
      </c>
      <c r="I1267" s="1" t="s">
        <v>5566</v>
      </c>
      <c r="J1267" s="1" t="s">
        <v>5566</v>
      </c>
      <c r="L1267" s="33" t="s">
        <v>5566</v>
      </c>
      <c r="M1267" s="1" t="s">
        <v>5566</v>
      </c>
      <c r="N1267" s="1" t="s">
        <v>5566</v>
      </c>
      <c r="O1267" s="33" t="s">
        <v>5566</v>
      </c>
    </row>
    <row r="1268">
      <c r="C1268" s="33"/>
      <c r="D1268" s="34"/>
      <c r="E1268" s="33"/>
      <c r="G1268" s="33"/>
      <c r="H1268" s="33"/>
      <c r="L1268" s="33"/>
      <c r="O1268" s="33"/>
    </row>
    <row r="1269">
      <c r="C1269" s="33"/>
      <c r="D1269" s="34"/>
      <c r="E1269" s="33"/>
      <c r="G1269" s="33"/>
      <c r="H1269" s="33"/>
      <c r="L1269" s="33"/>
      <c r="M1269" s="2" t="s">
        <v>5894</v>
      </c>
      <c r="O1269" s="33"/>
    </row>
    <row r="1270">
      <c r="B1270" s="1" t="s">
        <v>5895</v>
      </c>
      <c r="C1270" s="33"/>
      <c r="D1270" s="33">
        <v>1990000.0</v>
      </c>
      <c r="E1270" s="1">
        <v>2830000.0</v>
      </c>
      <c r="F1270" s="1">
        <v>1550000.0</v>
      </c>
      <c r="G1270" s="1">
        <v>1890000.0</v>
      </c>
      <c r="H1270" s="1">
        <v>2000000.0</v>
      </c>
      <c r="I1270" s="1">
        <v>3500000.0</v>
      </c>
      <c r="J1270" s="33">
        <v>2150000.0</v>
      </c>
      <c r="K1270" s="1">
        <v>2400000.0</v>
      </c>
      <c r="L1270" s="1">
        <v>1990000.0</v>
      </c>
      <c r="M1270" s="33">
        <v>1570000.0</v>
      </c>
      <c r="N1270" s="33">
        <v>1350000.0</v>
      </c>
      <c r="O1270" s="1">
        <v>1200000.0</v>
      </c>
      <c r="P1270">
        <f t="shared" ref="P1270:P1278" si="1994">SUM(D1270:O1270)</f>
        <v>24420000</v>
      </c>
      <c r="Q1270" s="18">
        <f t="shared" ref="Q1270:Q1278" si="1995">M1270*0.5</f>
        <v>785000</v>
      </c>
    </row>
    <row r="1271">
      <c r="B1271" s="1" t="s">
        <v>5499</v>
      </c>
      <c r="C1271" s="33"/>
      <c r="D1271" s="33">
        <f t="shared" ref="D1271:O1271" si="1993">D1270*0.1</f>
        <v>199000</v>
      </c>
      <c r="E1271" s="1">
        <f t="shared" si="1993"/>
        <v>283000</v>
      </c>
      <c r="F1271" s="1">
        <f t="shared" si="1993"/>
        <v>155000</v>
      </c>
      <c r="G1271" s="1">
        <f t="shared" si="1993"/>
        <v>189000</v>
      </c>
      <c r="H1271" s="1">
        <f t="shared" si="1993"/>
        <v>200000</v>
      </c>
      <c r="I1271" s="1">
        <f t="shared" si="1993"/>
        <v>350000</v>
      </c>
      <c r="J1271" s="33">
        <f t="shared" si="1993"/>
        <v>215000</v>
      </c>
      <c r="K1271" s="1">
        <f t="shared" si="1993"/>
        <v>240000</v>
      </c>
      <c r="L1271" s="1">
        <f t="shared" si="1993"/>
        <v>199000</v>
      </c>
      <c r="M1271" s="33">
        <f t="shared" si="1993"/>
        <v>157000</v>
      </c>
      <c r="N1271" s="1">
        <f t="shared" si="1993"/>
        <v>135000</v>
      </c>
      <c r="O1271" s="1">
        <f t="shared" si="1993"/>
        <v>120000</v>
      </c>
      <c r="P1271">
        <f t="shared" si="1994"/>
        <v>2442000</v>
      </c>
      <c r="Q1271" s="18">
        <f t="shared" si="1995"/>
        <v>78500</v>
      </c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>
      <c r="B1272" s="1" t="s">
        <v>5520</v>
      </c>
      <c r="C1272" s="33"/>
      <c r="D1272" s="34">
        <f t="shared" ref="D1272:O1272" si="1996">D1270+D1271</f>
        <v>2189000</v>
      </c>
      <c r="E1272">
        <f t="shared" si="1996"/>
        <v>3113000</v>
      </c>
      <c r="F1272">
        <f t="shared" si="1996"/>
        <v>1705000</v>
      </c>
      <c r="G1272">
        <f t="shared" si="1996"/>
        <v>2079000</v>
      </c>
      <c r="H1272">
        <f t="shared" si="1996"/>
        <v>2200000</v>
      </c>
      <c r="I1272">
        <f t="shared" si="1996"/>
        <v>3850000</v>
      </c>
      <c r="J1272" s="34">
        <f t="shared" si="1996"/>
        <v>2365000</v>
      </c>
      <c r="K1272">
        <f t="shared" si="1996"/>
        <v>2640000</v>
      </c>
      <c r="L1272">
        <f t="shared" si="1996"/>
        <v>2189000</v>
      </c>
      <c r="M1272" s="34">
        <f t="shared" si="1996"/>
        <v>1727000</v>
      </c>
      <c r="N1272">
        <f t="shared" si="1996"/>
        <v>1485000</v>
      </c>
      <c r="O1272">
        <f t="shared" si="1996"/>
        <v>1320000</v>
      </c>
      <c r="P1272">
        <f t="shared" si="1994"/>
        <v>26862000</v>
      </c>
      <c r="Q1272" s="18">
        <f t="shared" si="1995"/>
        <v>863500</v>
      </c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</row>
    <row r="1273">
      <c r="B1273" s="1" t="s">
        <v>5545</v>
      </c>
      <c r="C1273" s="33"/>
      <c r="D1273" s="34">
        <v>145877.3636086559</v>
      </c>
      <c r="E1273" s="34">
        <v>121200.03657421518</v>
      </c>
      <c r="F1273">
        <v>36235.06248095093</v>
      </c>
      <c r="G1273" s="34">
        <v>125607.77903078329</v>
      </c>
      <c r="H1273" s="34">
        <v>338332.585492228</v>
      </c>
      <c r="I1273">
        <v>246183.07314843038</v>
      </c>
      <c r="J1273">
        <v>177149.03169765315</v>
      </c>
      <c r="K1273">
        <v>206721.3188588309</v>
      </c>
      <c r="L1273" s="34">
        <v>275648.9481329399</v>
      </c>
      <c r="M1273">
        <v>145287.16641267907</v>
      </c>
      <c r="N1273">
        <v>178710.88783907346</v>
      </c>
      <c r="O1273" s="34">
        <v>52825.28284059738</v>
      </c>
      <c r="P1273">
        <f t="shared" si="1994"/>
        <v>2049778.536</v>
      </c>
      <c r="Q1273" s="18">
        <f t="shared" si="1995"/>
        <v>72643.58321</v>
      </c>
      <c r="U1273" s="33"/>
      <c r="V1273" s="1"/>
      <c r="W1273" s="1"/>
      <c r="X1273" s="1"/>
      <c r="Y1273" s="1"/>
      <c r="Z1273" s="1"/>
      <c r="AA1273" s="33"/>
      <c r="AB1273" s="1"/>
      <c r="AC1273" s="1"/>
      <c r="AD1273" s="33"/>
      <c r="AE1273" s="33"/>
      <c r="AF1273" s="1"/>
    </row>
    <row r="1274">
      <c r="C1274" s="33"/>
      <c r="D1274">
        <f t="shared" ref="D1274:O1274" si="1997">D1273-D1275</f>
        <v>132615.7851</v>
      </c>
      <c r="E1274">
        <f t="shared" si="1997"/>
        <v>110181.8514</v>
      </c>
      <c r="F1274">
        <f t="shared" si="1997"/>
        <v>32940.96589</v>
      </c>
      <c r="G1274">
        <f t="shared" si="1997"/>
        <v>114188.89</v>
      </c>
      <c r="H1274">
        <f t="shared" si="1997"/>
        <v>307575.0777</v>
      </c>
      <c r="I1274">
        <f t="shared" si="1997"/>
        <v>223802.7938</v>
      </c>
      <c r="J1274" s="34">
        <f t="shared" si="1997"/>
        <v>161044.5743</v>
      </c>
      <c r="K1274">
        <f t="shared" si="1997"/>
        <v>187928.4717</v>
      </c>
      <c r="L1274">
        <f t="shared" si="1997"/>
        <v>250589.9528</v>
      </c>
      <c r="M1274">
        <f t="shared" si="1997"/>
        <v>132079.2422</v>
      </c>
      <c r="N1274">
        <f t="shared" si="1997"/>
        <v>162464.4435</v>
      </c>
      <c r="O1274">
        <f t="shared" si="1997"/>
        <v>48022.9844</v>
      </c>
      <c r="P1274">
        <f t="shared" si="1994"/>
        <v>1863435.033</v>
      </c>
      <c r="Q1274" s="18">
        <f t="shared" si="1995"/>
        <v>66039.6211</v>
      </c>
      <c r="U1274" s="33"/>
      <c r="V1274" s="1"/>
      <c r="W1274" s="1"/>
      <c r="X1274" s="1"/>
      <c r="Y1274" s="1"/>
      <c r="Z1274" s="1"/>
      <c r="AA1274" s="33"/>
      <c r="AB1274" s="1"/>
      <c r="AC1274" s="1"/>
      <c r="AD1274" s="33"/>
      <c r="AE1274" s="33"/>
      <c r="AF1274" s="1"/>
    </row>
    <row r="1275">
      <c r="B1275" s="1" t="s">
        <v>5499</v>
      </c>
      <c r="C1275" s="33"/>
      <c r="D1275">
        <f t="shared" ref="D1275:O1275" si="1998">D1273/11</f>
        <v>13261.57851</v>
      </c>
      <c r="E1275">
        <f t="shared" si="1998"/>
        <v>11018.18514</v>
      </c>
      <c r="F1275">
        <f t="shared" si="1998"/>
        <v>3294.096589</v>
      </c>
      <c r="G1275">
        <f t="shared" si="1998"/>
        <v>11418.889</v>
      </c>
      <c r="H1275">
        <f t="shared" si="1998"/>
        <v>30757.50777</v>
      </c>
      <c r="I1275">
        <f t="shared" si="1998"/>
        <v>22380.27938</v>
      </c>
      <c r="J1275" s="34">
        <f t="shared" si="1998"/>
        <v>16104.45743</v>
      </c>
      <c r="K1275">
        <f t="shared" si="1998"/>
        <v>18792.84717</v>
      </c>
      <c r="L1275">
        <f t="shared" si="1998"/>
        <v>25058.99528</v>
      </c>
      <c r="M1275">
        <f t="shared" si="1998"/>
        <v>13207.92422</v>
      </c>
      <c r="N1275">
        <f t="shared" si="1998"/>
        <v>16246.44435</v>
      </c>
      <c r="O1275">
        <f t="shared" si="1998"/>
        <v>4802.29844</v>
      </c>
      <c r="P1275">
        <f t="shared" si="1994"/>
        <v>186343.5033</v>
      </c>
      <c r="Q1275" s="18">
        <f t="shared" si="1995"/>
        <v>6603.96211</v>
      </c>
      <c r="U1275" s="33"/>
      <c r="V1275" s="1"/>
      <c r="W1275" s="1"/>
      <c r="X1275" s="1"/>
      <c r="Y1275" s="1"/>
      <c r="Z1275" s="1"/>
      <c r="AA1275" s="33"/>
      <c r="AB1275" s="1"/>
      <c r="AC1275" s="1"/>
      <c r="AD1275" s="33"/>
      <c r="AE1275" s="33"/>
      <c r="AF1275" s="1"/>
    </row>
    <row r="1276">
      <c r="B1276" s="23" t="s">
        <v>5528</v>
      </c>
      <c r="C1276" s="33"/>
      <c r="D1276" s="145">
        <f t="shared" ref="D1276:O1276" si="1999">SUM(D1272,D1273)</f>
        <v>2334877.364</v>
      </c>
      <c r="E1276" s="145">
        <f t="shared" si="1999"/>
        <v>3234200.037</v>
      </c>
      <c r="F1276" s="145">
        <f t="shared" si="1999"/>
        <v>1741235.062</v>
      </c>
      <c r="G1276" s="145">
        <f t="shared" si="1999"/>
        <v>2204607.779</v>
      </c>
      <c r="H1276" s="145">
        <f t="shared" si="1999"/>
        <v>2538332.585</v>
      </c>
      <c r="I1276" s="173">
        <f t="shared" si="1999"/>
        <v>4096183.073</v>
      </c>
      <c r="J1276" s="145">
        <f t="shared" si="1999"/>
        <v>2542149.032</v>
      </c>
      <c r="K1276" s="183">
        <f t="shared" si="1999"/>
        <v>2846721.319</v>
      </c>
      <c r="L1276" s="145">
        <f t="shared" si="1999"/>
        <v>2464648.948</v>
      </c>
      <c r="M1276" s="145">
        <f t="shared" si="1999"/>
        <v>1872287.166</v>
      </c>
      <c r="N1276" s="145">
        <f t="shared" si="1999"/>
        <v>1663710.888</v>
      </c>
      <c r="O1276" s="145">
        <f t="shared" si="1999"/>
        <v>1372825.283</v>
      </c>
      <c r="P1276">
        <f t="shared" si="1994"/>
        <v>28911778.54</v>
      </c>
      <c r="Q1276" s="18">
        <f t="shared" si="1995"/>
        <v>936143.5832</v>
      </c>
      <c r="U1276" s="33"/>
      <c r="V1276" s="1"/>
      <c r="W1276" s="1"/>
      <c r="X1276" s="1"/>
      <c r="Y1276" s="1"/>
      <c r="Z1276" s="1"/>
      <c r="AA1276" s="33"/>
      <c r="AB1276" s="1"/>
      <c r="AC1276" s="1"/>
      <c r="AD1276" s="33"/>
      <c r="AE1276" s="33"/>
      <c r="AF1276" s="1"/>
    </row>
    <row r="1277">
      <c r="B1277" s="1" t="s">
        <v>5580</v>
      </c>
      <c r="C1277" s="33"/>
      <c r="D1277">
        <f t="shared" ref="D1277:O1277" si="2000">D1270+D1274</f>
        <v>2122615.785</v>
      </c>
      <c r="E1277">
        <f t="shared" si="2000"/>
        <v>2940181.851</v>
      </c>
      <c r="F1277">
        <f t="shared" si="2000"/>
        <v>1582940.966</v>
      </c>
      <c r="G1277">
        <f t="shared" si="2000"/>
        <v>2004188.89</v>
      </c>
      <c r="H1277">
        <f t="shared" si="2000"/>
        <v>2307575.078</v>
      </c>
      <c r="I1277">
        <f t="shared" si="2000"/>
        <v>3723802.794</v>
      </c>
      <c r="J1277" s="34">
        <f t="shared" si="2000"/>
        <v>2311044.574</v>
      </c>
      <c r="K1277">
        <f t="shared" si="2000"/>
        <v>2587928.472</v>
      </c>
      <c r="L1277">
        <f t="shared" si="2000"/>
        <v>2240589.953</v>
      </c>
      <c r="M1277">
        <f t="shared" si="2000"/>
        <v>1702079.242</v>
      </c>
      <c r="N1277">
        <f t="shared" si="2000"/>
        <v>1512464.443</v>
      </c>
      <c r="O1277">
        <f t="shared" si="2000"/>
        <v>1248022.984</v>
      </c>
      <c r="P1277">
        <f t="shared" si="1994"/>
        <v>26283435.03</v>
      </c>
      <c r="Q1277" s="18">
        <f t="shared" si="1995"/>
        <v>851039.6211</v>
      </c>
      <c r="U1277" s="33"/>
      <c r="V1277" s="1"/>
      <c r="W1277" s="1"/>
      <c r="X1277" s="1"/>
      <c r="Y1277" s="1"/>
      <c r="Z1277" s="1"/>
      <c r="AA1277" s="33"/>
      <c r="AB1277" s="1"/>
      <c r="AC1277" s="1"/>
      <c r="AD1277" s="33"/>
      <c r="AE1277" s="33"/>
      <c r="AF1277" s="1"/>
    </row>
    <row r="1278">
      <c r="B1278" s="1" t="s">
        <v>5582</v>
      </c>
      <c r="C1278" s="33"/>
      <c r="D1278">
        <f t="shared" ref="D1278:O1278" si="2001">D1271+D1275</f>
        <v>212261.5785</v>
      </c>
      <c r="E1278">
        <f t="shared" si="2001"/>
        <v>294018.1851</v>
      </c>
      <c r="F1278">
        <f t="shared" si="2001"/>
        <v>158294.0966</v>
      </c>
      <c r="G1278">
        <f t="shared" si="2001"/>
        <v>200418.889</v>
      </c>
      <c r="H1278">
        <f t="shared" si="2001"/>
        <v>230757.5078</v>
      </c>
      <c r="I1278">
        <f t="shared" si="2001"/>
        <v>372380.2794</v>
      </c>
      <c r="J1278" s="34">
        <f t="shared" si="2001"/>
        <v>231104.4574</v>
      </c>
      <c r="K1278">
        <f t="shared" si="2001"/>
        <v>258792.8472</v>
      </c>
      <c r="L1278">
        <f t="shared" si="2001"/>
        <v>224058.9953</v>
      </c>
      <c r="M1278">
        <f t="shared" si="2001"/>
        <v>170207.9242</v>
      </c>
      <c r="N1278">
        <f t="shared" si="2001"/>
        <v>151246.4443</v>
      </c>
      <c r="O1278">
        <f t="shared" si="2001"/>
        <v>124802.2984</v>
      </c>
      <c r="P1278">
        <f t="shared" si="1994"/>
        <v>2628343.503</v>
      </c>
      <c r="Q1278" s="18">
        <f t="shared" si="1995"/>
        <v>85103.96211</v>
      </c>
      <c r="U1278" s="33"/>
      <c r="V1278" s="1"/>
      <c r="W1278" s="1"/>
      <c r="X1278" s="1"/>
      <c r="Y1278" s="1"/>
      <c r="Z1278" s="1"/>
      <c r="AA1278" s="33"/>
      <c r="AB1278" s="1"/>
      <c r="AC1278" s="1"/>
      <c r="AD1278" s="33"/>
      <c r="AE1278" s="33"/>
      <c r="AF1278" s="1"/>
    </row>
    <row r="1279">
      <c r="C1279" s="33"/>
      <c r="D1279" s="33" t="s">
        <v>5566</v>
      </c>
      <c r="E1279" s="33" t="s">
        <v>5566</v>
      </c>
      <c r="F1279" s="1" t="s">
        <v>5566</v>
      </c>
      <c r="G1279" s="33" t="s">
        <v>5566</v>
      </c>
      <c r="H1279" s="33" t="s">
        <v>5566</v>
      </c>
      <c r="I1279" s="1" t="s">
        <v>5566</v>
      </c>
      <c r="J1279" s="1" t="s">
        <v>5566</v>
      </c>
      <c r="L1279" s="33" t="s">
        <v>5566</v>
      </c>
      <c r="M1279" s="1" t="s">
        <v>5566</v>
      </c>
      <c r="N1279" s="1" t="s">
        <v>5566</v>
      </c>
      <c r="O1279" s="33" t="s">
        <v>5566</v>
      </c>
      <c r="U1279" s="33"/>
      <c r="V1279" s="1"/>
      <c r="W1279" s="1"/>
      <c r="X1279" s="1"/>
      <c r="Y1279" s="1"/>
      <c r="Z1279" s="1"/>
      <c r="AA1279" s="33"/>
      <c r="AB1279" s="1"/>
      <c r="AC1279" s="1"/>
      <c r="AD1279" s="33"/>
      <c r="AE1279" s="33"/>
      <c r="AF1279" s="1"/>
    </row>
    <row r="1280">
      <c r="C1280" s="33"/>
      <c r="D1280" s="34"/>
      <c r="E1280" s="33"/>
      <c r="G1280" s="33"/>
      <c r="H1280" s="33"/>
      <c r="L1280" s="33"/>
      <c r="O1280" s="33"/>
      <c r="U1280" s="33"/>
      <c r="V1280" s="1"/>
      <c r="W1280" s="1"/>
      <c r="X1280" s="1"/>
      <c r="Y1280" s="1"/>
      <c r="Z1280" s="1"/>
      <c r="AA1280" s="33"/>
      <c r="AB1280" s="1"/>
      <c r="AC1280" s="1"/>
      <c r="AD1280" s="33"/>
      <c r="AE1280" s="33"/>
      <c r="AF1280" s="1"/>
    </row>
    <row r="1281">
      <c r="C1281" s="33"/>
      <c r="D1281" s="34"/>
      <c r="E1281" s="33"/>
      <c r="G1281" s="33"/>
      <c r="H1281" s="33"/>
      <c r="L1281" s="33"/>
      <c r="M1281" s="2" t="s">
        <v>5894</v>
      </c>
      <c r="O1281" s="33"/>
      <c r="U1281" s="33"/>
      <c r="V1281" s="1"/>
      <c r="W1281" s="1"/>
      <c r="X1281" s="1"/>
      <c r="Y1281" s="1"/>
      <c r="Z1281" s="1"/>
      <c r="AA1281" s="33"/>
      <c r="AB1281" s="1"/>
      <c r="AC1281" s="1"/>
      <c r="AD1281" s="33"/>
      <c r="AE1281" s="33"/>
      <c r="AF1281" s="1"/>
    </row>
    <row r="1282">
      <c r="B1282" s="1" t="s">
        <v>5896</v>
      </c>
      <c r="C1282" s="33"/>
      <c r="D1282" s="33">
        <v>1990000.0</v>
      </c>
      <c r="E1282" s="1">
        <v>2830000.0</v>
      </c>
      <c r="F1282" s="1">
        <v>1550000.0</v>
      </c>
      <c r="G1282" s="1">
        <v>1890000.0</v>
      </c>
      <c r="H1282" s="1">
        <v>2000000.0</v>
      </c>
      <c r="I1282" s="1">
        <v>3500000.0</v>
      </c>
      <c r="J1282" s="33">
        <v>2150000.0</v>
      </c>
      <c r="K1282" s="1">
        <v>2400000.0</v>
      </c>
      <c r="L1282" s="1">
        <v>1990000.0</v>
      </c>
      <c r="M1282" s="33">
        <f>1570000+30000*24/30</f>
        <v>1594000</v>
      </c>
      <c r="N1282" s="33">
        <v>1350000.0</v>
      </c>
      <c r="O1282" s="1">
        <v>1200000.0</v>
      </c>
      <c r="P1282">
        <f t="shared" ref="P1282:P1293" si="2003">SUM(D1282:O1282)</f>
        <v>24444000</v>
      </c>
      <c r="Q1282" s="18">
        <f t="shared" ref="Q1282:Q1293" si="2004">M1282*0.5</f>
        <v>797000</v>
      </c>
      <c r="U1282" s="33"/>
      <c r="V1282" s="1"/>
      <c r="W1282" s="1"/>
      <c r="X1282" s="1"/>
      <c r="Y1282" s="1"/>
      <c r="Z1282" s="1"/>
      <c r="AA1282" s="33"/>
      <c r="AB1282" s="1"/>
      <c r="AC1282" s="1"/>
      <c r="AD1282" s="33"/>
      <c r="AE1282" s="33"/>
      <c r="AF1282" s="1"/>
    </row>
    <row r="1283">
      <c r="B1283" s="1" t="s">
        <v>5499</v>
      </c>
      <c r="C1283" s="33"/>
      <c r="D1283" s="33">
        <f t="shared" ref="D1283:O1283" si="2002">D1282*0.1</f>
        <v>199000</v>
      </c>
      <c r="E1283" s="1">
        <f t="shared" si="2002"/>
        <v>283000</v>
      </c>
      <c r="F1283" s="1">
        <f t="shared" si="2002"/>
        <v>155000</v>
      </c>
      <c r="G1283" s="1">
        <f t="shared" si="2002"/>
        <v>189000</v>
      </c>
      <c r="H1283" s="1">
        <f t="shared" si="2002"/>
        <v>200000</v>
      </c>
      <c r="I1283" s="1">
        <f t="shared" si="2002"/>
        <v>350000</v>
      </c>
      <c r="J1283" s="33">
        <f t="shared" si="2002"/>
        <v>215000</v>
      </c>
      <c r="K1283" s="1">
        <f t="shared" si="2002"/>
        <v>240000</v>
      </c>
      <c r="L1283" s="1">
        <f t="shared" si="2002"/>
        <v>199000</v>
      </c>
      <c r="M1283" s="33">
        <f t="shared" si="2002"/>
        <v>159400</v>
      </c>
      <c r="N1283" s="1">
        <f t="shared" si="2002"/>
        <v>135000</v>
      </c>
      <c r="O1283" s="1">
        <f t="shared" si="2002"/>
        <v>120000</v>
      </c>
      <c r="P1283">
        <f t="shared" si="2003"/>
        <v>2444400</v>
      </c>
      <c r="Q1283" s="18">
        <f t="shared" si="2004"/>
        <v>79700</v>
      </c>
      <c r="U1283" s="33"/>
      <c r="V1283" s="1"/>
      <c r="W1283" s="1"/>
      <c r="X1283" s="1"/>
      <c r="Y1283" s="1"/>
      <c r="Z1283" s="1"/>
      <c r="AA1283" s="33"/>
      <c r="AB1283" s="1"/>
      <c r="AC1283" s="1"/>
      <c r="AD1283" s="33"/>
      <c r="AE1283" s="33"/>
      <c r="AF1283" s="1"/>
    </row>
    <row r="1284">
      <c r="B1284" s="1" t="s">
        <v>5520</v>
      </c>
      <c r="C1284" s="33"/>
      <c r="D1284" s="34">
        <f t="shared" ref="D1284:O1284" si="2005">D1282+D1283</f>
        <v>2189000</v>
      </c>
      <c r="E1284">
        <f t="shared" si="2005"/>
        <v>3113000</v>
      </c>
      <c r="F1284">
        <f t="shared" si="2005"/>
        <v>1705000</v>
      </c>
      <c r="G1284">
        <f t="shared" si="2005"/>
        <v>2079000</v>
      </c>
      <c r="H1284">
        <f t="shared" si="2005"/>
        <v>2200000</v>
      </c>
      <c r="I1284">
        <f t="shared" si="2005"/>
        <v>3850000</v>
      </c>
      <c r="J1284" s="34">
        <f t="shared" si="2005"/>
        <v>2365000</v>
      </c>
      <c r="K1284">
        <f t="shared" si="2005"/>
        <v>2640000</v>
      </c>
      <c r="L1284">
        <f t="shared" si="2005"/>
        <v>2189000</v>
      </c>
      <c r="M1284" s="34">
        <f t="shared" si="2005"/>
        <v>1753400</v>
      </c>
      <c r="N1284">
        <f t="shared" si="2005"/>
        <v>1485000</v>
      </c>
      <c r="O1284">
        <f t="shared" si="2005"/>
        <v>1320000</v>
      </c>
      <c r="P1284">
        <f t="shared" si="2003"/>
        <v>26888400</v>
      </c>
      <c r="Q1284" s="18">
        <f t="shared" si="2004"/>
        <v>876700</v>
      </c>
      <c r="U1284" s="33"/>
      <c r="V1284" s="1"/>
      <c r="W1284" s="1"/>
      <c r="X1284" s="1"/>
      <c r="Y1284" s="1"/>
      <c r="Z1284" s="1"/>
      <c r="AA1284" s="33"/>
      <c r="AB1284" s="1"/>
      <c r="AC1284" s="1"/>
      <c r="AD1284" s="33"/>
      <c r="AE1284" s="33"/>
      <c r="AF1284" s="1"/>
    </row>
    <row r="1285">
      <c r="B1285" s="1" t="s">
        <v>5545</v>
      </c>
      <c r="C1285" s="33"/>
      <c r="D1285" s="34">
        <v>137414.55362716943</v>
      </c>
      <c r="E1285" s="34">
        <v>144835.8971157448</v>
      </c>
      <c r="F1285">
        <v>38782.50468223249</v>
      </c>
      <c r="G1285" s="34">
        <v>134009.6083156449</v>
      </c>
      <c r="H1285" s="34">
        <v>300391.3413659633</v>
      </c>
      <c r="I1285">
        <v>236472.02809339494</v>
      </c>
      <c r="J1285">
        <v>98818.07628917469</v>
      </c>
      <c r="K1285">
        <v>195938.275207959</v>
      </c>
      <c r="L1285" s="34">
        <v>261205.50129347687</v>
      </c>
      <c r="M1285">
        <v>179734.6601323511</v>
      </c>
      <c r="N1285">
        <v>126588.26482706955</v>
      </c>
      <c r="O1285" s="34">
        <v>63147.747908602825</v>
      </c>
      <c r="P1285">
        <f t="shared" si="2003"/>
        <v>1917338.459</v>
      </c>
      <c r="Q1285" s="18">
        <f t="shared" si="2004"/>
        <v>89867.33007</v>
      </c>
      <c r="U1285" s="33"/>
      <c r="V1285" s="1"/>
      <c r="W1285" s="1"/>
      <c r="X1285" s="1"/>
      <c r="Y1285" s="1"/>
      <c r="Z1285" s="1"/>
      <c r="AA1285" s="33"/>
      <c r="AB1285" s="1"/>
      <c r="AC1285" s="1"/>
      <c r="AD1285" s="33"/>
      <c r="AE1285" s="33"/>
      <c r="AF1285" s="1"/>
    </row>
    <row r="1286">
      <c r="C1286" s="33"/>
      <c r="D1286">
        <f t="shared" ref="D1286:O1286" si="2006">D1285-D1287</f>
        <v>124922.3215</v>
      </c>
      <c r="E1286">
        <f t="shared" si="2006"/>
        <v>131668.9974</v>
      </c>
      <c r="F1286">
        <f t="shared" si="2006"/>
        <v>35256.82244</v>
      </c>
      <c r="G1286">
        <f t="shared" si="2006"/>
        <v>121826.9167</v>
      </c>
      <c r="H1286">
        <f t="shared" si="2006"/>
        <v>273083.0376</v>
      </c>
      <c r="I1286">
        <f t="shared" si="2006"/>
        <v>214974.571</v>
      </c>
      <c r="J1286" s="34">
        <f t="shared" si="2006"/>
        <v>89834.61481</v>
      </c>
      <c r="K1286">
        <f t="shared" si="2006"/>
        <v>178125.7047</v>
      </c>
      <c r="L1286">
        <f t="shared" si="2006"/>
        <v>237459.5466</v>
      </c>
      <c r="M1286">
        <f t="shared" si="2006"/>
        <v>163395.1456</v>
      </c>
      <c r="N1286">
        <f t="shared" si="2006"/>
        <v>115080.2408</v>
      </c>
      <c r="O1286">
        <f t="shared" si="2006"/>
        <v>57407.04355</v>
      </c>
      <c r="P1286">
        <f t="shared" si="2003"/>
        <v>1743034.963</v>
      </c>
      <c r="Q1286" s="18">
        <f t="shared" si="2004"/>
        <v>81697.57279</v>
      </c>
      <c r="U1286" s="33"/>
      <c r="V1286" s="1"/>
      <c r="W1286" s="1"/>
      <c r="X1286" s="1"/>
      <c r="Y1286" s="1"/>
      <c r="Z1286" s="1"/>
      <c r="AA1286" s="33"/>
      <c r="AB1286" s="1"/>
      <c r="AC1286" s="1"/>
      <c r="AD1286" s="33"/>
      <c r="AE1286" s="33"/>
      <c r="AF1286" s="1"/>
    </row>
    <row r="1287">
      <c r="B1287" s="1" t="s">
        <v>5499</v>
      </c>
      <c r="C1287" s="33"/>
      <c r="D1287">
        <f t="shared" ref="D1287:O1287" si="2007">D1285/11</f>
        <v>12492.23215</v>
      </c>
      <c r="E1287">
        <f t="shared" si="2007"/>
        <v>13166.89974</v>
      </c>
      <c r="F1287">
        <f t="shared" si="2007"/>
        <v>3525.682244</v>
      </c>
      <c r="G1287">
        <f t="shared" si="2007"/>
        <v>12182.69167</v>
      </c>
      <c r="H1287">
        <f t="shared" si="2007"/>
        <v>27308.30376</v>
      </c>
      <c r="I1287">
        <f t="shared" si="2007"/>
        <v>21497.4571</v>
      </c>
      <c r="J1287" s="34">
        <f t="shared" si="2007"/>
        <v>8983.461481</v>
      </c>
      <c r="K1287">
        <f t="shared" si="2007"/>
        <v>17812.57047</v>
      </c>
      <c r="L1287">
        <f t="shared" si="2007"/>
        <v>23745.95466</v>
      </c>
      <c r="M1287">
        <f t="shared" si="2007"/>
        <v>16339.51456</v>
      </c>
      <c r="N1287">
        <f t="shared" si="2007"/>
        <v>11508.02408</v>
      </c>
      <c r="O1287">
        <f t="shared" si="2007"/>
        <v>5740.704355</v>
      </c>
      <c r="P1287">
        <f t="shared" si="2003"/>
        <v>174303.4963</v>
      </c>
      <c r="Q1287" s="18">
        <f t="shared" si="2004"/>
        <v>8169.757279</v>
      </c>
      <c r="U1287" s="33"/>
      <c r="V1287" s="1"/>
      <c r="W1287" s="1"/>
      <c r="X1287" s="1"/>
      <c r="Y1287" s="1"/>
      <c r="Z1287" s="1"/>
      <c r="AA1287" s="33"/>
      <c r="AB1287" s="1"/>
      <c r="AC1287" s="1"/>
      <c r="AD1287" s="33"/>
      <c r="AE1287" s="33"/>
      <c r="AF1287" s="1"/>
    </row>
    <row r="1288">
      <c r="B1288" s="1" t="s">
        <v>1975</v>
      </c>
      <c r="C1288" s="33"/>
      <c r="D1288" s="34">
        <v>60929.70010546336</v>
      </c>
      <c r="E1288" s="34">
        <v>25371.75204391602</v>
      </c>
      <c r="F1288">
        <v>25371.75204391602</v>
      </c>
      <c r="G1288" s="34">
        <v>23278.270040292413</v>
      </c>
      <c r="H1288" s="34">
        <v>33495.712057977806</v>
      </c>
      <c r="I1288">
        <v>42525.806073608015</v>
      </c>
      <c r="J1288">
        <v>33839.41805857272</v>
      </c>
      <c r="K1288">
        <v>23090.79403996791</v>
      </c>
      <c r="L1288" s="34">
        <v>30933.540053542936</v>
      </c>
      <c r="M1288">
        <v>15776.105427306898</v>
      </c>
      <c r="N1288">
        <v>18153.926031422674</v>
      </c>
      <c r="O1288" s="34">
        <v>13873.224024013194</v>
      </c>
      <c r="P1288">
        <f t="shared" si="2003"/>
        <v>346640</v>
      </c>
      <c r="Q1288" s="18">
        <f t="shared" si="2004"/>
        <v>7888.052714</v>
      </c>
      <c r="U1288" s="33"/>
      <c r="V1288" s="1"/>
      <c r="W1288" s="1"/>
      <c r="X1288" s="1"/>
      <c r="Y1288" s="1"/>
      <c r="Z1288" s="1"/>
      <c r="AA1288" s="33"/>
      <c r="AB1288" s="1"/>
      <c r="AC1288" s="1"/>
      <c r="AD1288" s="33"/>
      <c r="AE1288" s="33"/>
      <c r="AF1288" s="1"/>
    </row>
    <row r="1289">
      <c r="B1289" s="23" t="s">
        <v>5598</v>
      </c>
      <c r="C1289" s="33"/>
      <c r="D1289" s="18">
        <f t="shared" ref="D1289:O1289" si="2008">SUM(D1284,D1285,D1288)</f>
        <v>2387344.254</v>
      </c>
      <c r="E1289" s="18">
        <f t="shared" si="2008"/>
        <v>3283207.649</v>
      </c>
      <c r="F1289" s="18">
        <f t="shared" si="2008"/>
        <v>1769154.257</v>
      </c>
      <c r="G1289" s="18">
        <f t="shared" si="2008"/>
        <v>2236287.878</v>
      </c>
      <c r="H1289" s="18">
        <f t="shared" si="2008"/>
        <v>2533887.053</v>
      </c>
      <c r="I1289" s="18">
        <f t="shared" si="2008"/>
        <v>4128997.834</v>
      </c>
      <c r="J1289" s="18">
        <f t="shared" si="2008"/>
        <v>2497657.494</v>
      </c>
      <c r="K1289" s="184">
        <f t="shared" si="2008"/>
        <v>2859029.069</v>
      </c>
      <c r="L1289" s="18">
        <f t="shared" si="2008"/>
        <v>2481139.041</v>
      </c>
      <c r="M1289" s="18">
        <f t="shared" si="2008"/>
        <v>1948910.766</v>
      </c>
      <c r="N1289" s="18">
        <f t="shared" si="2008"/>
        <v>1629742.191</v>
      </c>
      <c r="O1289" s="18">
        <f t="shared" si="2008"/>
        <v>1397020.972</v>
      </c>
      <c r="P1289">
        <f t="shared" si="2003"/>
        <v>29152378.46</v>
      </c>
      <c r="Q1289" s="18">
        <f t="shared" si="2004"/>
        <v>974455.3828</v>
      </c>
      <c r="U1289" s="33"/>
      <c r="V1289" s="1"/>
      <c r="W1289" s="1"/>
      <c r="X1289" s="1"/>
      <c r="Y1289" s="1"/>
      <c r="Z1289" s="1"/>
      <c r="AA1289" s="33"/>
      <c r="AB1289" s="1"/>
      <c r="AC1289" s="1"/>
      <c r="AD1289" s="33"/>
      <c r="AE1289" s="33"/>
      <c r="AF1289" s="1"/>
    </row>
    <row r="1290">
      <c r="B1290" s="1" t="s">
        <v>5599</v>
      </c>
      <c r="C1290" s="33"/>
      <c r="D1290">
        <f t="shared" ref="D1290:O1290" si="2009">SUM(D1282,D1286,D1288)</f>
        <v>2175852.022</v>
      </c>
      <c r="E1290">
        <f t="shared" si="2009"/>
        <v>2987040.749</v>
      </c>
      <c r="F1290">
        <f t="shared" si="2009"/>
        <v>1610628.574</v>
      </c>
      <c r="G1290">
        <f t="shared" si="2009"/>
        <v>2035105.187</v>
      </c>
      <c r="H1290">
        <f t="shared" si="2009"/>
        <v>2306578.75</v>
      </c>
      <c r="I1290">
        <f t="shared" si="2009"/>
        <v>3757500.377</v>
      </c>
      <c r="J1290">
        <f t="shared" si="2009"/>
        <v>2273674.033</v>
      </c>
      <c r="K1290" s="34">
        <f t="shared" si="2009"/>
        <v>2601216.499</v>
      </c>
      <c r="L1290">
        <f t="shared" si="2009"/>
        <v>2258393.087</v>
      </c>
      <c r="M1290">
        <f t="shared" si="2009"/>
        <v>1773171.251</v>
      </c>
      <c r="N1290">
        <f t="shared" si="2009"/>
        <v>1483234.167</v>
      </c>
      <c r="O1290">
        <f t="shared" si="2009"/>
        <v>1271280.268</v>
      </c>
      <c r="P1290">
        <f t="shared" si="2003"/>
        <v>26533674.96</v>
      </c>
      <c r="Q1290" s="18">
        <f t="shared" si="2004"/>
        <v>886585.6255</v>
      </c>
      <c r="U1290" s="33"/>
      <c r="V1290" s="1"/>
      <c r="W1290" s="1"/>
      <c r="X1290" s="1"/>
      <c r="Y1290" s="1"/>
      <c r="Z1290" s="1"/>
      <c r="AA1290" s="33"/>
      <c r="AB1290" s="1"/>
      <c r="AC1290" s="1"/>
      <c r="AD1290" s="33"/>
      <c r="AE1290" s="33"/>
      <c r="AF1290" s="1"/>
    </row>
    <row r="1291">
      <c r="B1291" s="1" t="s">
        <v>5601</v>
      </c>
      <c r="C1291" s="33"/>
      <c r="D1291">
        <f t="shared" ref="D1291:O1291" si="2010">SUM(D1282,D1286)</f>
        <v>2114922.321</v>
      </c>
      <c r="E1291">
        <f t="shared" si="2010"/>
        <v>2961668.997</v>
      </c>
      <c r="F1291">
        <f t="shared" si="2010"/>
        <v>1585256.822</v>
      </c>
      <c r="G1291">
        <f t="shared" si="2010"/>
        <v>2011826.917</v>
      </c>
      <c r="H1291">
        <f t="shared" si="2010"/>
        <v>2273083.038</v>
      </c>
      <c r="I1291">
        <f t="shared" si="2010"/>
        <v>3714974.571</v>
      </c>
      <c r="J1291">
        <f t="shared" si="2010"/>
        <v>2239834.615</v>
      </c>
      <c r="K1291" s="34">
        <f t="shared" si="2010"/>
        <v>2578125.705</v>
      </c>
      <c r="L1291">
        <f t="shared" si="2010"/>
        <v>2227459.547</v>
      </c>
      <c r="M1291">
        <f t="shared" si="2010"/>
        <v>1757395.146</v>
      </c>
      <c r="N1291">
        <f t="shared" si="2010"/>
        <v>1465080.241</v>
      </c>
      <c r="O1291">
        <f t="shared" si="2010"/>
        <v>1257407.044</v>
      </c>
      <c r="P1291">
        <f t="shared" si="2003"/>
        <v>26187034.96</v>
      </c>
      <c r="Q1291" s="18">
        <f t="shared" si="2004"/>
        <v>878697.5728</v>
      </c>
      <c r="U1291" s="33"/>
      <c r="V1291" s="1"/>
      <c r="W1291" s="1"/>
      <c r="X1291" s="1"/>
      <c r="Y1291" s="1"/>
      <c r="Z1291" s="1"/>
      <c r="AA1291" s="33"/>
      <c r="AB1291" s="1"/>
      <c r="AC1291" s="1"/>
      <c r="AD1291" s="33"/>
      <c r="AE1291" s="33"/>
      <c r="AF1291" s="1"/>
    </row>
    <row r="1292">
      <c r="B1292" s="1" t="s">
        <v>5582</v>
      </c>
      <c r="C1292" s="33"/>
      <c r="D1292">
        <f t="shared" ref="D1292:O1292" si="2011">SUM(D1283,D1287)</f>
        <v>211492.2321</v>
      </c>
      <c r="E1292">
        <f t="shared" si="2011"/>
        <v>296166.8997</v>
      </c>
      <c r="F1292">
        <f t="shared" si="2011"/>
        <v>158525.6822</v>
      </c>
      <c r="G1292" s="34">
        <f t="shared" si="2011"/>
        <v>201182.6917</v>
      </c>
      <c r="H1292">
        <f t="shared" si="2011"/>
        <v>227308.3038</v>
      </c>
      <c r="I1292">
        <f t="shared" si="2011"/>
        <v>371497.4571</v>
      </c>
      <c r="J1292">
        <f t="shared" si="2011"/>
        <v>223983.4615</v>
      </c>
      <c r="K1292" s="34">
        <f t="shared" si="2011"/>
        <v>257812.5705</v>
      </c>
      <c r="L1292">
        <f t="shared" si="2011"/>
        <v>222745.9547</v>
      </c>
      <c r="M1292">
        <f t="shared" si="2011"/>
        <v>175739.5146</v>
      </c>
      <c r="N1292">
        <f t="shared" si="2011"/>
        <v>146508.0241</v>
      </c>
      <c r="O1292">
        <f t="shared" si="2011"/>
        <v>125740.7044</v>
      </c>
      <c r="P1292">
        <f t="shared" si="2003"/>
        <v>2618703.496</v>
      </c>
      <c r="Q1292" s="18">
        <f t="shared" si="2004"/>
        <v>87869.75728</v>
      </c>
      <c r="U1292" s="33"/>
      <c r="V1292" s="1"/>
      <c r="W1292" s="1"/>
      <c r="X1292" s="1"/>
      <c r="Y1292" s="1"/>
      <c r="Z1292" s="1"/>
      <c r="AA1292" s="33"/>
      <c r="AB1292" s="1"/>
      <c r="AC1292" s="1"/>
      <c r="AD1292" s="33"/>
      <c r="AE1292" s="33"/>
      <c r="AF1292" s="1"/>
    </row>
    <row r="1293">
      <c r="B1293" s="1" t="s">
        <v>5602</v>
      </c>
      <c r="C1293" s="33"/>
      <c r="D1293">
        <f t="shared" ref="D1293:O1293" si="2012">SUM(D1291:D1292)</f>
        <v>2326414.554</v>
      </c>
      <c r="E1293">
        <f t="shared" si="2012"/>
        <v>3257835.897</v>
      </c>
      <c r="F1293">
        <f t="shared" si="2012"/>
        <v>1743782.505</v>
      </c>
      <c r="G1293">
        <f t="shared" si="2012"/>
        <v>2213009.608</v>
      </c>
      <c r="H1293">
        <f t="shared" si="2012"/>
        <v>2500391.341</v>
      </c>
      <c r="I1293">
        <f t="shared" si="2012"/>
        <v>4086472.028</v>
      </c>
      <c r="J1293">
        <f t="shared" si="2012"/>
        <v>2463818.076</v>
      </c>
      <c r="K1293" s="34">
        <f t="shared" si="2012"/>
        <v>2835938.275</v>
      </c>
      <c r="L1293">
        <f t="shared" si="2012"/>
        <v>2450205.501</v>
      </c>
      <c r="M1293">
        <f t="shared" si="2012"/>
        <v>1933134.66</v>
      </c>
      <c r="N1293">
        <f t="shared" si="2012"/>
        <v>1611588.265</v>
      </c>
      <c r="O1293">
        <f t="shared" si="2012"/>
        <v>1383147.748</v>
      </c>
      <c r="P1293">
        <f t="shared" si="2003"/>
        <v>28805738.46</v>
      </c>
      <c r="Q1293" s="18">
        <f t="shared" si="2004"/>
        <v>966567.3301</v>
      </c>
      <c r="U1293" s="33"/>
      <c r="V1293" s="1"/>
      <c r="W1293" s="1"/>
      <c r="X1293" s="1"/>
      <c r="Y1293" s="1"/>
      <c r="Z1293" s="1"/>
      <c r="AA1293" s="33"/>
      <c r="AB1293" s="1"/>
      <c r="AC1293" s="1"/>
      <c r="AD1293" s="33"/>
      <c r="AE1293" s="33"/>
      <c r="AF1293" s="1"/>
    </row>
    <row r="1294">
      <c r="C1294" s="33"/>
      <c r="D1294" s="33" t="s">
        <v>5566</v>
      </c>
      <c r="E1294" s="33" t="s">
        <v>5897</v>
      </c>
      <c r="F1294" s="1">
        <v>1796154.0</v>
      </c>
      <c r="G1294" s="33" t="s">
        <v>5566</v>
      </c>
      <c r="H1294" s="33" t="s">
        <v>5566</v>
      </c>
      <c r="I1294" s="1" t="s">
        <v>5566</v>
      </c>
      <c r="J1294" s="1" t="s">
        <v>5566</v>
      </c>
      <c r="L1294" s="33" t="s">
        <v>5566</v>
      </c>
      <c r="M1294" s="1" t="s">
        <v>5566</v>
      </c>
      <c r="N1294" s="1" t="s">
        <v>5566</v>
      </c>
      <c r="O1294" s="33" t="s">
        <v>5566</v>
      </c>
      <c r="U1294" s="33"/>
      <c r="V1294" s="1"/>
      <c r="W1294" s="1"/>
      <c r="X1294" s="1"/>
      <c r="Y1294" s="1"/>
      <c r="Z1294" s="1"/>
      <c r="AA1294" s="33"/>
      <c r="AB1294" s="1"/>
      <c r="AC1294" s="1"/>
      <c r="AD1294" s="33"/>
      <c r="AE1294" s="33"/>
      <c r="AF1294" s="1"/>
    </row>
    <row r="1295">
      <c r="C1295" s="33"/>
      <c r="D1295" s="34"/>
      <c r="E1295" s="33" t="s">
        <v>5898</v>
      </c>
      <c r="F1295">
        <f>F1294-F1289</f>
        <v>26999.74327</v>
      </c>
      <c r="G1295" s="33"/>
      <c r="H1295" s="33"/>
      <c r="L1295" s="33"/>
      <c r="O1295" s="33"/>
      <c r="U1295" s="33"/>
      <c r="V1295" s="1"/>
      <c r="W1295" s="1"/>
      <c r="X1295" s="1"/>
      <c r="Y1295" s="1"/>
      <c r="Z1295" s="1"/>
      <c r="AA1295" s="33"/>
      <c r="AB1295" s="1"/>
      <c r="AC1295" s="1"/>
      <c r="AD1295" s="33"/>
      <c r="AE1295" s="33"/>
      <c r="AF1295" s="1"/>
    </row>
    <row r="1296">
      <c r="C1296" s="33"/>
      <c r="D1296" s="34"/>
      <c r="E1296" s="33"/>
      <c r="F1296" s="1" t="s">
        <v>5566</v>
      </c>
      <c r="G1296" s="33"/>
      <c r="H1296" s="33"/>
      <c r="L1296" s="33"/>
      <c r="O1296" s="33"/>
      <c r="U1296" s="33"/>
      <c r="V1296" s="1"/>
      <c r="W1296" s="1"/>
      <c r="X1296" s="1"/>
      <c r="Y1296" s="1"/>
      <c r="Z1296" s="1"/>
      <c r="AA1296" s="33"/>
      <c r="AB1296" s="1"/>
      <c r="AC1296" s="1"/>
      <c r="AD1296" s="33"/>
      <c r="AE1296" s="33"/>
      <c r="AF1296" s="1"/>
    </row>
    <row r="1297">
      <c r="B1297" s="1" t="s">
        <v>5899</v>
      </c>
      <c r="C1297" s="33"/>
      <c r="D1297" s="33">
        <v>1990000.0</v>
      </c>
      <c r="E1297" s="1">
        <v>2830000.0</v>
      </c>
      <c r="F1297" s="1">
        <v>1550000.0</v>
      </c>
      <c r="G1297" s="1">
        <v>1890000.0</v>
      </c>
      <c r="H1297" s="1">
        <v>2000000.0</v>
      </c>
      <c r="I1297" s="1">
        <v>3500000.0</v>
      </c>
      <c r="J1297" s="33">
        <v>2150000.0</v>
      </c>
      <c r="K1297" s="1">
        <v>2400000.0</v>
      </c>
      <c r="L1297" s="1">
        <v>1990000.0</v>
      </c>
      <c r="M1297" s="33">
        <v>1600000.0</v>
      </c>
      <c r="N1297" s="33">
        <v>1350000.0</v>
      </c>
      <c r="O1297" s="1">
        <v>1200000.0</v>
      </c>
      <c r="P1297">
        <f t="shared" ref="P1297:P1305" si="2014">SUM(D1297:O1297)</f>
        <v>24450000</v>
      </c>
      <c r="Q1297" s="18">
        <f t="shared" ref="Q1297:Q1305" si="2015">M1297*0.5</f>
        <v>800000</v>
      </c>
    </row>
    <row r="1298">
      <c r="B1298" s="1" t="s">
        <v>5499</v>
      </c>
      <c r="C1298" s="33"/>
      <c r="D1298" s="33">
        <f t="shared" ref="D1298:O1298" si="2013">D1297*0.1</f>
        <v>199000</v>
      </c>
      <c r="E1298" s="1">
        <f t="shared" si="2013"/>
        <v>283000</v>
      </c>
      <c r="F1298" s="1">
        <f t="shared" si="2013"/>
        <v>155000</v>
      </c>
      <c r="G1298" s="1">
        <f t="shared" si="2013"/>
        <v>189000</v>
      </c>
      <c r="H1298" s="1">
        <f t="shared" si="2013"/>
        <v>200000</v>
      </c>
      <c r="I1298" s="1">
        <f t="shared" si="2013"/>
        <v>350000</v>
      </c>
      <c r="J1298" s="33">
        <f t="shared" si="2013"/>
        <v>215000</v>
      </c>
      <c r="K1298" s="1">
        <f t="shared" si="2013"/>
        <v>240000</v>
      </c>
      <c r="L1298" s="1">
        <f t="shared" si="2013"/>
        <v>199000</v>
      </c>
      <c r="M1298" s="33">
        <f t="shared" si="2013"/>
        <v>160000</v>
      </c>
      <c r="N1298" s="1">
        <f t="shared" si="2013"/>
        <v>135000</v>
      </c>
      <c r="O1298" s="1">
        <f t="shared" si="2013"/>
        <v>120000</v>
      </c>
      <c r="P1298">
        <f t="shared" si="2014"/>
        <v>2445000</v>
      </c>
      <c r="Q1298" s="18">
        <f t="shared" si="2015"/>
        <v>80000</v>
      </c>
    </row>
    <row r="1299">
      <c r="B1299" s="1" t="s">
        <v>5520</v>
      </c>
      <c r="C1299" s="33"/>
      <c r="D1299" s="34">
        <f t="shared" ref="D1299:O1299" si="2016">D1297+D1298</f>
        <v>2189000</v>
      </c>
      <c r="E1299">
        <f t="shared" si="2016"/>
        <v>3113000</v>
      </c>
      <c r="F1299">
        <f t="shared" si="2016"/>
        <v>1705000</v>
      </c>
      <c r="G1299">
        <f t="shared" si="2016"/>
        <v>2079000</v>
      </c>
      <c r="H1299">
        <f t="shared" si="2016"/>
        <v>2200000</v>
      </c>
      <c r="I1299">
        <f t="shared" si="2016"/>
        <v>3850000</v>
      </c>
      <c r="J1299" s="34">
        <f t="shared" si="2016"/>
        <v>2365000</v>
      </c>
      <c r="K1299">
        <f t="shared" si="2016"/>
        <v>2640000</v>
      </c>
      <c r="L1299">
        <f t="shared" si="2016"/>
        <v>2189000</v>
      </c>
      <c r="M1299" s="34">
        <f t="shared" si="2016"/>
        <v>1760000</v>
      </c>
      <c r="N1299">
        <f t="shared" si="2016"/>
        <v>1485000</v>
      </c>
      <c r="O1299">
        <f t="shared" si="2016"/>
        <v>1320000</v>
      </c>
      <c r="P1299">
        <f t="shared" si="2014"/>
        <v>26895000</v>
      </c>
      <c r="Q1299" s="18">
        <f t="shared" si="2015"/>
        <v>880000</v>
      </c>
    </row>
    <row r="1300">
      <c r="B1300" s="1" t="s">
        <v>5545</v>
      </c>
      <c r="C1300" s="33"/>
      <c r="D1300" s="34">
        <v>86851.26134301271</v>
      </c>
      <c r="E1300" s="34">
        <v>57759.27404718693</v>
      </c>
      <c r="F1300">
        <v>32489.59165154265</v>
      </c>
      <c r="G1300" s="34">
        <v>62996.42649727768</v>
      </c>
      <c r="H1300" s="34">
        <v>230753.14156079854</v>
      </c>
      <c r="I1300">
        <v>157067.59709618875</v>
      </c>
      <c r="J1300">
        <v>56838.26860254083</v>
      </c>
      <c r="K1300">
        <v>125128.10195669267</v>
      </c>
      <c r="L1300" s="34">
        <v>166497.9633790605</v>
      </c>
      <c r="M1300">
        <v>113111.09074410163</v>
      </c>
      <c r="N1300">
        <v>27958.63157894737</v>
      </c>
      <c r="O1300" s="34">
        <v>52591.26315789474</v>
      </c>
      <c r="P1300">
        <f t="shared" si="2014"/>
        <v>1170042.612</v>
      </c>
      <c r="Q1300" s="18">
        <f t="shared" si="2015"/>
        <v>56555.54537</v>
      </c>
    </row>
    <row r="1301">
      <c r="C1301" s="33"/>
      <c r="D1301">
        <f t="shared" ref="D1301:O1301" si="2017">D1300-D1302</f>
        <v>78955.69213</v>
      </c>
      <c r="E1301">
        <f t="shared" si="2017"/>
        <v>52508.43095</v>
      </c>
      <c r="F1301">
        <f t="shared" si="2017"/>
        <v>29535.99241</v>
      </c>
      <c r="G1301">
        <f t="shared" si="2017"/>
        <v>57269.47863</v>
      </c>
      <c r="H1301">
        <f t="shared" si="2017"/>
        <v>209775.5832</v>
      </c>
      <c r="I1301">
        <f t="shared" si="2017"/>
        <v>142788.7246</v>
      </c>
      <c r="J1301" s="34">
        <f t="shared" si="2017"/>
        <v>51671.15328</v>
      </c>
      <c r="K1301">
        <f t="shared" si="2017"/>
        <v>113752.82</v>
      </c>
      <c r="L1301">
        <f t="shared" si="2017"/>
        <v>151361.7849</v>
      </c>
      <c r="M1301">
        <f t="shared" si="2017"/>
        <v>102828.2643</v>
      </c>
      <c r="N1301">
        <f t="shared" si="2017"/>
        <v>25416.9378</v>
      </c>
      <c r="O1301">
        <f t="shared" si="2017"/>
        <v>47810.23923</v>
      </c>
      <c r="P1301">
        <f t="shared" si="2014"/>
        <v>1063675.101</v>
      </c>
      <c r="Q1301" s="18">
        <f t="shared" si="2015"/>
        <v>51414.13216</v>
      </c>
    </row>
    <row r="1302">
      <c r="B1302" s="1" t="s">
        <v>5499</v>
      </c>
      <c r="C1302" s="33"/>
      <c r="D1302">
        <f t="shared" ref="D1302:O1302" si="2018">D1300/11</f>
        <v>7895.569213</v>
      </c>
      <c r="E1302">
        <f t="shared" si="2018"/>
        <v>5250.843095</v>
      </c>
      <c r="F1302">
        <f t="shared" si="2018"/>
        <v>2953.599241</v>
      </c>
      <c r="G1302">
        <f t="shared" si="2018"/>
        <v>5726.947863</v>
      </c>
      <c r="H1302">
        <f t="shared" si="2018"/>
        <v>20977.55832</v>
      </c>
      <c r="I1302">
        <f t="shared" si="2018"/>
        <v>14278.87246</v>
      </c>
      <c r="J1302" s="34">
        <f t="shared" si="2018"/>
        <v>5167.115328</v>
      </c>
      <c r="K1302">
        <f t="shared" si="2018"/>
        <v>11375.282</v>
      </c>
      <c r="L1302">
        <f t="shared" si="2018"/>
        <v>15136.17849</v>
      </c>
      <c r="M1302">
        <f t="shared" si="2018"/>
        <v>10282.82643</v>
      </c>
      <c r="N1302">
        <f t="shared" si="2018"/>
        <v>2541.69378</v>
      </c>
      <c r="O1302">
        <f t="shared" si="2018"/>
        <v>4781.023923</v>
      </c>
      <c r="P1302">
        <f t="shared" si="2014"/>
        <v>106367.5101</v>
      </c>
      <c r="Q1302" s="18">
        <f t="shared" si="2015"/>
        <v>5141.413216</v>
      </c>
    </row>
    <row r="1303">
      <c r="B1303" s="23" t="s">
        <v>5528</v>
      </c>
      <c r="C1303" s="33"/>
      <c r="D1303" s="145">
        <f t="shared" ref="D1303:O1303" si="2019">SUM(D1299,D1300)</f>
        <v>2275851.261</v>
      </c>
      <c r="E1303" s="145">
        <f t="shared" si="2019"/>
        <v>3170759.274</v>
      </c>
      <c r="F1303" s="145">
        <f t="shared" si="2019"/>
        <v>1737489.592</v>
      </c>
      <c r="G1303" s="145">
        <f t="shared" si="2019"/>
        <v>2141996.426</v>
      </c>
      <c r="H1303" s="145">
        <f t="shared" si="2019"/>
        <v>2430753.142</v>
      </c>
      <c r="I1303" s="173">
        <f t="shared" si="2019"/>
        <v>4007067.597</v>
      </c>
      <c r="J1303" s="145">
        <f t="shared" si="2019"/>
        <v>2421838.269</v>
      </c>
      <c r="K1303" s="183">
        <f t="shared" si="2019"/>
        <v>2765128.102</v>
      </c>
      <c r="L1303" s="145">
        <f t="shared" si="2019"/>
        <v>2355497.963</v>
      </c>
      <c r="M1303" s="145">
        <f t="shared" si="2019"/>
        <v>1873111.091</v>
      </c>
      <c r="N1303" s="145">
        <f t="shared" si="2019"/>
        <v>1512958.632</v>
      </c>
      <c r="O1303" s="145">
        <f t="shared" si="2019"/>
        <v>1372591.263</v>
      </c>
      <c r="P1303">
        <f t="shared" si="2014"/>
        <v>28065042.61</v>
      </c>
      <c r="Q1303" s="18">
        <f t="shared" si="2015"/>
        <v>936555.5454</v>
      </c>
    </row>
    <row r="1304">
      <c r="B1304" s="1" t="s">
        <v>5580</v>
      </c>
      <c r="C1304" s="33"/>
      <c r="D1304">
        <f t="shared" ref="D1304:O1304" si="2020">D1297+D1301</f>
        <v>2068955.692</v>
      </c>
      <c r="E1304">
        <f t="shared" si="2020"/>
        <v>2882508.431</v>
      </c>
      <c r="F1304">
        <f t="shared" si="2020"/>
        <v>1579535.992</v>
      </c>
      <c r="G1304">
        <f t="shared" si="2020"/>
        <v>1947269.479</v>
      </c>
      <c r="H1304">
        <f t="shared" si="2020"/>
        <v>2209775.583</v>
      </c>
      <c r="I1304">
        <f t="shared" si="2020"/>
        <v>3642788.725</v>
      </c>
      <c r="J1304" s="34">
        <f t="shared" si="2020"/>
        <v>2201671.153</v>
      </c>
      <c r="K1304">
        <f t="shared" si="2020"/>
        <v>2513752.82</v>
      </c>
      <c r="L1304">
        <f t="shared" si="2020"/>
        <v>2141361.785</v>
      </c>
      <c r="M1304">
        <f t="shared" si="2020"/>
        <v>1702828.264</v>
      </c>
      <c r="N1304">
        <f t="shared" si="2020"/>
        <v>1375416.938</v>
      </c>
      <c r="O1304">
        <f t="shared" si="2020"/>
        <v>1247810.239</v>
      </c>
      <c r="P1304">
        <f t="shared" si="2014"/>
        <v>25513675.1</v>
      </c>
      <c r="Q1304" s="18">
        <f t="shared" si="2015"/>
        <v>851414.1322</v>
      </c>
    </row>
    <row r="1305">
      <c r="B1305" s="1" t="s">
        <v>5582</v>
      </c>
      <c r="C1305" s="33"/>
      <c r="D1305">
        <f t="shared" ref="D1305:O1305" si="2021">D1298+D1302</f>
        <v>206895.5692</v>
      </c>
      <c r="E1305">
        <f t="shared" si="2021"/>
        <v>288250.8431</v>
      </c>
      <c r="F1305">
        <f t="shared" si="2021"/>
        <v>157953.5992</v>
      </c>
      <c r="G1305">
        <f t="shared" si="2021"/>
        <v>194726.9479</v>
      </c>
      <c r="H1305">
        <f t="shared" si="2021"/>
        <v>220977.5583</v>
      </c>
      <c r="I1305">
        <f t="shared" si="2021"/>
        <v>364278.8725</v>
      </c>
      <c r="J1305" s="34">
        <f t="shared" si="2021"/>
        <v>220167.1153</v>
      </c>
      <c r="K1305">
        <f t="shared" si="2021"/>
        <v>251375.282</v>
      </c>
      <c r="L1305">
        <f t="shared" si="2021"/>
        <v>214136.1785</v>
      </c>
      <c r="M1305">
        <f t="shared" si="2021"/>
        <v>170282.8264</v>
      </c>
      <c r="N1305">
        <f t="shared" si="2021"/>
        <v>137541.6938</v>
      </c>
      <c r="O1305">
        <f t="shared" si="2021"/>
        <v>124781.0239</v>
      </c>
      <c r="P1305">
        <f t="shared" si="2014"/>
        <v>2551367.51</v>
      </c>
      <c r="Q1305" s="18">
        <f t="shared" si="2015"/>
        <v>85141.41322</v>
      </c>
    </row>
    <row r="1306">
      <c r="C1306" s="33"/>
      <c r="D1306" s="33" t="s">
        <v>5566</v>
      </c>
      <c r="E1306" s="1" t="s">
        <v>5566</v>
      </c>
      <c r="F1306" s="33" t="s">
        <v>5900</v>
      </c>
      <c r="G1306" s="33" t="s">
        <v>5566</v>
      </c>
      <c r="H1306" s="33" t="s">
        <v>5566</v>
      </c>
      <c r="I1306" s="1" t="s">
        <v>5566</v>
      </c>
      <c r="J1306" s="1" t="s">
        <v>5566</v>
      </c>
      <c r="L1306" s="33" t="s">
        <v>5566</v>
      </c>
      <c r="M1306" s="1" t="s">
        <v>5566</v>
      </c>
      <c r="N1306" s="1" t="s">
        <v>5566</v>
      </c>
      <c r="O1306" s="33" t="s">
        <v>5566</v>
      </c>
    </row>
    <row r="1307">
      <c r="C1307" s="33"/>
      <c r="D1307" s="34"/>
      <c r="E1307" s="33"/>
      <c r="F1307">
        <f>F1303-27000</f>
        <v>1710489.592</v>
      </c>
      <c r="G1307" s="33"/>
      <c r="H1307" s="33"/>
      <c r="L1307" s="33"/>
      <c r="O1307" s="33"/>
    </row>
    <row r="1308">
      <c r="C1308" s="33"/>
      <c r="D1308" s="34"/>
      <c r="E1308" s="33"/>
      <c r="G1308" s="33"/>
      <c r="H1308" s="33"/>
      <c r="L1308" s="33"/>
      <c r="O1308" s="33"/>
    </row>
    <row r="1309">
      <c r="B1309" s="1" t="s">
        <v>5901</v>
      </c>
      <c r="C1309" s="33"/>
      <c r="D1309" s="33">
        <v>1990000.0</v>
      </c>
      <c r="E1309" s="1">
        <v>2830000.0</v>
      </c>
      <c r="F1309" s="1">
        <v>1550000.0</v>
      </c>
      <c r="G1309" s="1">
        <v>1890000.0</v>
      </c>
      <c r="H1309" s="1">
        <v>2000000.0</v>
      </c>
      <c r="I1309" s="1">
        <v>3500000.0</v>
      </c>
      <c r="J1309" s="33">
        <v>2150000.0</v>
      </c>
      <c r="K1309" s="1">
        <v>2400000.0</v>
      </c>
      <c r="L1309" s="1">
        <v>1990000.0</v>
      </c>
      <c r="M1309" s="33">
        <v>1600000.0</v>
      </c>
      <c r="N1309" s="33">
        <v>1350000.0</v>
      </c>
      <c r="O1309" s="1">
        <v>1200000.0</v>
      </c>
      <c r="P1309">
        <f t="shared" ref="P1309:P1320" si="2023">SUM(D1309:O1309)</f>
        <v>24450000</v>
      </c>
      <c r="Q1309" s="18">
        <f t="shared" ref="Q1309:Q1320" si="2024">M1309*0.5</f>
        <v>800000</v>
      </c>
    </row>
    <row r="1310">
      <c r="B1310" s="1" t="s">
        <v>5499</v>
      </c>
      <c r="C1310" s="33"/>
      <c r="D1310" s="33">
        <f t="shared" ref="D1310:O1310" si="2022">D1309*0.1</f>
        <v>199000</v>
      </c>
      <c r="E1310" s="1">
        <f t="shared" si="2022"/>
        <v>283000</v>
      </c>
      <c r="F1310" s="1">
        <f t="shared" si="2022"/>
        <v>155000</v>
      </c>
      <c r="G1310" s="1">
        <f t="shared" si="2022"/>
        <v>189000</v>
      </c>
      <c r="H1310" s="1">
        <f t="shared" si="2022"/>
        <v>200000</v>
      </c>
      <c r="I1310" s="1">
        <f t="shared" si="2022"/>
        <v>350000</v>
      </c>
      <c r="J1310" s="33">
        <f t="shared" si="2022"/>
        <v>215000</v>
      </c>
      <c r="K1310" s="1">
        <f t="shared" si="2022"/>
        <v>240000</v>
      </c>
      <c r="L1310" s="1">
        <f t="shared" si="2022"/>
        <v>199000</v>
      </c>
      <c r="M1310" s="33">
        <f t="shared" si="2022"/>
        <v>160000</v>
      </c>
      <c r="N1310" s="1">
        <f t="shared" si="2022"/>
        <v>135000</v>
      </c>
      <c r="O1310" s="1">
        <f t="shared" si="2022"/>
        <v>120000</v>
      </c>
      <c r="P1310">
        <f t="shared" si="2023"/>
        <v>2445000</v>
      </c>
      <c r="Q1310" s="18">
        <f t="shared" si="2024"/>
        <v>80000</v>
      </c>
    </row>
    <row r="1311">
      <c r="B1311" s="1" t="s">
        <v>5520</v>
      </c>
      <c r="C1311" s="33"/>
      <c r="D1311" s="34">
        <f t="shared" ref="D1311:O1311" si="2025">D1309+D1310</f>
        <v>2189000</v>
      </c>
      <c r="E1311">
        <f t="shared" si="2025"/>
        <v>3113000</v>
      </c>
      <c r="F1311">
        <f t="shared" si="2025"/>
        <v>1705000</v>
      </c>
      <c r="G1311">
        <f t="shared" si="2025"/>
        <v>2079000</v>
      </c>
      <c r="H1311">
        <f t="shared" si="2025"/>
        <v>2200000</v>
      </c>
      <c r="I1311">
        <f t="shared" si="2025"/>
        <v>3850000</v>
      </c>
      <c r="J1311" s="34">
        <f t="shared" si="2025"/>
        <v>2365000</v>
      </c>
      <c r="K1311">
        <f t="shared" si="2025"/>
        <v>2640000</v>
      </c>
      <c r="L1311">
        <f t="shared" si="2025"/>
        <v>2189000</v>
      </c>
      <c r="M1311" s="34">
        <f t="shared" si="2025"/>
        <v>1760000</v>
      </c>
      <c r="N1311">
        <f t="shared" si="2025"/>
        <v>1485000</v>
      </c>
      <c r="O1311">
        <f t="shared" si="2025"/>
        <v>1320000</v>
      </c>
      <c r="P1311">
        <f t="shared" si="2023"/>
        <v>26895000</v>
      </c>
      <c r="Q1311" s="18">
        <f t="shared" si="2024"/>
        <v>880000</v>
      </c>
    </row>
    <row r="1312">
      <c r="B1312" s="1" t="s">
        <v>5545</v>
      </c>
      <c r="C1312" s="33"/>
      <c r="D1312" s="34">
        <v>75864.17593528816</v>
      </c>
      <c r="E1312" s="34">
        <v>83849.87866531851</v>
      </c>
      <c r="F1312">
        <v>45330.606673407485</v>
      </c>
      <c r="G1312" s="34">
        <v>91129.98281092012</v>
      </c>
      <c r="H1312" s="34">
        <v>228296.17087967644</v>
      </c>
      <c r="I1312">
        <v>170752.13650151668</v>
      </c>
      <c r="J1312">
        <v>28888.476238624873</v>
      </c>
      <c r="K1312">
        <v>104948.5386662191</v>
      </c>
      <c r="L1312" s="34">
        <v>139318.05991820962</v>
      </c>
      <c r="M1312">
        <v>128240.0131445905</v>
      </c>
      <c r="N1312">
        <v>11742.702730030334</v>
      </c>
      <c r="O1312" s="34">
        <v>53080.45803842265</v>
      </c>
      <c r="P1312">
        <f t="shared" si="2023"/>
        <v>1161441.2</v>
      </c>
      <c r="Q1312" s="18">
        <f t="shared" si="2024"/>
        <v>64120.00657</v>
      </c>
    </row>
    <row r="1313">
      <c r="C1313" s="33"/>
      <c r="D1313">
        <f t="shared" ref="D1313:O1313" si="2026">D1312-D1314</f>
        <v>68967.43267</v>
      </c>
      <c r="E1313">
        <f t="shared" si="2026"/>
        <v>76227.16242</v>
      </c>
      <c r="F1313">
        <f t="shared" si="2026"/>
        <v>41209.64243</v>
      </c>
      <c r="G1313">
        <f t="shared" si="2026"/>
        <v>82845.43892</v>
      </c>
      <c r="H1313">
        <f t="shared" si="2026"/>
        <v>207541.9735</v>
      </c>
      <c r="I1313">
        <f t="shared" si="2026"/>
        <v>155229.215</v>
      </c>
      <c r="J1313" s="34">
        <f t="shared" si="2026"/>
        <v>26262.25113</v>
      </c>
      <c r="K1313">
        <f t="shared" si="2026"/>
        <v>95407.76242</v>
      </c>
      <c r="L1313">
        <f t="shared" si="2026"/>
        <v>126652.7817</v>
      </c>
      <c r="M1313">
        <f t="shared" si="2026"/>
        <v>116581.8301</v>
      </c>
      <c r="N1313">
        <f t="shared" si="2026"/>
        <v>10675.1843</v>
      </c>
      <c r="O1313">
        <f t="shared" si="2026"/>
        <v>48254.96185</v>
      </c>
      <c r="P1313">
        <f t="shared" si="2023"/>
        <v>1055855.637</v>
      </c>
      <c r="Q1313" s="18">
        <f t="shared" si="2024"/>
        <v>58290.91507</v>
      </c>
    </row>
    <row r="1314">
      <c r="B1314" s="1" t="s">
        <v>5499</v>
      </c>
      <c r="C1314" s="33"/>
      <c r="D1314">
        <f t="shared" ref="D1314:O1314" si="2027">D1312/11</f>
        <v>6896.743267</v>
      </c>
      <c r="E1314">
        <f t="shared" si="2027"/>
        <v>7622.716242</v>
      </c>
      <c r="F1314">
        <f t="shared" si="2027"/>
        <v>4120.964243</v>
      </c>
      <c r="G1314">
        <f t="shared" si="2027"/>
        <v>8284.543892</v>
      </c>
      <c r="H1314">
        <f t="shared" si="2027"/>
        <v>20754.19735</v>
      </c>
      <c r="I1314">
        <f t="shared" si="2027"/>
        <v>15522.9215</v>
      </c>
      <c r="J1314" s="34">
        <f t="shared" si="2027"/>
        <v>2626.225113</v>
      </c>
      <c r="K1314">
        <f t="shared" si="2027"/>
        <v>9540.776242</v>
      </c>
      <c r="L1314">
        <f t="shared" si="2027"/>
        <v>12665.27817</v>
      </c>
      <c r="M1314">
        <f t="shared" si="2027"/>
        <v>11658.18301</v>
      </c>
      <c r="N1314">
        <f t="shared" si="2027"/>
        <v>1067.51843</v>
      </c>
      <c r="O1314">
        <f t="shared" si="2027"/>
        <v>4825.496185</v>
      </c>
      <c r="P1314">
        <f t="shared" si="2023"/>
        <v>105585.5637</v>
      </c>
      <c r="Q1314" s="18">
        <f t="shared" si="2024"/>
        <v>5829.091507</v>
      </c>
    </row>
    <row r="1315">
      <c r="B1315" s="1" t="s">
        <v>1975</v>
      </c>
      <c r="C1315" s="33"/>
      <c r="D1315" s="34">
        <v>44800.836495731884</v>
      </c>
      <c r="E1315" s="34">
        <v>18655.527812581688</v>
      </c>
      <c r="F1315">
        <v>18655.527812581688</v>
      </c>
      <c r="G1315" s="34">
        <v>17116.217020164233</v>
      </c>
      <c r="H1315" s="34">
        <v>24628.97267867927</v>
      </c>
      <c r="I1315">
        <v>31268.686395226203</v>
      </c>
      <c r="J1315">
        <v>24881.69534609109</v>
      </c>
      <c r="K1315">
        <v>16978.36829248506</v>
      </c>
      <c r="L1315" s="34">
        <v>22745.04006706388</v>
      </c>
      <c r="M1315">
        <v>11599.97043420258</v>
      </c>
      <c r="N1315">
        <v>13348.35179693345</v>
      </c>
      <c r="O1315" s="34">
        <v>10200.805848258951</v>
      </c>
      <c r="P1315">
        <f t="shared" si="2023"/>
        <v>254880</v>
      </c>
      <c r="Q1315" s="18">
        <f t="shared" si="2024"/>
        <v>5799.985217</v>
      </c>
    </row>
    <row r="1316">
      <c r="B1316" s="23" t="s">
        <v>5598</v>
      </c>
      <c r="C1316" s="33"/>
      <c r="D1316" s="18">
        <f t="shared" ref="D1316:O1316" si="2028">SUM(D1311,D1312,D1315)</f>
        <v>2309665.012</v>
      </c>
      <c r="E1316" s="18">
        <f t="shared" si="2028"/>
        <v>3215505.406</v>
      </c>
      <c r="F1316" s="18">
        <f t="shared" si="2028"/>
        <v>1768986.134</v>
      </c>
      <c r="G1316" s="18">
        <f t="shared" si="2028"/>
        <v>2187246.2</v>
      </c>
      <c r="H1316" s="18">
        <f t="shared" si="2028"/>
        <v>2452925.144</v>
      </c>
      <c r="I1316" s="18">
        <f t="shared" si="2028"/>
        <v>4052020.823</v>
      </c>
      <c r="J1316" s="18">
        <f t="shared" si="2028"/>
        <v>2418770.172</v>
      </c>
      <c r="K1316" s="184">
        <f t="shared" si="2028"/>
        <v>2761926.907</v>
      </c>
      <c r="L1316" s="18">
        <f t="shared" si="2028"/>
        <v>2351063.1</v>
      </c>
      <c r="M1316" s="18">
        <f t="shared" si="2028"/>
        <v>1899839.984</v>
      </c>
      <c r="N1316" s="18">
        <f t="shared" si="2028"/>
        <v>1510091.055</v>
      </c>
      <c r="O1316" s="18">
        <f t="shared" si="2028"/>
        <v>1383281.264</v>
      </c>
      <c r="P1316">
        <f t="shared" si="2023"/>
        <v>28311321.2</v>
      </c>
      <c r="Q1316" s="18">
        <f t="shared" si="2024"/>
        <v>949919.9918</v>
      </c>
    </row>
    <row r="1317">
      <c r="B1317" s="1" t="s">
        <v>5599</v>
      </c>
      <c r="C1317" s="33"/>
      <c r="D1317">
        <f t="shared" ref="D1317:O1317" si="2029">SUM(D1309,D1313,D1315)</f>
        <v>2103768.269</v>
      </c>
      <c r="E1317">
        <f t="shared" si="2029"/>
        <v>2924882.69</v>
      </c>
      <c r="F1317">
        <f t="shared" si="2029"/>
        <v>1609865.17</v>
      </c>
      <c r="G1317">
        <f t="shared" si="2029"/>
        <v>1989961.656</v>
      </c>
      <c r="H1317">
        <f t="shared" si="2029"/>
        <v>2232170.946</v>
      </c>
      <c r="I1317">
        <f t="shared" si="2029"/>
        <v>3686497.901</v>
      </c>
      <c r="J1317">
        <f t="shared" si="2029"/>
        <v>2201143.946</v>
      </c>
      <c r="K1317" s="34">
        <f t="shared" si="2029"/>
        <v>2512386.131</v>
      </c>
      <c r="L1317">
        <f t="shared" si="2029"/>
        <v>2139397.822</v>
      </c>
      <c r="M1317">
        <f t="shared" si="2029"/>
        <v>1728181.801</v>
      </c>
      <c r="N1317">
        <f t="shared" si="2029"/>
        <v>1374023.536</v>
      </c>
      <c r="O1317">
        <f t="shared" si="2029"/>
        <v>1258455.768</v>
      </c>
      <c r="P1317">
        <f t="shared" si="2023"/>
        <v>25760735.64</v>
      </c>
      <c r="Q1317" s="18">
        <f t="shared" si="2024"/>
        <v>864090.9003</v>
      </c>
    </row>
    <row r="1318">
      <c r="B1318" s="1" t="s">
        <v>5601</v>
      </c>
      <c r="C1318" s="33"/>
      <c r="D1318">
        <f t="shared" ref="D1318:O1318" si="2030">SUM(D1309,D1313)</f>
        <v>2058967.433</v>
      </c>
      <c r="E1318">
        <f t="shared" si="2030"/>
        <v>2906227.162</v>
      </c>
      <c r="F1318">
        <f t="shared" si="2030"/>
        <v>1591209.642</v>
      </c>
      <c r="G1318">
        <f t="shared" si="2030"/>
        <v>1972845.439</v>
      </c>
      <c r="H1318">
        <f t="shared" si="2030"/>
        <v>2207541.974</v>
      </c>
      <c r="I1318">
        <f t="shared" si="2030"/>
        <v>3655229.215</v>
      </c>
      <c r="J1318">
        <f t="shared" si="2030"/>
        <v>2176262.251</v>
      </c>
      <c r="K1318" s="34">
        <f t="shared" si="2030"/>
        <v>2495407.762</v>
      </c>
      <c r="L1318">
        <f t="shared" si="2030"/>
        <v>2116652.782</v>
      </c>
      <c r="M1318">
        <f t="shared" si="2030"/>
        <v>1716581.83</v>
      </c>
      <c r="N1318">
        <f t="shared" si="2030"/>
        <v>1360675.184</v>
      </c>
      <c r="O1318">
        <f t="shared" si="2030"/>
        <v>1248254.962</v>
      </c>
      <c r="P1318">
        <f t="shared" si="2023"/>
        <v>25505855.64</v>
      </c>
      <c r="Q1318" s="18">
        <f t="shared" si="2024"/>
        <v>858290.9151</v>
      </c>
    </row>
    <row r="1319">
      <c r="B1319" s="1" t="s">
        <v>5582</v>
      </c>
      <c r="C1319" s="33"/>
      <c r="D1319">
        <f t="shared" ref="D1319:O1319" si="2031">SUM(D1310,D1314)</f>
        <v>205896.7433</v>
      </c>
      <c r="E1319">
        <f t="shared" si="2031"/>
        <v>290622.7162</v>
      </c>
      <c r="F1319">
        <f t="shared" si="2031"/>
        <v>159120.9642</v>
      </c>
      <c r="G1319" s="34">
        <f t="shared" si="2031"/>
        <v>197284.5439</v>
      </c>
      <c r="H1319">
        <f t="shared" si="2031"/>
        <v>220754.1974</v>
      </c>
      <c r="I1319">
        <f t="shared" si="2031"/>
        <v>365522.9215</v>
      </c>
      <c r="J1319">
        <f t="shared" si="2031"/>
        <v>217626.2251</v>
      </c>
      <c r="K1319" s="34">
        <f t="shared" si="2031"/>
        <v>249540.7762</v>
      </c>
      <c r="L1319">
        <f t="shared" si="2031"/>
        <v>211665.2782</v>
      </c>
      <c r="M1319">
        <f t="shared" si="2031"/>
        <v>171658.183</v>
      </c>
      <c r="N1319">
        <f t="shared" si="2031"/>
        <v>136067.5184</v>
      </c>
      <c r="O1319">
        <f t="shared" si="2031"/>
        <v>124825.4962</v>
      </c>
      <c r="P1319">
        <f t="shared" si="2023"/>
        <v>2550585.564</v>
      </c>
      <c r="Q1319" s="18">
        <f t="shared" si="2024"/>
        <v>85829.09151</v>
      </c>
    </row>
    <row r="1320">
      <c r="B1320" s="1" t="s">
        <v>5602</v>
      </c>
      <c r="C1320" s="33"/>
      <c r="D1320">
        <f t="shared" ref="D1320:O1320" si="2032">SUM(D1318:D1319)</f>
        <v>2264864.176</v>
      </c>
      <c r="E1320">
        <f t="shared" si="2032"/>
        <v>3196849.879</v>
      </c>
      <c r="F1320">
        <f t="shared" si="2032"/>
        <v>1750330.607</v>
      </c>
      <c r="G1320">
        <f t="shared" si="2032"/>
        <v>2170129.983</v>
      </c>
      <c r="H1320">
        <f t="shared" si="2032"/>
        <v>2428296.171</v>
      </c>
      <c r="I1320">
        <f t="shared" si="2032"/>
        <v>4020752.137</v>
      </c>
      <c r="J1320">
        <f t="shared" si="2032"/>
        <v>2393888.476</v>
      </c>
      <c r="K1320" s="34">
        <f t="shared" si="2032"/>
        <v>2744948.539</v>
      </c>
      <c r="L1320">
        <f t="shared" si="2032"/>
        <v>2328318.06</v>
      </c>
      <c r="M1320">
        <f t="shared" si="2032"/>
        <v>1888240.013</v>
      </c>
      <c r="N1320">
        <f t="shared" si="2032"/>
        <v>1496742.703</v>
      </c>
      <c r="O1320">
        <f t="shared" si="2032"/>
        <v>1373080.458</v>
      </c>
      <c r="P1320">
        <f t="shared" si="2023"/>
        <v>28056441.2</v>
      </c>
      <c r="Q1320" s="18">
        <f t="shared" si="2024"/>
        <v>944120.0066</v>
      </c>
    </row>
    <row r="1321">
      <c r="C1321" s="33"/>
      <c r="D1321" s="33" t="s">
        <v>5566</v>
      </c>
      <c r="E1321" s="33" t="s">
        <v>5566</v>
      </c>
      <c r="F1321" s="1" t="s">
        <v>5566</v>
      </c>
      <c r="G1321" s="33" t="s">
        <v>5566</v>
      </c>
      <c r="H1321" s="33" t="s">
        <v>5566</v>
      </c>
      <c r="I1321" s="1" t="s">
        <v>5566</v>
      </c>
      <c r="J1321" s="1" t="s">
        <v>5566</v>
      </c>
      <c r="L1321" s="33" t="s">
        <v>5566</v>
      </c>
      <c r="M1321" s="1" t="s">
        <v>5566</v>
      </c>
      <c r="N1321" s="1" t="s">
        <v>5566</v>
      </c>
      <c r="O1321" s="33" t="s">
        <v>5566</v>
      </c>
    </row>
    <row r="1322">
      <c r="C1322" s="33"/>
      <c r="D1322" s="34"/>
      <c r="E1322" s="33"/>
      <c r="G1322" s="33"/>
      <c r="H1322" s="33"/>
      <c r="L1322" s="33"/>
      <c r="O1322" s="33"/>
    </row>
    <row r="1323">
      <c r="C1323" s="33"/>
      <c r="D1323" s="34"/>
      <c r="E1323" s="33"/>
      <c r="F1323" s="56" t="s">
        <v>5902</v>
      </c>
      <c r="G1323" s="33"/>
      <c r="H1323" s="33"/>
      <c r="L1323" s="33"/>
      <c r="O1323" s="33"/>
    </row>
    <row r="1324">
      <c r="B1324" s="1" t="s">
        <v>5903</v>
      </c>
      <c r="C1324" s="33"/>
      <c r="D1324" s="33">
        <v>1990000.0</v>
      </c>
      <c r="E1324" s="1">
        <v>2830000.0</v>
      </c>
      <c r="F1324" s="1">
        <v>1550000.0</v>
      </c>
      <c r="G1324" s="1">
        <v>1890000.0</v>
      </c>
      <c r="H1324" s="1">
        <v>2000000.0</v>
      </c>
      <c r="I1324" s="1">
        <v>3500000.0</v>
      </c>
      <c r="J1324" s="33">
        <v>2150000.0</v>
      </c>
      <c r="K1324" s="1">
        <v>2400000.0</v>
      </c>
      <c r="L1324" s="1">
        <v>1990000.0</v>
      </c>
      <c r="M1324" s="33">
        <v>1600000.0</v>
      </c>
      <c r="N1324" s="33">
        <v>1350000.0</v>
      </c>
      <c r="O1324" s="1">
        <v>1200000.0</v>
      </c>
      <c r="P1324">
        <f t="shared" ref="P1324:P1332" si="2034">SUM(D1324:O1324)</f>
        <v>24450000</v>
      </c>
      <c r="Q1324" s="18">
        <f t="shared" ref="Q1324:Q1332" si="2035">M1324*0.5</f>
        <v>800000</v>
      </c>
    </row>
    <row r="1325">
      <c r="B1325" s="1" t="s">
        <v>5499</v>
      </c>
      <c r="C1325" s="33"/>
      <c r="D1325" s="33">
        <f t="shared" ref="D1325:O1325" si="2033">D1324*0.1</f>
        <v>199000</v>
      </c>
      <c r="E1325" s="1">
        <f t="shared" si="2033"/>
        <v>283000</v>
      </c>
      <c r="F1325" s="1">
        <f t="shared" si="2033"/>
        <v>155000</v>
      </c>
      <c r="G1325" s="1">
        <f t="shared" si="2033"/>
        <v>189000</v>
      </c>
      <c r="H1325" s="1">
        <f t="shared" si="2033"/>
        <v>200000</v>
      </c>
      <c r="I1325" s="1">
        <f t="shared" si="2033"/>
        <v>350000</v>
      </c>
      <c r="J1325" s="33">
        <f t="shared" si="2033"/>
        <v>215000</v>
      </c>
      <c r="K1325" s="1">
        <f t="shared" si="2033"/>
        <v>240000</v>
      </c>
      <c r="L1325" s="1">
        <f t="shared" si="2033"/>
        <v>199000</v>
      </c>
      <c r="M1325" s="33">
        <f t="shared" si="2033"/>
        <v>160000</v>
      </c>
      <c r="N1325" s="1">
        <f t="shared" si="2033"/>
        <v>135000</v>
      </c>
      <c r="O1325" s="1">
        <f t="shared" si="2033"/>
        <v>120000</v>
      </c>
      <c r="P1325">
        <f t="shared" si="2034"/>
        <v>2445000</v>
      </c>
      <c r="Q1325" s="18">
        <f t="shared" si="2035"/>
        <v>80000</v>
      </c>
    </row>
    <row r="1326">
      <c r="B1326" s="1" t="s">
        <v>5520</v>
      </c>
      <c r="C1326" s="33"/>
      <c r="D1326" s="34">
        <f t="shared" ref="D1326:O1326" si="2036">D1324+D1325</f>
        <v>2189000</v>
      </c>
      <c r="E1326">
        <f t="shared" si="2036"/>
        <v>3113000</v>
      </c>
      <c r="F1326">
        <f t="shared" si="2036"/>
        <v>1705000</v>
      </c>
      <c r="G1326">
        <f t="shared" si="2036"/>
        <v>2079000</v>
      </c>
      <c r="H1326">
        <f t="shared" si="2036"/>
        <v>2200000</v>
      </c>
      <c r="I1326">
        <f t="shared" si="2036"/>
        <v>3850000</v>
      </c>
      <c r="J1326" s="34">
        <f t="shared" si="2036"/>
        <v>2365000</v>
      </c>
      <c r="K1326">
        <f t="shared" si="2036"/>
        <v>2640000</v>
      </c>
      <c r="L1326">
        <f t="shared" si="2036"/>
        <v>2189000</v>
      </c>
      <c r="M1326" s="34">
        <f t="shared" si="2036"/>
        <v>1760000</v>
      </c>
      <c r="N1326">
        <f t="shared" si="2036"/>
        <v>1485000</v>
      </c>
      <c r="O1326">
        <f t="shared" si="2036"/>
        <v>1320000</v>
      </c>
      <c r="P1326">
        <f t="shared" si="2034"/>
        <v>26895000</v>
      </c>
      <c r="Q1326" s="18">
        <f t="shared" si="2035"/>
        <v>880000</v>
      </c>
    </row>
    <row r="1327">
      <c r="B1327" s="1" t="s">
        <v>5545</v>
      </c>
      <c r="C1327" s="33"/>
      <c r="D1327" s="34">
        <v>95516.56460502143</v>
      </c>
      <c r="E1327" s="34">
        <v>151112.10349050828</v>
      </c>
      <c r="F1327">
        <v>72249.70912431108</v>
      </c>
      <c r="G1327" s="34">
        <v>168990.21677893447</v>
      </c>
      <c r="H1327" s="34">
        <v>335287.00489895896</v>
      </c>
      <c r="I1327">
        <v>251281.41090018372</v>
      </c>
      <c r="J1327">
        <v>48002.56827924066</v>
      </c>
      <c r="K1327">
        <v>25594.11676926549</v>
      </c>
      <c r="L1327" s="34">
        <v>147559.014277887</v>
      </c>
      <c r="M1327">
        <v>205482.44274341702</v>
      </c>
      <c r="N1327">
        <v>31103.483772198408</v>
      </c>
      <c r="O1327" s="34">
        <v>67595.70973668096</v>
      </c>
      <c r="P1327">
        <f t="shared" si="2034"/>
        <v>1599774.345</v>
      </c>
      <c r="Q1327" s="18">
        <f t="shared" si="2035"/>
        <v>102741.2214</v>
      </c>
    </row>
    <row r="1328">
      <c r="C1328" s="33"/>
      <c r="D1328">
        <f t="shared" ref="D1328:O1328" si="2037">D1327-D1329</f>
        <v>86833.24055</v>
      </c>
      <c r="E1328">
        <f t="shared" si="2037"/>
        <v>137374.6395</v>
      </c>
      <c r="F1328">
        <f t="shared" si="2037"/>
        <v>65681.55375</v>
      </c>
      <c r="G1328">
        <f t="shared" si="2037"/>
        <v>153627.4698</v>
      </c>
      <c r="H1328">
        <f t="shared" si="2037"/>
        <v>304806.3681</v>
      </c>
      <c r="I1328">
        <f t="shared" si="2037"/>
        <v>228437.6463</v>
      </c>
      <c r="J1328" s="34">
        <f t="shared" si="2037"/>
        <v>43638.69844</v>
      </c>
      <c r="K1328">
        <f t="shared" si="2037"/>
        <v>23267.37888</v>
      </c>
      <c r="L1328">
        <f t="shared" si="2037"/>
        <v>134144.5584</v>
      </c>
      <c r="M1328">
        <f t="shared" si="2037"/>
        <v>186802.2207</v>
      </c>
      <c r="N1328">
        <f t="shared" si="2037"/>
        <v>28275.89434</v>
      </c>
      <c r="O1328">
        <f t="shared" si="2037"/>
        <v>61450.64522</v>
      </c>
      <c r="P1328">
        <f t="shared" si="2034"/>
        <v>1454340.314</v>
      </c>
      <c r="Q1328" s="18">
        <f t="shared" si="2035"/>
        <v>93401.11034</v>
      </c>
    </row>
    <row r="1329">
      <c r="B1329" s="1" t="s">
        <v>5499</v>
      </c>
      <c r="C1329" s="33"/>
      <c r="D1329">
        <f t="shared" ref="D1329:O1329" si="2038">D1327/11</f>
        <v>8683.324055</v>
      </c>
      <c r="E1329">
        <f t="shared" si="2038"/>
        <v>13737.46395</v>
      </c>
      <c r="F1329">
        <f t="shared" si="2038"/>
        <v>6568.155375</v>
      </c>
      <c r="G1329">
        <f t="shared" si="2038"/>
        <v>15362.74698</v>
      </c>
      <c r="H1329">
        <f t="shared" si="2038"/>
        <v>30480.63681</v>
      </c>
      <c r="I1329">
        <f t="shared" si="2038"/>
        <v>22843.76463</v>
      </c>
      <c r="J1329" s="34">
        <f t="shared" si="2038"/>
        <v>4363.869844</v>
      </c>
      <c r="K1329">
        <f t="shared" si="2038"/>
        <v>2326.737888</v>
      </c>
      <c r="L1329">
        <f t="shared" si="2038"/>
        <v>13414.45584</v>
      </c>
      <c r="M1329">
        <f t="shared" si="2038"/>
        <v>18680.22207</v>
      </c>
      <c r="N1329">
        <f t="shared" si="2038"/>
        <v>2827.589434</v>
      </c>
      <c r="O1329">
        <f t="shared" si="2038"/>
        <v>6145.064522</v>
      </c>
      <c r="P1329">
        <f t="shared" si="2034"/>
        <v>145434.0314</v>
      </c>
      <c r="Q1329" s="18">
        <f t="shared" si="2035"/>
        <v>9340.111034</v>
      </c>
    </row>
    <row r="1330">
      <c r="B1330" s="23" t="s">
        <v>5528</v>
      </c>
      <c r="C1330" s="33"/>
      <c r="D1330" s="145">
        <f t="shared" ref="D1330:O1330" si="2039">SUM(D1326,D1327)</f>
        <v>2284516.565</v>
      </c>
      <c r="E1330" s="145">
        <f t="shared" si="2039"/>
        <v>3264112.103</v>
      </c>
      <c r="F1330" s="145">
        <f t="shared" si="2039"/>
        <v>1777249.709</v>
      </c>
      <c r="G1330" s="145">
        <f t="shared" si="2039"/>
        <v>2247990.217</v>
      </c>
      <c r="H1330" s="145">
        <f t="shared" si="2039"/>
        <v>2535287.005</v>
      </c>
      <c r="I1330" s="173">
        <f t="shared" si="2039"/>
        <v>4101281.411</v>
      </c>
      <c r="J1330" s="145">
        <f t="shared" si="2039"/>
        <v>2413002.568</v>
      </c>
      <c r="K1330" s="183">
        <f t="shared" si="2039"/>
        <v>2665594.117</v>
      </c>
      <c r="L1330" s="145">
        <f t="shared" si="2039"/>
        <v>2336559.014</v>
      </c>
      <c r="M1330" s="145">
        <f t="shared" si="2039"/>
        <v>1965482.443</v>
      </c>
      <c r="N1330" s="145">
        <f t="shared" si="2039"/>
        <v>1516103.484</v>
      </c>
      <c r="O1330" s="145">
        <f t="shared" si="2039"/>
        <v>1387595.71</v>
      </c>
      <c r="P1330">
        <f t="shared" si="2034"/>
        <v>28494774.35</v>
      </c>
      <c r="Q1330" s="18">
        <f t="shared" si="2035"/>
        <v>982741.2214</v>
      </c>
    </row>
    <row r="1331">
      <c r="B1331" s="1" t="s">
        <v>5580</v>
      </c>
      <c r="C1331" s="33"/>
      <c r="D1331">
        <f t="shared" ref="D1331:O1331" si="2040">D1324+D1328</f>
        <v>2076833.241</v>
      </c>
      <c r="E1331">
        <f t="shared" si="2040"/>
        <v>2967374.64</v>
      </c>
      <c r="F1331">
        <f t="shared" si="2040"/>
        <v>1615681.554</v>
      </c>
      <c r="G1331">
        <f t="shared" si="2040"/>
        <v>2043627.47</v>
      </c>
      <c r="H1331">
        <f t="shared" si="2040"/>
        <v>2304806.368</v>
      </c>
      <c r="I1331">
        <f t="shared" si="2040"/>
        <v>3728437.646</v>
      </c>
      <c r="J1331" s="34">
        <f t="shared" si="2040"/>
        <v>2193638.698</v>
      </c>
      <c r="K1331">
        <f t="shared" si="2040"/>
        <v>2423267.379</v>
      </c>
      <c r="L1331">
        <f t="shared" si="2040"/>
        <v>2124144.558</v>
      </c>
      <c r="M1331">
        <f t="shared" si="2040"/>
        <v>1786802.221</v>
      </c>
      <c r="N1331">
        <f t="shared" si="2040"/>
        <v>1378275.894</v>
      </c>
      <c r="O1331">
        <f t="shared" si="2040"/>
        <v>1261450.645</v>
      </c>
      <c r="P1331">
        <f t="shared" si="2034"/>
        <v>25904340.31</v>
      </c>
      <c r="Q1331" s="18">
        <f t="shared" si="2035"/>
        <v>893401.1103</v>
      </c>
    </row>
    <row r="1332">
      <c r="B1332" s="1" t="s">
        <v>5582</v>
      </c>
      <c r="C1332" s="33"/>
      <c r="D1332">
        <f t="shared" ref="D1332:O1332" si="2041">D1325+D1329</f>
        <v>207683.3241</v>
      </c>
      <c r="E1332">
        <f t="shared" si="2041"/>
        <v>296737.464</v>
      </c>
      <c r="F1332">
        <f t="shared" si="2041"/>
        <v>161568.1554</v>
      </c>
      <c r="G1332">
        <f t="shared" si="2041"/>
        <v>204362.747</v>
      </c>
      <c r="H1332">
        <f t="shared" si="2041"/>
        <v>230480.6368</v>
      </c>
      <c r="I1332">
        <f t="shared" si="2041"/>
        <v>372843.7646</v>
      </c>
      <c r="J1332" s="34">
        <f t="shared" si="2041"/>
        <v>219363.8698</v>
      </c>
      <c r="K1332">
        <f t="shared" si="2041"/>
        <v>242326.7379</v>
      </c>
      <c r="L1332">
        <f t="shared" si="2041"/>
        <v>212414.4558</v>
      </c>
      <c r="M1332">
        <f t="shared" si="2041"/>
        <v>178680.2221</v>
      </c>
      <c r="N1332">
        <f t="shared" si="2041"/>
        <v>137827.5894</v>
      </c>
      <c r="O1332">
        <f t="shared" si="2041"/>
        <v>126145.0645</v>
      </c>
      <c r="P1332">
        <f t="shared" si="2034"/>
        <v>2590434.031</v>
      </c>
      <c r="Q1332" s="18">
        <f t="shared" si="2035"/>
        <v>89340.11103</v>
      </c>
    </row>
    <row r="1333">
      <c r="C1333" s="33"/>
      <c r="D1333" s="33" t="s">
        <v>5566</v>
      </c>
      <c r="E1333" s="33" t="s">
        <v>5566</v>
      </c>
      <c r="F1333" s="1" t="s">
        <v>5566</v>
      </c>
      <c r="G1333" s="33" t="s">
        <v>5566</v>
      </c>
      <c r="H1333" s="33" t="s">
        <v>5566</v>
      </c>
      <c r="I1333" s="1" t="s">
        <v>5566</v>
      </c>
      <c r="J1333" s="1" t="s">
        <v>5566</v>
      </c>
      <c r="K1333" s="1" t="s">
        <v>5566</v>
      </c>
      <c r="L1333" s="33" t="s">
        <v>5566</v>
      </c>
      <c r="M1333" s="1" t="s">
        <v>5566</v>
      </c>
      <c r="N1333" s="1" t="s">
        <v>5566</v>
      </c>
      <c r="O1333" s="33" t="s">
        <v>5566</v>
      </c>
    </row>
    <row r="1334">
      <c r="C1334" s="33"/>
      <c r="D1334" s="34"/>
      <c r="E1334" s="33"/>
      <c r="G1334" s="33"/>
      <c r="H1334" s="33"/>
      <c r="L1334" s="33"/>
      <c r="O1334" s="33"/>
    </row>
    <row r="1335">
      <c r="C1335" s="33"/>
      <c r="D1335" s="34"/>
      <c r="E1335" s="33"/>
      <c r="F1335" s="56" t="s">
        <v>5902</v>
      </c>
      <c r="G1335" s="33"/>
      <c r="H1335" s="33"/>
      <c r="L1335" s="33"/>
      <c r="O1335" s="33"/>
    </row>
    <row r="1336">
      <c r="B1336" s="1" t="s">
        <v>5904</v>
      </c>
      <c r="C1336" s="33"/>
      <c r="D1336" s="33">
        <v>1990000.0</v>
      </c>
      <c r="E1336" s="1">
        <v>2830000.0</v>
      </c>
      <c r="F1336">
        <f>1550000*23/31+1620000*8/31</f>
        <v>1568064.516</v>
      </c>
      <c r="G1336" s="1">
        <v>1890000.0</v>
      </c>
      <c r="H1336" s="1">
        <v>2000000.0</v>
      </c>
      <c r="I1336" s="1">
        <v>3500000.0</v>
      </c>
      <c r="J1336" s="33">
        <v>2150000.0</v>
      </c>
      <c r="K1336" s="1">
        <v>2400000.0</v>
      </c>
      <c r="L1336" s="1">
        <v>1990000.0</v>
      </c>
      <c r="M1336" s="33">
        <v>1600000.0</v>
      </c>
      <c r="N1336" s="33">
        <v>1350000.0</v>
      </c>
      <c r="O1336" s="1">
        <v>1200000.0</v>
      </c>
      <c r="P1336">
        <f t="shared" ref="P1336:P1347" si="2043">SUM(D1336:O1336)</f>
        <v>24468064.52</v>
      </c>
      <c r="Q1336" s="18">
        <f t="shared" ref="Q1336:Q1347" si="2044">M1336*0.5</f>
        <v>800000</v>
      </c>
    </row>
    <row r="1337">
      <c r="B1337" s="1" t="s">
        <v>5499</v>
      </c>
      <c r="C1337" s="33"/>
      <c r="D1337" s="33">
        <f t="shared" ref="D1337:O1337" si="2042">D1336*0.1</f>
        <v>199000</v>
      </c>
      <c r="E1337" s="1">
        <f t="shared" si="2042"/>
        <v>283000</v>
      </c>
      <c r="F1337" s="1">
        <f t="shared" si="2042"/>
        <v>156806.4516</v>
      </c>
      <c r="G1337" s="1">
        <f t="shared" si="2042"/>
        <v>189000</v>
      </c>
      <c r="H1337" s="1">
        <f t="shared" si="2042"/>
        <v>200000</v>
      </c>
      <c r="I1337" s="1">
        <f t="shared" si="2042"/>
        <v>350000</v>
      </c>
      <c r="J1337" s="33">
        <f t="shared" si="2042"/>
        <v>215000</v>
      </c>
      <c r="K1337" s="1">
        <f t="shared" si="2042"/>
        <v>240000</v>
      </c>
      <c r="L1337" s="1">
        <f t="shared" si="2042"/>
        <v>199000</v>
      </c>
      <c r="M1337" s="33">
        <f t="shared" si="2042"/>
        <v>160000</v>
      </c>
      <c r="N1337" s="1">
        <f t="shared" si="2042"/>
        <v>135000</v>
      </c>
      <c r="O1337" s="1">
        <f t="shared" si="2042"/>
        <v>120000</v>
      </c>
      <c r="P1337">
        <f t="shared" si="2043"/>
        <v>2446806.452</v>
      </c>
      <c r="Q1337" s="18">
        <f t="shared" si="2044"/>
        <v>80000</v>
      </c>
    </row>
    <row r="1338">
      <c r="B1338" s="1" t="s">
        <v>5520</v>
      </c>
      <c r="C1338" s="33"/>
      <c r="D1338" s="34">
        <f t="shared" ref="D1338:O1338" si="2045">D1336+D1337</f>
        <v>2189000</v>
      </c>
      <c r="E1338">
        <f t="shared" si="2045"/>
        <v>3113000</v>
      </c>
      <c r="F1338">
        <f t="shared" si="2045"/>
        <v>1724870.968</v>
      </c>
      <c r="G1338">
        <f t="shared" si="2045"/>
        <v>2079000</v>
      </c>
      <c r="H1338">
        <f t="shared" si="2045"/>
        <v>2200000</v>
      </c>
      <c r="I1338">
        <f t="shared" si="2045"/>
        <v>3850000</v>
      </c>
      <c r="J1338" s="34">
        <f t="shared" si="2045"/>
        <v>2365000</v>
      </c>
      <c r="K1338">
        <f t="shared" si="2045"/>
        <v>2640000</v>
      </c>
      <c r="L1338">
        <f t="shared" si="2045"/>
        <v>2189000</v>
      </c>
      <c r="M1338" s="34">
        <f t="shared" si="2045"/>
        <v>1760000</v>
      </c>
      <c r="N1338">
        <f t="shared" si="2045"/>
        <v>1485000</v>
      </c>
      <c r="O1338">
        <f t="shared" si="2045"/>
        <v>1320000</v>
      </c>
      <c r="P1338">
        <f t="shared" si="2043"/>
        <v>26914870.97</v>
      </c>
      <c r="Q1338" s="18">
        <f t="shared" si="2044"/>
        <v>880000</v>
      </c>
    </row>
    <row r="1339">
      <c r="B1339" s="1" t="s">
        <v>5545</v>
      </c>
      <c r="C1339" s="33"/>
      <c r="D1339" s="34">
        <v>130169.51233121303</v>
      </c>
      <c r="E1339" s="34">
        <v>235593.92924896776</v>
      </c>
      <c r="F1339">
        <v>73204.24059814753</v>
      </c>
      <c r="G1339" s="34">
        <v>248595.57861845777</v>
      </c>
      <c r="H1339" s="34">
        <v>382115.9892869099</v>
      </c>
      <c r="I1339">
        <v>390622.11583528627</v>
      </c>
      <c r="J1339">
        <v>32591.516571811182</v>
      </c>
      <c r="K1339">
        <v>135528.06627188352</v>
      </c>
      <c r="L1339" s="34">
        <v>240515.22800330896</v>
      </c>
      <c r="M1339">
        <v>242409.30476509317</v>
      </c>
      <c r="N1339">
        <v>130025.32976230331</v>
      </c>
      <c r="O1339" s="34">
        <v>68420.35263921437</v>
      </c>
      <c r="P1339">
        <f t="shared" si="2043"/>
        <v>2309791.164</v>
      </c>
      <c r="Q1339" s="18">
        <f t="shared" si="2044"/>
        <v>121204.6524</v>
      </c>
    </row>
    <row r="1340">
      <c r="C1340" s="33"/>
      <c r="D1340">
        <f t="shared" ref="D1340:O1340" si="2046">D1339-D1341</f>
        <v>118335.9203</v>
      </c>
      <c r="E1340">
        <f t="shared" si="2046"/>
        <v>214176.2993</v>
      </c>
      <c r="F1340">
        <f t="shared" si="2046"/>
        <v>66549.30963</v>
      </c>
      <c r="G1340">
        <f t="shared" si="2046"/>
        <v>225995.9806</v>
      </c>
      <c r="H1340">
        <f t="shared" si="2046"/>
        <v>347378.1721</v>
      </c>
      <c r="I1340">
        <f t="shared" si="2046"/>
        <v>355111.0144</v>
      </c>
      <c r="J1340" s="34">
        <f t="shared" si="2046"/>
        <v>29628.65143</v>
      </c>
      <c r="K1340">
        <f t="shared" si="2046"/>
        <v>123207.333</v>
      </c>
      <c r="L1340">
        <f t="shared" si="2046"/>
        <v>218650.2073</v>
      </c>
      <c r="M1340">
        <f t="shared" si="2046"/>
        <v>220372.0952</v>
      </c>
      <c r="N1340">
        <f t="shared" si="2046"/>
        <v>118204.8452</v>
      </c>
      <c r="O1340">
        <f t="shared" si="2046"/>
        <v>62200.32058</v>
      </c>
      <c r="P1340">
        <f t="shared" si="2043"/>
        <v>2099810.149</v>
      </c>
      <c r="Q1340" s="18">
        <f t="shared" si="2044"/>
        <v>110186.0476</v>
      </c>
    </row>
    <row r="1341">
      <c r="B1341" s="1" t="s">
        <v>5499</v>
      </c>
      <c r="C1341" s="33"/>
      <c r="D1341">
        <f t="shared" ref="D1341:O1341" si="2047">D1339/11</f>
        <v>11833.59203</v>
      </c>
      <c r="E1341">
        <f t="shared" si="2047"/>
        <v>21417.62993</v>
      </c>
      <c r="F1341">
        <f t="shared" si="2047"/>
        <v>6654.930963</v>
      </c>
      <c r="G1341">
        <f t="shared" si="2047"/>
        <v>22599.59806</v>
      </c>
      <c r="H1341">
        <f t="shared" si="2047"/>
        <v>34737.81721</v>
      </c>
      <c r="I1341">
        <f t="shared" si="2047"/>
        <v>35511.10144</v>
      </c>
      <c r="J1341" s="34">
        <f t="shared" si="2047"/>
        <v>2962.865143</v>
      </c>
      <c r="K1341">
        <f t="shared" si="2047"/>
        <v>12320.7333</v>
      </c>
      <c r="L1341">
        <f t="shared" si="2047"/>
        <v>21865.02073</v>
      </c>
      <c r="M1341">
        <f t="shared" si="2047"/>
        <v>22037.20952</v>
      </c>
      <c r="N1341">
        <f t="shared" si="2047"/>
        <v>11820.48452</v>
      </c>
      <c r="O1341">
        <f t="shared" si="2047"/>
        <v>6220.032058</v>
      </c>
      <c r="P1341">
        <f t="shared" si="2043"/>
        <v>209981.0149</v>
      </c>
      <c r="Q1341" s="18">
        <f t="shared" si="2044"/>
        <v>11018.60476</v>
      </c>
    </row>
    <row r="1342">
      <c r="B1342" s="1" t="s">
        <v>1975</v>
      </c>
      <c r="C1342" s="33"/>
      <c r="D1342" s="34">
        <v>43239.97872704819</v>
      </c>
      <c r="E1342" s="34">
        <v>18005.57062890417</v>
      </c>
      <c r="F1342">
        <v>18005.57062890417</v>
      </c>
      <c r="G1342" s="34">
        <v>16519.889308538925</v>
      </c>
      <c r="H1342" s="34">
        <v>23770.901125843928</v>
      </c>
      <c r="I1342">
        <v>30179.287716673123</v>
      </c>
      <c r="J1342">
        <v>24014.81895456061</v>
      </c>
      <c r="K1342">
        <v>16386.84322014801</v>
      </c>
      <c r="L1342" s="34">
        <v>21952.60458450139</v>
      </c>
      <c r="M1342">
        <v>11195.828338095711</v>
      </c>
      <c r="N1342">
        <v>12883.296225853848</v>
      </c>
      <c r="O1342" s="34">
        <v>9845.410540927896</v>
      </c>
      <c r="P1342">
        <f t="shared" si="2043"/>
        <v>246000</v>
      </c>
      <c r="Q1342" s="18">
        <f t="shared" si="2044"/>
        <v>5597.914169</v>
      </c>
    </row>
    <row r="1343">
      <c r="B1343" s="23" t="s">
        <v>5598</v>
      </c>
      <c r="C1343" s="33"/>
      <c r="D1343" s="18">
        <f t="shared" ref="D1343:O1343" si="2048">SUM(D1338,D1339,D1342)</f>
        <v>2362409.491</v>
      </c>
      <c r="E1343" s="18">
        <f t="shared" si="2048"/>
        <v>3366599.5</v>
      </c>
      <c r="F1343" s="18">
        <f t="shared" si="2048"/>
        <v>1816080.779</v>
      </c>
      <c r="G1343" s="18">
        <f t="shared" si="2048"/>
        <v>2344115.468</v>
      </c>
      <c r="H1343" s="18">
        <f t="shared" si="2048"/>
        <v>2605886.89</v>
      </c>
      <c r="I1343" s="18">
        <f t="shared" si="2048"/>
        <v>4270801.404</v>
      </c>
      <c r="J1343" s="18">
        <f t="shared" si="2048"/>
        <v>2421606.336</v>
      </c>
      <c r="K1343" s="184">
        <f t="shared" si="2048"/>
        <v>2791914.909</v>
      </c>
      <c r="L1343" s="18">
        <f t="shared" si="2048"/>
        <v>2451467.833</v>
      </c>
      <c r="M1343" s="18">
        <f t="shared" si="2048"/>
        <v>2013605.133</v>
      </c>
      <c r="N1343" s="18">
        <f t="shared" si="2048"/>
        <v>1627908.626</v>
      </c>
      <c r="O1343" s="18">
        <f t="shared" si="2048"/>
        <v>1398265.763</v>
      </c>
      <c r="P1343">
        <f t="shared" si="2043"/>
        <v>29470662.13</v>
      </c>
      <c r="Q1343" s="18">
        <f t="shared" si="2044"/>
        <v>1006802.567</v>
      </c>
    </row>
    <row r="1344">
      <c r="B1344" s="1" t="s">
        <v>5599</v>
      </c>
      <c r="C1344" s="33"/>
      <c r="D1344">
        <f t="shared" ref="D1344:O1344" si="2049">SUM(D1336,D1340,D1342)</f>
        <v>2151575.899</v>
      </c>
      <c r="E1344">
        <f t="shared" si="2049"/>
        <v>3062181.87</v>
      </c>
      <c r="F1344">
        <f t="shared" si="2049"/>
        <v>1652619.396</v>
      </c>
      <c r="G1344">
        <f t="shared" si="2049"/>
        <v>2132515.87</v>
      </c>
      <c r="H1344">
        <f t="shared" si="2049"/>
        <v>2371149.073</v>
      </c>
      <c r="I1344">
        <f t="shared" si="2049"/>
        <v>3885290.302</v>
      </c>
      <c r="J1344">
        <f t="shared" si="2049"/>
        <v>2203643.47</v>
      </c>
      <c r="K1344" s="34">
        <f t="shared" si="2049"/>
        <v>2539594.176</v>
      </c>
      <c r="L1344">
        <f t="shared" si="2049"/>
        <v>2230602.812</v>
      </c>
      <c r="M1344">
        <f t="shared" si="2049"/>
        <v>1831567.924</v>
      </c>
      <c r="N1344">
        <f t="shared" si="2049"/>
        <v>1481088.141</v>
      </c>
      <c r="O1344">
        <f t="shared" si="2049"/>
        <v>1272045.731</v>
      </c>
      <c r="P1344">
        <f t="shared" si="2043"/>
        <v>26813874.67</v>
      </c>
      <c r="Q1344" s="18">
        <f t="shared" si="2044"/>
        <v>915783.9618</v>
      </c>
    </row>
    <row r="1345">
      <c r="B1345" s="1" t="s">
        <v>5601</v>
      </c>
      <c r="C1345" s="33"/>
      <c r="D1345">
        <f t="shared" ref="D1345:O1345" si="2050">SUM(D1336,D1340)</f>
        <v>2108335.92</v>
      </c>
      <c r="E1345">
        <f t="shared" si="2050"/>
        <v>3044176.299</v>
      </c>
      <c r="F1345">
        <f t="shared" si="2050"/>
        <v>1634613.826</v>
      </c>
      <c r="G1345">
        <f t="shared" si="2050"/>
        <v>2115995.981</v>
      </c>
      <c r="H1345">
        <f t="shared" si="2050"/>
        <v>2347378.172</v>
      </c>
      <c r="I1345">
        <f t="shared" si="2050"/>
        <v>3855111.014</v>
      </c>
      <c r="J1345">
        <f t="shared" si="2050"/>
        <v>2179628.651</v>
      </c>
      <c r="K1345" s="34">
        <f t="shared" si="2050"/>
        <v>2523207.333</v>
      </c>
      <c r="L1345">
        <f t="shared" si="2050"/>
        <v>2208650.207</v>
      </c>
      <c r="M1345">
        <f t="shared" si="2050"/>
        <v>1820372.095</v>
      </c>
      <c r="N1345">
        <f t="shared" si="2050"/>
        <v>1468204.845</v>
      </c>
      <c r="O1345">
        <f t="shared" si="2050"/>
        <v>1262200.321</v>
      </c>
      <c r="P1345">
        <f t="shared" si="2043"/>
        <v>26567874.67</v>
      </c>
      <c r="Q1345" s="18">
        <f t="shared" si="2044"/>
        <v>910186.0476</v>
      </c>
    </row>
    <row r="1346">
      <c r="B1346" s="1" t="s">
        <v>5582</v>
      </c>
      <c r="C1346" s="33"/>
      <c r="D1346">
        <f t="shared" ref="D1346:O1346" si="2051">SUM(D1337,D1341)</f>
        <v>210833.592</v>
      </c>
      <c r="E1346">
        <f t="shared" si="2051"/>
        <v>304417.6299</v>
      </c>
      <c r="F1346">
        <f t="shared" si="2051"/>
        <v>163461.3826</v>
      </c>
      <c r="G1346" s="34">
        <f t="shared" si="2051"/>
        <v>211599.5981</v>
      </c>
      <c r="H1346">
        <f t="shared" si="2051"/>
        <v>234737.8172</v>
      </c>
      <c r="I1346">
        <f t="shared" si="2051"/>
        <v>385511.1014</v>
      </c>
      <c r="J1346">
        <f t="shared" si="2051"/>
        <v>217962.8651</v>
      </c>
      <c r="K1346" s="34">
        <f t="shared" si="2051"/>
        <v>252320.7333</v>
      </c>
      <c r="L1346">
        <f t="shared" si="2051"/>
        <v>220865.0207</v>
      </c>
      <c r="M1346">
        <f t="shared" si="2051"/>
        <v>182037.2095</v>
      </c>
      <c r="N1346">
        <f t="shared" si="2051"/>
        <v>146820.4845</v>
      </c>
      <c r="O1346">
        <f t="shared" si="2051"/>
        <v>126220.0321</v>
      </c>
      <c r="P1346">
        <f t="shared" si="2043"/>
        <v>2656787.467</v>
      </c>
      <c r="Q1346" s="18">
        <f t="shared" si="2044"/>
        <v>91018.60476</v>
      </c>
    </row>
    <row r="1347">
      <c r="B1347" s="1" t="s">
        <v>5602</v>
      </c>
      <c r="C1347" s="33"/>
      <c r="D1347">
        <f t="shared" ref="D1347:O1347" si="2052">SUM(D1345:D1346)</f>
        <v>2319169.512</v>
      </c>
      <c r="E1347">
        <f t="shared" si="2052"/>
        <v>3348593.929</v>
      </c>
      <c r="F1347">
        <f t="shared" si="2052"/>
        <v>1798075.208</v>
      </c>
      <c r="G1347">
        <f t="shared" si="2052"/>
        <v>2327595.579</v>
      </c>
      <c r="H1347">
        <f t="shared" si="2052"/>
        <v>2582115.989</v>
      </c>
      <c r="I1347">
        <f t="shared" si="2052"/>
        <v>4240622.116</v>
      </c>
      <c r="J1347">
        <f t="shared" si="2052"/>
        <v>2397591.517</v>
      </c>
      <c r="K1347" s="34">
        <f t="shared" si="2052"/>
        <v>2775528.066</v>
      </c>
      <c r="L1347">
        <f t="shared" si="2052"/>
        <v>2429515.228</v>
      </c>
      <c r="M1347">
        <f t="shared" si="2052"/>
        <v>2002409.305</v>
      </c>
      <c r="N1347">
        <f t="shared" si="2052"/>
        <v>1615025.33</v>
      </c>
      <c r="O1347">
        <f t="shared" si="2052"/>
        <v>1388420.353</v>
      </c>
      <c r="P1347">
        <f t="shared" si="2043"/>
        <v>29224662.13</v>
      </c>
      <c r="Q1347" s="18">
        <f t="shared" si="2044"/>
        <v>1001204.652</v>
      </c>
    </row>
    <row r="1348">
      <c r="C1348" s="33"/>
      <c r="D1348" s="33" t="s">
        <v>5566</v>
      </c>
      <c r="E1348" s="33" t="s">
        <v>5566</v>
      </c>
      <c r="F1348" s="1" t="s">
        <v>5566</v>
      </c>
      <c r="G1348" s="33" t="s">
        <v>5566</v>
      </c>
      <c r="H1348" s="33" t="s">
        <v>5566</v>
      </c>
      <c r="I1348" s="1" t="s">
        <v>5566</v>
      </c>
      <c r="J1348" s="1" t="s">
        <v>5566</v>
      </c>
      <c r="L1348" s="33" t="s">
        <v>5566</v>
      </c>
      <c r="M1348" s="1" t="s">
        <v>5566</v>
      </c>
      <c r="N1348" s="1" t="s">
        <v>5566</v>
      </c>
      <c r="O1348" s="33" t="s">
        <v>5566</v>
      </c>
    </row>
    <row r="1349">
      <c r="C1349" s="33"/>
      <c r="D1349" s="34"/>
      <c r="E1349" s="33"/>
      <c r="G1349" s="33"/>
      <c r="H1349" s="33"/>
      <c r="L1349" s="33"/>
      <c r="O1349" s="33"/>
    </row>
    <row r="1350">
      <c r="C1350" s="33"/>
      <c r="D1350" s="34"/>
      <c r="E1350" s="33" t="s">
        <v>5905</v>
      </c>
      <c r="G1350" s="33"/>
      <c r="H1350" s="33"/>
      <c r="L1350" s="33"/>
      <c r="O1350" s="33"/>
    </row>
    <row r="1351">
      <c r="B1351" s="1" t="s">
        <v>5906</v>
      </c>
      <c r="C1351" s="33"/>
      <c r="D1351" s="33">
        <v>1990000.0</v>
      </c>
      <c r="E1351" s="1">
        <f>2830000*20/28</f>
        <v>2021428.571</v>
      </c>
      <c r="F1351" s="1">
        <v>1620000.0</v>
      </c>
      <c r="G1351" s="1">
        <v>1890000.0</v>
      </c>
      <c r="H1351" s="1">
        <v>2000000.0</v>
      </c>
      <c r="I1351" s="1">
        <v>3500000.0</v>
      </c>
      <c r="J1351" s="33">
        <v>2150000.0</v>
      </c>
      <c r="K1351" s="1">
        <v>2400000.0</v>
      </c>
      <c r="L1351" s="1">
        <v>1990000.0</v>
      </c>
      <c r="M1351" s="33">
        <v>1600000.0</v>
      </c>
      <c r="N1351" s="33">
        <v>1350000.0</v>
      </c>
      <c r="O1351" s="1">
        <v>1200000.0</v>
      </c>
      <c r="P1351">
        <f t="shared" ref="P1351:P1359" si="2054">SUM(D1351:O1351)</f>
        <v>23711428.57</v>
      </c>
      <c r="Q1351" s="18">
        <f t="shared" ref="Q1351:Q1359" si="2055">M1351*0.5</f>
        <v>800000</v>
      </c>
    </row>
    <row r="1352">
      <c r="B1352" s="1" t="s">
        <v>5499</v>
      </c>
      <c r="C1352" s="33"/>
      <c r="D1352" s="33">
        <f t="shared" ref="D1352:O1352" si="2053">D1351*0.1</f>
        <v>199000</v>
      </c>
      <c r="E1352" s="1">
        <f t="shared" si="2053"/>
        <v>202142.8571</v>
      </c>
      <c r="F1352" s="1">
        <f t="shared" si="2053"/>
        <v>162000</v>
      </c>
      <c r="G1352" s="1">
        <f t="shared" si="2053"/>
        <v>189000</v>
      </c>
      <c r="H1352" s="1">
        <f t="shared" si="2053"/>
        <v>200000</v>
      </c>
      <c r="I1352" s="1">
        <f t="shared" si="2053"/>
        <v>350000</v>
      </c>
      <c r="J1352" s="33">
        <f t="shared" si="2053"/>
        <v>215000</v>
      </c>
      <c r="K1352" s="1">
        <f t="shared" si="2053"/>
        <v>240000</v>
      </c>
      <c r="L1352" s="1">
        <f t="shared" si="2053"/>
        <v>199000</v>
      </c>
      <c r="M1352" s="33">
        <f t="shared" si="2053"/>
        <v>160000</v>
      </c>
      <c r="N1352" s="1">
        <f t="shared" si="2053"/>
        <v>135000</v>
      </c>
      <c r="O1352" s="1">
        <f t="shared" si="2053"/>
        <v>120000</v>
      </c>
      <c r="P1352">
        <f t="shared" si="2054"/>
        <v>2371142.857</v>
      </c>
      <c r="Q1352" s="18">
        <f t="shared" si="2055"/>
        <v>80000</v>
      </c>
    </row>
    <row r="1353">
      <c r="B1353" s="1" t="s">
        <v>5520</v>
      </c>
      <c r="C1353" s="33"/>
      <c r="D1353" s="34">
        <f t="shared" ref="D1353:O1353" si="2056">D1351+D1352</f>
        <v>2189000</v>
      </c>
      <c r="E1353">
        <f t="shared" si="2056"/>
        <v>2223571.429</v>
      </c>
      <c r="F1353">
        <f t="shared" si="2056"/>
        <v>1782000</v>
      </c>
      <c r="G1353">
        <f t="shared" si="2056"/>
        <v>2079000</v>
      </c>
      <c r="H1353">
        <f t="shared" si="2056"/>
        <v>2200000</v>
      </c>
      <c r="I1353">
        <f t="shared" si="2056"/>
        <v>3850000</v>
      </c>
      <c r="J1353" s="34">
        <f t="shared" si="2056"/>
        <v>2365000</v>
      </c>
      <c r="K1353">
        <f t="shared" si="2056"/>
        <v>2640000</v>
      </c>
      <c r="L1353">
        <f t="shared" si="2056"/>
        <v>2189000</v>
      </c>
      <c r="M1353" s="34">
        <f t="shared" si="2056"/>
        <v>1760000</v>
      </c>
      <c r="N1353">
        <f t="shared" si="2056"/>
        <v>1485000</v>
      </c>
      <c r="O1353">
        <f t="shared" si="2056"/>
        <v>1320000</v>
      </c>
      <c r="P1353">
        <f t="shared" si="2054"/>
        <v>26082571.43</v>
      </c>
      <c r="Q1353" s="18">
        <f t="shared" si="2055"/>
        <v>880000</v>
      </c>
    </row>
    <row r="1354">
      <c r="B1354" s="1" t="s">
        <v>5545</v>
      </c>
      <c r="C1354" s="33"/>
      <c r="D1354" s="34">
        <v>149616.8254352031</v>
      </c>
      <c r="E1354" s="33">
        <f>224814.190038685 - 60798</f>
        <v>164016.19</v>
      </c>
      <c r="F1354">
        <v>87384.52369439072</v>
      </c>
      <c r="G1354" s="34">
        <v>227348.9850096712</v>
      </c>
      <c r="H1354" s="34">
        <v>389152.96953578334</v>
      </c>
      <c r="I1354">
        <v>346886.8646034816</v>
      </c>
      <c r="J1354">
        <v>42467.18858800774</v>
      </c>
      <c r="K1354">
        <v>85035.3367430442</v>
      </c>
      <c r="L1354" s="34">
        <v>173371.5815354858</v>
      </c>
      <c r="M1354">
        <v>229164.09381044487</v>
      </c>
      <c r="N1354">
        <v>123887.7833655706</v>
      </c>
      <c r="O1354" s="34">
        <v>65804.30174081237</v>
      </c>
      <c r="P1354">
        <f t="shared" si="2054"/>
        <v>2084136.644</v>
      </c>
      <c r="Q1354" s="18">
        <f t="shared" si="2055"/>
        <v>114582.0469</v>
      </c>
    </row>
    <row r="1355">
      <c r="C1355" s="33"/>
      <c r="D1355">
        <f t="shared" ref="D1355:O1355" si="2057">D1354-D1356</f>
        <v>136015.2959</v>
      </c>
      <c r="E1355">
        <f t="shared" si="2057"/>
        <v>149105.6273</v>
      </c>
      <c r="F1355">
        <f t="shared" si="2057"/>
        <v>79440.47609</v>
      </c>
      <c r="G1355">
        <f t="shared" si="2057"/>
        <v>206680.8955</v>
      </c>
      <c r="H1355">
        <f t="shared" si="2057"/>
        <v>353775.4269</v>
      </c>
      <c r="I1355">
        <f t="shared" si="2057"/>
        <v>315351.6951</v>
      </c>
      <c r="J1355" s="34">
        <f t="shared" si="2057"/>
        <v>38606.53508</v>
      </c>
      <c r="K1355">
        <f t="shared" si="2057"/>
        <v>77304.85158</v>
      </c>
      <c r="L1355">
        <f t="shared" si="2057"/>
        <v>157610.5287</v>
      </c>
      <c r="M1355">
        <f t="shared" si="2057"/>
        <v>208330.9944</v>
      </c>
      <c r="N1355">
        <f t="shared" si="2057"/>
        <v>112625.2576</v>
      </c>
      <c r="O1355">
        <f t="shared" si="2057"/>
        <v>59822.09249</v>
      </c>
      <c r="P1355">
        <f t="shared" si="2054"/>
        <v>1894669.676</v>
      </c>
      <c r="Q1355" s="18">
        <f t="shared" si="2055"/>
        <v>104165.4972</v>
      </c>
    </row>
    <row r="1356">
      <c r="B1356" s="1" t="s">
        <v>5499</v>
      </c>
      <c r="C1356" s="33"/>
      <c r="D1356">
        <f t="shared" ref="D1356:O1356" si="2058">D1354/11</f>
        <v>13601.52959</v>
      </c>
      <c r="E1356">
        <f t="shared" si="2058"/>
        <v>14910.56273</v>
      </c>
      <c r="F1356">
        <f t="shared" si="2058"/>
        <v>7944.047609</v>
      </c>
      <c r="G1356">
        <f t="shared" si="2058"/>
        <v>20668.08955</v>
      </c>
      <c r="H1356">
        <f t="shared" si="2058"/>
        <v>35377.54269</v>
      </c>
      <c r="I1356">
        <f t="shared" si="2058"/>
        <v>31535.16951</v>
      </c>
      <c r="J1356" s="34">
        <f t="shared" si="2058"/>
        <v>3860.653508</v>
      </c>
      <c r="K1356">
        <f t="shared" si="2058"/>
        <v>7730.485158</v>
      </c>
      <c r="L1356">
        <f t="shared" si="2058"/>
        <v>15761.05287</v>
      </c>
      <c r="M1356">
        <f t="shared" si="2058"/>
        <v>20833.09944</v>
      </c>
      <c r="N1356">
        <f t="shared" si="2058"/>
        <v>11262.52576</v>
      </c>
      <c r="O1356">
        <f t="shared" si="2058"/>
        <v>5982.209249</v>
      </c>
      <c r="P1356">
        <f t="shared" si="2054"/>
        <v>189466.9676</v>
      </c>
      <c r="Q1356" s="18">
        <f t="shared" si="2055"/>
        <v>10416.54972</v>
      </c>
    </row>
    <row r="1357">
      <c r="B1357" s="23" t="s">
        <v>5528</v>
      </c>
      <c r="C1357" s="33"/>
      <c r="D1357" s="145">
        <f t="shared" ref="D1357:O1357" si="2059">SUM(D1353,D1354)</f>
        <v>2338616.825</v>
      </c>
      <c r="E1357" s="145">
        <f t="shared" si="2059"/>
        <v>2387587.619</v>
      </c>
      <c r="F1357" s="145">
        <f t="shared" si="2059"/>
        <v>1869384.524</v>
      </c>
      <c r="G1357" s="145">
        <f t="shared" si="2059"/>
        <v>2306348.985</v>
      </c>
      <c r="H1357" s="145">
        <f t="shared" si="2059"/>
        <v>2589152.97</v>
      </c>
      <c r="I1357" s="173">
        <f t="shared" si="2059"/>
        <v>4196886.865</v>
      </c>
      <c r="J1357" s="145">
        <f t="shared" si="2059"/>
        <v>2407467.189</v>
      </c>
      <c r="K1357" s="183">
        <f t="shared" si="2059"/>
        <v>2725035.337</v>
      </c>
      <c r="L1357" s="145">
        <f t="shared" si="2059"/>
        <v>2362371.582</v>
      </c>
      <c r="M1357" s="145">
        <f t="shared" si="2059"/>
        <v>1989164.094</v>
      </c>
      <c r="N1357" s="145">
        <f t="shared" si="2059"/>
        <v>1608887.783</v>
      </c>
      <c r="O1357" s="145">
        <f t="shared" si="2059"/>
        <v>1385804.302</v>
      </c>
      <c r="P1357">
        <f t="shared" si="2054"/>
        <v>28166708.07</v>
      </c>
      <c r="Q1357" s="18">
        <f t="shared" si="2055"/>
        <v>994582.0469</v>
      </c>
    </row>
    <row r="1358">
      <c r="B1358" s="1" t="s">
        <v>5580</v>
      </c>
      <c r="C1358" s="33"/>
      <c r="D1358">
        <f t="shared" ref="D1358:O1358" si="2060">D1351+D1355</f>
        <v>2126015.296</v>
      </c>
      <c r="E1358">
        <f t="shared" si="2060"/>
        <v>2170534.199</v>
      </c>
      <c r="F1358">
        <f t="shared" si="2060"/>
        <v>1699440.476</v>
      </c>
      <c r="G1358">
        <f t="shared" si="2060"/>
        <v>2096680.895</v>
      </c>
      <c r="H1358">
        <f t="shared" si="2060"/>
        <v>2353775.427</v>
      </c>
      <c r="I1358">
        <f t="shared" si="2060"/>
        <v>3815351.695</v>
      </c>
      <c r="J1358" s="34">
        <f t="shared" si="2060"/>
        <v>2188606.535</v>
      </c>
      <c r="K1358">
        <f t="shared" si="2060"/>
        <v>2477304.852</v>
      </c>
      <c r="L1358">
        <f t="shared" si="2060"/>
        <v>2147610.529</v>
      </c>
      <c r="M1358">
        <f t="shared" si="2060"/>
        <v>1808330.994</v>
      </c>
      <c r="N1358">
        <f t="shared" si="2060"/>
        <v>1462625.258</v>
      </c>
      <c r="O1358">
        <f t="shared" si="2060"/>
        <v>1259822.092</v>
      </c>
      <c r="P1358">
        <f t="shared" si="2054"/>
        <v>25606098.25</v>
      </c>
      <c r="Q1358" s="18">
        <f t="shared" si="2055"/>
        <v>904165.4972</v>
      </c>
    </row>
    <row r="1359">
      <c r="B1359" s="1" t="s">
        <v>5582</v>
      </c>
      <c r="C1359" s="33"/>
      <c r="D1359">
        <f t="shared" ref="D1359:O1359" si="2061">D1352+D1356</f>
        <v>212601.5296</v>
      </c>
      <c r="E1359">
        <f t="shared" si="2061"/>
        <v>217053.4199</v>
      </c>
      <c r="F1359">
        <f t="shared" si="2061"/>
        <v>169944.0476</v>
      </c>
      <c r="G1359">
        <f t="shared" si="2061"/>
        <v>209668.0895</v>
      </c>
      <c r="H1359">
        <f t="shared" si="2061"/>
        <v>235377.5427</v>
      </c>
      <c r="I1359">
        <f t="shared" si="2061"/>
        <v>381535.1695</v>
      </c>
      <c r="J1359" s="34">
        <f t="shared" si="2061"/>
        <v>218860.6535</v>
      </c>
      <c r="K1359">
        <f t="shared" si="2061"/>
        <v>247730.4852</v>
      </c>
      <c r="L1359">
        <f t="shared" si="2061"/>
        <v>214761.0529</v>
      </c>
      <c r="M1359">
        <f t="shared" si="2061"/>
        <v>180833.0994</v>
      </c>
      <c r="N1359">
        <f t="shared" si="2061"/>
        <v>146262.5258</v>
      </c>
      <c r="O1359">
        <f t="shared" si="2061"/>
        <v>125982.2092</v>
      </c>
      <c r="P1359">
        <f t="shared" si="2054"/>
        <v>2560609.825</v>
      </c>
      <c r="Q1359" s="18">
        <f t="shared" si="2055"/>
        <v>90416.54972</v>
      </c>
    </row>
    <row r="1360">
      <c r="C1360" s="33"/>
      <c r="D1360" s="33" t="s">
        <v>5566</v>
      </c>
      <c r="E1360" s="1" t="s">
        <v>5566</v>
      </c>
      <c r="F1360" s="1" t="s">
        <v>5566</v>
      </c>
      <c r="G1360" s="33" t="s">
        <v>5566</v>
      </c>
      <c r="H1360" s="33" t="s">
        <v>5566</v>
      </c>
      <c r="I1360" s="1" t="s">
        <v>5566</v>
      </c>
      <c r="J1360" s="1" t="s">
        <v>5566</v>
      </c>
      <c r="L1360" s="33" t="s">
        <v>5566</v>
      </c>
      <c r="M1360" s="1" t="s">
        <v>5566</v>
      </c>
      <c r="N1360" s="1" t="s">
        <v>5566</v>
      </c>
      <c r="O1360" s="33" t="s">
        <v>5566</v>
      </c>
    </row>
    <row r="1361">
      <c r="C1361" s="33"/>
      <c r="D1361" s="34"/>
      <c r="G1361" s="33"/>
      <c r="H1361" s="33"/>
      <c r="L1361" s="33"/>
      <c r="O1361" s="33"/>
    </row>
    <row r="1362">
      <c r="C1362" s="33"/>
      <c r="D1362" s="56" t="s">
        <v>5907</v>
      </c>
      <c r="F1362" s="56" t="s">
        <v>5902</v>
      </c>
      <c r="G1362" s="33"/>
      <c r="H1362" s="33"/>
      <c r="L1362" s="56" t="s">
        <v>5908</v>
      </c>
      <c r="N1362" s="56" t="s">
        <v>5909</v>
      </c>
      <c r="O1362" s="33"/>
    </row>
    <row r="1363">
      <c r="B1363" s="1" t="s">
        <v>5910</v>
      </c>
      <c r="C1363" s="33"/>
      <c r="D1363" s="33">
        <f>(1990000*3+2080000*28)/31</f>
        <v>2071290.323</v>
      </c>
      <c r="E1363" s="1">
        <v>2830000.0</v>
      </c>
      <c r="F1363" s="1">
        <v>1620000.0</v>
      </c>
      <c r="G1363" s="1">
        <v>1890000.0</v>
      </c>
      <c r="H1363" s="1">
        <v>2000000.0</v>
      </c>
      <c r="I1363" s="1">
        <v>3500000.0</v>
      </c>
      <c r="J1363" s="33">
        <v>2150000.0</v>
      </c>
      <c r="K1363" s="1">
        <v>2400000.0</v>
      </c>
      <c r="L1363" s="1">
        <v>1990000.0</v>
      </c>
      <c r="M1363" s="33">
        <v>1600000.0</v>
      </c>
      <c r="N1363" s="33">
        <v>1350000.0</v>
      </c>
      <c r="O1363" s="1">
        <v>1200000.0</v>
      </c>
      <c r="P1363">
        <f t="shared" ref="P1363:P1374" si="2063">SUM(D1363:O1363)</f>
        <v>24601290.32</v>
      </c>
      <c r="Q1363" s="18">
        <f t="shared" ref="Q1363:Q1374" si="2064">M1363*0.5</f>
        <v>800000</v>
      </c>
    </row>
    <row r="1364">
      <c r="B1364" s="1" t="s">
        <v>5499</v>
      </c>
      <c r="C1364" s="33"/>
      <c r="D1364" s="33">
        <f t="shared" ref="D1364:O1364" si="2062">D1363*0.1</f>
        <v>207129.0323</v>
      </c>
      <c r="E1364" s="1">
        <f t="shared" si="2062"/>
        <v>283000</v>
      </c>
      <c r="F1364" s="1">
        <f t="shared" si="2062"/>
        <v>162000</v>
      </c>
      <c r="G1364" s="1">
        <f t="shared" si="2062"/>
        <v>189000</v>
      </c>
      <c r="H1364" s="1">
        <f t="shared" si="2062"/>
        <v>200000</v>
      </c>
      <c r="I1364" s="1">
        <f t="shared" si="2062"/>
        <v>350000</v>
      </c>
      <c r="J1364" s="33">
        <f t="shared" si="2062"/>
        <v>215000</v>
      </c>
      <c r="K1364" s="1">
        <f t="shared" si="2062"/>
        <v>240000</v>
      </c>
      <c r="L1364" s="1">
        <f t="shared" si="2062"/>
        <v>199000</v>
      </c>
      <c r="M1364" s="33">
        <f t="shared" si="2062"/>
        <v>160000</v>
      </c>
      <c r="N1364" s="1">
        <f t="shared" si="2062"/>
        <v>135000</v>
      </c>
      <c r="O1364" s="1">
        <f t="shared" si="2062"/>
        <v>120000</v>
      </c>
      <c r="P1364">
        <f t="shared" si="2063"/>
        <v>2460129.032</v>
      </c>
      <c r="Q1364" s="18">
        <f t="shared" si="2064"/>
        <v>80000</v>
      </c>
    </row>
    <row r="1365">
      <c r="B1365" s="1" t="s">
        <v>5520</v>
      </c>
      <c r="C1365" s="33"/>
      <c r="D1365" s="34">
        <f t="shared" ref="D1365:O1365" si="2065">D1363+D1364</f>
        <v>2278419.355</v>
      </c>
      <c r="E1365">
        <f t="shared" si="2065"/>
        <v>3113000</v>
      </c>
      <c r="F1365">
        <f t="shared" si="2065"/>
        <v>1782000</v>
      </c>
      <c r="G1365">
        <f t="shared" si="2065"/>
        <v>2079000</v>
      </c>
      <c r="H1365">
        <f t="shared" si="2065"/>
        <v>2200000</v>
      </c>
      <c r="I1365">
        <f t="shared" si="2065"/>
        <v>3850000</v>
      </c>
      <c r="J1365" s="34">
        <f t="shared" si="2065"/>
        <v>2365000</v>
      </c>
      <c r="K1365">
        <f t="shared" si="2065"/>
        <v>2640000</v>
      </c>
      <c r="L1365">
        <f t="shared" si="2065"/>
        <v>2189000</v>
      </c>
      <c r="M1365" s="34">
        <f t="shared" si="2065"/>
        <v>1760000</v>
      </c>
      <c r="N1365">
        <f t="shared" si="2065"/>
        <v>1485000</v>
      </c>
      <c r="O1365">
        <f t="shared" si="2065"/>
        <v>1320000</v>
      </c>
      <c r="P1365">
        <f t="shared" si="2063"/>
        <v>27061419.35</v>
      </c>
      <c r="Q1365" s="18">
        <f t="shared" si="2064"/>
        <v>880000</v>
      </c>
    </row>
    <row r="1366">
      <c r="B1366" s="1" t="s">
        <v>5545</v>
      </c>
      <c r="C1366" s="33"/>
      <c r="D1366" s="34">
        <v>164782.37837837837</v>
      </c>
      <c r="E1366" s="34">
        <v>155371.72972972973</v>
      </c>
      <c r="F1366">
        <v>46477.08108108108</v>
      </c>
      <c r="G1366" s="34">
        <v>133114.54054054053</v>
      </c>
      <c r="H1366" s="34">
        <v>320751.35135135136</v>
      </c>
      <c r="I1366">
        <v>279075.6216216216</v>
      </c>
      <c r="J1366">
        <v>30941.783783783783</v>
      </c>
      <c r="K1366">
        <v>80122.06177606178</v>
      </c>
      <c r="L1366" s="34">
        <v>151153.18146718148</v>
      </c>
      <c r="M1366">
        <v>198604.97297297296</v>
      </c>
      <c r="N1366">
        <v>100657.4054054054</v>
      </c>
      <c r="O1366" s="34">
        <v>44385.56756756757</v>
      </c>
      <c r="P1366">
        <f t="shared" si="2063"/>
        <v>1705437.676</v>
      </c>
      <c r="Q1366" s="18">
        <f t="shared" si="2064"/>
        <v>99302.48649</v>
      </c>
    </row>
    <row r="1367">
      <c r="C1367" s="33"/>
      <c r="D1367">
        <f t="shared" ref="D1367:O1367" si="2066">D1366-D1368</f>
        <v>149802.1622</v>
      </c>
      <c r="E1367">
        <f t="shared" si="2066"/>
        <v>141247.027</v>
      </c>
      <c r="F1367">
        <f t="shared" si="2066"/>
        <v>42251.89189</v>
      </c>
      <c r="G1367">
        <f t="shared" si="2066"/>
        <v>121013.2187</v>
      </c>
      <c r="H1367">
        <f t="shared" si="2066"/>
        <v>291592.1376</v>
      </c>
      <c r="I1367">
        <f t="shared" si="2066"/>
        <v>253705.1106</v>
      </c>
      <c r="J1367" s="34">
        <f t="shared" si="2066"/>
        <v>28128.89435</v>
      </c>
      <c r="K1367">
        <f t="shared" si="2066"/>
        <v>72838.23798</v>
      </c>
      <c r="L1367">
        <f t="shared" si="2066"/>
        <v>137411.9832</v>
      </c>
      <c r="M1367">
        <f t="shared" si="2066"/>
        <v>180549.9754</v>
      </c>
      <c r="N1367">
        <f t="shared" si="2066"/>
        <v>91506.73219</v>
      </c>
      <c r="O1367">
        <f t="shared" si="2066"/>
        <v>40350.51597</v>
      </c>
      <c r="P1367">
        <f t="shared" si="2063"/>
        <v>1550397.887</v>
      </c>
      <c r="Q1367" s="18">
        <f t="shared" si="2064"/>
        <v>90274.98771</v>
      </c>
    </row>
    <row r="1368">
      <c r="B1368" s="1" t="s">
        <v>5499</v>
      </c>
      <c r="C1368" s="33"/>
      <c r="D1368">
        <f t="shared" ref="D1368:O1368" si="2067">D1366/11</f>
        <v>14980.21622</v>
      </c>
      <c r="E1368">
        <f t="shared" si="2067"/>
        <v>14124.7027</v>
      </c>
      <c r="F1368">
        <f t="shared" si="2067"/>
        <v>4225.189189</v>
      </c>
      <c r="G1368">
        <f t="shared" si="2067"/>
        <v>12101.32187</v>
      </c>
      <c r="H1368">
        <f t="shared" si="2067"/>
        <v>29159.21376</v>
      </c>
      <c r="I1368">
        <f t="shared" si="2067"/>
        <v>25370.51106</v>
      </c>
      <c r="J1368" s="34">
        <f t="shared" si="2067"/>
        <v>2812.889435</v>
      </c>
      <c r="K1368">
        <f t="shared" si="2067"/>
        <v>7283.823798</v>
      </c>
      <c r="L1368">
        <f t="shared" si="2067"/>
        <v>13741.19832</v>
      </c>
      <c r="M1368">
        <f t="shared" si="2067"/>
        <v>18054.99754</v>
      </c>
      <c r="N1368">
        <f t="shared" si="2067"/>
        <v>9150.673219</v>
      </c>
      <c r="O1368">
        <f t="shared" si="2067"/>
        <v>4035.051597</v>
      </c>
      <c r="P1368">
        <f t="shared" si="2063"/>
        <v>155039.7887</v>
      </c>
      <c r="Q1368" s="18">
        <f t="shared" si="2064"/>
        <v>9027.498771</v>
      </c>
    </row>
    <row r="1369">
      <c r="B1369" s="1" t="s">
        <v>1975</v>
      </c>
      <c r="C1369" s="33"/>
      <c r="D1369" s="34">
        <v>32088.98583906471</v>
      </c>
      <c r="E1369" s="34">
        <v>13362.182821190021</v>
      </c>
      <c r="F1369">
        <v>13362.182821190021</v>
      </c>
      <c r="G1369" s="34">
        <v>12259.638179540107</v>
      </c>
      <c r="H1369" s="34">
        <v>17640.71426639865</v>
      </c>
      <c r="I1369">
        <v>22396.46652664978</v>
      </c>
      <c r="J1369">
        <v>17821.72905831132</v>
      </c>
      <c r="K1369">
        <v>12160.902838496831</v>
      </c>
      <c r="L1369" s="34">
        <v>16291.331272140544</v>
      </c>
      <c r="M1369">
        <v>8308.578948791679</v>
      </c>
      <c r="N1369">
        <v>9560.872191023896</v>
      </c>
      <c r="O1369" s="34">
        <v>7306.4152372024255</v>
      </c>
      <c r="P1369">
        <f t="shared" si="2063"/>
        <v>182560</v>
      </c>
      <c r="Q1369" s="18">
        <f t="shared" si="2064"/>
        <v>4154.289474</v>
      </c>
    </row>
    <row r="1370">
      <c r="B1370" s="23" t="s">
        <v>5598</v>
      </c>
      <c r="C1370" s="33"/>
      <c r="D1370" s="18">
        <f t="shared" ref="D1370:O1370" si="2068">SUM(D1365,D1366,D1369)</f>
        <v>2475290.719</v>
      </c>
      <c r="E1370" s="18">
        <f t="shared" si="2068"/>
        <v>3281733.913</v>
      </c>
      <c r="F1370" s="18">
        <f t="shared" si="2068"/>
        <v>1841839.264</v>
      </c>
      <c r="G1370" s="18">
        <f t="shared" si="2068"/>
        <v>2224374.179</v>
      </c>
      <c r="H1370" s="18">
        <f t="shared" si="2068"/>
        <v>2538392.066</v>
      </c>
      <c r="I1370" s="18">
        <f t="shared" si="2068"/>
        <v>4151472.088</v>
      </c>
      <c r="J1370" s="18">
        <f t="shared" si="2068"/>
        <v>2413763.513</v>
      </c>
      <c r="K1370" s="184">
        <f t="shared" si="2068"/>
        <v>2732282.965</v>
      </c>
      <c r="L1370" s="18">
        <f t="shared" si="2068"/>
        <v>2356444.513</v>
      </c>
      <c r="M1370" s="18">
        <f t="shared" si="2068"/>
        <v>1966913.552</v>
      </c>
      <c r="N1370" s="18">
        <f t="shared" si="2068"/>
        <v>1595218.278</v>
      </c>
      <c r="O1370" s="18">
        <f t="shared" si="2068"/>
        <v>1371691.983</v>
      </c>
      <c r="P1370">
        <f t="shared" si="2063"/>
        <v>28949417.03</v>
      </c>
      <c r="Q1370" s="18">
        <f t="shared" si="2064"/>
        <v>983456.776</v>
      </c>
    </row>
    <row r="1371">
      <c r="B1371" s="1" t="s">
        <v>5599</v>
      </c>
      <c r="C1371" s="33"/>
      <c r="D1371">
        <f t="shared" ref="D1371:O1371" si="2069">SUM(D1363,D1367,D1369)</f>
        <v>2253181.471</v>
      </c>
      <c r="E1371">
        <f t="shared" si="2069"/>
        <v>2984609.21</v>
      </c>
      <c r="F1371">
        <f t="shared" si="2069"/>
        <v>1675614.075</v>
      </c>
      <c r="G1371">
        <f t="shared" si="2069"/>
        <v>2023272.857</v>
      </c>
      <c r="H1371">
        <f t="shared" si="2069"/>
        <v>2309232.852</v>
      </c>
      <c r="I1371">
        <f t="shared" si="2069"/>
        <v>3776101.577</v>
      </c>
      <c r="J1371">
        <f t="shared" si="2069"/>
        <v>2195950.623</v>
      </c>
      <c r="K1371" s="34">
        <f t="shared" si="2069"/>
        <v>2484999.141</v>
      </c>
      <c r="L1371">
        <f t="shared" si="2069"/>
        <v>2143703.314</v>
      </c>
      <c r="M1371">
        <f t="shared" si="2069"/>
        <v>1788858.554</v>
      </c>
      <c r="N1371">
        <f t="shared" si="2069"/>
        <v>1451067.604</v>
      </c>
      <c r="O1371">
        <f t="shared" si="2069"/>
        <v>1247656.931</v>
      </c>
      <c r="P1371">
        <f t="shared" si="2063"/>
        <v>26334248.21</v>
      </c>
      <c r="Q1371" s="18">
        <f t="shared" si="2064"/>
        <v>894429.2772</v>
      </c>
    </row>
    <row r="1372">
      <c r="B1372" s="1" t="s">
        <v>5601</v>
      </c>
      <c r="C1372" s="33"/>
      <c r="D1372">
        <f t="shared" ref="D1372:O1372" si="2070">SUM(D1363,D1367)</f>
        <v>2221092.485</v>
      </c>
      <c r="E1372">
        <f t="shared" si="2070"/>
        <v>2971247.027</v>
      </c>
      <c r="F1372">
        <f t="shared" si="2070"/>
        <v>1662251.892</v>
      </c>
      <c r="G1372">
        <f t="shared" si="2070"/>
        <v>2011013.219</v>
      </c>
      <c r="H1372">
        <f t="shared" si="2070"/>
        <v>2291592.138</v>
      </c>
      <c r="I1372">
        <f t="shared" si="2070"/>
        <v>3753705.111</v>
      </c>
      <c r="J1372">
        <f t="shared" si="2070"/>
        <v>2178128.894</v>
      </c>
      <c r="K1372" s="34">
        <f t="shared" si="2070"/>
        <v>2472838.238</v>
      </c>
      <c r="L1372">
        <f t="shared" si="2070"/>
        <v>2127411.983</v>
      </c>
      <c r="M1372">
        <f t="shared" si="2070"/>
        <v>1780549.975</v>
      </c>
      <c r="N1372">
        <f t="shared" si="2070"/>
        <v>1441506.732</v>
      </c>
      <c r="O1372">
        <f t="shared" si="2070"/>
        <v>1240350.516</v>
      </c>
      <c r="P1372">
        <f t="shared" si="2063"/>
        <v>26151688.21</v>
      </c>
      <c r="Q1372" s="18">
        <f t="shared" si="2064"/>
        <v>890274.9877</v>
      </c>
    </row>
    <row r="1373">
      <c r="B1373" s="1" t="s">
        <v>5582</v>
      </c>
      <c r="C1373" s="33"/>
      <c r="D1373">
        <f t="shared" ref="D1373:O1373" si="2071">SUM(D1364,D1368)</f>
        <v>222109.2485</v>
      </c>
      <c r="E1373">
        <f t="shared" si="2071"/>
        <v>297124.7027</v>
      </c>
      <c r="F1373">
        <f t="shared" si="2071"/>
        <v>166225.1892</v>
      </c>
      <c r="G1373" s="34">
        <f t="shared" si="2071"/>
        <v>201101.3219</v>
      </c>
      <c r="H1373">
        <f t="shared" si="2071"/>
        <v>229159.2138</v>
      </c>
      <c r="I1373">
        <f t="shared" si="2071"/>
        <v>375370.5111</v>
      </c>
      <c r="J1373">
        <f t="shared" si="2071"/>
        <v>217812.8894</v>
      </c>
      <c r="K1373" s="34">
        <f t="shared" si="2071"/>
        <v>247283.8238</v>
      </c>
      <c r="L1373">
        <f t="shared" si="2071"/>
        <v>212741.1983</v>
      </c>
      <c r="M1373">
        <f t="shared" si="2071"/>
        <v>178054.9975</v>
      </c>
      <c r="N1373">
        <f t="shared" si="2071"/>
        <v>144150.6732</v>
      </c>
      <c r="O1373">
        <f t="shared" si="2071"/>
        <v>124035.0516</v>
      </c>
      <c r="P1373">
        <f t="shared" si="2063"/>
        <v>2615168.821</v>
      </c>
      <c r="Q1373" s="18">
        <f t="shared" si="2064"/>
        <v>89027.49877</v>
      </c>
    </row>
    <row r="1374">
      <c r="B1374" s="1" t="s">
        <v>5602</v>
      </c>
      <c r="C1374" s="33"/>
      <c r="D1374">
        <f t="shared" ref="D1374:O1374" si="2072">SUM(D1372:D1373)</f>
        <v>2443201.733</v>
      </c>
      <c r="E1374">
        <f t="shared" si="2072"/>
        <v>3268371.73</v>
      </c>
      <c r="F1374">
        <f t="shared" si="2072"/>
        <v>1828477.081</v>
      </c>
      <c r="G1374">
        <f t="shared" si="2072"/>
        <v>2212114.541</v>
      </c>
      <c r="H1374">
        <f t="shared" si="2072"/>
        <v>2520751.351</v>
      </c>
      <c r="I1374">
        <f t="shared" si="2072"/>
        <v>4129075.622</v>
      </c>
      <c r="J1374">
        <f t="shared" si="2072"/>
        <v>2395941.784</v>
      </c>
      <c r="K1374" s="34">
        <f t="shared" si="2072"/>
        <v>2720122.062</v>
      </c>
      <c r="L1374">
        <f t="shared" si="2072"/>
        <v>2340153.181</v>
      </c>
      <c r="M1374">
        <f t="shared" si="2072"/>
        <v>1958604.973</v>
      </c>
      <c r="N1374">
        <f t="shared" si="2072"/>
        <v>1585657.405</v>
      </c>
      <c r="O1374">
        <f t="shared" si="2072"/>
        <v>1364385.568</v>
      </c>
      <c r="P1374">
        <f t="shared" si="2063"/>
        <v>28766857.03</v>
      </c>
      <c r="Q1374" s="18">
        <f t="shared" si="2064"/>
        <v>979302.4865</v>
      </c>
    </row>
    <row r="1375">
      <c r="C1375" s="33"/>
      <c r="D1375" s="34"/>
      <c r="E1375" s="33"/>
      <c r="F1375" s="1" t="s">
        <v>5566</v>
      </c>
      <c r="G1375" s="33"/>
      <c r="H1375" s="33" t="s">
        <v>5566</v>
      </c>
      <c r="L1375" s="33" t="s">
        <v>5566</v>
      </c>
      <c r="N1375" s="1" t="s">
        <v>5566</v>
      </c>
      <c r="O1375" s="33"/>
    </row>
    <row r="1376">
      <c r="C1376" s="33"/>
      <c r="D1376" s="34"/>
      <c r="E1376" s="33"/>
      <c r="G1376" s="33"/>
      <c r="H1376" s="33"/>
      <c r="L1376" s="33" t="s">
        <v>5911</v>
      </c>
      <c r="N1376" s="1" t="s">
        <v>5911</v>
      </c>
      <c r="O1376" s="33"/>
    </row>
    <row r="1377">
      <c r="B1377" s="40"/>
      <c r="C1377" s="185"/>
      <c r="D1377" s="186" t="s">
        <v>5907</v>
      </c>
      <c r="E1377" s="187" t="s">
        <v>5912</v>
      </c>
      <c r="F1377" s="186" t="s">
        <v>5902</v>
      </c>
      <c r="G1377" s="185"/>
      <c r="H1377" s="185"/>
      <c r="I1377" s="40"/>
      <c r="J1377" s="40"/>
      <c r="K1377" s="40"/>
      <c r="L1377" s="188" t="s">
        <v>5908</v>
      </c>
      <c r="M1377" s="40"/>
      <c r="N1377" s="186" t="s">
        <v>5909</v>
      </c>
      <c r="O1377" s="185"/>
      <c r="P1377" s="40"/>
      <c r="Q1377" s="40"/>
    </row>
    <row r="1378">
      <c r="B1378" s="39" t="s">
        <v>5913</v>
      </c>
      <c r="C1378" s="185"/>
      <c r="D1378" s="47">
        <v>2080000.0</v>
      </c>
      <c r="E1378" s="85">
        <v>2830000.0</v>
      </c>
      <c r="F1378" s="50">
        <v>1620000.0</v>
      </c>
      <c r="G1378" s="85">
        <v>1890000.0</v>
      </c>
      <c r="H1378" s="85">
        <v>2000000.0</v>
      </c>
      <c r="I1378" s="50">
        <v>3500000.0</v>
      </c>
      <c r="J1378" s="189">
        <v>2150000.0</v>
      </c>
      <c r="K1378" s="50">
        <v>2400000.0</v>
      </c>
      <c r="L1378" s="41">
        <v>2080000.0</v>
      </c>
      <c r="M1378" s="189">
        <v>1600000.0</v>
      </c>
      <c r="N1378" s="47">
        <v>1410000.0</v>
      </c>
      <c r="O1378" s="85">
        <v>1200000.0</v>
      </c>
      <c r="P1378" s="50">
        <f t="shared" ref="P1378:P1386" si="2074">SUM(D1378:O1378)</f>
        <v>24760000</v>
      </c>
      <c r="Q1378" s="67">
        <f t="shared" ref="Q1378:Q1386" si="2075">M1378*0.5</f>
        <v>800000</v>
      </c>
    </row>
    <row r="1379">
      <c r="B1379" s="40" t="s">
        <v>5499</v>
      </c>
      <c r="C1379" s="185"/>
      <c r="D1379" s="189">
        <f t="shared" ref="D1379:O1379" si="2073">D1378*0.1</f>
        <v>208000</v>
      </c>
      <c r="E1379" s="85">
        <f t="shared" si="2073"/>
        <v>283000</v>
      </c>
      <c r="F1379" s="50">
        <f t="shared" si="2073"/>
        <v>162000</v>
      </c>
      <c r="G1379" s="85">
        <f t="shared" si="2073"/>
        <v>189000</v>
      </c>
      <c r="H1379" s="85">
        <f t="shared" si="2073"/>
        <v>200000</v>
      </c>
      <c r="I1379" s="50">
        <f t="shared" si="2073"/>
        <v>350000</v>
      </c>
      <c r="J1379" s="189">
        <f t="shared" si="2073"/>
        <v>215000</v>
      </c>
      <c r="K1379" s="50">
        <f t="shared" si="2073"/>
        <v>240000</v>
      </c>
      <c r="L1379" s="85">
        <f t="shared" si="2073"/>
        <v>208000</v>
      </c>
      <c r="M1379" s="189">
        <f t="shared" si="2073"/>
        <v>160000</v>
      </c>
      <c r="N1379" s="50">
        <f t="shared" si="2073"/>
        <v>141000</v>
      </c>
      <c r="O1379" s="85">
        <f t="shared" si="2073"/>
        <v>120000</v>
      </c>
      <c r="P1379" s="50">
        <f t="shared" si="2074"/>
        <v>2476000</v>
      </c>
      <c r="Q1379" s="67">
        <f t="shared" si="2075"/>
        <v>80000</v>
      </c>
    </row>
    <row r="1380">
      <c r="B1380" s="40" t="s">
        <v>5520</v>
      </c>
      <c r="C1380" s="185"/>
      <c r="D1380" s="189">
        <f t="shared" ref="D1380:O1380" si="2076">D1378+D1379</f>
        <v>2288000</v>
      </c>
      <c r="E1380" s="85">
        <f t="shared" si="2076"/>
        <v>3113000</v>
      </c>
      <c r="F1380" s="50">
        <f t="shared" si="2076"/>
        <v>1782000</v>
      </c>
      <c r="G1380" s="85">
        <f t="shared" si="2076"/>
        <v>2079000</v>
      </c>
      <c r="H1380" s="85">
        <f t="shared" si="2076"/>
        <v>2200000</v>
      </c>
      <c r="I1380" s="50">
        <f t="shared" si="2076"/>
        <v>3850000</v>
      </c>
      <c r="J1380" s="189">
        <f t="shared" si="2076"/>
        <v>2365000</v>
      </c>
      <c r="K1380" s="50">
        <f t="shared" si="2076"/>
        <v>2640000</v>
      </c>
      <c r="L1380" s="85">
        <f t="shared" si="2076"/>
        <v>2288000</v>
      </c>
      <c r="M1380" s="189">
        <f t="shared" si="2076"/>
        <v>1760000</v>
      </c>
      <c r="N1380" s="50">
        <f t="shared" si="2076"/>
        <v>1551000</v>
      </c>
      <c r="O1380" s="85">
        <f t="shared" si="2076"/>
        <v>1320000</v>
      </c>
      <c r="P1380" s="50">
        <f t="shared" si="2074"/>
        <v>27236000</v>
      </c>
      <c r="Q1380" s="67">
        <f t="shared" si="2075"/>
        <v>880000</v>
      </c>
    </row>
    <row r="1381">
      <c r="B1381" s="40" t="s">
        <v>5545</v>
      </c>
      <c r="C1381" s="185"/>
      <c r="D1381" s="189">
        <v>125630.66433566433</v>
      </c>
      <c r="E1381" s="189">
        <v>94938.28671328671</v>
      </c>
      <c r="F1381" s="50">
        <v>47859.3006993007</v>
      </c>
      <c r="G1381" s="189">
        <v>58003.02797202797</v>
      </c>
      <c r="H1381" s="189">
        <v>245018.44755244756</v>
      </c>
      <c r="I1381" s="50">
        <v>248920.02097902098</v>
      </c>
      <c r="J1381" s="50">
        <v>15345.825174825175</v>
      </c>
      <c r="K1381" s="50">
        <v>56525.439608974026</v>
      </c>
      <c r="L1381" s="189">
        <v>135431.24570571128</v>
      </c>
      <c r="M1381" s="50">
        <v>150600.37062937062</v>
      </c>
      <c r="N1381" s="50">
        <v>18987.293706293705</v>
      </c>
      <c r="O1381" s="189">
        <v>67366.8041958042</v>
      </c>
      <c r="P1381" s="50">
        <f t="shared" si="2074"/>
        <v>1264626.727</v>
      </c>
      <c r="Q1381" s="67">
        <f t="shared" si="2075"/>
        <v>75300.18531</v>
      </c>
    </row>
    <row r="1382">
      <c r="B1382" s="40"/>
      <c r="C1382" s="185"/>
      <c r="D1382" s="50">
        <f t="shared" ref="D1382:O1382" si="2077">D1381-D1383</f>
        <v>114209.6949</v>
      </c>
      <c r="E1382" s="85">
        <f t="shared" si="2077"/>
        <v>86307.53338</v>
      </c>
      <c r="F1382" s="50">
        <f t="shared" si="2077"/>
        <v>43508.45518</v>
      </c>
      <c r="G1382" s="85">
        <f t="shared" si="2077"/>
        <v>52730.02543</v>
      </c>
      <c r="H1382" s="85">
        <f t="shared" si="2077"/>
        <v>222744.0432</v>
      </c>
      <c r="I1382" s="50">
        <f t="shared" si="2077"/>
        <v>226290.9282</v>
      </c>
      <c r="J1382" s="189">
        <f t="shared" si="2077"/>
        <v>13950.75016</v>
      </c>
      <c r="K1382" s="50">
        <f t="shared" si="2077"/>
        <v>51386.76328</v>
      </c>
      <c r="L1382" s="85">
        <f t="shared" si="2077"/>
        <v>123119.3143</v>
      </c>
      <c r="M1382" s="50">
        <f t="shared" si="2077"/>
        <v>136909.4278</v>
      </c>
      <c r="N1382" s="50">
        <f t="shared" si="2077"/>
        <v>17261.1761</v>
      </c>
      <c r="O1382" s="85">
        <f t="shared" si="2077"/>
        <v>61242.54927</v>
      </c>
      <c r="P1382" s="50">
        <f t="shared" si="2074"/>
        <v>1149660.661</v>
      </c>
      <c r="Q1382" s="67">
        <f t="shared" si="2075"/>
        <v>68454.71392</v>
      </c>
    </row>
    <row r="1383">
      <c r="B1383" s="40" t="s">
        <v>5499</v>
      </c>
      <c r="C1383" s="185"/>
      <c r="D1383" s="50">
        <f t="shared" ref="D1383:O1383" si="2078">D1381/11</f>
        <v>11420.96949</v>
      </c>
      <c r="E1383" s="85">
        <f t="shared" si="2078"/>
        <v>8630.753338</v>
      </c>
      <c r="F1383" s="50">
        <f t="shared" si="2078"/>
        <v>4350.845518</v>
      </c>
      <c r="G1383" s="85">
        <f t="shared" si="2078"/>
        <v>5273.002543</v>
      </c>
      <c r="H1383" s="85">
        <f t="shared" si="2078"/>
        <v>22274.40432</v>
      </c>
      <c r="I1383" s="50">
        <f t="shared" si="2078"/>
        <v>22629.09282</v>
      </c>
      <c r="J1383" s="189">
        <f t="shared" si="2078"/>
        <v>1395.075016</v>
      </c>
      <c r="K1383" s="50">
        <f t="shared" si="2078"/>
        <v>5138.676328</v>
      </c>
      <c r="L1383" s="85">
        <f t="shared" si="2078"/>
        <v>12311.93143</v>
      </c>
      <c r="M1383" s="50">
        <f t="shared" si="2078"/>
        <v>13690.94278</v>
      </c>
      <c r="N1383" s="50">
        <f t="shared" si="2078"/>
        <v>1726.11761</v>
      </c>
      <c r="O1383" s="85">
        <f t="shared" si="2078"/>
        <v>6124.254927</v>
      </c>
      <c r="P1383" s="50">
        <f t="shared" si="2074"/>
        <v>114966.0661</v>
      </c>
      <c r="Q1383" s="67">
        <f t="shared" si="2075"/>
        <v>6845.471392</v>
      </c>
    </row>
    <row r="1384">
      <c r="B1384" s="23" t="s">
        <v>5528</v>
      </c>
      <c r="C1384" s="33"/>
      <c r="D1384" s="145">
        <f t="shared" ref="D1384:O1384" si="2079">SUM(D1380,D1381)</f>
        <v>2413630.664</v>
      </c>
      <c r="E1384" s="145">
        <f t="shared" si="2079"/>
        <v>3207938.287</v>
      </c>
      <c r="F1384" s="145">
        <f t="shared" si="2079"/>
        <v>1829859.301</v>
      </c>
      <c r="G1384" s="145">
        <f t="shared" si="2079"/>
        <v>2137003.028</v>
      </c>
      <c r="H1384" s="145">
        <f t="shared" si="2079"/>
        <v>2445018.448</v>
      </c>
      <c r="I1384" s="173">
        <f t="shared" si="2079"/>
        <v>4098920.021</v>
      </c>
      <c r="J1384" s="145">
        <f t="shared" si="2079"/>
        <v>2380345.825</v>
      </c>
      <c r="K1384" s="183">
        <f t="shared" si="2079"/>
        <v>2696525.44</v>
      </c>
      <c r="L1384" s="145">
        <f t="shared" si="2079"/>
        <v>2423431.246</v>
      </c>
      <c r="M1384" s="145">
        <f t="shared" si="2079"/>
        <v>1910600.371</v>
      </c>
      <c r="N1384" s="145">
        <f t="shared" si="2079"/>
        <v>1569987.294</v>
      </c>
      <c r="O1384" s="145">
        <f t="shared" si="2079"/>
        <v>1387366.804</v>
      </c>
      <c r="P1384">
        <f t="shared" si="2074"/>
        <v>28500626.73</v>
      </c>
      <c r="Q1384" s="18">
        <f t="shared" si="2075"/>
        <v>955300.1853</v>
      </c>
    </row>
    <row r="1385">
      <c r="B1385" s="1" t="s">
        <v>5580</v>
      </c>
      <c r="C1385" s="33"/>
      <c r="D1385">
        <f t="shared" ref="D1385:O1385" si="2080">D1378+D1382</f>
        <v>2194209.695</v>
      </c>
      <c r="E1385">
        <f t="shared" si="2080"/>
        <v>2916307.533</v>
      </c>
      <c r="F1385">
        <f t="shared" si="2080"/>
        <v>1663508.455</v>
      </c>
      <c r="G1385">
        <f t="shared" si="2080"/>
        <v>1942730.025</v>
      </c>
      <c r="H1385">
        <f t="shared" si="2080"/>
        <v>2222744.043</v>
      </c>
      <c r="I1385">
        <f t="shared" si="2080"/>
        <v>3726290.928</v>
      </c>
      <c r="J1385" s="34">
        <f t="shared" si="2080"/>
        <v>2163950.75</v>
      </c>
      <c r="K1385">
        <f t="shared" si="2080"/>
        <v>2451386.763</v>
      </c>
      <c r="L1385">
        <f t="shared" si="2080"/>
        <v>2203119.314</v>
      </c>
      <c r="M1385">
        <f t="shared" si="2080"/>
        <v>1736909.428</v>
      </c>
      <c r="N1385">
        <f t="shared" si="2080"/>
        <v>1427261.176</v>
      </c>
      <c r="O1385">
        <f t="shared" si="2080"/>
        <v>1261242.549</v>
      </c>
      <c r="P1385">
        <f t="shared" si="2074"/>
        <v>25909660.66</v>
      </c>
      <c r="Q1385" s="18">
        <f t="shared" si="2075"/>
        <v>868454.7139</v>
      </c>
    </row>
    <row r="1386">
      <c r="B1386" s="1" t="s">
        <v>5582</v>
      </c>
      <c r="C1386" s="33"/>
      <c r="D1386">
        <f t="shared" ref="D1386:O1386" si="2081">D1379+D1383</f>
        <v>219420.9695</v>
      </c>
      <c r="E1386">
        <f t="shared" si="2081"/>
        <v>291630.7533</v>
      </c>
      <c r="F1386">
        <f t="shared" si="2081"/>
        <v>166350.8455</v>
      </c>
      <c r="G1386">
        <f t="shared" si="2081"/>
        <v>194273.0025</v>
      </c>
      <c r="H1386">
        <f t="shared" si="2081"/>
        <v>222274.4043</v>
      </c>
      <c r="I1386">
        <f t="shared" si="2081"/>
        <v>372629.0928</v>
      </c>
      <c r="J1386" s="34">
        <f t="shared" si="2081"/>
        <v>216395.075</v>
      </c>
      <c r="K1386">
        <f t="shared" si="2081"/>
        <v>245138.6763</v>
      </c>
      <c r="L1386">
        <f t="shared" si="2081"/>
        <v>220311.9314</v>
      </c>
      <c r="M1386">
        <f t="shared" si="2081"/>
        <v>173690.9428</v>
      </c>
      <c r="N1386">
        <f t="shared" si="2081"/>
        <v>142726.1176</v>
      </c>
      <c r="O1386">
        <f t="shared" si="2081"/>
        <v>126124.2549</v>
      </c>
      <c r="P1386">
        <f t="shared" si="2074"/>
        <v>2590966.066</v>
      </c>
      <c r="Q1386" s="18">
        <f t="shared" si="2075"/>
        <v>86845.47139</v>
      </c>
    </row>
    <row r="1387">
      <c r="C1387" s="33"/>
      <c r="D1387" s="34"/>
      <c r="E1387" s="33"/>
      <c r="G1387" s="33"/>
      <c r="H1387" s="33"/>
      <c r="L1387" s="33"/>
      <c r="O1387" s="33"/>
    </row>
    <row r="1388">
      <c r="C1388" s="33"/>
      <c r="D1388" s="34"/>
      <c r="E1388" s="33"/>
      <c r="G1388" s="33"/>
      <c r="H1388" s="33"/>
      <c r="L1388" s="33"/>
      <c r="O1388" s="33"/>
    </row>
    <row r="1389">
      <c r="C1389" s="33"/>
      <c r="D1389" s="34"/>
      <c r="E1389" s="187" t="s">
        <v>5912</v>
      </c>
      <c r="G1389" s="33"/>
      <c r="H1389" s="33"/>
      <c r="L1389" s="33"/>
      <c r="O1389" s="33"/>
    </row>
    <row r="1390">
      <c r="B1390" s="39" t="s">
        <v>5914</v>
      </c>
      <c r="C1390" s="185"/>
      <c r="D1390" s="47">
        <v>2080000.0</v>
      </c>
      <c r="E1390" s="85">
        <f>(2830000*6+2940000*25)/31</f>
        <v>2918709.677</v>
      </c>
      <c r="F1390" s="50">
        <v>1620000.0</v>
      </c>
      <c r="G1390" s="85">
        <v>1890000.0</v>
      </c>
      <c r="H1390" s="85">
        <v>2000000.0</v>
      </c>
      <c r="I1390" s="50">
        <v>3500000.0</v>
      </c>
      <c r="J1390" s="189">
        <v>2150000.0</v>
      </c>
      <c r="K1390" s="50">
        <v>2400000.0</v>
      </c>
      <c r="L1390" s="41">
        <v>2080000.0</v>
      </c>
      <c r="M1390" s="189">
        <v>1600000.0</v>
      </c>
      <c r="N1390" s="47">
        <v>1410000.0</v>
      </c>
      <c r="O1390" s="85">
        <v>1200000.0</v>
      </c>
      <c r="P1390" s="50">
        <f t="shared" ref="P1390:P1401" si="2083">SUM(D1390:O1390)</f>
        <v>24848709.68</v>
      </c>
      <c r="Q1390" s="67">
        <f t="shared" ref="Q1390:Q1401" si="2084">M1390*0.5</f>
        <v>800000</v>
      </c>
    </row>
    <row r="1391">
      <c r="B1391" s="40" t="s">
        <v>5499</v>
      </c>
      <c r="C1391" s="185"/>
      <c r="D1391" s="189">
        <f t="shared" ref="D1391:O1391" si="2082">D1390*0.1</f>
        <v>208000</v>
      </c>
      <c r="E1391" s="85">
        <f t="shared" si="2082"/>
        <v>291870.9677</v>
      </c>
      <c r="F1391" s="50">
        <f t="shared" si="2082"/>
        <v>162000</v>
      </c>
      <c r="G1391" s="85">
        <f t="shared" si="2082"/>
        <v>189000</v>
      </c>
      <c r="H1391" s="85">
        <f t="shared" si="2082"/>
        <v>200000</v>
      </c>
      <c r="I1391" s="50">
        <f t="shared" si="2082"/>
        <v>350000</v>
      </c>
      <c r="J1391" s="189">
        <f t="shared" si="2082"/>
        <v>215000</v>
      </c>
      <c r="K1391" s="50">
        <f t="shared" si="2082"/>
        <v>240000</v>
      </c>
      <c r="L1391" s="85">
        <f t="shared" si="2082"/>
        <v>208000</v>
      </c>
      <c r="M1391" s="189">
        <f t="shared" si="2082"/>
        <v>160000</v>
      </c>
      <c r="N1391" s="50">
        <f t="shared" si="2082"/>
        <v>141000</v>
      </c>
      <c r="O1391" s="85">
        <f t="shared" si="2082"/>
        <v>120000</v>
      </c>
      <c r="P1391" s="50">
        <f t="shared" si="2083"/>
        <v>2484870.968</v>
      </c>
      <c r="Q1391" s="67">
        <f t="shared" si="2084"/>
        <v>80000</v>
      </c>
    </row>
    <row r="1392">
      <c r="B1392" s="40" t="s">
        <v>5520</v>
      </c>
      <c r="C1392" s="185"/>
      <c r="D1392" s="189">
        <f t="shared" ref="D1392:O1392" si="2085">D1390+D1391</f>
        <v>2288000</v>
      </c>
      <c r="E1392" s="85">
        <f t="shared" si="2085"/>
        <v>3210580.645</v>
      </c>
      <c r="F1392" s="50">
        <f t="shared" si="2085"/>
        <v>1782000</v>
      </c>
      <c r="G1392" s="85">
        <f t="shared" si="2085"/>
        <v>2079000</v>
      </c>
      <c r="H1392" s="85">
        <f t="shared" si="2085"/>
        <v>2200000</v>
      </c>
      <c r="I1392" s="50">
        <f t="shared" si="2085"/>
        <v>3850000</v>
      </c>
      <c r="J1392" s="189">
        <f t="shared" si="2085"/>
        <v>2365000</v>
      </c>
      <c r="K1392" s="50">
        <f t="shared" si="2085"/>
        <v>2640000</v>
      </c>
      <c r="L1392" s="85">
        <f t="shared" si="2085"/>
        <v>2288000</v>
      </c>
      <c r="M1392" s="189">
        <f t="shared" si="2085"/>
        <v>1760000</v>
      </c>
      <c r="N1392" s="50">
        <f t="shared" si="2085"/>
        <v>1551000</v>
      </c>
      <c r="O1392" s="85">
        <f t="shared" si="2085"/>
        <v>1320000</v>
      </c>
      <c r="P1392" s="50">
        <f t="shared" si="2083"/>
        <v>27333580.65</v>
      </c>
      <c r="Q1392" s="67">
        <f t="shared" si="2084"/>
        <v>880000</v>
      </c>
    </row>
    <row r="1393">
      <c r="B1393" s="40" t="s">
        <v>5545</v>
      </c>
      <c r="C1393" s="185"/>
      <c r="D1393" s="189">
        <v>66233.74149659864</v>
      </c>
      <c r="E1393" s="189">
        <v>73423.58843537416</v>
      </c>
      <c r="F1393" s="50">
        <v>38563.72448979592</v>
      </c>
      <c r="G1393" s="189">
        <v>52749.180272108846</v>
      </c>
      <c r="H1393" s="189">
        <v>157982.39455782314</v>
      </c>
      <c r="I1393" s="50">
        <v>144692.07142857142</v>
      </c>
      <c r="J1393" s="50">
        <v>27257.904761904763</v>
      </c>
      <c r="K1393" s="50">
        <v>45416.31010611301</v>
      </c>
      <c r="L1393" s="189">
        <v>110846.72730885298</v>
      </c>
      <c r="M1393" s="50">
        <v>123994.02721088435</v>
      </c>
      <c r="N1393" s="50">
        <v>68218.24489795919</v>
      </c>
      <c r="O1393" s="189">
        <v>115496.93537414966</v>
      </c>
      <c r="P1393" s="50">
        <f t="shared" si="2083"/>
        <v>1024874.85</v>
      </c>
      <c r="Q1393" s="67">
        <f t="shared" si="2084"/>
        <v>61997.01361</v>
      </c>
    </row>
    <row r="1394">
      <c r="B1394" s="40"/>
      <c r="C1394" s="185"/>
      <c r="D1394" s="50">
        <f t="shared" ref="D1394:O1394" si="2086">D1393-D1395</f>
        <v>60212.49227</v>
      </c>
      <c r="E1394" s="85">
        <f t="shared" si="2086"/>
        <v>66748.71676</v>
      </c>
      <c r="F1394" s="50">
        <f t="shared" si="2086"/>
        <v>35057.93135</v>
      </c>
      <c r="G1394" s="85">
        <f t="shared" si="2086"/>
        <v>47953.80025</v>
      </c>
      <c r="H1394" s="85">
        <f t="shared" si="2086"/>
        <v>143620.3587</v>
      </c>
      <c r="I1394" s="50">
        <f t="shared" si="2086"/>
        <v>131538.2468</v>
      </c>
      <c r="J1394" s="189">
        <f t="shared" si="2086"/>
        <v>24779.91342</v>
      </c>
      <c r="K1394" s="50">
        <f t="shared" si="2086"/>
        <v>41287.55464</v>
      </c>
      <c r="L1394" s="85">
        <f t="shared" si="2086"/>
        <v>100769.7521</v>
      </c>
      <c r="M1394" s="50">
        <f t="shared" si="2086"/>
        <v>112721.8429</v>
      </c>
      <c r="N1394" s="50">
        <f t="shared" si="2086"/>
        <v>62016.58627</v>
      </c>
      <c r="O1394" s="85">
        <f t="shared" si="2086"/>
        <v>104997.214</v>
      </c>
      <c r="P1394" s="50">
        <f t="shared" si="2083"/>
        <v>931704.4094</v>
      </c>
      <c r="Q1394" s="67">
        <f t="shared" si="2084"/>
        <v>56360.92146</v>
      </c>
    </row>
    <row r="1395">
      <c r="B1395" s="40" t="s">
        <v>5499</v>
      </c>
      <c r="C1395" s="185"/>
      <c r="D1395" s="50">
        <f t="shared" ref="D1395:O1395" si="2087">D1393/11</f>
        <v>6021.249227</v>
      </c>
      <c r="E1395" s="85">
        <f t="shared" si="2087"/>
        <v>6674.871676</v>
      </c>
      <c r="F1395" s="50">
        <f t="shared" si="2087"/>
        <v>3505.793135</v>
      </c>
      <c r="G1395" s="85">
        <f t="shared" si="2087"/>
        <v>4795.380025</v>
      </c>
      <c r="H1395" s="85">
        <f t="shared" si="2087"/>
        <v>14362.03587</v>
      </c>
      <c r="I1395" s="50">
        <f t="shared" si="2087"/>
        <v>13153.82468</v>
      </c>
      <c r="J1395" s="189">
        <f t="shared" si="2087"/>
        <v>2477.991342</v>
      </c>
      <c r="K1395" s="50">
        <f t="shared" si="2087"/>
        <v>4128.755464</v>
      </c>
      <c r="L1395" s="85">
        <f t="shared" si="2087"/>
        <v>10076.97521</v>
      </c>
      <c r="M1395" s="50">
        <f t="shared" si="2087"/>
        <v>11272.18429</v>
      </c>
      <c r="N1395" s="50">
        <f t="shared" si="2087"/>
        <v>6201.658627</v>
      </c>
      <c r="O1395" s="85">
        <f t="shared" si="2087"/>
        <v>10499.7214</v>
      </c>
      <c r="P1395" s="50">
        <f t="shared" si="2083"/>
        <v>93170.44094</v>
      </c>
      <c r="Q1395" s="67">
        <f t="shared" si="2084"/>
        <v>5636.092146</v>
      </c>
    </row>
    <row r="1396">
      <c r="B1396" s="1" t="s">
        <v>1975</v>
      </c>
      <c r="C1396" s="33"/>
      <c r="D1396" s="34">
        <v>41777.55343026348</v>
      </c>
      <c r="E1396" s="34">
        <v>17396.6017360892</v>
      </c>
      <c r="F1396">
        <v>17396.6017360892</v>
      </c>
      <c r="G1396" s="34">
        <v>15961.167848998097</v>
      </c>
      <c r="H1396" s="34">
        <v>22966.942193457664</v>
      </c>
      <c r="I1396">
        <v>29158.589855686456</v>
      </c>
      <c r="J1396">
        <v>23202.610443577098</v>
      </c>
      <c r="K1396">
        <v>15832.621530751134</v>
      </c>
      <c r="L1396" s="34">
        <v>21210.14251074915</v>
      </c>
      <c r="M1396">
        <v>10817.172680482066</v>
      </c>
      <c r="N1396">
        <v>12447.568483581066</v>
      </c>
      <c r="O1396" s="34">
        <v>9512.427550275375</v>
      </c>
      <c r="P1396">
        <f t="shared" si="2083"/>
        <v>237680</v>
      </c>
      <c r="Q1396" s="18">
        <f t="shared" si="2084"/>
        <v>5408.58634</v>
      </c>
    </row>
    <row r="1397">
      <c r="B1397" s="23" t="s">
        <v>5598</v>
      </c>
      <c r="C1397" s="33"/>
      <c r="D1397" s="18">
        <f t="shared" ref="D1397:O1397" si="2088">SUM(D1392,D1393,D1396)</f>
        <v>2396011.295</v>
      </c>
      <c r="E1397" s="18">
        <f t="shared" si="2088"/>
        <v>3301400.835</v>
      </c>
      <c r="F1397" s="18">
        <f t="shared" si="2088"/>
        <v>1837960.326</v>
      </c>
      <c r="G1397" s="18">
        <f t="shared" si="2088"/>
        <v>2147710.348</v>
      </c>
      <c r="H1397" s="18">
        <f t="shared" si="2088"/>
        <v>2380949.337</v>
      </c>
      <c r="I1397" s="18">
        <f t="shared" si="2088"/>
        <v>4023850.661</v>
      </c>
      <c r="J1397" s="18">
        <f t="shared" si="2088"/>
        <v>2415460.515</v>
      </c>
      <c r="K1397" s="184">
        <f t="shared" si="2088"/>
        <v>2701248.932</v>
      </c>
      <c r="L1397" s="18">
        <f t="shared" si="2088"/>
        <v>2420056.87</v>
      </c>
      <c r="M1397" s="18">
        <f t="shared" si="2088"/>
        <v>1894811.2</v>
      </c>
      <c r="N1397" s="18">
        <f t="shared" si="2088"/>
        <v>1631665.813</v>
      </c>
      <c r="O1397" s="18">
        <f t="shared" si="2088"/>
        <v>1445009.363</v>
      </c>
      <c r="P1397">
        <f t="shared" si="2083"/>
        <v>28596135.5</v>
      </c>
      <c r="Q1397" s="18">
        <f t="shared" si="2084"/>
        <v>947405.5999</v>
      </c>
    </row>
    <row r="1398">
      <c r="B1398" s="1" t="s">
        <v>5599</v>
      </c>
      <c r="C1398" s="33"/>
      <c r="D1398">
        <f t="shared" ref="D1398:O1398" si="2089">SUM(D1390,D1394,D1396)</f>
        <v>2181990.046</v>
      </c>
      <c r="E1398">
        <f t="shared" si="2089"/>
        <v>3002854.996</v>
      </c>
      <c r="F1398">
        <f t="shared" si="2089"/>
        <v>1672454.533</v>
      </c>
      <c r="G1398">
        <f t="shared" si="2089"/>
        <v>1953914.968</v>
      </c>
      <c r="H1398">
        <f t="shared" si="2089"/>
        <v>2166587.301</v>
      </c>
      <c r="I1398">
        <f t="shared" si="2089"/>
        <v>3660696.837</v>
      </c>
      <c r="J1398">
        <f t="shared" si="2089"/>
        <v>2197982.524</v>
      </c>
      <c r="K1398" s="34">
        <f t="shared" si="2089"/>
        <v>2457120.176</v>
      </c>
      <c r="L1398">
        <f t="shared" si="2089"/>
        <v>2201979.895</v>
      </c>
      <c r="M1398">
        <f t="shared" si="2089"/>
        <v>1723539.016</v>
      </c>
      <c r="N1398">
        <f t="shared" si="2089"/>
        <v>1484464.155</v>
      </c>
      <c r="O1398">
        <f t="shared" si="2089"/>
        <v>1314509.642</v>
      </c>
      <c r="P1398">
        <f t="shared" si="2083"/>
        <v>26018094.09</v>
      </c>
      <c r="Q1398" s="18">
        <f t="shared" si="2084"/>
        <v>861769.5078</v>
      </c>
    </row>
    <row r="1399">
      <c r="B1399" s="1" t="s">
        <v>5601</v>
      </c>
      <c r="C1399" s="33"/>
      <c r="D1399">
        <f t="shared" ref="D1399:O1399" si="2090">SUM(D1390,D1394)</f>
        <v>2140212.492</v>
      </c>
      <c r="E1399">
        <f t="shared" si="2090"/>
        <v>2985458.394</v>
      </c>
      <c r="F1399">
        <f t="shared" si="2090"/>
        <v>1655057.931</v>
      </c>
      <c r="G1399">
        <f t="shared" si="2090"/>
        <v>1937953.8</v>
      </c>
      <c r="H1399">
        <f t="shared" si="2090"/>
        <v>2143620.359</v>
      </c>
      <c r="I1399">
        <f t="shared" si="2090"/>
        <v>3631538.247</v>
      </c>
      <c r="J1399">
        <f t="shared" si="2090"/>
        <v>2174779.913</v>
      </c>
      <c r="K1399" s="34">
        <f t="shared" si="2090"/>
        <v>2441287.555</v>
      </c>
      <c r="L1399">
        <f t="shared" si="2090"/>
        <v>2180769.752</v>
      </c>
      <c r="M1399">
        <f t="shared" si="2090"/>
        <v>1712721.843</v>
      </c>
      <c r="N1399">
        <f t="shared" si="2090"/>
        <v>1472016.586</v>
      </c>
      <c r="O1399">
        <f t="shared" si="2090"/>
        <v>1304997.214</v>
      </c>
      <c r="P1399">
        <f t="shared" si="2083"/>
        <v>25780414.09</v>
      </c>
      <c r="Q1399" s="18">
        <f t="shared" si="2084"/>
        <v>856360.9215</v>
      </c>
    </row>
    <row r="1400">
      <c r="B1400" s="1" t="s">
        <v>5582</v>
      </c>
      <c r="C1400" s="33"/>
      <c r="D1400">
        <f t="shared" ref="D1400:O1400" si="2091">SUM(D1391,D1395)</f>
        <v>214021.2492</v>
      </c>
      <c r="E1400">
        <f t="shared" si="2091"/>
        <v>298545.8394</v>
      </c>
      <c r="F1400">
        <f t="shared" si="2091"/>
        <v>165505.7931</v>
      </c>
      <c r="G1400" s="34">
        <f t="shared" si="2091"/>
        <v>193795.38</v>
      </c>
      <c r="H1400">
        <f t="shared" si="2091"/>
        <v>214362.0359</v>
      </c>
      <c r="I1400">
        <f t="shared" si="2091"/>
        <v>363153.8247</v>
      </c>
      <c r="J1400">
        <f t="shared" si="2091"/>
        <v>217477.9913</v>
      </c>
      <c r="K1400" s="34">
        <f t="shared" si="2091"/>
        <v>244128.7555</v>
      </c>
      <c r="L1400">
        <f t="shared" si="2091"/>
        <v>218076.9752</v>
      </c>
      <c r="M1400">
        <f t="shared" si="2091"/>
        <v>171272.1843</v>
      </c>
      <c r="N1400">
        <f t="shared" si="2091"/>
        <v>147201.6586</v>
      </c>
      <c r="O1400">
        <f t="shared" si="2091"/>
        <v>130499.7214</v>
      </c>
      <c r="P1400">
        <f t="shared" si="2083"/>
        <v>2578041.409</v>
      </c>
      <c r="Q1400" s="18">
        <f t="shared" si="2084"/>
        <v>85636.09215</v>
      </c>
    </row>
    <row r="1401">
      <c r="B1401" s="1" t="s">
        <v>5602</v>
      </c>
      <c r="C1401" s="33"/>
      <c r="D1401">
        <f t="shared" ref="D1401:O1401" si="2092">SUM(D1399:D1400)</f>
        <v>2354233.741</v>
      </c>
      <c r="E1401">
        <f t="shared" si="2092"/>
        <v>3284004.234</v>
      </c>
      <c r="F1401">
        <f t="shared" si="2092"/>
        <v>1820563.724</v>
      </c>
      <c r="G1401">
        <f t="shared" si="2092"/>
        <v>2131749.18</v>
      </c>
      <c r="H1401">
        <f t="shared" si="2092"/>
        <v>2357982.395</v>
      </c>
      <c r="I1401">
        <f t="shared" si="2092"/>
        <v>3994692.071</v>
      </c>
      <c r="J1401">
        <f t="shared" si="2092"/>
        <v>2392257.905</v>
      </c>
      <c r="K1401" s="34">
        <f t="shared" si="2092"/>
        <v>2685416.31</v>
      </c>
      <c r="L1401">
        <f t="shared" si="2092"/>
        <v>2398846.727</v>
      </c>
      <c r="M1401">
        <f t="shared" si="2092"/>
        <v>1883994.027</v>
      </c>
      <c r="N1401">
        <f t="shared" si="2092"/>
        <v>1619218.245</v>
      </c>
      <c r="O1401">
        <f t="shared" si="2092"/>
        <v>1435496.935</v>
      </c>
      <c r="P1401">
        <f t="shared" si="2083"/>
        <v>28358455.5</v>
      </c>
      <c r="Q1401" s="18">
        <f t="shared" si="2084"/>
        <v>941997.0136</v>
      </c>
    </row>
    <row r="1402">
      <c r="C1402" s="33"/>
      <c r="D1402" s="34"/>
      <c r="E1402" s="33"/>
      <c r="G1402" s="33"/>
      <c r="H1402" s="33"/>
      <c r="L1402" s="33"/>
      <c r="O1402" s="33"/>
    </row>
    <row r="1403">
      <c r="C1403" s="33"/>
      <c r="D1403" s="34"/>
      <c r="E1403" s="33"/>
      <c r="G1403" s="33"/>
      <c r="H1403" s="33"/>
      <c r="L1403" s="33"/>
      <c r="O1403" s="33"/>
    </row>
    <row r="1404">
      <c r="C1404" s="33"/>
      <c r="D1404" s="34"/>
      <c r="E1404" s="33"/>
      <c r="G1404" s="33"/>
      <c r="H1404" s="33"/>
      <c r="K1404" s="33"/>
      <c r="L1404" s="33"/>
      <c r="O1404" s="33"/>
    </row>
    <row r="1405">
      <c r="B1405" s="39" t="s">
        <v>5915</v>
      </c>
      <c r="C1405" s="185"/>
      <c r="D1405" s="47">
        <v>2080000.0</v>
      </c>
      <c r="E1405" s="41">
        <v>2940000.0</v>
      </c>
      <c r="F1405" s="50">
        <v>1620000.0</v>
      </c>
      <c r="G1405" s="85">
        <v>1890000.0</v>
      </c>
      <c r="H1405" s="85">
        <v>2000000.0</v>
      </c>
      <c r="I1405" s="50">
        <v>3500000.0</v>
      </c>
      <c r="J1405" s="189">
        <v>2150000.0</v>
      </c>
      <c r="K1405" s="50">
        <v>2400000.0</v>
      </c>
      <c r="L1405" s="41">
        <v>2080000.0</v>
      </c>
      <c r="M1405" s="189">
        <v>1600000.0</v>
      </c>
      <c r="N1405" s="47">
        <v>1410000.0</v>
      </c>
      <c r="O1405" s="85">
        <v>1200000.0</v>
      </c>
      <c r="P1405" s="50">
        <f t="shared" ref="P1405:P1413" si="2094">SUM(D1405:O1405)</f>
        <v>24870000</v>
      </c>
      <c r="Q1405" s="67">
        <f t="shared" ref="Q1405:Q1413" si="2095">M1405*0.5</f>
        <v>800000</v>
      </c>
    </row>
    <row r="1406">
      <c r="B1406" s="40" t="s">
        <v>5499</v>
      </c>
      <c r="C1406" s="185"/>
      <c r="D1406" s="189">
        <f t="shared" ref="D1406:O1406" si="2093">D1405*0.1</f>
        <v>208000</v>
      </c>
      <c r="E1406" s="85">
        <f t="shared" si="2093"/>
        <v>294000</v>
      </c>
      <c r="F1406" s="50">
        <f t="shared" si="2093"/>
        <v>162000</v>
      </c>
      <c r="G1406" s="85">
        <f t="shared" si="2093"/>
        <v>189000</v>
      </c>
      <c r="H1406" s="85">
        <f t="shared" si="2093"/>
        <v>200000</v>
      </c>
      <c r="I1406" s="50">
        <f t="shared" si="2093"/>
        <v>350000</v>
      </c>
      <c r="J1406" s="189">
        <f t="shared" si="2093"/>
        <v>215000</v>
      </c>
      <c r="K1406" s="50">
        <f t="shared" si="2093"/>
        <v>240000</v>
      </c>
      <c r="L1406" s="85">
        <f t="shared" si="2093"/>
        <v>208000</v>
      </c>
      <c r="M1406" s="189">
        <f t="shared" si="2093"/>
        <v>160000</v>
      </c>
      <c r="N1406" s="50">
        <f t="shared" si="2093"/>
        <v>141000</v>
      </c>
      <c r="O1406" s="85">
        <f t="shared" si="2093"/>
        <v>120000</v>
      </c>
      <c r="P1406" s="50">
        <f t="shared" si="2094"/>
        <v>2487000</v>
      </c>
      <c r="Q1406" s="67">
        <f t="shared" si="2095"/>
        <v>80000</v>
      </c>
    </row>
    <row r="1407">
      <c r="B1407" s="40" t="s">
        <v>5520</v>
      </c>
      <c r="C1407" s="185"/>
      <c r="D1407" s="189">
        <f t="shared" ref="D1407:O1407" si="2096">D1405+D1406</f>
        <v>2288000</v>
      </c>
      <c r="E1407" s="85">
        <f t="shared" si="2096"/>
        <v>3234000</v>
      </c>
      <c r="F1407" s="50">
        <f t="shared" si="2096"/>
        <v>1782000</v>
      </c>
      <c r="G1407" s="85">
        <f t="shared" si="2096"/>
        <v>2079000</v>
      </c>
      <c r="H1407" s="85">
        <f t="shared" si="2096"/>
        <v>2200000</v>
      </c>
      <c r="I1407" s="50">
        <f t="shared" si="2096"/>
        <v>3850000</v>
      </c>
      <c r="J1407" s="189">
        <f t="shared" si="2096"/>
        <v>2365000</v>
      </c>
      <c r="K1407" s="50">
        <f t="shared" si="2096"/>
        <v>2640000</v>
      </c>
      <c r="L1407" s="85">
        <f t="shared" si="2096"/>
        <v>2288000</v>
      </c>
      <c r="M1407" s="189">
        <f t="shared" si="2096"/>
        <v>1760000</v>
      </c>
      <c r="N1407" s="50">
        <f t="shared" si="2096"/>
        <v>1551000</v>
      </c>
      <c r="O1407" s="85">
        <f t="shared" si="2096"/>
        <v>1320000</v>
      </c>
      <c r="P1407" s="50">
        <f t="shared" si="2094"/>
        <v>27357000</v>
      </c>
      <c r="Q1407" s="67">
        <f t="shared" si="2095"/>
        <v>880000</v>
      </c>
    </row>
    <row r="1408">
      <c r="B1408" s="40" t="s">
        <v>5545</v>
      </c>
      <c r="C1408" s="185"/>
      <c r="D1408" s="189">
        <v>96709.28835489834</v>
      </c>
      <c r="E1408" s="189">
        <v>88140.11090573014</v>
      </c>
      <c r="F1408" s="50">
        <v>41866.55268022181</v>
      </c>
      <c r="G1408" s="189">
        <v>88656.27356746765</v>
      </c>
      <c r="H1408" s="189">
        <v>232863.28835489834</v>
      </c>
      <c r="I1408" s="50">
        <v>182427.55822550834</v>
      </c>
      <c r="J1408" s="50">
        <v>72986.92051756008</v>
      </c>
      <c r="K1408" s="50">
        <v>85954.04084396972</v>
      </c>
      <c r="L1408" s="189">
        <v>171174.2733889323</v>
      </c>
      <c r="M1408" s="50">
        <v>118036.31053604436</v>
      </c>
      <c r="N1408" s="50">
        <v>93552.94639556378</v>
      </c>
      <c r="O1408" s="189">
        <v>52176.06099815157</v>
      </c>
      <c r="P1408" s="50">
        <f t="shared" si="2094"/>
        <v>1324543.625</v>
      </c>
      <c r="Q1408" s="67">
        <f t="shared" si="2095"/>
        <v>59018.15527</v>
      </c>
    </row>
    <row r="1409">
      <c r="B1409" s="40"/>
      <c r="C1409" s="185"/>
      <c r="D1409" s="50">
        <f t="shared" ref="D1409:O1409" si="2097">D1408-D1410</f>
        <v>87917.53487</v>
      </c>
      <c r="E1409" s="85">
        <f t="shared" si="2097"/>
        <v>80127.37355</v>
      </c>
      <c r="F1409" s="50">
        <f t="shared" si="2097"/>
        <v>38060.50244</v>
      </c>
      <c r="G1409" s="85">
        <f t="shared" si="2097"/>
        <v>80596.61233</v>
      </c>
      <c r="H1409" s="85">
        <f t="shared" si="2097"/>
        <v>211693.8985</v>
      </c>
      <c r="I1409" s="50">
        <f t="shared" si="2097"/>
        <v>165843.2348</v>
      </c>
      <c r="J1409" s="189">
        <f t="shared" si="2097"/>
        <v>66351.74593</v>
      </c>
      <c r="K1409" s="50">
        <f t="shared" si="2097"/>
        <v>78140.03713</v>
      </c>
      <c r="L1409" s="85">
        <f t="shared" si="2097"/>
        <v>155612.9758</v>
      </c>
      <c r="M1409" s="50">
        <f t="shared" si="2097"/>
        <v>107305.7369</v>
      </c>
      <c r="N1409" s="50">
        <f t="shared" si="2097"/>
        <v>85048.13309</v>
      </c>
      <c r="O1409" s="85">
        <f t="shared" si="2097"/>
        <v>47432.78273</v>
      </c>
      <c r="P1409" s="50">
        <f t="shared" si="2094"/>
        <v>1204130.568</v>
      </c>
      <c r="Q1409" s="67">
        <f t="shared" si="2095"/>
        <v>53652.86843</v>
      </c>
    </row>
    <row r="1410">
      <c r="B1410" s="40" t="s">
        <v>5499</v>
      </c>
      <c r="C1410" s="185"/>
      <c r="D1410" s="50">
        <f t="shared" ref="D1410:O1410" si="2098">D1408/11</f>
        <v>8791.753487</v>
      </c>
      <c r="E1410" s="85">
        <f t="shared" si="2098"/>
        <v>8012.737355</v>
      </c>
      <c r="F1410" s="50">
        <f t="shared" si="2098"/>
        <v>3806.050244</v>
      </c>
      <c r="G1410" s="85">
        <f t="shared" si="2098"/>
        <v>8059.661233</v>
      </c>
      <c r="H1410" s="85">
        <f t="shared" si="2098"/>
        <v>21169.38985</v>
      </c>
      <c r="I1410" s="50">
        <f t="shared" si="2098"/>
        <v>16584.32348</v>
      </c>
      <c r="J1410" s="189">
        <f t="shared" si="2098"/>
        <v>6635.174593</v>
      </c>
      <c r="K1410" s="50">
        <f t="shared" si="2098"/>
        <v>7814.003713</v>
      </c>
      <c r="L1410" s="85">
        <f t="shared" si="2098"/>
        <v>15561.29758</v>
      </c>
      <c r="M1410" s="50">
        <f t="shared" si="2098"/>
        <v>10730.57369</v>
      </c>
      <c r="N1410" s="50">
        <f t="shared" si="2098"/>
        <v>8504.813309</v>
      </c>
      <c r="O1410" s="85">
        <f t="shared" si="2098"/>
        <v>4743.278273</v>
      </c>
      <c r="P1410" s="50">
        <f t="shared" si="2094"/>
        <v>120413.0568</v>
      </c>
      <c r="Q1410" s="67">
        <f t="shared" si="2095"/>
        <v>5365.286843</v>
      </c>
    </row>
    <row r="1411">
      <c r="B1411" s="23" t="s">
        <v>5528</v>
      </c>
      <c r="C1411" s="33"/>
      <c r="D1411" s="145">
        <f t="shared" ref="D1411:O1411" si="2099">SUM(D1407,D1408)</f>
        <v>2384709.288</v>
      </c>
      <c r="E1411" s="145">
        <f t="shared" si="2099"/>
        <v>3322140.111</v>
      </c>
      <c r="F1411" s="145">
        <f t="shared" si="2099"/>
        <v>1823866.553</v>
      </c>
      <c r="G1411" s="145">
        <f t="shared" si="2099"/>
        <v>2167656.274</v>
      </c>
      <c r="H1411" s="145">
        <f t="shared" si="2099"/>
        <v>2432863.288</v>
      </c>
      <c r="I1411" s="173">
        <f t="shared" si="2099"/>
        <v>4032427.558</v>
      </c>
      <c r="J1411" s="145">
        <f t="shared" si="2099"/>
        <v>2437986.921</v>
      </c>
      <c r="K1411" s="183">
        <f t="shared" si="2099"/>
        <v>2725954.041</v>
      </c>
      <c r="L1411" s="145">
        <f t="shared" si="2099"/>
        <v>2459174.273</v>
      </c>
      <c r="M1411" s="145">
        <f t="shared" si="2099"/>
        <v>1878036.311</v>
      </c>
      <c r="N1411" s="145">
        <f t="shared" si="2099"/>
        <v>1644552.946</v>
      </c>
      <c r="O1411" s="145">
        <f t="shared" si="2099"/>
        <v>1372176.061</v>
      </c>
      <c r="P1411">
        <f t="shared" si="2094"/>
        <v>28681543.62</v>
      </c>
      <c r="Q1411" s="18">
        <f t="shared" si="2095"/>
        <v>939018.1553</v>
      </c>
    </row>
    <row r="1412">
      <c r="B1412" s="1" t="s">
        <v>5580</v>
      </c>
      <c r="C1412" s="33"/>
      <c r="D1412">
        <f t="shared" ref="D1412:O1412" si="2100">D1405+D1409</f>
        <v>2167917.535</v>
      </c>
      <c r="E1412">
        <f t="shared" si="2100"/>
        <v>3020127.374</v>
      </c>
      <c r="F1412">
        <f t="shared" si="2100"/>
        <v>1658060.502</v>
      </c>
      <c r="G1412">
        <f t="shared" si="2100"/>
        <v>1970596.612</v>
      </c>
      <c r="H1412">
        <f t="shared" si="2100"/>
        <v>2211693.899</v>
      </c>
      <c r="I1412">
        <f t="shared" si="2100"/>
        <v>3665843.235</v>
      </c>
      <c r="J1412" s="34">
        <f t="shared" si="2100"/>
        <v>2216351.746</v>
      </c>
      <c r="K1412">
        <f t="shared" si="2100"/>
        <v>2478140.037</v>
      </c>
      <c r="L1412">
        <f t="shared" si="2100"/>
        <v>2235612.976</v>
      </c>
      <c r="M1412">
        <f t="shared" si="2100"/>
        <v>1707305.737</v>
      </c>
      <c r="N1412">
        <f t="shared" si="2100"/>
        <v>1495048.133</v>
      </c>
      <c r="O1412">
        <f t="shared" si="2100"/>
        <v>1247432.783</v>
      </c>
      <c r="P1412">
        <f t="shared" si="2094"/>
        <v>26074130.57</v>
      </c>
      <c r="Q1412" s="18">
        <f t="shared" si="2095"/>
        <v>853652.8684</v>
      </c>
    </row>
    <row r="1413">
      <c r="B1413" s="1" t="s">
        <v>5582</v>
      </c>
      <c r="C1413" s="33"/>
      <c r="D1413">
        <f t="shared" ref="D1413:O1413" si="2101">D1406+D1410</f>
        <v>216791.7535</v>
      </c>
      <c r="E1413">
        <f t="shared" si="2101"/>
        <v>302012.7374</v>
      </c>
      <c r="F1413">
        <f t="shared" si="2101"/>
        <v>165806.0502</v>
      </c>
      <c r="G1413">
        <f t="shared" si="2101"/>
        <v>197059.6612</v>
      </c>
      <c r="H1413">
        <f t="shared" si="2101"/>
        <v>221169.3899</v>
      </c>
      <c r="I1413">
        <f t="shared" si="2101"/>
        <v>366584.3235</v>
      </c>
      <c r="J1413" s="34">
        <f t="shared" si="2101"/>
        <v>221635.1746</v>
      </c>
      <c r="K1413">
        <f t="shared" si="2101"/>
        <v>247814.0037</v>
      </c>
      <c r="L1413">
        <f t="shared" si="2101"/>
        <v>223561.2976</v>
      </c>
      <c r="M1413">
        <f t="shared" si="2101"/>
        <v>170730.5737</v>
      </c>
      <c r="N1413">
        <f t="shared" si="2101"/>
        <v>149504.8133</v>
      </c>
      <c r="O1413">
        <f t="shared" si="2101"/>
        <v>124743.2783</v>
      </c>
      <c r="P1413">
        <f t="shared" si="2094"/>
        <v>2607413.057</v>
      </c>
      <c r="Q1413" s="18">
        <f t="shared" si="2095"/>
        <v>85365.28684</v>
      </c>
    </row>
    <row r="1414">
      <c r="C1414" s="33"/>
      <c r="D1414" s="34"/>
      <c r="E1414" s="33"/>
      <c r="G1414" s="33"/>
      <c r="H1414" s="33"/>
      <c r="K1414" s="33"/>
      <c r="L1414" s="33"/>
      <c r="O1414" s="33"/>
    </row>
    <row r="1415">
      <c r="C1415" s="33"/>
      <c r="D1415" s="34"/>
      <c r="E1415" s="33"/>
      <c r="G1415" s="33"/>
      <c r="H1415" s="33"/>
      <c r="K1415" s="33"/>
      <c r="L1415" s="33"/>
      <c r="O1415" s="33"/>
    </row>
    <row r="1416">
      <c r="C1416" s="33"/>
      <c r="D1416" s="34"/>
      <c r="E1416" s="33"/>
      <c r="G1416" s="33"/>
      <c r="H1416" s="33"/>
      <c r="K1416" s="33" t="s">
        <v>5916</v>
      </c>
      <c r="L1416" s="33"/>
      <c r="O1416" s="33"/>
    </row>
    <row r="1417">
      <c r="B1417" s="39" t="s">
        <v>5917</v>
      </c>
      <c r="C1417" s="185"/>
      <c r="D1417" s="47">
        <v>2080000.0</v>
      </c>
      <c r="E1417" s="41">
        <v>2940000.0</v>
      </c>
      <c r="F1417" s="50">
        <v>1620000.0</v>
      </c>
      <c r="G1417" s="85">
        <v>1890000.0</v>
      </c>
      <c r="H1417" s="85">
        <v>2000000.0</v>
      </c>
      <c r="I1417" s="50">
        <v>3500000.0</v>
      </c>
      <c r="J1417" s="189">
        <v>2150000.0</v>
      </c>
      <c r="K1417" s="190">
        <v>0.0</v>
      </c>
      <c r="L1417" s="41">
        <v>2080000.0</v>
      </c>
      <c r="M1417" s="189">
        <v>1600000.0</v>
      </c>
      <c r="N1417" s="47">
        <v>1410000.0</v>
      </c>
      <c r="O1417" s="85">
        <v>1200000.0</v>
      </c>
      <c r="P1417" s="50">
        <f t="shared" ref="P1417:P1428" si="2103">SUM(D1417:O1417)</f>
        <v>22470000</v>
      </c>
      <c r="Q1417" s="67">
        <f t="shared" ref="Q1417:Q1428" si="2104">M1417*0.5</f>
        <v>800000</v>
      </c>
    </row>
    <row r="1418">
      <c r="B1418" s="40" t="s">
        <v>5499</v>
      </c>
      <c r="C1418" s="185"/>
      <c r="D1418" s="189">
        <f t="shared" ref="D1418:O1418" si="2102">D1417*0.1</f>
        <v>208000</v>
      </c>
      <c r="E1418" s="85">
        <f t="shared" si="2102"/>
        <v>294000</v>
      </c>
      <c r="F1418" s="50">
        <f t="shared" si="2102"/>
        <v>162000</v>
      </c>
      <c r="G1418" s="85">
        <f t="shared" si="2102"/>
        <v>189000</v>
      </c>
      <c r="H1418" s="85">
        <f t="shared" si="2102"/>
        <v>200000</v>
      </c>
      <c r="I1418" s="50">
        <f t="shared" si="2102"/>
        <v>350000</v>
      </c>
      <c r="J1418" s="189">
        <f t="shared" si="2102"/>
        <v>215000</v>
      </c>
      <c r="K1418" s="191">
        <f t="shared" si="2102"/>
        <v>0</v>
      </c>
      <c r="L1418" s="85">
        <f t="shared" si="2102"/>
        <v>208000</v>
      </c>
      <c r="M1418" s="189">
        <f t="shared" si="2102"/>
        <v>160000</v>
      </c>
      <c r="N1418" s="50">
        <f t="shared" si="2102"/>
        <v>141000</v>
      </c>
      <c r="O1418" s="85">
        <f t="shared" si="2102"/>
        <v>120000</v>
      </c>
      <c r="P1418" s="50">
        <f t="shared" si="2103"/>
        <v>2247000</v>
      </c>
      <c r="Q1418" s="67">
        <f t="shared" si="2104"/>
        <v>80000</v>
      </c>
    </row>
    <row r="1419">
      <c r="B1419" s="40" t="s">
        <v>5520</v>
      </c>
      <c r="C1419" s="185"/>
      <c r="D1419" s="189">
        <f t="shared" ref="D1419:O1419" si="2105">D1417+D1418</f>
        <v>2288000</v>
      </c>
      <c r="E1419" s="85">
        <f t="shared" si="2105"/>
        <v>3234000</v>
      </c>
      <c r="F1419" s="50">
        <f t="shared" si="2105"/>
        <v>1782000</v>
      </c>
      <c r="G1419" s="85">
        <f t="shared" si="2105"/>
        <v>2079000</v>
      </c>
      <c r="H1419" s="85">
        <f t="shared" si="2105"/>
        <v>2200000</v>
      </c>
      <c r="I1419" s="50">
        <f t="shared" si="2105"/>
        <v>3850000</v>
      </c>
      <c r="J1419" s="189">
        <f t="shared" si="2105"/>
        <v>2365000</v>
      </c>
      <c r="K1419" s="191">
        <f t="shared" si="2105"/>
        <v>0</v>
      </c>
      <c r="L1419" s="85">
        <f t="shared" si="2105"/>
        <v>2288000</v>
      </c>
      <c r="M1419" s="189">
        <f t="shared" si="2105"/>
        <v>1760000</v>
      </c>
      <c r="N1419" s="50">
        <f t="shared" si="2105"/>
        <v>1551000</v>
      </c>
      <c r="O1419" s="85">
        <f t="shared" si="2105"/>
        <v>1320000</v>
      </c>
      <c r="P1419" s="50">
        <f t="shared" si="2103"/>
        <v>24717000</v>
      </c>
      <c r="Q1419" s="67">
        <f t="shared" si="2104"/>
        <v>880000</v>
      </c>
    </row>
    <row r="1420">
      <c r="B1420" s="40" t="s">
        <v>5545</v>
      </c>
      <c r="C1420" s="185"/>
      <c r="D1420" s="189">
        <v>154568.67737649474</v>
      </c>
      <c r="E1420" s="189">
        <v>95823.64536779805</v>
      </c>
      <c r="F1420" s="50">
        <v>33058.040826186734</v>
      </c>
      <c r="G1420" s="189">
        <v>160921.32878366954</v>
      </c>
      <c r="H1420" s="189">
        <v>322190.9603816886</v>
      </c>
      <c r="I1420" s="50">
        <v>157124.12139147238</v>
      </c>
      <c r="J1420" s="50">
        <v>136797.89358618192</v>
      </c>
      <c r="K1420" s="191">
        <v>141407.56099571404</v>
      </c>
      <c r="L1420" s="189">
        <v>240296.95428390912</v>
      </c>
      <c r="M1420" s="50">
        <v>185491.4942625921</v>
      </c>
      <c r="N1420" s="50">
        <v>145955.8643555985</v>
      </c>
      <c r="O1420" s="189">
        <v>75595.84502959295</v>
      </c>
      <c r="P1420" s="50">
        <f t="shared" si="2103"/>
        <v>1849232.387</v>
      </c>
      <c r="Q1420" s="67">
        <f t="shared" si="2104"/>
        <v>92745.74713</v>
      </c>
    </row>
    <row r="1421">
      <c r="B1421" s="40"/>
      <c r="C1421" s="185"/>
      <c r="D1421" s="50">
        <f t="shared" ref="D1421:O1421" si="2106">D1420-D1422</f>
        <v>140516.9794</v>
      </c>
      <c r="E1421" s="85">
        <f t="shared" si="2106"/>
        <v>87112.40488</v>
      </c>
      <c r="F1421" s="50">
        <f t="shared" si="2106"/>
        <v>30052.76439</v>
      </c>
      <c r="G1421" s="85">
        <f t="shared" si="2106"/>
        <v>146292.1171</v>
      </c>
      <c r="H1421" s="85">
        <f t="shared" si="2106"/>
        <v>292900.8731</v>
      </c>
      <c r="I1421" s="50">
        <f t="shared" si="2106"/>
        <v>142840.1104</v>
      </c>
      <c r="J1421" s="189">
        <f t="shared" si="2106"/>
        <v>124361.7214</v>
      </c>
      <c r="K1421" s="191">
        <f t="shared" si="2106"/>
        <v>128552.3282</v>
      </c>
      <c r="L1421" s="85">
        <f t="shared" si="2106"/>
        <v>218451.7766</v>
      </c>
      <c r="M1421" s="50">
        <f t="shared" si="2106"/>
        <v>168628.6311</v>
      </c>
      <c r="N1421" s="50">
        <f t="shared" si="2106"/>
        <v>132687.1494</v>
      </c>
      <c r="O1421" s="85">
        <f t="shared" si="2106"/>
        <v>68723.49548</v>
      </c>
      <c r="P1421" s="50">
        <f t="shared" si="2103"/>
        <v>1681120.351</v>
      </c>
      <c r="Q1421" s="67">
        <f t="shared" si="2104"/>
        <v>84314.31557</v>
      </c>
    </row>
    <row r="1422">
      <c r="B1422" s="40" t="s">
        <v>5499</v>
      </c>
      <c r="C1422" s="185"/>
      <c r="D1422" s="50">
        <f t="shared" ref="D1422:O1422" si="2107">D1420/11</f>
        <v>14051.69794</v>
      </c>
      <c r="E1422" s="85">
        <f t="shared" si="2107"/>
        <v>8711.240488</v>
      </c>
      <c r="F1422" s="50">
        <f t="shared" si="2107"/>
        <v>3005.276439</v>
      </c>
      <c r="G1422" s="85">
        <f t="shared" si="2107"/>
        <v>14629.21171</v>
      </c>
      <c r="H1422" s="85">
        <f t="shared" si="2107"/>
        <v>29290.08731</v>
      </c>
      <c r="I1422" s="50">
        <f t="shared" si="2107"/>
        <v>14284.01104</v>
      </c>
      <c r="J1422" s="189">
        <f t="shared" si="2107"/>
        <v>12436.17214</v>
      </c>
      <c r="K1422" s="191">
        <f t="shared" si="2107"/>
        <v>12855.23282</v>
      </c>
      <c r="L1422" s="85">
        <f t="shared" si="2107"/>
        <v>21845.17766</v>
      </c>
      <c r="M1422" s="50">
        <f t="shared" si="2107"/>
        <v>16862.86311</v>
      </c>
      <c r="N1422" s="50">
        <f t="shared" si="2107"/>
        <v>13268.71494</v>
      </c>
      <c r="O1422" s="85">
        <f t="shared" si="2107"/>
        <v>6872.349548</v>
      </c>
      <c r="P1422" s="50">
        <f t="shared" si="2103"/>
        <v>168112.0351</v>
      </c>
      <c r="Q1422" s="67">
        <f t="shared" si="2104"/>
        <v>8431.431557</v>
      </c>
    </row>
    <row r="1423">
      <c r="B1423" s="1" t="s">
        <v>1975</v>
      </c>
      <c r="C1423" s="33"/>
      <c r="D1423" s="34">
        <v>47746.7797618511</v>
      </c>
      <c r="E1423" s="34">
        <v>19882.24880339646</v>
      </c>
      <c r="F1423">
        <v>19882.24880339646</v>
      </c>
      <c r="G1423" s="34">
        <v>18241.718421835423</v>
      </c>
      <c r="H1423" s="34">
        <v>26248.486104976604</v>
      </c>
      <c r="I1423">
        <v>33324.80372096377</v>
      </c>
      <c r="J1423">
        <v>26517.82691388961</v>
      </c>
      <c r="K1423" s="36">
        <v>18094.80525333742</v>
      </c>
      <c r="L1423" s="34">
        <v>24240.67280217056</v>
      </c>
      <c r="M1423">
        <v>12362.743129106986</v>
      </c>
      <c r="N1423">
        <v>14226.09181622333</v>
      </c>
      <c r="O1423" s="34">
        <v>10871.57446885225</v>
      </c>
      <c r="P1423">
        <f t="shared" si="2103"/>
        <v>271640</v>
      </c>
      <c r="Q1423" s="18">
        <f t="shared" si="2104"/>
        <v>6181.371565</v>
      </c>
    </row>
    <row r="1424">
      <c r="B1424" s="23" t="s">
        <v>5598</v>
      </c>
      <c r="C1424" s="33"/>
      <c r="D1424" s="18">
        <f t="shared" ref="D1424:O1424" si="2108">SUM(D1419,D1420,D1423)</f>
        <v>2490315.457</v>
      </c>
      <c r="E1424" s="18">
        <f t="shared" si="2108"/>
        <v>3349705.894</v>
      </c>
      <c r="F1424" s="18">
        <f t="shared" si="2108"/>
        <v>1834940.29</v>
      </c>
      <c r="G1424" s="18">
        <f t="shared" si="2108"/>
        <v>2258163.047</v>
      </c>
      <c r="H1424" s="18">
        <f t="shared" si="2108"/>
        <v>2548439.446</v>
      </c>
      <c r="I1424" s="18">
        <f t="shared" si="2108"/>
        <v>4040448.925</v>
      </c>
      <c r="J1424" s="18">
        <f t="shared" si="2108"/>
        <v>2528315.721</v>
      </c>
      <c r="K1424" s="192">
        <f t="shared" si="2108"/>
        <v>159502.3662</v>
      </c>
      <c r="L1424" s="18">
        <f t="shared" si="2108"/>
        <v>2552537.627</v>
      </c>
      <c r="M1424" s="18">
        <f t="shared" si="2108"/>
        <v>1957854.237</v>
      </c>
      <c r="N1424" s="18">
        <f t="shared" si="2108"/>
        <v>1711181.956</v>
      </c>
      <c r="O1424" s="18">
        <f t="shared" si="2108"/>
        <v>1406467.419</v>
      </c>
      <c r="P1424">
        <f t="shared" si="2103"/>
        <v>26837872.39</v>
      </c>
      <c r="Q1424" s="18">
        <f t="shared" si="2104"/>
        <v>978927.1187</v>
      </c>
    </row>
    <row r="1425">
      <c r="B1425" s="1" t="s">
        <v>5599</v>
      </c>
      <c r="C1425" s="33"/>
      <c r="D1425">
        <f t="shared" ref="D1425:O1425" si="2109">SUM(D1417,D1421,D1423)</f>
        <v>2268263.759</v>
      </c>
      <c r="E1425">
        <f t="shared" si="2109"/>
        <v>3046994.654</v>
      </c>
      <c r="F1425">
        <f t="shared" si="2109"/>
        <v>1669935.013</v>
      </c>
      <c r="G1425">
        <f t="shared" si="2109"/>
        <v>2054533.835</v>
      </c>
      <c r="H1425">
        <f t="shared" si="2109"/>
        <v>2319149.359</v>
      </c>
      <c r="I1425">
        <f t="shared" si="2109"/>
        <v>3676164.914</v>
      </c>
      <c r="J1425">
        <f t="shared" si="2109"/>
        <v>2300879.548</v>
      </c>
      <c r="K1425" s="36">
        <f t="shared" si="2109"/>
        <v>146647.1334</v>
      </c>
      <c r="L1425">
        <f t="shared" si="2109"/>
        <v>2322692.449</v>
      </c>
      <c r="M1425">
        <f t="shared" si="2109"/>
        <v>1780991.374</v>
      </c>
      <c r="N1425">
        <f t="shared" si="2109"/>
        <v>1556913.241</v>
      </c>
      <c r="O1425">
        <f t="shared" si="2109"/>
        <v>1279595.07</v>
      </c>
      <c r="P1425">
        <f t="shared" si="2103"/>
        <v>24422760.35</v>
      </c>
      <c r="Q1425" s="18">
        <f t="shared" si="2104"/>
        <v>890495.6871</v>
      </c>
    </row>
    <row r="1426">
      <c r="B1426" s="1" t="s">
        <v>5601</v>
      </c>
      <c r="C1426" s="33"/>
      <c r="D1426">
        <f t="shared" ref="D1426:O1426" si="2110">SUM(D1417,D1421)</f>
        <v>2220516.979</v>
      </c>
      <c r="E1426">
        <f t="shared" si="2110"/>
        <v>3027112.405</v>
      </c>
      <c r="F1426">
        <f t="shared" si="2110"/>
        <v>1650052.764</v>
      </c>
      <c r="G1426">
        <f t="shared" si="2110"/>
        <v>2036292.117</v>
      </c>
      <c r="H1426">
        <f t="shared" si="2110"/>
        <v>2292900.873</v>
      </c>
      <c r="I1426">
        <f t="shared" si="2110"/>
        <v>3642840.11</v>
      </c>
      <c r="J1426">
        <f t="shared" si="2110"/>
        <v>2274361.721</v>
      </c>
      <c r="K1426" s="36">
        <f t="shared" si="2110"/>
        <v>128552.3282</v>
      </c>
      <c r="L1426">
        <f t="shared" si="2110"/>
        <v>2298451.777</v>
      </c>
      <c r="M1426">
        <f t="shared" si="2110"/>
        <v>1768628.631</v>
      </c>
      <c r="N1426">
        <f t="shared" si="2110"/>
        <v>1542687.149</v>
      </c>
      <c r="O1426">
        <f t="shared" si="2110"/>
        <v>1268723.495</v>
      </c>
      <c r="P1426">
        <f t="shared" si="2103"/>
        <v>24151120.35</v>
      </c>
      <c r="Q1426" s="18">
        <f t="shared" si="2104"/>
        <v>884314.3156</v>
      </c>
    </row>
    <row r="1427">
      <c r="B1427" s="1" t="s">
        <v>5582</v>
      </c>
      <c r="C1427" s="33"/>
      <c r="D1427">
        <f t="shared" ref="D1427:O1427" si="2111">SUM(D1418,D1422)</f>
        <v>222051.6979</v>
      </c>
      <c r="E1427">
        <f t="shared" si="2111"/>
        <v>302711.2405</v>
      </c>
      <c r="F1427">
        <f t="shared" si="2111"/>
        <v>165005.2764</v>
      </c>
      <c r="G1427" s="34">
        <f t="shared" si="2111"/>
        <v>203629.2117</v>
      </c>
      <c r="H1427">
        <f t="shared" si="2111"/>
        <v>229290.0873</v>
      </c>
      <c r="I1427">
        <f t="shared" si="2111"/>
        <v>364284.011</v>
      </c>
      <c r="J1427">
        <f t="shared" si="2111"/>
        <v>227436.1721</v>
      </c>
      <c r="K1427" s="36">
        <f t="shared" si="2111"/>
        <v>12855.23282</v>
      </c>
      <c r="L1427">
        <f t="shared" si="2111"/>
        <v>229845.1777</v>
      </c>
      <c r="M1427">
        <f t="shared" si="2111"/>
        <v>176862.8631</v>
      </c>
      <c r="N1427">
        <f t="shared" si="2111"/>
        <v>154268.7149</v>
      </c>
      <c r="O1427">
        <f t="shared" si="2111"/>
        <v>126872.3495</v>
      </c>
      <c r="P1427">
        <f t="shared" si="2103"/>
        <v>2415112.035</v>
      </c>
      <c r="Q1427" s="18">
        <f t="shared" si="2104"/>
        <v>88431.43156</v>
      </c>
    </row>
    <row r="1428">
      <c r="B1428" s="1" t="s">
        <v>5602</v>
      </c>
      <c r="C1428" s="33"/>
      <c r="D1428">
        <f t="shared" ref="D1428:O1428" si="2112">SUM(D1426:D1427)</f>
        <v>2442568.677</v>
      </c>
      <c r="E1428">
        <f t="shared" si="2112"/>
        <v>3329823.645</v>
      </c>
      <c r="F1428">
        <f t="shared" si="2112"/>
        <v>1815058.041</v>
      </c>
      <c r="G1428">
        <f t="shared" si="2112"/>
        <v>2239921.329</v>
      </c>
      <c r="H1428">
        <f t="shared" si="2112"/>
        <v>2522190.96</v>
      </c>
      <c r="I1428">
        <f t="shared" si="2112"/>
        <v>4007124.121</v>
      </c>
      <c r="J1428">
        <f t="shared" si="2112"/>
        <v>2501797.894</v>
      </c>
      <c r="K1428" s="36">
        <f t="shared" si="2112"/>
        <v>141407.561</v>
      </c>
      <c r="L1428">
        <f t="shared" si="2112"/>
        <v>2528296.954</v>
      </c>
      <c r="M1428">
        <f t="shared" si="2112"/>
        <v>1945491.494</v>
      </c>
      <c r="N1428">
        <f t="shared" si="2112"/>
        <v>1696955.864</v>
      </c>
      <c r="O1428">
        <f t="shared" si="2112"/>
        <v>1395595.845</v>
      </c>
      <c r="P1428">
        <f t="shared" si="2103"/>
        <v>26566232.39</v>
      </c>
      <c r="Q1428" s="18">
        <f t="shared" si="2104"/>
        <v>972745.7471</v>
      </c>
    </row>
    <row r="1429">
      <c r="C1429" s="33"/>
      <c r="D1429" s="34"/>
      <c r="E1429" s="33"/>
      <c r="G1429" s="33"/>
      <c r="H1429" s="33"/>
      <c r="K1429" s="33"/>
      <c r="L1429" s="33"/>
      <c r="O1429" s="33"/>
    </row>
    <row r="1430">
      <c r="C1430" s="33"/>
      <c r="D1430" s="34"/>
      <c r="E1430" s="33"/>
      <c r="G1430" s="33"/>
      <c r="H1430" s="33"/>
      <c r="K1430" s="33"/>
      <c r="L1430" s="33"/>
      <c r="O1430" s="33"/>
    </row>
    <row r="1431">
      <c r="C1431" s="33"/>
      <c r="D1431" s="34"/>
      <c r="E1431" s="33"/>
      <c r="G1431" s="33"/>
      <c r="H1431" s="33"/>
      <c r="K1431" s="33"/>
      <c r="L1431" s="33"/>
      <c r="O1431" s="33"/>
    </row>
    <row r="1432">
      <c r="C1432" s="33"/>
      <c r="D1432" s="34"/>
      <c r="E1432" s="33"/>
      <c r="G1432" s="33"/>
      <c r="H1432" s="33"/>
      <c r="K1432" s="33"/>
      <c r="L1432" s="33"/>
      <c r="O1432" s="33"/>
    </row>
    <row r="1433">
      <c r="C1433" s="33"/>
      <c r="D1433" s="34"/>
      <c r="E1433" s="33"/>
      <c r="G1433" s="33"/>
      <c r="H1433" s="33"/>
      <c r="K1433" s="33"/>
      <c r="L1433" s="33"/>
      <c r="O1433" s="33"/>
    </row>
    <row r="1434">
      <c r="C1434" s="33"/>
      <c r="D1434" s="34"/>
      <c r="E1434" s="33"/>
      <c r="G1434" s="33"/>
      <c r="H1434" s="33"/>
      <c r="K1434" s="33"/>
      <c r="L1434" s="33"/>
      <c r="O1434" s="33"/>
    </row>
    <row r="1435">
      <c r="C1435" s="33"/>
      <c r="D1435" s="34"/>
      <c r="E1435" s="33"/>
      <c r="G1435" s="33"/>
      <c r="H1435" s="33"/>
      <c r="K1435" s="33"/>
      <c r="L1435" s="33"/>
      <c r="O1435" s="33"/>
    </row>
    <row r="1436">
      <c r="C1436" s="33"/>
      <c r="D1436" s="34"/>
      <c r="E1436" s="33"/>
      <c r="G1436" s="33"/>
      <c r="H1436" s="33"/>
      <c r="K1436" s="33"/>
      <c r="L1436" s="33"/>
      <c r="O1436" s="33"/>
    </row>
    <row r="1437">
      <c r="C1437" s="33"/>
      <c r="D1437" s="34"/>
      <c r="E1437" s="33"/>
      <c r="G1437" s="33"/>
      <c r="H1437" s="33"/>
      <c r="K1437" s="33"/>
      <c r="L1437" s="33"/>
      <c r="O1437" s="33"/>
    </row>
    <row r="1438">
      <c r="C1438" s="33"/>
      <c r="D1438" s="34"/>
      <c r="E1438" s="33"/>
      <c r="G1438" s="33"/>
      <c r="H1438" s="33"/>
      <c r="K1438" s="33"/>
      <c r="L1438" s="33"/>
      <c r="O1438" s="33"/>
    </row>
    <row r="1439">
      <c r="C1439" s="33"/>
      <c r="D1439" s="34"/>
      <c r="E1439" s="33"/>
      <c r="G1439" s="33"/>
      <c r="H1439" s="33"/>
      <c r="K1439" s="33"/>
      <c r="L1439" s="33"/>
      <c r="O1439" s="33"/>
    </row>
    <row r="1440">
      <c r="C1440" s="33"/>
      <c r="D1440" s="34"/>
      <c r="E1440" s="33"/>
      <c r="G1440" s="33"/>
      <c r="H1440" s="33"/>
      <c r="K1440" s="33"/>
      <c r="L1440" s="33"/>
      <c r="O1440" s="33"/>
    </row>
    <row r="1441">
      <c r="C1441" s="33"/>
      <c r="D1441" s="34"/>
      <c r="E1441" s="33"/>
      <c r="G1441" s="33"/>
      <c r="H1441" s="33"/>
      <c r="K1441" s="56" t="s">
        <v>5918</v>
      </c>
      <c r="L1441" s="33"/>
      <c r="O1441" s="33"/>
    </row>
    <row r="1442">
      <c r="C1442" s="33"/>
      <c r="D1442" s="34"/>
      <c r="E1442" s="33"/>
      <c r="G1442" s="33"/>
      <c r="H1442" s="33"/>
      <c r="K1442" s="32">
        <f>SUM(K1411,K1397,K1384,K1370,K1357,K1343,K1316,K1303,K1289,K1276,K1262,K1249,K1195,K1184)  - 2900000 - 2400000 -2400000 - 2000000</f>
        <v>26581816.38</v>
      </c>
      <c r="L1442" s="33"/>
      <c r="O1442" s="33"/>
    </row>
    <row r="1443">
      <c r="C1443" s="33"/>
      <c r="D1443" s="34"/>
      <c r="E1443" s="33"/>
      <c r="G1443" s="33"/>
      <c r="H1443" s="33"/>
      <c r="L1443" s="33"/>
      <c r="O1443" s="33"/>
    </row>
    <row r="1444">
      <c r="C1444" s="23" t="s">
        <v>5463</v>
      </c>
      <c r="D1444" s="23" t="s">
        <v>5464</v>
      </c>
      <c r="E1444" s="23">
        <v>101.0</v>
      </c>
      <c r="F1444" s="23">
        <v>102.0</v>
      </c>
      <c r="G1444" s="23">
        <v>201.0</v>
      </c>
      <c r="H1444" s="23">
        <v>202.0</v>
      </c>
      <c r="I1444" s="23">
        <v>301.0</v>
      </c>
      <c r="J1444" s="23">
        <v>302.0</v>
      </c>
      <c r="K1444" s="23">
        <v>401.0</v>
      </c>
      <c r="L1444" s="23">
        <v>402.0</v>
      </c>
      <c r="M1444" s="23">
        <v>501.0</v>
      </c>
      <c r="N1444" s="23">
        <v>502.0</v>
      </c>
      <c r="O1444" s="23">
        <v>503.0</v>
      </c>
    </row>
    <row r="1445">
      <c r="D1445" s="1" t="s">
        <v>5919</v>
      </c>
      <c r="E1445" s="1" t="s">
        <v>5585</v>
      </c>
      <c r="F1445" s="1" t="s">
        <v>5478</v>
      </c>
      <c r="G1445" s="1" t="s">
        <v>5666</v>
      </c>
      <c r="H1445" s="1" t="s">
        <v>5920</v>
      </c>
      <c r="I1445" s="1" t="s">
        <v>5481</v>
      </c>
      <c r="J1445" s="1" t="s">
        <v>5487</v>
      </c>
      <c r="K1445" s="1" t="s">
        <v>5921</v>
      </c>
      <c r="L1445" s="1" t="s">
        <v>5921</v>
      </c>
      <c r="M1445" s="1" t="s">
        <v>5589</v>
      </c>
      <c r="N1445" s="1" t="s">
        <v>5921</v>
      </c>
      <c r="O1445" s="1" t="s">
        <v>5922</v>
      </c>
    </row>
    <row r="1446">
      <c r="E1446" s="5" t="s">
        <v>5923</v>
      </c>
      <c r="K1446" s="155" t="s">
        <v>5668</v>
      </c>
      <c r="M1446" s="1" t="s">
        <v>5802</v>
      </c>
      <c r="N1446">
        <f>15000000-N1443</f>
        <v>15000000</v>
      </c>
    </row>
    <row r="1447">
      <c r="D1447" s="2" t="s">
        <v>5924</v>
      </c>
      <c r="E1447" s="5">
        <v>808571.4285714285</v>
      </c>
      <c r="F1447" s="23" t="s">
        <v>5925</v>
      </c>
      <c r="G1447" s="23" t="s">
        <v>5926</v>
      </c>
      <c r="H1447" s="18"/>
      <c r="I1447" s="18"/>
      <c r="J1447" s="18"/>
      <c r="K1447" s="18"/>
      <c r="M1447" s="1" t="s">
        <v>5927</v>
      </c>
      <c r="N1447" s="1" t="s">
        <v>5928</v>
      </c>
    </row>
    <row r="1448">
      <c r="B1448" s="1" t="s">
        <v>5929</v>
      </c>
      <c r="C1448" s="1" t="s">
        <v>5930</v>
      </c>
      <c r="D1448" s="2">
        <v>744536.1</v>
      </c>
      <c r="E1448" s="5">
        <v>80857.14285714286</v>
      </c>
      <c r="F1448" s="23" t="s">
        <v>3729</v>
      </c>
      <c r="G1448" s="23">
        <v>2116268.0</v>
      </c>
      <c r="H1448" s="18"/>
      <c r="I1448" s="18"/>
      <c r="J1448" s="18"/>
      <c r="K1448" s="18"/>
      <c r="N1448" s="1" t="s">
        <v>5590</v>
      </c>
    </row>
    <row r="1449">
      <c r="B1449" s="1" t="s">
        <v>5931</v>
      </c>
      <c r="C1449" s="1" t="s">
        <v>5932</v>
      </c>
      <c r="D1449" s="2">
        <v>1934268.5219621675</v>
      </c>
      <c r="E1449" s="44">
        <v>889428.5714285714</v>
      </c>
      <c r="F1449" s="23" t="s">
        <v>3731</v>
      </c>
      <c r="G1449" s="23">
        <v>2087022.0</v>
      </c>
      <c r="H1449" s="18"/>
      <c r="I1449" s="18"/>
      <c r="J1449" s="18"/>
      <c r="K1449" s="18"/>
      <c r="N1449" s="1" t="s">
        <v>5933</v>
      </c>
    </row>
    <row r="1450">
      <c r="B1450" s="1" t="s">
        <v>5934</v>
      </c>
      <c r="C1450" s="1" t="s">
        <v>5935</v>
      </c>
      <c r="D1450" s="2">
        <v>1994574.0533882028</v>
      </c>
      <c r="E1450" s="44">
        <v>60798.43335457233</v>
      </c>
      <c r="F1450" s="23" t="s">
        <v>3732</v>
      </c>
      <c r="G1450" s="23">
        <v>2052845.0</v>
      </c>
      <c r="H1450" s="18"/>
      <c r="I1450" s="18"/>
      <c r="J1450" s="18"/>
      <c r="K1450" s="18"/>
    </row>
    <row r="1451">
      <c r="B1451" s="1" t="s">
        <v>5936</v>
      </c>
      <c r="C1451" s="1" t="s">
        <v>5937</v>
      </c>
      <c r="D1451" s="2">
        <v>1937033.605361719</v>
      </c>
      <c r="E1451" s="44">
        <v>55271.303049611204</v>
      </c>
      <c r="F1451" s="23" t="s">
        <v>3733</v>
      </c>
      <c r="G1451" s="23">
        <v>2025110.0</v>
      </c>
      <c r="H1451" s="23" t="s">
        <v>5938</v>
      </c>
      <c r="I1451" s="23" t="s">
        <v>4228</v>
      </c>
      <c r="J1451" s="23" t="s">
        <v>5515</v>
      </c>
      <c r="K1451" s="23" t="s">
        <v>5519</v>
      </c>
    </row>
    <row r="1452">
      <c r="B1452" s="1" t="s">
        <v>5939</v>
      </c>
      <c r="C1452" s="1" t="s">
        <v>5940</v>
      </c>
      <c r="D1452" s="2">
        <v>1968934.05329449</v>
      </c>
      <c r="E1452" s="44">
        <v>5527.130304961121</v>
      </c>
      <c r="F1452" s="23" t="s">
        <v>3735</v>
      </c>
      <c r="G1452" s="18">
        <f>SUM(H1452:K1452)</f>
        <v>1494816</v>
      </c>
      <c r="H1452" s="18">
        <f>G95*22/30</f>
        <v>1320000</v>
      </c>
      <c r="I1452" s="23">
        <v>132000.0</v>
      </c>
      <c r="J1452" s="23">
        <v>36248.0</v>
      </c>
      <c r="K1452" s="23">
        <v>6568.0</v>
      </c>
    </row>
    <row r="1453">
      <c r="B1453" s="1" t="s">
        <v>5941</v>
      </c>
      <c r="C1453" s="1" t="s">
        <v>5942</v>
      </c>
      <c r="D1453" s="2">
        <v>1911856.8890643506</v>
      </c>
      <c r="E1453" s="44">
        <v>2441.433305614125</v>
      </c>
      <c r="F1453" s="18"/>
      <c r="G1453" s="18">
        <f>SUM(G1448:G1452)</f>
        <v>9776061</v>
      </c>
      <c r="H1453" s="18"/>
      <c r="I1453" s="18"/>
      <c r="J1453" s="18"/>
      <c r="K1453" s="18"/>
    </row>
    <row r="1454">
      <c r="B1454" s="1" t="s">
        <v>5943</v>
      </c>
      <c r="C1454" s="1" t="s">
        <v>5944</v>
      </c>
      <c r="D1454" s="2">
        <v>1968852.3367894248</v>
      </c>
      <c r="E1454" s="63">
        <v>952668.4380887578</v>
      </c>
      <c r="K1454" s="155" t="s">
        <v>5945</v>
      </c>
      <c r="M1454" s="3"/>
      <c r="N1454" s="3" t="s">
        <v>5946</v>
      </c>
    </row>
    <row r="1455">
      <c r="B1455" s="1" t="s">
        <v>5947</v>
      </c>
      <c r="C1455" s="1" t="s">
        <v>5948</v>
      </c>
      <c r="D1455" s="2">
        <v>1933683.42927316</v>
      </c>
      <c r="E1455" s="44">
        <v>866284.1649266538</v>
      </c>
      <c r="M1455" s="3"/>
      <c r="N1455" s="3" t="s">
        <v>5949</v>
      </c>
    </row>
    <row r="1456">
      <c r="B1456" s="1" t="s">
        <v>5950</v>
      </c>
      <c r="C1456" s="1" t="s">
        <v>5951</v>
      </c>
      <c r="D1456" s="2">
        <v>1848000.0</v>
      </c>
      <c r="E1456" s="44">
        <v>863842.7316210397</v>
      </c>
      <c r="F1456" s="1" t="s">
        <v>4345</v>
      </c>
      <c r="G1456" s="1" t="s">
        <v>5952</v>
      </c>
      <c r="K1456" s="1" t="s">
        <v>5953</v>
      </c>
      <c r="M1456" s="3" t="s">
        <v>5954</v>
      </c>
      <c r="N1456" s="3">
        <v>1474000.0</v>
      </c>
    </row>
    <row r="1457">
      <c r="B1457" s="1" t="s">
        <v>5955</v>
      </c>
      <c r="C1457" s="1" t="s">
        <v>5956</v>
      </c>
      <c r="D1457" s="2">
        <v>1848000.0</v>
      </c>
      <c r="E1457" s="44">
        <v>86384.27316210397</v>
      </c>
      <c r="F1457" s="23" t="s">
        <v>5957</v>
      </c>
      <c r="G1457" s="18">
        <v>121731.9589596755</v>
      </c>
      <c r="K1457" s="1" t="s">
        <v>5958</v>
      </c>
      <c r="M1457" s="3" t="s">
        <v>5959</v>
      </c>
      <c r="N1457">
        <v>95096.7741935484</v>
      </c>
    </row>
    <row r="1458">
      <c r="B1458" s="1" t="s">
        <v>5960</v>
      </c>
      <c r="C1458" s="1" t="s">
        <v>5961</v>
      </c>
      <c r="D1458" s="2">
        <v>1848000.0</v>
      </c>
      <c r="E1458" s="44">
        <v>950227.0047831436</v>
      </c>
      <c r="F1458" s="23" t="s">
        <v>5962</v>
      </c>
      <c r="G1458" s="18">
        <v>7199.4251079070655</v>
      </c>
      <c r="K1458" s="1">
        <v>1456666.6666666667</v>
      </c>
      <c r="N1458">
        <v>9145316.774838664</v>
      </c>
    </row>
    <row r="1459">
      <c r="B1459" s="1" t="s">
        <v>2082</v>
      </c>
      <c r="C1459" s="1" t="s">
        <v>5963</v>
      </c>
      <c r="D1459" s="2">
        <v>1848000.0</v>
      </c>
      <c r="F1459" s="23" t="s">
        <v>5723</v>
      </c>
      <c r="G1459" s="21">
        <v>1185000.0</v>
      </c>
      <c r="K1459" s="1">
        <v>145666.6666666667</v>
      </c>
    </row>
    <row r="1460">
      <c r="B1460" s="1" t="s">
        <v>5964</v>
      </c>
      <c r="C1460" s="1" t="s">
        <v>5965</v>
      </c>
      <c r="D1460" s="2">
        <v>1815733.7</v>
      </c>
      <c r="F1460" s="23" t="s">
        <v>5499</v>
      </c>
      <c r="G1460" s="21">
        <v>118500.0</v>
      </c>
      <c r="K1460">
        <v>1602333.3333333335</v>
      </c>
    </row>
    <row r="1461">
      <c r="B1461" s="1" t="s">
        <v>3738</v>
      </c>
      <c r="C1461" s="1" t="s">
        <v>5966</v>
      </c>
      <c r="D1461" s="2">
        <v>1760000.0</v>
      </c>
      <c r="F1461" s="23" t="s">
        <v>5520</v>
      </c>
      <c r="G1461" s="18">
        <v>1303500.0</v>
      </c>
      <c r="K1461">
        <v>60473.16386319995</v>
      </c>
    </row>
    <row r="1462">
      <c r="B1462" s="1" t="s">
        <v>3737</v>
      </c>
      <c r="C1462" s="1" t="s">
        <v>5967</v>
      </c>
      <c r="D1462" s="2">
        <v>1760000.0</v>
      </c>
      <c r="F1462" s="23" t="s">
        <v>5725</v>
      </c>
      <c r="G1462" s="18">
        <v>128931.38406758256</v>
      </c>
      <c r="K1462">
        <v>54975.60351199996</v>
      </c>
    </row>
    <row r="1463">
      <c r="D1463" s="71">
        <v>2.7121472689133514E7</v>
      </c>
      <c r="F1463" s="18"/>
      <c r="G1463" s="18">
        <v>117210.34915234779</v>
      </c>
      <c r="K1463">
        <v>5497.560351199995</v>
      </c>
      <c r="M1463" s="15" t="s">
        <v>4819</v>
      </c>
      <c r="N1463" s="193" t="s">
        <v>5968</v>
      </c>
    </row>
    <row r="1464">
      <c r="F1464" s="23" t="s">
        <v>5499</v>
      </c>
      <c r="G1464" s="18">
        <v>11721.034915234779</v>
      </c>
      <c r="K1464">
        <v>16281.061484239088</v>
      </c>
      <c r="M1464" s="73"/>
      <c r="N1464" s="72"/>
    </row>
    <row r="1465">
      <c r="E1465" s="1" t="s">
        <v>5585</v>
      </c>
      <c r="F1465" s="23" t="s">
        <v>5528</v>
      </c>
      <c r="G1465" s="18">
        <v>1432431.3840675827</v>
      </c>
      <c r="K1465">
        <v>1679087.5586807725</v>
      </c>
      <c r="M1465" s="17" t="s">
        <v>5863</v>
      </c>
      <c r="N1465" s="194">
        <v>609677.4193548387</v>
      </c>
    </row>
    <row r="1466">
      <c r="D1466" s="23" t="s">
        <v>5969</v>
      </c>
      <c r="E1466" s="74" t="s">
        <v>5970</v>
      </c>
      <c r="F1466" s="23" t="s">
        <v>5580</v>
      </c>
      <c r="G1466" s="18">
        <v>1302210.3491523478</v>
      </c>
      <c r="K1466">
        <v>1527923.3316629059</v>
      </c>
      <c r="M1466" s="17" t="s">
        <v>5499</v>
      </c>
      <c r="N1466" s="194">
        <v>60967.74193548387</v>
      </c>
    </row>
    <row r="1467">
      <c r="D1467" s="18">
        <v>616000.0</v>
      </c>
      <c r="E1467" s="195">
        <v>696774.1935483871</v>
      </c>
      <c r="F1467" s="23" t="s">
        <v>5582</v>
      </c>
      <c r="G1467" s="18">
        <v>130221.03491523478</v>
      </c>
      <c r="K1467">
        <v>1511642.2701786668</v>
      </c>
      <c r="M1467" s="17" t="s">
        <v>5520</v>
      </c>
      <c r="N1467" s="72">
        <v>670645.1612903225</v>
      </c>
    </row>
    <row r="1468">
      <c r="D1468" s="21">
        <v>61600.0</v>
      </c>
      <c r="E1468" s="195">
        <v>69677.41935483871</v>
      </c>
      <c r="K1468">
        <v>151164.22701786668</v>
      </c>
      <c r="M1468" s="17" t="s">
        <v>5545</v>
      </c>
      <c r="N1468" s="196">
        <v>52728.79868089021</v>
      </c>
    </row>
    <row r="1469">
      <c r="D1469" s="18">
        <v>677600.0</v>
      </c>
      <c r="E1469" s="71">
        <v>766451.6129032258</v>
      </c>
      <c r="K1469">
        <v>1662806.4971965335</v>
      </c>
      <c r="M1469" s="73"/>
      <c r="N1469" s="72">
        <v>47935.27152808201</v>
      </c>
    </row>
    <row r="1470">
      <c r="D1470" s="18">
        <v>31631.6</v>
      </c>
      <c r="E1470" s="197">
        <v>41002.32258064516</v>
      </c>
      <c r="M1470" s="17" t="s">
        <v>5499</v>
      </c>
      <c r="N1470" s="72">
        <v>4793.527152808201</v>
      </c>
    </row>
    <row r="1471">
      <c r="D1471" s="18">
        <v>28756.0</v>
      </c>
      <c r="E1471" s="71">
        <v>37274.83870967742</v>
      </c>
      <c r="M1471" s="17" t="s">
        <v>5971</v>
      </c>
      <c r="N1471" s="196">
        <v>5815.2894834098015</v>
      </c>
    </row>
    <row r="1472">
      <c r="D1472" s="18">
        <v>2875.6</v>
      </c>
      <c r="E1472" s="71">
        <v>3727.483870967742</v>
      </c>
      <c r="M1472" s="23" t="s">
        <v>5598</v>
      </c>
      <c r="N1472" s="72">
        <v>729189.2494546226</v>
      </c>
    </row>
    <row r="1473">
      <c r="D1473" s="18">
        <v>35304.5</v>
      </c>
      <c r="E1473" s="195">
        <v>2773.2903225806454</v>
      </c>
      <c r="M1473" s="17" t="s">
        <v>5599</v>
      </c>
      <c r="N1473" s="72">
        <v>663427.9803663305</v>
      </c>
    </row>
    <row r="1474">
      <c r="D1474" s="18">
        <v>744536.1</v>
      </c>
      <c r="E1474" s="198">
        <v>810227.2258064516</v>
      </c>
      <c r="M1474" s="17" t="s">
        <v>5601</v>
      </c>
      <c r="N1474" s="72">
        <v>657612.6908829206</v>
      </c>
    </row>
    <row r="1475">
      <c r="D1475" s="18">
        <v>680060.5</v>
      </c>
      <c r="E1475" s="71">
        <v>736822.3225806452</v>
      </c>
      <c r="M1475" s="17" t="s">
        <v>5582</v>
      </c>
      <c r="N1475" s="72">
        <v>65761.26908829207</v>
      </c>
    </row>
    <row r="1476">
      <c r="D1476" s="18">
        <v>644756.0</v>
      </c>
      <c r="E1476" s="71">
        <v>734049.0322580646</v>
      </c>
      <c r="M1476" s="199" t="s">
        <v>5602</v>
      </c>
      <c r="N1476" s="20">
        <v>723373.9599712127</v>
      </c>
    </row>
    <row r="1477">
      <c r="D1477" s="18">
        <v>64475.6</v>
      </c>
      <c r="E1477" s="71">
        <v>73404.90322580645</v>
      </c>
    </row>
    <row r="1478">
      <c r="D1478" s="18">
        <v>709231.6</v>
      </c>
      <c r="E1478" s="71">
        <v>807453.935483871</v>
      </c>
      <c r="J1478" s="18"/>
      <c r="K1478" s="23" t="s">
        <v>5972</v>
      </c>
      <c r="L1478" s="23" t="s">
        <v>5973</v>
      </c>
    </row>
    <row r="1479">
      <c r="E1479" s="1" t="s">
        <v>5923</v>
      </c>
      <c r="J1479" s="18"/>
      <c r="K1479" s="18"/>
      <c r="L1479" s="18"/>
    </row>
    <row r="1480">
      <c r="E1480" s="142">
        <v>808571.4285714285</v>
      </c>
      <c r="J1480" s="23" t="s">
        <v>5974</v>
      </c>
      <c r="K1480" s="18">
        <v>257863.95784566578</v>
      </c>
      <c r="L1480" s="18"/>
    </row>
    <row r="1481">
      <c r="E1481" s="142">
        <v>80857.14285714286</v>
      </c>
      <c r="J1481" s="23" t="s">
        <v>5813</v>
      </c>
      <c r="K1481" s="18">
        <v>2800772.75305352</v>
      </c>
      <c r="L1481" s="18"/>
    </row>
    <row r="1482">
      <c r="E1482" s="18">
        <v>889428.5714285714</v>
      </c>
      <c r="J1482" s="23" t="s">
        <v>5821</v>
      </c>
      <c r="K1482" s="18">
        <v>2761762.838681107</v>
      </c>
      <c r="L1482" s="18"/>
    </row>
    <row r="1483">
      <c r="E1483" s="192">
        <v>60798.43335457233</v>
      </c>
      <c r="J1483" s="23" t="s">
        <v>5825</v>
      </c>
      <c r="K1483" s="18">
        <v>2855649.8147826036</v>
      </c>
      <c r="L1483" s="18"/>
    </row>
    <row r="1484">
      <c r="E1484" s="18">
        <v>55271.303049611204</v>
      </c>
      <c r="J1484" s="23" t="s">
        <v>5826</v>
      </c>
      <c r="K1484" s="18">
        <v>2846721.3188588307</v>
      </c>
      <c r="L1484" s="18"/>
    </row>
    <row r="1485">
      <c r="E1485" s="18">
        <v>5527.130304961121</v>
      </c>
      <c r="J1485" s="23" t="s">
        <v>5828</v>
      </c>
      <c r="K1485" s="18">
        <v>2859029.069247927</v>
      </c>
      <c r="L1485" s="18"/>
    </row>
    <row r="1486">
      <c r="E1486" s="192">
        <v>2441.433305614125</v>
      </c>
      <c r="J1486" s="23" t="s">
        <v>5830</v>
      </c>
      <c r="K1486" s="18">
        <v>2765128.1019566925</v>
      </c>
      <c r="L1486" s="18"/>
    </row>
    <row r="1487">
      <c r="E1487" s="71">
        <v>952668.4380887578</v>
      </c>
      <c r="J1487" s="23" t="s">
        <v>5831</v>
      </c>
      <c r="K1487" s="18">
        <v>2761926.906958704</v>
      </c>
      <c r="L1487" s="18"/>
    </row>
    <row r="1488">
      <c r="E1488" s="18">
        <v>866284.1649266538</v>
      </c>
      <c r="J1488" s="23" t="s">
        <v>5833</v>
      </c>
      <c r="K1488" s="18">
        <v>2665594.1167692654</v>
      </c>
      <c r="L1488" s="18"/>
    </row>
    <row r="1489">
      <c r="E1489" s="18">
        <v>863842.7316210397</v>
      </c>
      <c r="J1489" s="23" t="s">
        <v>5836</v>
      </c>
      <c r="K1489" s="18">
        <v>2791914.9094920317</v>
      </c>
      <c r="L1489" s="18"/>
    </row>
    <row r="1490">
      <c r="E1490" s="18">
        <v>86384.27316210397</v>
      </c>
      <c r="J1490" s="23" t="s">
        <v>5838</v>
      </c>
      <c r="K1490" s="18">
        <v>2725035.336743044</v>
      </c>
      <c r="L1490" s="23"/>
    </row>
    <row r="1491">
      <c r="E1491" s="18">
        <v>950227.0047831436</v>
      </c>
      <c r="J1491" s="23" t="s">
        <v>5316</v>
      </c>
      <c r="K1491" s="18">
        <v>2732282.9646145585</v>
      </c>
      <c r="L1491" s="23"/>
    </row>
    <row r="1492">
      <c r="J1492" s="23" t="s">
        <v>5841</v>
      </c>
      <c r="K1492" s="18">
        <v>2696525.439608974</v>
      </c>
      <c r="L1492" s="23"/>
    </row>
    <row r="1493">
      <c r="J1493" s="23" t="s">
        <v>5844</v>
      </c>
      <c r="K1493" s="18">
        <v>2701248.9316368643</v>
      </c>
      <c r="L1493" s="23"/>
    </row>
    <row r="1494">
      <c r="B1494" s="1" t="s">
        <v>5975</v>
      </c>
      <c r="D1494" s="23">
        <v>102.0</v>
      </c>
      <c r="J1494" s="23" t="s">
        <v>5845</v>
      </c>
      <c r="K1494" s="18">
        <v>2725954.0408439697</v>
      </c>
      <c r="L1494" s="23"/>
    </row>
    <row r="1495">
      <c r="B1495" s="1" t="s">
        <v>5976</v>
      </c>
      <c r="D1495" s="1" t="s">
        <v>5478</v>
      </c>
      <c r="J1495" s="23" t="s">
        <v>5977</v>
      </c>
      <c r="K1495" s="23" t="s">
        <v>5978</v>
      </c>
      <c r="L1495" s="23"/>
    </row>
    <row r="1496">
      <c r="J1496" s="23"/>
      <c r="K1496" s="18"/>
      <c r="L1496" s="23"/>
    </row>
    <row r="1497">
      <c r="B1497" s="3" t="s">
        <v>5840</v>
      </c>
      <c r="D1497" s="3">
        <v>1550000.0</v>
      </c>
      <c r="J1497" s="23" t="s">
        <v>5121</v>
      </c>
      <c r="K1497" s="18"/>
      <c r="L1497" s="23">
        <v>2900000.0</v>
      </c>
    </row>
    <row r="1498">
      <c r="B1498" s="3" t="s">
        <v>5499</v>
      </c>
      <c r="D1498" s="3">
        <v>155000.0</v>
      </c>
      <c r="J1498" s="23" t="s">
        <v>3444</v>
      </c>
      <c r="K1498" s="18"/>
      <c r="L1498" s="23">
        <v>2400000.0</v>
      </c>
    </row>
    <row r="1499">
      <c r="B1499" s="3" t="s">
        <v>5520</v>
      </c>
      <c r="D1499">
        <v>1705000.0</v>
      </c>
      <c r="J1499" s="23" t="s">
        <v>5148</v>
      </c>
      <c r="K1499" s="18"/>
      <c r="L1499" s="99">
        <v>2665594.0</v>
      </c>
    </row>
    <row r="1500">
      <c r="B1500" s="3"/>
      <c r="J1500" s="23" t="s">
        <v>3472</v>
      </c>
      <c r="K1500" s="18"/>
      <c r="L1500" s="99">
        <v>2400000.0</v>
      </c>
    </row>
    <row r="1501">
      <c r="B1501" s="3"/>
      <c r="J1501" s="23" t="s">
        <v>5170</v>
      </c>
      <c r="K1501" s="18"/>
      <c r="L1501" s="23">
        <v>2000000.0</v>
      </c>
    </row>
    <row r="1502">
      <c r="B1502" s="3" t="s">
        <v>5545</v>
      </c>
      <c r="D1502">
        <v>72260.24564718586</v>
      </c>
      <c r="J1502" s="23"/>
      <c r="K1502" s="18"/>
      <c r="L1502" s="18"/>
    </row>
    <row r="1503">
      <c r="B1503" s="1" t="s">
        <v>3908</v>
      </c>
      <c r="D1503">
        <v>65691.1324065326</v>
      </c>
      <c r="J1503" s="23"/>
      <c r="K1503" s="18"/>
      <c r="L1503" s="18"/>
    </row>
    <row r="1504">
      <c r="B1504" s="3" t="s">
        <v>5499</v>
      </c>
      <c r="D1504">
        <v>6569.11324065326</v>
      </c>
      <c r="J1504" s="23" t="s">
        <v>5502</v>
      </c>
      <c r="K1504" s="18">
        <f>SUM(K1480:K1494)</f>
        <v>38947410.5</v>
      </c>
      <c r="L1504" s="18">
        <f>SUM(L1497:L1502)</f>
        <v>12365594</v>
      </c>
    </row>
    <row r="1505">
      <c r="B1505" s="3" t="s">
        <v>5528</v>
      </c>
      <c r="D1505">
        <v>1777260.245647186</v>
      </c>
      <c r="J1505" s="175" t="s">
        <v>5979</v>
      </c>
      <c r="K1505" s="200">
        <f>K1504-L1504</f>
        <v>26581816.5</v>
      </c>
      <c r="L1505" s="18"/>
    </row>
    <row r="1506">
      <c r="J1506" s="201" t="s">
        <v>5980</v>
      </c>
      <c r="K1506" s="202">
        <f>K1505-20000000</f>
        <v>6581816.501</v>
      </c>
    </row>
    <row r="1508">
      <c r="B1508" s="3"/>
    </row>
    <row r="1509">
      <c r="B1509" s="3"/>
    </row>
    <row r="1510">
      <c r="B1510" s="3"/>
    </row>
    <row r="1511">
      <c r="B1511" s="3" t="s">
        <v>5843</v>
      </c>
      <c r="D1511" s="3">
        <v>1550000.0</v>
      </c>
    </row>
    <row r="1512">
      <c r="B1512" s="3" t="s">
        <v>5499</v>
      </c>
      <c r="D1512" s="3">
        <v>155000.0</v>
      </c>
    </row>
    <row r="1513">
      <c r="B1513" s="3" t="s">
        <v>5520</v>
      </c>
      <c r="D1513">
        <v>1705000.0</v>
      </c>
    </row>
    <row r="1514">
      <c r="B1514" s="3" t="s">
        <v>5545</v>
      </c>
      <c r="D1514">
        <v>76053.39799939375</v>
      </c>
    </row>
    <row r="1515">
      <c r="B1515" s="1" t="s">
        <v>3908</v>
      </c>
      <c r="D1515">
        <v>69139.45272672159</v>
      </c>
    </row>
    <row r="1516">
      <c r="B1516" s="3" t="s">
        <v>5499</v>
      </c>
      <c r="D1516">
        <v>6913.945272672159</v>
      </c>
    </row>
    <row r="1517">
      <c r="B1517" s="3" t="s">
        <v>5800</v>
      </c>
      <c r="D1517">
        <v>18618.931124311555</v>
      </c>
    </row>
    <row r="1518">
      <c r="B1518" s="3" t="s">
        <v>5528</v>
      </c>
      <c r="D1518">
        <v>1799672.3291237054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9" max="9" width="14.13"/>
  </cols>
  <sheetData>
    <row r="3">
      <c r="B3" s="1" t="s">
        <v>5448</v>
      </c>
      <c r="D3" s="1" t="s">
        <v>5449</v>
      </c>
      <c r="E3" s="1" t="s">
        <v>5450</v>
      </c>
      <c r="F3" s="1" t="s">
        <v>5451</v>
      </c>
      <c r="G3" s="1" t="s">
        <v>5452</v>
      </c>
      <c r="H3" s="1" t="s">
        <v>5453</v>
      </c>
      <c r="I3" s="1" t="s">
        <v>47</v>
      </c>
      <c r="J3" s="1" t="s">
        <v>5454</v>
      </c>
      <c r="K3" s="1" t="s">
        <v>5455</v>
      </c>
      <c r="L3" s="1" t="s">
        <v>5456</v>
      </c>
      <c r="M3" s="1" t="s">
        <v>5457</v>
      </c>
      <c r="N3" s="1" t="s">
        <v>5458</v>
      </c>
      <c r="O3" s="1" t="s">
        <v>5981</v>
      </c>
      <c r="Q3" s="1" t="s">
        <v>5982</v>
      </c>
    </row>
    <row r="4">
      <c r="B4" s="1" t="s">
        <v>5475</v>
      </c>
      <c r="D4" s="1" t="s">
        <v>5464</v>
      </c>
      <c r="E4" s="1">
        <v>101.0</v>
      </c>
      <c r="F4" s="1">
        <v>102.0</v>
      </c>
      <c r="G4" s="1">
        <v>201.0</v>
      </c>
      <c r="H4" s="1">
        <v>202.0</v>
      </c>
      <c r="I4" s="1">
        <v>301.0</v>
      </c>
      <c r="J4" s="1">
        <v>302.0</v>
      </c>
      <c r="K4" s="1">
        <v>401.0</v>
      </c>
      <c r="L4" s="1">
        <v>402.0</v>
      </c>
      <c r="M4" s="1">
        <v>501.0</v>
      </c>
      <c r="N4" s="1">
        <v>502.0</v>
      </c>
      <c r="O4" s="1">
        <v>503.0</v>
      </c>
      <c r="P4" s="1" t="s">
        <v>5502</v>
      </c>
      <c r="Q4" s="1" t="s">
        <v>5589</v>
      </c>
    </row>
    <row r="5">
      <c r="B5" s="1" t="s">
        <v>5983</v>
      </c>
      <c r="D5" s="1" t="s">
        <v>5584</v>
      </c>
      <c r="E5" s="1" t="s">
        <v>5585</v>
      </c>
      <c r="F5" s="1" t="s">
        <v>5478</v>
      </c>
      <c r="G5" s="1" t="s">
        <v>5984</v>
      </c>
      <c r="H5" s="1" t="s">
        <v>5920</v>
      </c>
      <c r="I5" s="1" t="s">
        <v>5985</v>
      </c>
      <c r="J5" s="1" t="s">
        <v>5487</v>
      </c>
      <c r="K5" s="1" t="s">
        <v>5921</v>
      </c>
      <c r="L5" s="1" t="s">
        <v>5921</v>
      </c>
      <c r="M5" s="1" t="s">
        <v>5589</v>
      </c>
      <c r="N5" s="1" t="s">
        <v>5921</v>
      </c>
      <c r="O5" s="1" t="s">
        <v>5922</v>
      </c>
      <c r="Q5" s="1" t="s">
        <v>5802</v>
      </c>
    </row>
    <row r="7">
      <c r="B7" s="39" t="s">
        <v>5914</v>
      </c>
      <c r="C7" s="185"/>
      <c r="D7" s="47">
        <v>2080000.0</v>
      </c>
      <c r="E7" s="85">
        <f>(2830000*6+2940000*25)/31</f>
        <v>2918709.677</v>
      </c>
      <c r="F7" s="50">
        <v>1620000.0</v>
      </c>
      <c r="G7" s="85">
        <v>1890000.0</v>
      </c>
      <c r="H7" s="85">
        <v>2000000.0</v>
      </c>
      <c r="I7" s="50">
        <v>3500000.0</v>
      </c>
      <c r="J7" s="189">
        <v>2150000.0</v>
      </c>
      <c r="K7" s="50">
        <v>2400000.0</v>
      </c>
      <c r="L7" s="41">
        <v>2080000.0</v>
      </c>
      <c r="M7" s="189">
        <v>1600000.0</v>
      </c>
      <c r="N7" s="47">
        <v>1410000.0</v>
      </c>
      <c r="O7" s="85">
        <v>1200000.0</v>
      </c>
      <c r="P7" s="50">
        <f t="shared" ref="P7:P18" si="2">SUM(D7:O7)</f>
        <v>24848709.68</v>
      </c>
      <c r="Q7" s="67">
        <f t="shared" ref="Q7:Q15" si="3">M7*0.5</f>
        <v>800000</v>
      </c>
    </row>
    <row r="8">
      <c r="B8" s="40" t="s">
        <v>5499</v>
      </c>
      <c r="C8" s="185"/>
      <c r="D8" s="189">
        <f t="shared" ref="D8:O8" si="1">D7*0.1</f>
        <v>208000</v>
      </c>
      <c r="E8" s="85">
        <f t="shared" si="1"/>
        <v>291870.9677</v>
      </c>
      <c r="F8" s="50">
        <f t="shared" si="1"/>
        <v>162000</v>
      </c>
      <c r="G8" s="85">
        <f t="shared" si="1"/>
        <v>189000</v>
      </c>
      <c r="H8" s="85">
        <f t="shared" si="1"/>
        <v>200000</v>
      </c>
      <c r="I8" s="50">
        <f t="shared" si="1"/>
        <v>350000</v>
      </c>
      <c r="J8" s="189">
        <f t="shared" si="1"/>
        <v>215000</v>
      </c>
      <c r="K8" s="50">
        <f t="shared" si="1"/>
        <v>240000</v>
      </c>
      <c r="L8" s="85">
        <f t="shared" si="1"/>
        <v>208000</v>
      </c>
      <c r="M8" s="189">
        <f t="shared" si="1"/>
        <v>160000</v>
      </c>
      <c r="N8" s="50">
        <f t="shared" si="1"/>
        <v>141000</v>
      </c>
      <c r="O8" s="85">
        <f t="shared" si="1"/>
        <v>120000</v>
      </c>
      <c r="P8" s="50">
        <f t="shared" si="2"/>
        <v>2484870.968</v>
      </c>
      <c r="Q8" s="67">
        <f t="shared" si="3"/>
        <v>80000</v>
      </c>
    </row>
    <row r="9">
      <c r="B9" s="40" t="s">
        <v>5520</v>
      </c>
      <c r="C9" s="185"/>
      <c r="D9" s="189">
        <f t="shared" ref="D9:O9" si="4">D7+D8</f>
        <v>2288000</v>
      </c>
      <c r="E9" s="85">
        <f t="shared" si="4"/>
        <v>3210580.645</v>
      </c>
      <c r="F9" s="50">
        <f t="shared" si="4"/>
        <v>1782000</v>
      </c>
      <c r="G9" s="85">
        <f t="shared" si="4"/>
        <v>2079000</v>
      </c>
      <c r="H9" s="85">
        <f t="shared" si="4"/>
        <v>2200000</v>
      </c>
      <c r="I9" s="50">
        <f t="shared" si="4"/>
        <v>3850000</v>
      </c>
      <c r="J9" s="189">
        <f t="shared" si="4"/>
        <v>2365000</v>
      </c>
      <c r="K9" s="50">
        <f t="shared" si="4"/>
        <v>2640000</v>
      </c>
      <c r="L9" s="85">
        <f t="shared" si="4"/>
        <v>2288000</v>
      </c>
      <c r="M9" s="189">
        <f t="shared" si="4"/>
        <v>1760000</v>
      </c>
      <c r="N9" s="50">
        <f t="shared" si="4"/>
        <v>1551000</v>
      </c>
      <c r="O9" s="85">
        <f t="shared" si="4"/>
        <v>1320000</v>
      </c>
      <c r="P9" s="50">
        <f t="shared" si="2"/>
        <v>27333580.65</v>
      </c>
      <c r="Q9" s="67">
        <f t="shared" si="3"/>
        <v>880000</v>
      </c>
    </row>
    <row r="10">
      <c r="B10" s="40" t="s">
        <v>5545</v>
      </c>
      <c r="C10" s="185"/>
      <c r="D10" s="189">
        <v>66233.74149659864</v>
      </c>
      <c r="E10" s="189">
        <v>73423.58843537416</v>
      </c>
      <c r="F10" s="50">
        <v>38563.72448979592</v>
      </c>
      <c r="G10" s="189">
        <v>52749.180272108846</v>
      </c>
      <c r="H10" s="189">
        <v>157982.39455782314</v>
      </c>
      <c r="I10" s="50">
        <v>144692.07142857142</v>
      </c>
      <c r="J10" s="50">
        <v>27257.904761904763</v>
      </c>
      <c r="K10" s="50">
        <v>45416.31010611301</v>
      </c>
      <c r="L10" s="189">
        <v>110846.72730885298</v>
      </c>
      <c r="M10" s="50">
        <v>123994.02721088435</v>
      </c>
      <c r="N10" s="50">
        <v>68218.24489795919</v>
      </c>
      <c r="O10" s="189">
        <v>115496.93537414966</v>
      </c>
      <c r="P10" s="50">
        <f t="shared" si="2"/>
        <v>1024874.85</v>
      </c>
      <c r="Q10" s="67">
        <f t="shared" si="3"/>
        <v>61997.01361</v>
      </c>
    </row>
    <row r="11">
      <c r="B11" s="40"/>
      <c r="C11" s="185"/>
      <c r="D11" s="50">
        <f t="shared" ref="D11:O11" si="5">D10-D12</f>
        <v>60212.49227</v>
      </c>
      <c r="E11" s="85">
        <f t="shared" si="5"/>
        <v>66748.71676</v>
      </c>
      <c r="F11" s="50">
        <f t="shared" si="5"/>
        <v>35057.93135</v>
      </c>
      <c r="G11" s="85">
        <f t="shared" si="5"/>
        <v>47953.80025</v>
      </c>
      <c r="H11" s="85">
        <f t="shared" si="5"/>
        <v>143620.3587</v>
      </c>
      <c r="I11" s="50">
        <f t="shared" si="5"/>
        <v>131538.2468</v>
      </c>
      <c r="J11" s="189">
        <f t="shared" si="5"/>
        <v>24779.91342</v>
      </c>
      <c r="K11" s="50">
        <f t="shared" si="5"/>
        <v>41287.55464</v>
      </c>
      <c r="L11" s="85">
        <f t="shared" si="5"/>
        <v>100769.7521</v>
      </c>
      <c r="M11" s="50">
        <f t="shared" si="5"/>
        <v>112721.8429</v>
      </c>
      <c r="N11" s="50">
        <f t="shared" si="5"/>
        <v>62016.58627</v>
      </c>
      <c r="O11" s="85">
        <f t="shared" si="5"/>
        <v>104997.214</v>
      </c>
      <c r="P11" s="50">
        <f t="shared" si="2"/>
        <v>931704.4094</v>
      </c>
      <c r="Q11" s="67">
        <f t="shared" si="3"/>
        <v>56360.92146</v>
      </c>
    </row>
    <row r="12">
      <c r="B12" s="40" t="s">
        <v>5499</v>
      </c>
      <c r="C12" s="185"/>
      <c r="D12" s="50">
        <f t="shared" ref="D12:O12" si="6">D10/11</f>
        <v>6021.249227</v>
      </c>
      <c r="E12" s="85">
        <f t="shared" si="6"/>
        <v>6674.871676</v>
      </c>
      <c r="F12" s="50">
        <f t="shared" si="6"/>
        <v>3505.793135</v>
      </c>
      <c r="G12" s="85">
        <f t="shared" si="6"/>
        <v>4795.380025</v>
      </c>
      <c r="H12" s="85">
        <f t="shared" si="6"/>
        <v>14362.03587</v>
      </c>
      <c r="I12" s="50">
        <f t="shared" si="6"/>
        <v>13153.82468</v>
      </c>
      <c r="J12" s="189">
        <f t="shared" si="6"/>
        <v>2477.991342</v>
      </c>
      <c r="K12" s="50">
        <f t="shared" si="6"/>
        <v>4128.755464</v>
      </c>
      <c r="L12" s="85">
        <f t="shared" si="6"/>
        <v>10076.97521</v>
      </c>
      <c r="M12" s="50">
        <f t="shared" si="6"/>
        <v>11272.18429</v>
      </c>
      <c r="N12" s="50">
        <f t="shared" si="6"/>
        <v>6201.658627</v>
      </c>
      <c r="O12" s="85">
        <f t="shared" si="6"/>
        <v>10499.7214</v>
      </c>
      <c r="P12" s="50">
        <f t="shared" si="2"/>
        <v>93170.44094</v>
      </c>
      <c r="Q12" s="67">
        <f t="shared" si="3"/>
        <v>5636.092146</v>
      </c>
    </row>
    <row r="13">
      <c r="B13" s="1" t="s">
        <v>1975</v>
      </c>
      <c r="C13" s="33"/>
      <c r="D13" s="34">
        <v>41777.55343026348</v>
      </c>
      <c r="E13" s="34">
        <v>17396.6017360892</v>
      </c>
      <c r="F13">
        <v>17396.6017360892</v>
      </c>
      <c r="G13" s="34">
        <v>15961.167848998097</v>
      </c>
      <c r="H13" s="34">
        <v>22966.942193457664</v>
      </c>
      <c r="I13">
        <v>29158.589855686456</v>
      </c>
      <c r="J13">
        <v>23202.610443577098</v>
      </c>
      <c r="K13">
        <v>15832.621530751134</v>
      </c>
      <c r="L13" s="34">
        <v>21210.14251074915</v>
      </c>
      <c r="M13">
        <v>10817.172680482066</v>
      </c>
      <c r="N13">
        <v>12447.568483581066</v>
      </c>
      <c r="O13" s="34">
        <v>9512.427550275375</v>
      </c>
      <c r="P13">
        <f t="shared" si="2"/>
        <v>237680</v>
      </c>
      <c r="Q13" s="18">
        <f t="shared" si="3"/>
        <v>5408.58634</v>
      </c>
    </row>
    <row r="14">
      <c r="B14" s="23" t="s">
        <v>5598</v>
      </c>
      <c r="C14" s="33"/>
      <c r="D14" s="18">
        <f t="shared" ref="D14:O14" si="7">SUM(D9,D10,D13)</f>
        <v>2396011.295</v>
      </c>
      <c r="E14" s="18">
        <f t="shared" si="7"/>
        <v>3301400.835</v>
      </c>
      <c r="F14" s="18">
        <f t="shared" si="7"/>
        <v>1837960.326</v>
      </c>
      <c r="G14" s="18">
        <f t="shared" si="7"/>
        <v>2147710.348</v>
      </c>
      <c r="H14" s="18">
        <f t="shared" si="7"/>
        <v>2380949.337</v>
      </c>
      <c r="I14" s="18">
        <f t="shared" si="7"/>
        <v>4023850.661</v>
      </c>
      <c r="J14" s="18">
        <f t="shared" si="7"/>
        <v>2415460.515</v>
      </c>
      <c r="K14" s="184">
        <f t="shared" si="7"/>
        <v>2701248.932</v>
      </c>
      <c r="L14" s="18">
        <f t="shared" si="7"/>
        <v>2420056.87</v>
      </c>
      <c r="M14" s="18">
        <f t="shared" si="7"/>
        <v>1894811.2</v>
      </c>
      <c r="N14" s="18">
        <f t="shared" si="7"/>
        <v>1631665.813</v>
      </c>
      <c r="O14" s="18">
        <f t="shared" si="7"/>
        <v>1445009.363</v>
      </c>
      <c r="P14">
        <f t="shared" si="2"/>
        <v>28596135.5</v>
      </c>
      <c r="Q14" s="18">
        <f t="shared" si="3"/>
        <v>947405.5999</v>
      </c>
    </row>
    <row r="15">
      <c r="B15" s="1" t="s">
        <v>5599</v>
      </c>
      <c r="C15" s="33"/>
      <c r="D15">
        <f t="shared" ref="D15:O15" si="8">SUM(D7,D11,D13)</f>
        <v>2181990.046</v>
      </c>
      <c r="E15">
        <f t="shared" si="8"/>
        <v>3002854.996</v>
      </c>
      <c r="F15">
        <f t="shared" si="8"/>
        <v>1672454.533</v>
      </c>
      <c r="G15">
        <f t="shared" si="8"/>
        <v>1953914.968</v>
      </c>
      <c r="H15">
        <f t="shared" si="8"/>
        <v>2166587.301</v>
      </c>
      <c r="I15">
        <f t="shared" si="8"/>
        <v>3660696.837</v>
      </c>
      <c r="J15">
        <f t="shared" si="8"/>
        <v>2197982.524</v>
      </c>
      <c r="K15" s="34">
        <f t="shared" si="8"/>
        <v>2457120.176</v>
      </c>
      <c r="L15">
        <f t="shared" si="8"/>
        <v>2201979.895</v>
      </c>
      <c r="M15">
        <f t="shared" si="8"/>
        <v>1723539.016</v>
      </c>
      <c r="N15">
        <f t="shared" si="8"/>
        <v>1484464.155</v>
      </c>
      <c r="O15">
        <f t="shared" si="8"/>
        <v>1314509.642</v>
      </c>
      <c r="P15">
        <f t="shared" si="2"/>
        <v>26018094.09</v>
      </c>
      <c r="Q15" s="18">
        <f t="shared" si="3"/>
        <v>861769.5078</v>
      </c>
    </row>
    <row r="16">
      <c r="B16" s="1" t="s">
        <v>5601</v>
      </c>
      <c r="C16" s="33"/>
      <c r="D16">
        <f t="shared" ref="D16:O16" si="9">SUM(D7,D11)</f>
        <v>2140212.492</v>
      </c>
      <c r="E16">
        <f t="shared" si="9"/>
        <v>2985458.394</v>
      </c>
      <c r="F16">
        <f t="shared" si="9"/>
        <v>1655057.931</v>
      </c>
      <c r="G16">
        <f t="shared" si="9"/>
        <v>1937953.8</v>
      </c>
      <c r="H16">
        <f t="shared" si="9"/>
        <v>2143620.359</v>
      </c>
      <c r="I16">
        <f t="shared" si="9"/>
        <v>3631538.247</v>
      </c>
      <c r="J16">
        <f t="shared" si="9"/>
        <v>2174779.913</v>
      </c>
      <c r="K16" s="34">
        <f t="shared" si="9"/>
        <v>2441287.555</v>
      </c>
      <c r="L16">
        <f t="shared" si="9"/>
        <v>2180769.752</v>
      </c>
      <c r="M16">
        <f t="shared" si="9"/>
        <v>1712721.843</v>
      </c>
      <c r="N16">
        <f t="shared" si="9"/>
        <v>1472016.586</v>
      </c>
      <c r="O16">
        <f t="shared" si="9"/>
        <v>1304997.214</v>
      </c>
      <c r="P16">
        <f t="shared" si="2"/>
        <v>25780414.09</v>
      </c>
      <c r="Q16" s="18">
        <f>M17*0.5</f>
        <v>85636.09215</v>
      </c>
    </row>
    <row r="17">
      <c r="B17" s="1" t="s">
        <v>5582</v>
      </c>
      <c r="C17" s="33"/>
      <c r="D17">
        <f t="shared" ref="D17:O17" si="10">SUM(D8,D12)</f>
        <v>214021.2492</v>
      </c>
      <c r="E17">
        <f t="shared" si="10"/>
        <v>298545.8394</v>
      </c>
      <c r="F17">
        <f t="shared" si="10"/>
        <v>165505.7931</v>
      </c>
      <c r="G17" s="34">
        <f t="shared" si="10"/>
        <v>193795.38</v>
      </c>
      <c r="H17">
        <f t="shared" si="10"/>
        <v>214362.0359</v>
      </c>
      <c r="I17">
        <f t="shared" si="10"/>
        <v>363153.8247</v>
      </c>
      <c r="J17">
        <f t="shared" si="10"/>
        <v>217477.9913</v>
      </c>
      <c r="K17" s="34">
        <f t="shared" si="10"/>
        <v>244128.7555</v>
      </c>
      <c r="L17">
        <f t="shared" si="10"/>
        <v>218076.9752</v>
      </c>
      <c r="M17">
        <f t="shared" si="10"/>
        <v>171272.1843</v>
      </c>
      <c r="N17">
        <f t="shared" si="10"/>
        <v>147201.6586</v>
      </c>
      <c r="O17">
        <f t="shared" si="10"/>
        <v>130499.7214</v>
      </c>
      <c r="P17">
        <f t="shared" si="2"/>
        <v>2578041.409</v>
      </c>
    </row>
    <row r="18">
      <c r="B18" s="1" t="s">
        <v>5602</v>
      </c>
      <c r="C18" s="33"/>
      <c r="D18">
        <f t="shared" ref="D18:O18" si="11">SUM(D16:D17)</f>
        <v>2354233.741</v>
      </c>
      <c r="E18">
        <f t="shared" si="11"/>
        <v>3284004.234</v>
      </c>
      <c r="F18">
        <f t="shared" si="11"/>
        <v>1820563.724</v>
      </c>
      <c r="G18">
        <f t="shared" si="11"/>
        <v>2131749.18</v>
      </c>
      <c r="H18">
        <f t="shared" si="11"/>
        <v>2357982.395</v>
      </c>
      <c r="I18">
        <f t="shared" si="11"/>
        <v>3994692.071</v>
      </c>
      <c r="J18">
        <f t="shared" si="11"/>
        <v>2392257.905</v>
      </c>
      <c r="K18" s="34">
        <f t="shared" si="11"/>
        <v>2685416.31</v>
      </c>
      <c r="L18">
        <f t="shared" si="11"/>
        <v>2398846.727</v>
      </c>
      <c r="M18">
        <f t="shared" si="11"/>
        <v>1883994.027</v>
      </c>
      <c r="N18">
        <f t="shared" si="11"/>
        <v>1619218.245</v>
      </c>
      <c r="O18">
        <f t="shared" si="11"/>
        <v>1435496.935</v>
      </c>
      <c r="P18">
        <f t="shared" si="2"/>
        <v>28358455.5</v>
      </c>
      <c r="Q18" s="18">
        <f>M18*0.5</f>
        <v>941997.0136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4.38"/>
    <col customWidth="1" min="3" max="3" width="25.25"/>
    <col customWidth="1" min="4" max="4" width="20.13"/>
    <col customWidth="1" min="5" max="5" width="18.13"/>
    <col customWidth="1" min="6" max="6" width="19.13"/>
    <col customWidth="1" min="7" max="7" width="18.25"/>
    <col customWidth="1" min="8" max="8" width="22.63"/>
    <col customWidth="1" min="10" max="10" width="18.13"/>
    <col customWidth="1" min="11" max="11" width="23.63"/>
    <col customWidth="1" min="12" max="12" width="20.63"/>
    <col customWidth="1" min="13" max="13" width="18.0"/>
    <col customWidth="1" min="14" max="14" width="19.5"/>
    <col customWidth="1" min="15" max="15" width="22.5"/>
    <col customWidth="1" min="23" max="23" width="23.0"/>
    <col customWidth="1" min="24" max="24" width="18.0"/>
  </cols>
  <sheetData>
    <row r="1">
      <c r="F1" s="58" t="s">
        <v>5986</v>
      </c>
    </row>
    <row r="2">
      <c r="D2" s="1" t="s">
        <v>5987</v>
      </c>
      <c r="E2" s="1" t="s">
        <v>5988</v>
      </c>
      <c r="F2" s="1" t="s">
        <v>5989</v>
      </c>
      <c r="G2" s="1" t="s">
        <v>5990</v>
      </c>
      <c r="H2" s="1" t="s">
        <v>5991</v>
      </c>
      <c r="J2" s="1" t="s">
        <v>5992</v>
      </c>
      <c r="K2" s="1" t="s">
        <v>5993</v>
      </c>
      <c r="L2" s="1" t="s">
        <v>5994</v>
      </c>
      <c r="M2" s="1" t="s">
        <v>5995</v>
      </c>
      <c r="N2" s="1" t="s">
        <v>5996</v>
      </c>
      <c r="O2" s="1" t="s">
        <v>5997</v>
      </c>
    </row>
    <row r="3">
      <c r="B3" s="1" t="s">
        <v>5475</v>
      </c>
      <c r="C3" s="1" t="s">
        <v>5463</v>
      </c>
      <c r="D3" s="1" t="s">
        <v>5464</v>
      </c>
      <c r="E3" s="1">
        <v>101.0</v>
      </c>
      <c r="F3" s="52">
        <v>102.0</v>
      </c>
      <c r="G3" s="1">
        <v>201.0</v>
      </c>
      <c r="H3" s="1">
        <v>202.0</v>
      </c>
      <c r="I3" s="1">
        <v>301.0</v>
      </c>
      <c r="J3" s="23">
        <v>302.0</v>
      </c>
      <c r="K3" s="1">
        <v>401.0</v>
      </c>
      <c r="L3" s="1">
        <v>402.0</v>
      </c>
      <c r="M3" s="1">
        <v>501.0</v>
      </c>
      <c r="N3" s="23">
        <v>502.0</v>
      </c>
      <c r="O3" s="1">
        <v>503.0</v>
      </c>
      <c r="Q3" s="1" t="s">
        <v>5998</v>
      </c>
    </row>
    <row r="4">
      <c r="B4" s="1" t="s">
        <v>5983</v>
      </c>
      <c r="C4" s="1" t="s">
        <v>5999</v>
      </c>
      <c r="D4" s="1" t="s">
        <v>6000</v>
      </c>
      <c r="E4" s="1" t="s">
        <v>5585</v>
      </c>
      <c r="F4" s="1" t="s">
        <v>5478</v>
      </c>
      <c r="G4" s="1" t="s">
        <v>6001</v>
      </c>
      <c r="H4" s="1" t="s">
        <v>6002</v>
      </c>
      <c r="I4" s="1" t="s">
        <v>6003</v>
      </c>
      <c r="J4" s="1" t="s">
        <v>6004</v>
      </c>
      <c r="K4" s="1" t="s">
        <v>6005</v>
      </c>
      <c r="L4" s="1" t="s">
        <v>6006</v>
      </c>
      <c r="M4" s="2" t="s">
        <v>5589</v>
      </c>
      <c r="N4" s="1" t="s">
        <v>6006</v>
      </c>
      <c r="O4" s="1" t="s">
        <v>5922</v>
      </c>
    </row>
    <row r="5">
      <c r="B5" s="1" t="s">
        <v>5448</v>
      </c>
      <c r="D5" s="1" t="s">
        <v>6007</v>
      </c>
      <c r="E5" s="1" t="s">
        <v>6008</v>
      </c>
      <c r="F5" s="1" t="s">
        <v>5451</v>
      </c>
      <c r="G5" s="1" t="s">
        <v>6009</v>
      </c>
      <c r="H5" s="1" t="s">
        <v>6010</v>
      </c>
      <c r="J5" s="1" t="s">
        <v>6011</v>
      </c>
      <c r="K5" s="1" t="s">
        <v>6012</v>
      </c>
      <c r="L5" s="1" t="s">
        <v>6013</v>
      </c>
      <c r="M5" s="1" t="s">
        <v>6014</v>
      </c>
      <c r="N5" s="1" t="s">
        <v>6015</v>
      </c>
      <c r="O5" s="1" t="s">
        <v>6016</v>
      </c>
      <c r="U5" s="23" t="s">
        <v>6017</v>
      </c>
      <c r="V5" s="23">
        <v>460000.0</v>
      </c>
      <c r="W5" s="1" t="s">
        <v>6018</v>
      </c>
    </row>
    <row r="6">
      <c r="B6" s="1" t="s">
        <v>6019</v>
      </c>
      <c r="D6" s="1" t="s">
        <v>6020</v>
      </c>
      <c r="E6" s="1" t="s">
        <v>6021</v>
      </c>
      <c r="F6" s="1" t="s">
        <v>6022</v>
      </c>
      <c r="G6" s="1" t="s">
        <v>6023</v>
      </c>
      <c r="H6" s="1" t="s">
        <v>6024</v>
      </c>
      <c r="J6" s="1" t="s">
        <v>6025</v>
      </c>
      <c r="K6" s="30" t="s">
        <v>6026</v>
      </c>
      <c r="L6" s="1" t="s">
        <v>6026</v>
      </c>
      <c r="M6" s="1" t="s">
        <v>6027</v>
      </c>
      <c r="N6" s="1" t="s">
        <v>6028</v>
      </c>
      <c r="O6" s="1" t="s">
        <v>6029</v>
      </c>
      <c r="U6" s="23" t="s">
        <v>6030</v>
      </c>
      <c r="V6" s="23">
        <v>240000.0</v>
      </c>
    </row>
    <row r="7">
      <c r="B7" s="1" t="s">
        <v>6031</v>
      </c>
      <c r="D7" s="1" t="s">
        <v>6032</v>
      </c>
      <c r="E7" s="1" t="s">
        <v>6033</v>
      </c>
      <c r="F7" s="1" t="s">
        <v>6034</v>
      </c>
      <c r="G7" s="1" t="s">
        <v>6035</v>
      </c>
      <c r="H7" s="1" t="s">
        <v>6036</v>
      </c>
      <c r="J7" s="1" t="s">
        <v>6037</v>
      </c>
      <c r="K7" s="1" t="s">
        <v>6038</v>
      </c>
      <c r="L7" s="1" t="s">
        <v>6038</v>
      </c>
      <c r="M7" s="1" t="s">
        <v>6039</v>
      </c>
      <c r="N7" s="1" t="s">
        <v>6038</v>
      </c>
      <c r="O7" s="1" t="s">
        <v>6040</v>
      </c>
      <c r="U7" s="23" t="s">
        <v>6041</v>
      </c>
      <c r="V7" s="18">
        <f>(R11-460000*0.035)*100/V6</f>
        <v>5.676666667</v>
      </c>
      <c r="W7" s="18">
        <f>(R9-460000*0.035)*100/V6</f>
        <v>-6.708333333</v>
      </c>
    </row>
    <row r="8">
      <c r="B8" s="1" t="s">
        <v>6042</v>
      </c>
      <c r="D8" s="1" t="s">
        <v>6043</v>
      </c>
      <c r="E8" s="1" t="s">
        <v>6044</v>
      </c>
      <c r="F8" s="1" t="s">
        <v>6045</v>
      </c>
      <c r="G8" s="203"/>
      <c r="J8" s="1" t="s">
        <v>6046</v>
      </c>
      <c r="K8" s="1" t="s">
        <v>6047</v>
      </c>
      <c r="L8" s="1" t="s">
        <v>6047</v>
      </c>
      <c r="M8" s="1" t="s">
        <v>6048</v>
      </c>
      <c r="N8" s="1" t="s">
        <v>6047</v>
      </c>
    </row>
    <row r="9">
      <c r="B9" s="1" t="s">
        <v>6049</v>
      </c>
      <c r="C9" s="1" t="s">
        <v>6050</v>
      </c>
      <c r="D9" s="99" t="s">
        <v>6051</v>
      </c>
      <c r="E9" s="33" t="s">
        <v>6052</v>
      </c>
      <c r="F9" s="1" t="s">
        <v>6053</v>
      </c>
      <c r="G9" s="1" t="s">
        <v>6054</v>
      </c>
      <c r="H9" s="33" t="s">
        <v>6055</v>
      </c>
      <c r="I9" s="1" t="s">
        <v>6056</v>
      </c>
      <c r="J9" s="1" t="s">
        <v>6057</v>
      </c>
      <c r="K9" s="1" t="s">
        <v>6058</v>
      </c>
      <c r="L9" s="33" t="s">
        <v>6059</v>
      </c>
      <c r="M9" s="1" t="s">
        <v>6060</v>
      </c>
      <c r="N9" s="33" t="s">
        <v>6059</v>
      </c>
      <c r="O9" s="33" t="s">
        <v>6061</v>
      </c>
    </row>
    <row r="10">
      <c r="B10" s="1" t="s">
        <v>6062</v>
      </c>
      <c r="C10" s="1">
        <v>1000.0</v>
      </c>
      <c r="D10" s="1">
        <v>2000.0</v>
      </c>
      <c r="E10" s="1">
        <v>4000.0</v>
      </c>
      <c r="F10" s="1">
        <v>2000.0</v>
      </c>
      <c r="G10" s="1">
        <v>2000.0</v>
      </c>
      <c r="H10" s="1">
        <v>2000.0</v>
      </c>
      <c r="J10" s="1">
        <v>2000.0</v>
      </c>
      <c r="K10" s="1">
        <v>3000.0</v>
      </c>
      <c r="L10" s="1">
        <v>2000.0</v>
      </c>
      <c r="M10" s="1">
        <v>2000.0</v>
      </c>
      <c r="N10" s="1">
        <v>1500.0</v>
      </c>
      <c r="O10" s="1">
        <v>1500.0</v>
      </c>
      <c r="Q10">
        <f t="shared" ref="Q10:Q11" si="1">SUM(C10:O10)</f>
        <v>25000</v>
      </c>
      <c r="S10" s="1">
        <v>6.5E9</v>
      </c>
      <c r="T10" s="1">
        <v>7.0E9</v>
      </c>
      <c r="U10">
        <f>R11*1000000/U11+230000000</f>
        <v>7661000000</v>
      </c>
      <c r="V10" s="31">
        <f>R11*1000000/V11+230000000</f>
        <v>8722571429</v>
      </c>
      <c r="W10" s="31">
        <f>R11*1000000/W11+230000000</f>
        <v>10138000000</v>
      </c>
      <c r="X10">
        <f>R11*1000000/X11+230000000</f>
        <v>12119600000</v>
      </c>
      <c r="Y10" s="204">
        <f>R11*1000000/Y11+230000000</f>
        <v>15092000000</v>
      </c>
      <c r="Z10">
        <f>R11*1000000/Z11+230000000</f>
        <v>20046000000</v>
      </c>
      <c r="AA10">
        <f>R11*1000000/AA11+230000000</f>
        <v>29954000000</v>
      </c>
    </row>
    <row r="11">
      <c r="B11" s="1" t="s">
        <v>6063</v>
      </c>
      <c r="D11" s="1">
        <v>208.0</v>
      </c>
      <c r="E11" s="1">
        <v>294.0</v>
      </c>
      <c r="F11" s="1">
        <v>162.0</v>
      </c>
      <c r="G11" s="1">
        <v>189.0</v>
      </c>
      <c r="H11" s="1">
        <v>200.0</v>
      </c>
      <c r="I11" s="1">
        <v>350.0</v>
      </c>
      <c r="J11" s="1">
        <v>215.0</v>
      </c>
      <c r="K11" s="1">
        <v>230.0</v>
      </c>
      <c r="L11" s="1">
        <v>208.0</v>
      </c>
      <c r="M11" s="1">
        <v>160.0</v>
      </c>
      <c r="N11" s="1">
        <v>141.0</v>
      </c>
      <c r="O11" s="1">
        <v>120.0</v>
      </c>
      <c r="Q11">
        <f t="shared" si="1"/>
        <v>2477</v>
      </c>
      <c r="R11">
        <f>Q11*12</f>
        <v>29724</v>
      </c>
      <c r="S11">
        <f>R11/(6500-230)</f>
        <v>4.740669856</v>
      </c>
      <c r="T11">
        <f>R11/(7000-230)</f>
        <v>4.390546529</v>
      </c>
      <c r="U11" s="1">
        <v>4.0</v>
      </c>
      <c r="V11" s="30">
        <v>3.5</v>
      </c>
      <c r="W11" s="30">
        <v>3.0</v>
      </c>
      <c r="X11" s="1">
        <v>2.5</v>
      </c>
      <c r="Y11" s="108">
        <v>2.0</v>
      </c>
      <c r="Z11" s="1">
        <v>1.5</v>
      </c>
      <c r="AA11" s="1">
        <v>1.0</v>
      </c>
      <c r="AB11" s="1"/>
      <c r="AC11" s="1"/>
      <c r="AD11" s="1"/>
      <c r="AE11" s="1"/>
      <c r="AF11" s="1"/>
      <c r="AG11" s="1"/>
    </row>
    <row r="12">
      <c r="A12" s="1" t="s">
        <v>6064</v>
      </c>
      <c r="D12" s="23"/>
      <c r="E12" s="30" t="s">
        <v>6065</v>
      </c>
      <c r="F12" s="5" t="s">
        <v>6066</v>
      </c>
      <c r="H12" s="1" t="s">
        <v>6067</v>
      </c>
      <c r="I12" s="1" t="s">
        <v>6068</v>
      </c>
      <c r="J12" s="61" t="s">
        <v>6069</v>
      </c>
      <c r="K12" s="23" t="s">
        <v>6070</v>
      </c>
      <c r="L12" s="23"/>
      <c r="M12" s="61" t="s">
        <v>6071</v>
      </c>
      <c r="N12" s="5" t="s">
        <v>6072</v>
      </c>
      <c r="S12">
        <f t="shared" ref="S12:AA12" si="2">S10/118</f>
        <v>55084745.76</v>
      </c>
      <c r="T12">
        <f t="shared" si="2"/>
        <v>59322033.9</v>
      </c>
      <c r="U12">
        <f t="shared" si="2"/>
        <v>64923728.81</v>
      </c>
      <c r="V12">
        <f t="shared" si="2"/>
        <v>73920096.85</v>
      </c>
      <c r="W12">
        <f t="shared" si="2"/>
        <v>85915254.24</v>
      </c>
      <c r="X12">
        <f t="shared" si="2"/>
        <v>102708474.6</v>
      </c>
      <c r="Y12">
        <f t="shared" si="2"/>
        <v>127898305.1</v>
      </c>
      <c r="Z12">
        <f t="shared" si="2"/>
        <v>169881355.9</v>
      </c>
      <c r="AA12">
        <f t="shared" si="2"/>
        <v>253847457.6</v>
      </c>
      <c r="AB12" s="1" t="s">
        <v>6073</v>
      </c>
    </row>
    <row r="13">
      <c r="D13" s="2" t="s">
        <v>6074</v>
      </c>
    </row>
    <row r="14">
      <c r="A14" s="58" t="s">
        <v>6075</v>
      </c>
      <c r="B14" s="1" t="s">
        <v>6076</v>
      </c>
      <c r="C14" s="1">
        <v>249.46</v>
      </c>
      <c r="E14" s="1">
        <v>162.41</v>
      </c>
      <c r="G14" s="1">
        <v>181.81</v>
      </c>
      <c r="I14" s="1">
        <v>190.4</v>
      </c>
      <c r="K14" s="1">
        <v>172.98</v>
      </c>
      <c r="M14" s="1">
        <v>153.0</v>
      </c>
      <c r="Q14" s="18">
        <f t="shared" ref="Q14:Q16" si="3">SUM(C14:O14)</f>
        <v>1110.06</v>
      </c>
      <c r="V14" s="1" t="s">
        <v>6077</v>
      </c>
      <c r="W14" s="33"/>
    </row>
    <row r="15">
      <c r="B15" s="1" t="s">
        <v>6078</v>
      </c>
      <c r="C15">
        <f>C14/3.3</f>
        <v>75.59393939</v>
      </c>
      <c r="E15">
        <f>E14/3.3</f>
        <v>49.21515152</v>
      </c>
      <c r="G15">
        <f>G14/3.3</f>
        <v>55.09393939</v>
      </c>
      <c r="I15">
        <f>I14/3.3</f>
        <v>57.6969697</v>
      </c>
      <c r="K15">
        <f>K14/3.3</f>
        <v>52.41818182</v>
      </c>
      <c r="M15">
        <f>M14/3.3</f>
        <v>46.36363636</v>
      </c>
      <c r="Q15" s="18">
        <f t="shared" si="3"/>
        <v>336.3818182</v>
      </c>
      <c r="W15" s="33" t="s">
        <v>6079</v>
      </c>
    </row>
    <row r="16">
      <c r="B16" s="23" t="s">
        <v>6080</v>
      </c>
      <c r="C16" s="23">
        <v>54.41</v>
      </c>
      <c r="D16" s="23">
        <v>195.05</v>
      </c>
      <c r="E16" s="23">
        <v>70.0</v>
      </c>
      <c r="F16" s="23">
        <v>81.9</v>
      </c>
      <c r="G16" s="23">
        <v>72.0</v>
      </c>
      <c r="H16" s="23">
        <v>107.2</v>
      </c>
      <c r="I16" s="23"/>
      <c r="J16" s="23">
        <v>82.5</v>
      </c>
      <c r="K16" s="23">
        <v>80.0</v>
      </c>
      <c r="L16" s="23">
        <v>73.94</v>
      </c>
      <c r="M16" s="23">
        <v>50.49</v>
      </c>
      <c r="N16" s="23">
        <v>58.1</v>
      </c>
      <c r="O16" s="23">
        <v>45.0</v>
      </c>
      <c r="P16" s="18"/>
      <c r="Q16" s="18">
        <f t="shared" si="3"/>
        <v>970.59</v>
      </c>
      <c r="V16" s="1" t="s">
        <v>5954</v>
      </c>
      <c r="W16" s="5" t="s">
        <v>6081</v>
      </c>
    </row>
    <row r="17">
      <c r="B17" s="1" t="s">
        <v>6082</v>
      </c>
      <c r="C17">
        <f>SUM(C16:D16)</f>
        <v>249.46</v>
      </c>
      <c r="E17">
        <f>SUM(E16:F16)</f>
        <v>151.9</v>
      </c>
      <c r="G17">
        <f>SUM(G16:H16)</f>
        <v>179.2</v>
      </c>
      <c r="I17">
        <f>SUM(I16:J16)</f>
        <v>82.5</v>
      </c>
      <c r="K17">
        <f>SUM(K16:L16)</f>
        <v>153.94</v>
      </c>
      <c r="M17">
        <f>SUM(M16:O16)</f>
        <v>153.59</v>
      </c>
      <c r="W17" s="33" t="s">
        <v>6083</v>
      </c>
    </row>
    <row r="18">
      <c r="B18" s="77" t="s">
        <v>6084</v>
      </c>
      <c r="C18" s="77">
        <v>54.4</v>
      </c>
      <c r="D18" s="77">
        <v>195.0</v>
      </c>
      <c r="E18" s="77">
        <v>81.2</v>
      </c>
      <c r="F18" s="77">
        <v>81.2</v>
      </c>
      <c r="G18" s="77">
        <v>74.5</v>
      </c>
      <c r="H18" s="77">
        <v>107.2</v>
      </c>
      <c r="I18" s="77">
        <v>81.7</v>
      </c>
      <c r="J18" s="77">
        <v>108.3</v>
      </c>
      <c r="K18" s="77">
        <v>73.9</v>
      </c>
      <c r="L18" s="77">
        <v>99.0</v>
      </c>
      <c r="M18" s="77">
        <v>50.49</v>
      </c>
      <c r="N18" s="77">
        <v>58.1</v>
      </c>
      <c r="O18" s="77">
        <v>44.4</v>
      </c>
      <c r="P18" s="154"/>
      <c r="Q18" s="154">
        <f>SUM(C18:O18)</f>
        <v>1109.39</v>
      </c>
      <c r="R18" s="154">
        <f>SUM(E18:O18)</f>
        <v>859.99</v>
      </c>
      <c r="W18" s="33" t="s">
        <v>6085</v>
      </c>
    </row>
    <row r="19">
      <c r="B19" s="1" t="s">
        <v>6082</v>
      </c>
      <c r="C19">
        <f>SUM(C18:D18)</f>
        <v>249.4</v>
      </c>
      <c r="E19">
        <f>SUM(E18:F18)</f>
        <v>162.4</v>
      </c>
      <c r="G19">
        <f>SUM(G18:H18)</f>
        <v>181.7</v>
      </c>
      <c r="I19">
        <f>SUM(I18:J18)</f>
        <v>190</v>
      </c>
      <c r="K19">
        <f>SUM(K18:L18)</f>
        <v>172.9</v>
      </c>
      <c r="M19">
        <f>SUM(M18:O18)</f>
        <v>152.99</v>
      </c>
      <c r="V19" s="1" t="s">
        <v>6086</v>
      </c>
      <c r="W19" s="33" t="s">
        <v>6087</v>
      </c>
    </row>
    <row r="20">
      <c r="B20" s="30" t="s">
        <v>6088</v>
      </c>
      <c r="C20" s="31">
        <f t="shared" ref="C20:O20" si="4">C18/3.3</f>
        <v>16.48484848</v>
      </c>
      <c r="D20" s="31">
        <f t="shared" si="4"/>
        <v>59.09090909</v>
      </c>
      <c r="E20" s="31">
        <f t="shared" si="4"/>
        <v>24.60606061</v>
      </c>
      <c r="F20" s="31">
        <f t="shared" si="4"/>
        <v>24.60606061</v>
      </c>
      <c r="G20" s="31">
        <f t="shared" si="4"/>
        <v>22.57575758</v>
      </c>
      <c r="H20" s="31">
        <f t="shared" si="4"/>
        <v>32.48484848</v>
      </c>
      <c r="I20" s="31">
        <f t="shared" si="4"/>
        <v>24.75757576</v>
      </c>
      <c r="J20" s="31">
        <f t="shared" si="4"/>
        <v>32.81818182</v>
      </c>
      <c r="K20" s="31">
        <f t="shared" si="4"/>
        <v>22.39393939</v>
      </c>
      <c r="L20" s="31">
        <f t="shared" si="4"/>
        <v>30</v>
      </c>
      <c r="M20" s="31">
        <f t="shared" si="4"/>
        <v>15.3</v>
      </c>
      <c r="N20" s="31">
        <f t="shared" si="4"/>
        <v>17.60606061</v>
      </c>
      <c r="O20" s="31">
        <f t="shared" si="4"/>
        <v>13.45454545</v>
      </c>
      <c r="P20" s="31"/>
      <c r="Q20" s="154">
        <f t="shared" ref="Q20:Q21" si="6">SUM(C20:O20)</f>
        <v>336.1787879</v>
      </c>
      <c r="W20" s="33" t="s">
        <v>6089</v>
      </c>
    </row>
    <row r="21">
      <c r="B21" s="1" t="s">
        <v>6090</v>
      </c>
      <c r="C21">
        <f t="shared" ref="C21:O21" si="5">C20*0.85</f>
        <v>14.01212121</v>
      </c>
      <c r="D21">
        <f t="shared" si="5"/>
        <v>50.22727273</v>
      </c>
      <c r="E21">
        <f t="shared" si="5"/>
        <v>20.91515152</v>
      </c>
      <c r="F21">
        <f t="shared" si="5"/>
        <v>20.91515152</v>
      </c>
      <c r="G21">
        <f t="shared" si="5"/>
        <v>19.18939394</v>
      </c>
      <c r="H21">
        <f t="shared" si="5"/>
        <v>27.61212121</v>
      </c>
      <c r="I21">
        <f t="shared" si="5"/>
        <v>21.04393939</v>
      </c>
      <c r="J21">
        <f t="shared" si="5"/>
        <v>27.89545455</v>
      </c>
      <c r="K21">
        <f t="shared" si="5"/>
        <v>19.03484848</v>
      </c>
      <c r="L21">
        <f t="shared" si="5"/>
        <v>25.5</v>
      </c>
      <c r="M21">
        <f t="shared" si="5"/>
        <v>13.005</v>
      </c>
      <c r="N21">
        <f t="shared" si="5"/>
        <v>14.96515152</v>
      </c>
      <c r="O21">
        <f t="shared" si="5"/>
        <v>11.43636364</v>
      </c>
      <c r="Q21" s="18">
        <f t="shared" si="6"/>
        <v>285.7519697</v>
      </c>
      <c r="W21" s="33" t="s">
        <v>6091</v>
      </c>
    </row>
    <row r="22">
      <c r="B22" s="1" t="s">
        <v>6092</v>
      </c>
      <c r="C22">
        <f t="shared" ref="C22:O22" si="7">C18*0.85</f>
        <v>46.24</v>
      </c>
      <c r="D22">
        <f t="shared" si="7"/>
        <v>165.75</v>
      </c>
      <c r="E22">
        <f t="shared" si="7"/>
        <v>69.02</v>
      </c>
      <c r="F22">
        <f t="shared" si="7"/>
        <v>69.02</v>
      </c>
      <c r="G22">
        <f t="shared" si="7"/>
        <v>63.325</v>
      </c>
      <c r="H22">
        <f t="shared" si="7"/>
        <v>91.12</v>
      </c>
      <c r="I22">
        <f t="shared" si="7"/>
        <v>69.445</v>
      </c>
      <c r="J22">
        <f t="shared" si="7"/>
        <v>92.055</v>
      </c>
      <c r="K22">
        <f t="shared" si="7"/>
        <v>62.815</v>
      </c>
      <c r="L22">
        <f t="shared" si="7"/>
        <v>84.15</v>
      </c>
      <c r="M22">
        <f t="shared" si="7"/>
        <v>42.9165</v>
      </c>
      <c r="N22">
        <f t="shared" si="7"/>
        <v>49.385</v>
      </c>
      <c r="O22">
        <f t="shared" si="7"/>
        <v>37.74</v>
      </c>
      <c r="V22" s="1" t="s">
        <v>6093</v>
      </c>
      <c r="W22" s="33" t="s">
        <v>6094</v>
      </c>
    </row>
    <row r="23">
      <c r="B23" s="1" t="s">
        <v>6095</v>
      </c>
      <c r="V23" s="1" t="s">
        <v>6093</v>
      </c>
      <c r="W23" s="2" t="s">
        <v>6096</v>
      </c>
    </row>
    <row r="24">
      <c r="V24" s="1" t="s">
        <v>6097</v>
      </c>
      <c r="W24" s="33" t="s">
        <v>6098</v>
      </c>
    </row>
    <row r="25">
      <c r="D25" s="1" t="s">
        <v>5464</v>
      </c>
      <c r="E25" s="117">
        <v>101.0</v>
      </c>
      <c r="G25" s="117">
        <v>201.0</v>
      </c>
      <c r="H25" s="117">
        <v>202.0</v>
      </c>
      <c r="J25" s="117">
        <v>302.0</v>
      </c>
      <c r="K25" s="1">
        <v>401.0</v>
      </c>
      <c r="L25" s="23">
        <v>402.0</v>
      </c>
      <c r="M25" s="117">
        <v>501.0</v>
      </c>
      <c r="N25" s="23">
        <v>502.0</v>
      </c>
      <c r="W25" s="34"/>
    </row>
    <row r="26">
      <c r="D26" s="1" t="s">
        <v>5476</v>
      </c>
      <c r="E26" s="37" t="s">
        <v>5477</v>
      </c>
      <c r="G26" s="37" t="s">
        <v>5479</v>
      </c>
      <c r="H26" s="37" t="s">
        <v>5480</v>
      </c>
      <c r="J26" s="37" t="s">
        <v>5482</v>
      </c>
      <c r="K26" s="1" t="s">
        <v>5483</v>
      </c>
      <c r="L26" s="37" t="s">
        <v>6099</v>
      </c>
      <c r="M26" s="117" t="s">
        <v>6100</v>
      </c>
      <c r="N26" s="37" t="s">
        <v>5486</v>
      </c>
      <c r="V26" s="1" t="s">
        <v>6101</v>
      </c>
      <c r="W26" s="33" t="s">
        <v>6102</v>
      </c>
    </row>
    <row r="27">
      <c r="D27" s="1" t="s">
        <v>5449</v>
      </c>
      <c r="E27" s="37" t="s">
        <v>5450</v>
      </c>
      <c r="G27" s="37" t="s">
        <v>5452</v>
      </c>
      <c r="H27" s="37" t="s">
        <v>5453</v>
      </c>
      <c r="J27" s="37" t="s">
        <v>5454</v>
      </c>
      <c r="K27" s="1" t="s">
        <v>5455</v>
      </c>
      <c r="L27" s="37" t="s">
        <v>5456</v>
      </c>
      <c r="M27" s="37" t="s">
        <v>5457</v>
      </c>
      <c r="N27" s="37" t="s">
        <v>5458</v>
      </c>
      <c r="W27" s="33" t="s">
        <v>6103</v>
      </c>
    </row>
    <row r="28">
      <c r="D28" s="1" t="s">
        <v>6104</v>
      </c>
      <c r="E28" s="37" t="s">
        <v>6105</v>
      </c>
      <c r="G28" s="37" t="s">
        <v>6106</v>
      </c>
      <c r="H28" s="37" t="s">
        <v>6107</v>
      </c>
      <c r="J28" s="37" t="s">
        <v>6108</v>
      </c>
      <c r="K28" s="1" t="s">
        <v>6109</v>
      </c>
      <c r="L28" s="37" t="s">
        <v>6110</v>
      </c>
      <c r="M28" s="37" t="s">
        <v>6111</v>
      </c>
      <c r="N28" s="37" t="s">
        <v>6112</v>
      </c>
      <c r="V28" s="1" t="s">
        <v>6113</v>
      </c>
      <c r="W28" s="33" t="s">
        <v>6114</v>
      </c>
    </row>
    <row r="29">
      <c r="D29" s="1" t="s">
        <v>6115</v>
      </c>
      <c r="E29" s="37" t="s">
        <v>6116</v>
      </c>
      <c r="G29" s="37" t="s">
        <v>6117</v>
      </c>
      <c r="H29" s="37" t="s">
        <v>6118</v>
      </c>
      <c r="J29" s="37" t="s">
        <v>6119</v>
      </c>
      <c r="K29" s="1" t="s">
        <v>6120</v>
      </c>
      <c r="L29" s="37" t="s">
        <v>6121</v>
      </c>
      <c r="M29" s="37" t="s">
        <v>6122</v>
      </c>
      <c r="N29" s="37" t="s">
        <v>6123</v>
      </c>
      <c r="V29" s="1" t="s">
        <v>6124</v>
      </c>
    </row>
    <row r="30">
      <c r="D30" s="1" t="s">
        <v>6125</v>
      </c>
      <c r="E30" s="37" t="s">
        <v>6126</v>
      </c>
      <c r="G30" s="37" t="s">
        <v>6127</v>
      </c>
      <c r="H30" s="37" t="s">
        <v>6128</v>
      </c>
      <c r="J30" s="37" t="s">
        <v>6129</v>
      </c>
      <c r="K30" s="1" t="s">
        <v>6130</v>
      </c>
      <c r="L30" s="37" t="s">
        <v>6131</v>
      </c>
      <c r="M30" s="37" t="s">
        <v>6132</v>
      </c>
      <c r="N30" s="37" t="s">
        <v>6133</v>
      </c>
    </row>
    <row r="31">
      <c r="D31" s="99" t="s">
        <v>6134</v>
      </c>
      <c r="E31" s="37" t="s">
        <v>6135</v>
      </c>
      <c r="G31" s="205" t="s">
        <v>6136</v>
      </c>
      <c r="H31" s="206" t="s">
        <v>6137</v>
      </c>
      <c r="J31" s="99" t="s">
        <v>6138</v>
      </c>
      <c r="K31" s="1" t="s">
        <v>6139</v>
      </c>
      <c r="L31" s="206" t="s">
        <v>6140</v>
      </c>
      <c r="M31" s="37" t="s">
        <v>6141</v>
      </c>
      <c r="N31" s="206" t="s">
        <v>6142</v>
      </c>
    </row>
    <row r="32">
      <c r="D32" s="1">
        <v>1000.0</v>
      </c>
      <c r="E32" s="37">
        <v>2000.0</v>
      </c>
      <c r="G32" s="37">
        <v>1000.0</v>
      </c>
      <c r="H32" s="37">
        <v>3000.0</v>
      </c>
      <c r="J32" s="37">
        <v>2000.0</v>
      </c>
      <c r="L32" s="37">
        <v>2000.0</v>
      </c>
      <c r="M32" s="37">
        <v>2000.0</v>
      </c>
      <c r="N32" s="37">
        <v>1500.0</v>
      </c>
    </row>
    <row r="33">
      <c r="D33" s="1" t="s">
        <v>6143</v>
      </c>
      <c r="E33" s="75">
        <v>230.0</v>
      </c>
      <c r="G33" s="75">
        <v>180.0</v>
      </c>
      <c r="H33" s="75">
        <v>196.0</v>
      </c>
      <c r="J33" s="75" t="s">
        <v>6144</v>
      </c>
      <c r="L33" s="75">
        <v>181.0</v>
      </c>
      <c r="M33" s="75">
        <v>173.0</v>
      </c>
      <c r="N33" s="75">
        <v>134.0</v>
      </c>
    </row>
    <row r="35">
      <c r="A35" s="30" t="s">
        <v>6145</v>
      </c>
      <c r="B35" s="30" t="s">
        <v>6146</v>
      </c>
      <c r="C35" s="30" t="s">
        <v>6147</v>
      </c>
      <c r="D35" s="23" t="s">
        <v>6148</v>
      </c>
      <c r="E35" s="117">
        <v>101.0</v>
      </c>
      <c r="G35" s="117">
        <v>201.0</v>
      </c>
      <c r="J35" s="117">
        <v>302.0</v>
      </c>
      <c r="K35" s="117" t="s">
        <v>6149</v>
      </c>
      <c r="L35" s="23">
        <v>402.0</v>
      </c>
      <c r="N35" s="117" t="s">
        <v>5590</v>
      </c>
    </row>
    <row r="36">
      <c r="A36" s="108" t="s">
        <v>6150</v>
      </c>
      <c r="B36" s="108" t="s">
        <v>6151</v>
      </c>
      <c r="C36" s="108" t="s">
        <v>6152</v>
      </c>
      <c r="D36" s="23" t="s">
        <v>6153</v>
      </c>
      <c r="E36" s="37" t="s">
        <v>6154</v>
      </c>
      <c r="G36" s="37" t="s">
        <v>6155</v>
      </c>
      <c r="J36" s="37" t="s">
        <v>6155</v>
      </c>
      <c r="K36" s="37" t="s">
        <v>6156</v>
      </c>
      <c r="L36" s="23" t="s">
        <v>6006</v>
      </c>
      <c r="N36" s="37" t="s">
        <v>6157</v>
      </c>
    </row>
    <row r="37">
      <c r="D37" s="23" t="s">
        <v>6158</v>
      </c>
      <c r="E37" s="37" t="s">
        <v>6159</v>
      </c>
      <c r="G37" s="37" t="s">
        <v>6160</v>
      </c>
      <c r="J37" s="37" t="s">
        <v>6160</v>
      </c>
      <c r="K37" s="207" t="s">
        <v>6161</v>
      </c>
      <c r="L37" s="23" t="s">
        <v>6162</v>
      </c>
      <c r="N37" s="37" t="s">
        <v>6163</v>
      </c>
    </row>
    <row r="38">
      <c r="D38" s="23" t="s">
        <v>6164</v>
      </c>
      <c r="E38" s="37" t="s">
        <v>6165</v>
      </c>
      <c r="G38" s="37" t="s">
        <v>6166</v>
      </c>
      <c r="J38" s="37" t="s">
        <v>6166</v>
      </c>
      <c r="K38" s="207" t="s">
        <v>6167</v>
      </c>
      <c r="L38" s="23" t="s">
        <v>6026</v>
      </c>
      <c r="N38" s="75" t="s">
        <v>6168</v>
      </c>
    </row>
    <row r="39">
      <c r="D39" s="23" t="s">
        <v>6169</v>
      </c>
      <c r="E39" s="37" t="s">
        <v>6170</v>
      </c>
      <c r="G39" s="37" t="s">
        <v>6171</v>
      </c>
      <c r="J39" s="37" t="s">
        <v>6171</v>
      </c>
      <c r="K39" s="37" t="s">
        <v>6172</v>
      </c>
      <c r="L39" s="23" t="s">
        <v>6038</v>
      </c>
    </row>
    <row r="40">
      <c r="D40" s="99" t="s">
        <v>6173</v>
      </c>
      <c r="E40" s="37" t="s">
        <v>6174</v>
      </c>
      <c r="G40" s="208" t="s">
        <v>6175</v>
      </c>
      <c r="J40" s="208" t="s">
        <v>6175</v>
      </c>
      <c r="K40" s="37" t="s">
        <v>6176</v>
      </c>
      <c r="L40" s="23" t="s">
        <v>6047</v>
      </c>
      <c r="N40" s="23" t="s">
        <v>6177</v>
      </c>
    </row>
    <row r="41">
      <c r="D41" s="23">
        <v>2000.0</v>
      </c>
      <c r="E41" s="209" t="s">
        <v>6178</v>
      </c>
      <c r="G41" s="37" t="s">
        <v>6179</v>
      </c>
      <c r="J41" s="37" t="s">
        <v>6180</v>
      </c>
      <c r="K41" s="37">
        <v>2000.0</v>
      </c>
      <c r="L41" s="99" t="s">
        <v>6181</v>
      </c>
      <c r="N41" s="23">
        <v>502.0</v>
      </c>
    </row>
    <row r="42">
      <c r="D42" s="23">
        <v>199.0</v>
      </c>
      <c r="E42" s="37">
        <v>2000.0</v>
      </c>
      <c r="G42" s="37">
        <v>1000.0</v>
      </c>
      <c r="J42" s="37">
        <v>2000.0</v>
      </c>
      <c r="K42" s="37">
        <v>230.0</v>
      </c>
      <c r="N42" s="23" t="s">
        <v>6182</v>
      </c>
    </row>
    <row r="43">
      <c r="E43" s="75">
        <v>237.0</v>
      </c>
      <c r="G43" s="75">
        <v>186.0</v>
      </c>
      <c r="J43" s="75">
        <v>220.0</v>
      </c>
      <c r="K43" s="75" t="s">
        <v>6183</v>
      </c>
      <c r="N43" s="23" t="s">
        <v>6184</v>
      </c>
    </row>
    <row r="44">
      <c r="J44" s="61" t="s">
        <v>6185</v>
      </c>
      <c r="N44" s="23" t="s">
        <v>6163</v>
      </c>
    </row>
    <row r="45">
      <c r="E45" s="1"/>
      <c r="G45" s="23" t="s">
        <v>6186</v>
      </c>
      <c r="N45" s="23" t="s">
        <v>6187</v>
      </c>
    </row>
    <row r="46">
      <c r="E46" s="1" t="s">
        <v>6188</v>
      </c>
      <c r="G46" s="23" t="s">
        <v>6189</v>
      </c>
      <c r="N46" s="23" t="s">
        <v>6190</v>
      </c>
    </row>
    <row r="47">
      <c r="G47" s="23" t="s">
        <v>6023</v>
      </c>
      <c r="K47" s="74" t="s">
        <v>6191</v>
      </c>
    </row>
    <row r="48">
      <c r="E48" s="117" t="s">
        <v>5585</v>
      </c>
      <c r="K48" s="74">
        <v>401.0</v>
      </c>
      <c r="N48" s="23" t="s">
        <v>6192</v>
      </c>
    </row>
    <row r="49">
      <c r="E49" s="37" t="s">
        <v>6193</v>
      </c>
      <c r="K49" s="74" t="s">
        <v>6194</v>
      </c>
      <c r="N49" s="23" t="s">
        <v>6195</v>
      </c>
    </row>
    <row r="50">
      <c r="E50" s="37" t="s">
        <v>6196</v>
      </c>
      <c r="K50" s="74" t="s">
        <v>6197</v>
      </c>
      <c r="N50" s="23" t="s">
        <v>6198</v>
      </c>
    </row>
    <row r="51">
      <c r="E51" s="37" t="s">
        <v>6199</v>
      </c>
      <c r="K51" s="74" t="s">
        <v>6200</v>
      </c>
      <c r="N51" s="23" t="s">
        <v>6201</v>
      </c>
    </row>
    <row r="52">
      <c r="E52" s="37" t="s">
        <v>6202</v>
      </c>
      <c r="K52" s="74" t="s">
        <v>6203</v>
      </c>
      <c r="N52" s="23" t="s">
        <v>6190</v>
      </c>
    </row>
    <row r="53">
      <c r="E53" s="206" t="s">
        <v>6204</v>
      </c>
      <c r="K53" s="74" t="s">
        <v>6205</v>
      </c>
    </row>
    <row r="54">
      <c r="E54" s="37">
        <v>3000.0</v>
      </c>
    </row>
    <row r="55">
      <c r="E55" s="75">
        <v>270.0</v>
      </c>
      <c r="K55" s="23" t="s">
        <v>6206</v>
      </c>
    </row>
    <row r="56">
      <c r="K56" s="23">
        <v>401.0</v>
      </c>
    </row>
    <row r="57">
      <c r="K57" s="23" t="s">
        <v>6207</v>
      </c>
    </row>
    <row r="58">
      <c r="K58" s="23" t="s">
        <v>6208</v>
      </c>
    </row>
    <row r="59">
      <c r="K59" s="77" t="s">
        <v>6209</v>
      </c>
    </row>
    <row r="60">
      <c r="K60" s="77" t="s">
        <v>6210</v>
      </c>
    </row>
    <row r="61">
      <c r="K61" s="23" t="s">
        <v>6205</v>
      </c>
    </row>
    <row r="62">
      <c r="K62" s="23" t="s">
        <v>6211</v>
      </c>
    </row>
    <row r="66">
      <c r="B66" s="1" t="s">
        <v>5475</v>
      </c>
      <c r="C66" s="1" t="s">
        <v>5463</v>
      </c>
      <c r="D66" s="1" t="s">
        <v>5464</v>
      </c>
      <c r="E66" s="1">
        <v>101.0</v>
      </c>
      <c r="F66" s="52">
        <v>102.0</v>
      </c>
      <c r="G66" s="1">
        <v>201.0</v>
      </c>
      <c r="H66" s="1">
        <v>202.0</v>
      </c>
      <c r="I66" s="1">
        <v>301.0</v>
      </c>
      <c r="J66" s="23">
        <v>302.0</v>
      </c>
      <c r="K66" s="1">
        <v>401.0</v>
      </c>
      <c r="L66" s="1">
        <v>402.0</v>
      </c>
      <c r="M66" s="1">
        <v>501.0</v>
      </c>
      <c r="N66" s="23">
        <v>502.0</v>
      </c>
      <c r="O66" s="1">
        <v>503.0</v>
      </c>
      <c r="Q66" s="1" t="s">
        <v>5998</v>
      </c>
    </row>
    <row r="67">
      <c r="B67" s="1" t="s">
        <v>5983</v>
      </c>
      <c r="C67" s="1" t="s">
        <v>6003</v>
      </c>
      <c r="D67" s="1" t="s">
        <v>6148</v>
      </c>
      <c r="E67" s="1" t="s">
        <v>5585</v>
      </c>
      <c r="F67" s="1" t="s">
        <v>5478</v>
      </c>
      <c r="H67" s="1" t="s">
        <v>5480</v>
      </c>
      <c r="I67" s="1" t="s">
        <v>6003</v>
      </c>
      <c r="J67" s="1" t="s">
        <v>6155</v>
      </c>
      <c r="K67" s="1" t="s">
        <v>5483</v>
      </c>
      <c r="L67" s="1" t="s">
        <v>6006</v>
      </c>
      <c r="M67" s="1" t="s">
        <v>5589</v>
      </c>
      <c r="N67" s="1" t="s">
        <v>5590</v>
      </c>
      <c r="O67" s="1" t="s">
        <v>6212</v>
      </c>
    </row>
    <row r="68">
      <c r="B68" s="1" t="s">
        <v>6062</v>
      </c>
      <c r="D68" s="1">
        <v>2000.0</v>
      </c>
      <c r="E68" s="1">
        <v>3000.0</v>
      </c>
      <c r="F68" s="1">
        <v>2000.0</v>
      </c>
      <c r="G68" s="1">
        <v>2000.0</v>
      </c>
      <c r="H68" s="1">
        <v>3000.0</v>
      </c>
      <c r="J68" s="1">
        <v>2000.0</v>
      </c>
      <c r="K68" s="1">
        <v>2000.0</v>
      </c>
      <c r="L68" s="1">
        <v>2000.0</v>
      </c>
      <c r="M68" s="1">
        <v>2000.0</v>
      </c>
      <c r="N68" s="1">
        <v>1500.0</v>
      </c>
      <c r="O68" s="1">
        <v>2000.0</v>
      </c>
      <c r="Q68">
        <f t="shared" ref="Q68:Q69" si="8">SUM(C68:O68)</f>
        <v>23500</v>
      </c>
    </row>
    <row r="69">
      <c r="B69" s="1" t="s">
        <v>6063</v>
      </c>
      <c r="C69" s="1">
        <v>100.0</v>
      </c>
      <c r="D69" s="1">
        <v>190.0</v>
      </c>
      <c r="E69" s="1">
        <v>270.0</v>
      </c>
      <c r="F69" s="1">
        <v>155.0</v>
      </c>
      <c r="G69" s="1">
        <v>190.0</v>
      </c>
      <c r="H69" s="1">
        <v>196.0</v>
      </c>
      <c r="I69" s="1">
        <v>250.0</v>
      </c>
      <c r="J69" s="1">
        <v>220.0</v>
      </c>
      <c r="K69" s="1">
        <v>230.0</v>
      </c>
      <c r="L69" s="1">
        <v>190.0</v>
      </c>
      <c r="M69" s="1">
        <v>150.0</v>
      </c>
      <c r="N69" s="1">
        <v>126.0</v>
      </c>
      <c r="O69" s="1">
        <v>124.0</v>
      </c>
      <c r="Q69">
        <f t="shared" si="8"/>
        <v>2391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2.75"/>
  <cols>
    <col customWidth="1" min="1" max="1" width="2.25"/>
    <col customWidth="1" min="2" max="2" width="10.63"/>
    <col customWidth="1" min="3" max="3" width="41.63"/>
    <col customWidth="1" min="4" max="4" width="25.13"/>
    <col customWidth="1" min="5" max="5" width="29.38"/>
    <col customWidth="1" min="6" max="6" width="88.13"/>
    <col customWidth="1" min="7" max="26" width="25.13"/>
  </cols>
  <sheetData>
    <row r="1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</row>
    <row r="4">
      <c r="A4" s="210"/>
      <c r="B4" s="211" t="s">
        <v>5475</v>
      </c>
      <c r="C4" s="211" t="s">
        <v>5983</v>
      </c>
      <c r="D4" s="211" t="s">
        <v>6213</v>
      </c>
      <c r="E4" s="211" t="s">
        <v>6214</v>
      </c>
      <c r="F4" s="210"/>
      <c r="G4" s="210"/>
      <c r="H4" s="212">
        <v>450000.0</v>
      </c>
      <c r="I4" s="212">
        <v>0.0275</v>
      </c>
      <c r="J4" s="210">
        <f t="shared" ref="J4:J5" si="1">H4*I4</f>
        <v>12375</v>
      </c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>
      <c r="A5" s="210"/>
      <c r="B5" s="211" t="s">
        <v>5463</v>
      </c>
      <c r="C5" s="211" t="s">
        <v>5985</v>
      </c>
      <c r="D5" s="211">
        <v>0.0</v>
      </c>
      <c r="E5" s="211">
        <v>100.0</v>
      </c>
      <c r="F5" s="210"/>
      <c r="G5" s="210"/>
      <c r="H5" s="212">
        <v>450000.0</v>
      </c>
      <c r="I5" s="212">
        <v>0.027</v>
      </c>
      <c r="J5" s="210">
        <f t="shared" si="1"/>
        <v>12150</v>
      </c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>
      <c r="A6" s="210"/>
      <c r="B6" s="211" t="s">
        <v>5464</v>
      </c>
      <c r="C6" s="211" t="s">
        <v>6215</v>
      </c>
      <c r="D6" s="211">
        <v>2000.0</v>
      </c>
      <c r="E6" s="211">
        <v>199.0</v>
      </c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>
      <c r="A7" s="210"/>
      <c r="B7" s="211">
        <v>101.0</v>
      </c>
      <c r="C7" s="211" t="s">
        <v>5585</v>
      </c>
      <c r="D7" s="211">
        <v>3000.0</v>
      </c>
      <c r="E7" s="211">
        <v>283.0</v>
      </c>
      <c r="F7" s="210"/>
      <c r="G7" s="210"/>
      <c r="H7" s="212">
        <v>340000.0</v>
      </c>
      <c r="I7" s="212">
        <v>0.028</v>
      </c>
      <c r="J7" s="210">
        <f t="shared" ref="J7:J9" si="2">H7*I7</f>
        <v>9520</v>
      </c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>
      <c r="A8" s="210"/>
      <c r="B8" s="211">
        <v>102.0</v>
      </c>
      <c r="C8" s="211" t="s">
        <v>6216</v>
      </c>
      <c r="D8" s="211">
        <v>2000.0</v>
      </c>
      <c r="E8" s="211">
        <v>155.0</v>
      </c>
      <c r="F8" s="210"/>
      <c r="G8" s="210"/>
      <c r="H8" s="212">
        <v>70000.0</v>
      </c>
      <c r="I8" s="212">
        <v>0.028</v>
      </c>
      <c r="J8" s="210">
        <f t="shared" si="2"/>
        <v>1960</v>
      </c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>
      <c r="A9" s="210"/>
      <c r="B9" s="211">
        <v>201.0</v>
      </c>
      <c r="C9" s="211" t="s">
        <v>6217</v>
      </c>
      <c r="D9" s="211">
        <v>2000.0</v>
      </c>
      <c r="E9" s="211">
        <v>189.0</v>
      </c>
      <c r="F9" s="210"/>
      <c r="G9" s="210"/>
      <c r="H9" s="212">
        <v>40000.0</v>
      </c>
      <c r="I9" s="212">
        <v>0.0447</v>
      </c>
      <c r="J9" s="210">
        <f t="shared" si="2"/>
        <v>1788</v>
      </c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>
      <c r="A10" s="210"/>
      <c r="B10" s="211">
        <v>202.0</v>
      </c>
      <c r="C10" s="211" t="s">
        <v>5920</v>
      </c>
      <c r="D10" s="211">
        <v>2000.0</v>
      </c>
      <c r="E10" s="211">
        <v>200.0</v>
      </c>
      <c r="F10" s="210"/>
      <c r="G10" s="210"/>
      <c r="J10" s="210">
        <f>SUM(J7:J9)</f>
        <v>13268</v>
      </c>
      <c r="K10" s="210">
        <f>J10-J5</f>
        <v>1118</v>
      </c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</row>
    <row r="11">
      <c r="A11" s="210"/>
      <c r="B11" s="211">
        <v>301.0</v>
      </c>
      <c r="C11" s="211" t="s">
        <v>5985</v>
      </c>
      <c r="D11" s="211">
        <v>0.0</v>
      </c>
      <c r="E11" s="211">
        <v>250.0</v>
      </c>
      <c r="F11" s="210"/>
      <c r="G11" s="210"/>
      <c r="H11" s="210"/>
      <c r="I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>
      <c r="A12" s="210"/>
      <c r="B12" s="211">
        <v>302.0</v>
      </c>
      <c r="C12" s="211" t="s">
        <v>6218</v>
      </c>
      <c r="D12" s="211">
        <v>2000.0</v>
      </c>
      <c r="E12" s="211">
        <v>215.0</v>
      </c>
      <c r="F12" s="210"/>
      <c r="G12" s="210"/>
      <c r="H12" s="212">
        <v>450000.0</v>
      </c>
      <c r="I12" s="212">
        <v>0.028</v>
      </c>
      <c r="J12" s="210">
        <f>H12*I12</f>
        <v>12600</v>
      </c>
      <c r="K12" s="210">
        <f>J12-J5</f>
        <v>450</v>
      </c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</row>
    <row r="13">
      <c r="A13" s="210"/>
      <c r="B13" s="211">
        <v>401.0</v>
      </c>
      <c r="C13" s="211" t="s">
        <v>6219</v>
      </c>
      <c r="D13" s="211">
        <v>2000.0</v>
      </c>
      <c r="E13" s="211">
        <v>240.0</v>
      </c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r="14">
      <c r="A14" s="210"/>
      <c r="B14" s="211">
        <v>402.0</v>
      </c>
      <c r="C14" s="211" t="s">
        <v>6006</v>
      </c>
      <c r="D14" s="211">
        <v>2000.0</v>
      </c>
      <c r="E14" s="211">
        <v>199.0</v>
      </c>
      <c r="F14" s="210"/>
      <c r="G14" s="213" t="s">
        <v>5697</v>
      </c>
      <c r="H14" s="213">
        <v>450000.0</v>
      </c>
      <c r="I14" s="213">
        <v>0.0265</v>
      </c>
      <c r="J14" s="214">
        <f>H14*I14</f>
        <v>11925</v>
      </c>
      <c r="K14" s="213" t="s">
        <v>6220</v>
      </c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</row>
    <row r="15">
      <c r="A15" s="210"/>
      <c r="B15" s="211">
        <v>501.0</v>
      </c>
      <c r="C15" s="211" t="s">
        <v>6221</v>
      </c>
      <c r="D15" s="211">
        <v>2000.0</v>
      </c>
      <c r="E15" s="211">
        <v>157.0</v>
      </c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</row>
    <row r="16">
      <c r="A16" s="210"/>
      <c r="B16" s="211">
        <v>502.0</v>
      </c>
      <c r="C16" s="211" t="s">
        <v>6006</v>
      </c>
      <c r="D16" s="211">
        <v>1500.0</v>
      </c>
      <c r="E16" s="211">
        <v>135.0</v>
      </c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</row>
    <row r="17">
      <c r="A17" s="210"/>
      <c r="B17" s="211">
        <v>503.0</v>
      </c>
      <c r="C17" s="211" t="s">
        <v>6222</v>
      </c>
      <c r="D17" s="211">
        <v>1500.0</v>
      </c>
      <c r="E17" s="211">
        <v>120.0</v>
      </c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</row>
    <row r="18">
      <c r="A18" s="210"/>
      <c r="B18" s="215" t="s">
        <v>5998</v>
      </c>
      <c r="C18" s="216"/>
      <c r="D18" s="216">
        <f t="shared" ref="D18:E18" si="3">SUM(D5:D17)</f>
        <v>22000</v>
      </c>
      <c r="E18" s="216">
        <f t="shared" si="3"/>
        <v>2442</v>
      </c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>
      <c r="A19" s="210"/>
      <c r="B19" s="210"/>
      <c r="C19" s="210"/>
      <c r="D19" s="210"/>
      <c r="E19" s="212" t="s">
        <v>5826</v>
      </c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>
      <c r="A20" s="210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</row>
    <row r="21">
      <c r="A21" s="210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</row>
    <row r="22">
      <c r="A22" s="210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r="23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r="24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r="25">
      <c r="A25" s="210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r="26">
      <c r="A26" s="2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r="27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r="28">
      <c r="A28" s="210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r="29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r="30">
      <c r="A30" s="210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r="31">
      <c r="A31" s="210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r="32">
      <c r="A32" s="210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r="33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r="34">
      <c r="A34" s="210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r="35">
      <c r="A35" s="210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r="36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r="37">
      <c r="A37" s="210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r="38">
      <c r="A38" s="210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>
      <c r="A39" s="210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</row>
    <row r="40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</row>
    <row r="41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</row>
    <row r="42">
      <c r="A42" s="210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</row>
    <row r="43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</row>
    <row r="44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</row>
    <row r="45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</row>
    <row r="46">
      <c r="A46" s="210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</row>
    <row r="47">
      <c r="A47" s="210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</row>
    <row r="48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</row>
    <row r="49">
      <c r="A49" s="210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</row>
    <row r="50">
      <c r="A50" s="210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</row>
    <row r="51">
      <c r="A51" s="210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</row>
    <row r="52">
      <c r="A52" s="210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>
      <c r="A53" s="210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</row>
    <row r="54">
      <c r="A54" s="210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</row>
    <row r="5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</row>
    <row r="56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</row>
    <row r="57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</row>
    <row r="58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</row>
    <row r="59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</row>
    <row r="60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</row>
    <row r="61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</row>
    <row r="62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</row>
    <row r="63">
      <c r="A63" s="210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</row>
    <row r="64">
      <c r="A64" s="210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</row>
    <row r="65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</row>
    <row r="66">
      <c r="A66" s="210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</row>
    <row r="67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</row>
    <row r="68">
      <c r="A68" s="210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</row>
    <row r="69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</row>
    <row r="70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</row>
    <row r="71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</row>
    <row r="72">
      <c r="A72" s="210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</row>
    <row r="73">
      <c r="A73" s="210"/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>
      <c r="A74" s="210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</row>
    <row r="75">
      <c r="A75" s="210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</row>
    <row r="76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</row>
    <row r="77">
      <c r="A77" s="210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</row>
    <row r="78">
      <c r="A78" s="210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</row>
    <row r="79">
      <c r="A79" s="210"/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</row>
    <row r="80">
      <c r="A80" s="210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</row>
    <row r="81">
      <c r="A81" s="210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>
      <c r="A83" s="210"/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>
      <c r="A84" s="210"/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</row>
    <row r="100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</row>
    <row r="101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</row>
    <row r="10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</row>
    <row r="116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</row>
    <row r="117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</row>
    <row r="118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</row>
    <row r="120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</row>
    <row r="12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</row>
    <row r="123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</row>
    <row r="124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</row>
    <row r="125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</row>
    <row r="126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</row>
    <row r="127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</row>
    <row r="128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</row>
    <row r="129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</row>
    <row r="131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</row>
    <row r="13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</row>
    <row r="133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</row>
    <row r="134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</row>
    <row r="135">
      <c r="A135" s="210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</row>
    <row r="136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</row>
    <row r="137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</row>
    <row r="138">
      <c r="A138" s="210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</row>
    <row r="139">
      <c r="A139" s="210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</row>
    <row r="140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</row>
    <row r="141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</row>
    <row r="14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</row>
    <row r="143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</row>
    <row r="144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</row>
    <row r="145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</row>
    <row r="146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</row>
    <row r="147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</row>
    <row r="148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</row>
    <row r="149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</row>
    <row r="150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</row>
    <row r="151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</row>
    <row r="15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</row>
    <row r="153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</row>
    <row r="154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</row>
    <row r="155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</row>
    <row r="156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</row>
    <row r="157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</row>
    <row r="158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</row>
    <row r="159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</row>
    <row r="160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</row>
    <row r="161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</row>
    <row r="16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</row>
    <row r="163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</row>
    <row r="164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</row>
    <row r="165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</row>
    <row r="166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</row>
    <row r="167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</row>
    <row r="168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</row>
    <row r="169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</row>
    <row r="170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</row>
    <row r="171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</row>
    <row r="17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</row>
    <row r="173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</row>
    <row r="174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</row>
    <row r="175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</row>
    <row r="176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</row>
    <row r="177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</row>
    <row r="178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</row>
    <row r="179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</row>
    <row r="180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</row>
    <row r="181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</row>
    <row r="18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</row>
    <row r="183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</row>
    <row r="184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</row>
    <row r="185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</row>
    <row r="186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</row>
    <row r="187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</row>
    <row r="188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</row>
    <row r="189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</row>
    <row r="190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</row>
    <row r="191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</row>
    <row r="19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</row>
    <row r="193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</row>
    <row r="194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</row>
    <row r="195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</row>
    <row r="196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</row>
    <row r="197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</row>
    <row r="198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</row>
    <row r="199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</row>
    <row r="200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</row>
    <row r="201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</row>
    <row r="20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</row>
    <row r="203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</row>
    <row r="204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</row>
    <row r="205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</row>
    <row r="206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</row>
    <row r="207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</row>
    <row r="208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</row>
    <row r="209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</row>
    <row r="210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</row>
    <row r="211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</row>
    <row r="21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</row>
    <row r="213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</row>
    <row r="214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</row>
    <row r="215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</row>
    <row r="216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</row>
    <row r="217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</row>
    <row r="218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</row>
    <row r="219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</row>
    <row r="220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</row>
    <row r="221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</row>
    <row r="22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</row>
    <row r="223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</row>
    <row r="224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</row>
    <row r="225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</row>
    <row r="226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</row>
    <row r="227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</row>
    <row r="228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</row>
    <row r="229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</row>
    <row r="230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</row>
    <row r="231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</row>
    <row r="23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</row>
    <row r="233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</row>
    <row r="234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</row>
    <row r="235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</row>
    <row r="236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</row>
    <row r="237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</row>
    <row r="238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</row>
    <row r="239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</row>
    <row r="240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</row>
    <row r="241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</row>
    <row r="24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</row>
    <row r="243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</row>
    <row r="244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</row>
    <row r="245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</row>
    <row r="246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</row>
    <row r="247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</row>
    <row r="248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</row>
    <row r="249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</row>
    <row r="250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</row>
    <row r="251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</row>
    <row r="25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</row>
    <row r="253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</row>
    <row r="254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</row>
    <row r="255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</row>
    <row r="256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</row>
    <row r="257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</row>
    <row r="258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</row>
    <row r="259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</row>
    <row r="260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</row>
    <row r="261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</row>
    <row r="26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</row>
    <row r="263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</row>
    <row r="264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</row>
    <row r="265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</row>
    <row r="266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</row>
    <row r="267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</row>
    <row r="268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</row>
    <row r="269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</row>
    <row r="270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</row>
    <row r="271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</row>
    <row r="27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</row>
    <row r="273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</row>
    <row r="274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</row>
    <row r="275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</row>
    <row r="276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</row>
    <row r="277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</row>
    <row r="278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</row>
    <row r="279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</row>
    <row r="280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</row>
    <row r="281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</row>
    <row r="28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</row>
    <row r="283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</row>
    <row r="284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</row>
    <row r="285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</row>
    <row r="286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</row>
    <row r="287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</row>
    <row r="288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</row>
    <row r="289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</row>
    <row r="290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</row>
    <row r="291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</row>
    <row r="29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</row>
    <row r="293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</row>
    <row r="294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</row>
    <row r="295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</row>
    <row r="296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</row>
    <row r="297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</row>
    <row r="298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</row>
    <row r="299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</row>
    <row r="300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</row>
    <row r="301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</row>
    <row r="30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</row>
    <row r="303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</row>
    <row r="304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</row>
    <row r="305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</row>
    <row r="306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</row>
    <row r="307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</row>
    <row r="308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</row>
    <row r="309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</row>
    <row r="310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</row>
    <row r="311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</row>
    <row r="31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</row>
    <row r="313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</row>
    <row r="314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</row>
    <row r="315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</row>
    <row r="316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</row>
    <row r="317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</row>
    <row r="318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</row>
    <row r="319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</row>
    <row r="320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</row>
    <row r="321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</row>
    <row r="32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</row>
    <row r="323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</row>
    <row r="324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</row>
    <row r="325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</row>
    <row r="326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</row>
    <row r="327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</row>
    <row r="328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</row>
    <row r="329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</row>
    <row r="330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</row>
    <row r="331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</row>
    <row r="33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</row>
    <row r="333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</row>
    <row r="334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</row>
    <row r="335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</row>
    <row r="336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</row>
    <row r="337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</row>
    <row r="338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</row>
    <row r="339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</row>
    <row r="340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</row>
    <row r="341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</row>
    <row r="34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</row>
    <row r="343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</row>
    <row r="344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</row>
    <row r="345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</row>
    <row r="346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</row>
    <row r="347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</row>
    <row r="348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</row>
    <row r="349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</row>
    <row r="350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</row>
    <row r="351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</row>
    <row r="35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</row>
    <row r="353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</row>
    <row r="354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</row>
    <row r="355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</row>
    <row r="356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</row>
    <row r="357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</row>
    <row r="358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</row>
    <row r="359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</row>
    <row r="360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</row>
    <row r="361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</row>
    <row r="36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</row>
    <row r="363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</row>
    <row r="364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</row>
    <row r="365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</row>
    <row r="366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</row>
    <row r="367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</row>
    <row r="368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</row>
    <row r="369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</row>
    <row r="370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</row>
    <row r="371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</row>
    <row r="37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</row>
    <row r="373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</row>
    <row r="374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</row>
    <row r="375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</row>
    <row r="376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</row>
    <row r="377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</row>
    <row r="378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</row>
    <row r="379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</row>
    <row r="380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</row>
    <row r="381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</row>
    <row r="38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</row>
    <row r="383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</row>
    <row r="384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</row>
    <row r="385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</row>
    <row r="386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</row>
    <row r="387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</row>
    <row r="388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</row>
    <row r="389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</row>
    <row r="390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</row>
    <row r="391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</row>
    <row r="39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</row>
    <row r="393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</row>
    <row r="394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</row>
    <row r="395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</row>
    <row r="396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</row>
    <row r="397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</row>
    <row r="398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</row>
    <row r="399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</row>
    <row r="400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</row>
    <row r="401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</row>
    <row r="40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</row>
    <row r="403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</row>
    <row r="404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</row>
    <row r="405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</row>
    <row r="406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</row>
    <row r="407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</row>
    <row r="408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</row>
    <row r="409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</row>
    <row r="410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</row>
    <row r="411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</row>
    <row r="41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</row>
    <row r="413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</row>
    <row r="414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</row>
    <row r="415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</row>
    <row r="416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</row>
    <row r="417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</row>
    <row r="418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</row>
    <row r="419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</row>
    <row r="420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</row>
    <row r="421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</row>
    <row r="42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</row>
    <row r="423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</row>
    <row r="424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</row>
    <row r="425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</row>
    <row r="426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</row>
    <row r="427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</row>
    <row r="428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</row>
    <row r="429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</row>
    <row r="430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</row>
    <row r="431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</row>
    <row r="43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</row>
    <row r="433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</row>
    <row r="434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</row>
    <row r="435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</row>
    <row r="436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</row>
    <row r="437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</row>
    <row r="438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</row>
    <row r="439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</row>
    <row r="440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</row>
    <row r="441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</row>
    <row r="44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</row>
    <row r="443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</row>
    <row r="444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</row>
    <row r="445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</row>
    <row r="446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</row>
    <row r="447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</row>
    <row r="448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</row>
    <row r="449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</row>
    <row r="450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</row>
    <row r="451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</row>
    <row r="45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</row>
    <row r="453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</row>
    <row r="454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</row>
    <row r="455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</row>
    <row r="456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</row>
    <row r="457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</row>
    <row r="458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</row>
    <row r="459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</row>
    <row r="460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</row>
    <row r="461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</row>
    <row r="46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</row>
    <row r="463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</row>
    <row r="464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</row>
    <row r="465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</row>
    <row r="466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</row>
    <row r="467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</row>
    <row r="468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</row>
    <row r="469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</row>
    <row r="470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</row>
    <row r="471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</row>
    <row r="525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</row>
    <row r="526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</row>
    <row r="527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</row>
    <row r="528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</row>
    <row r="529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</row>
    <row r="530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</row>
    <row r="531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</row>
    <row r="53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</row>
    <row r="533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</row>
    <row r="534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</row>
    <row r="535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</row>
    <row r="536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</row>
    <row r="537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</row>
    <row r="538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</row>
    <row r="539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</row>
    <row r="540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</row>
    <row r="541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</row>
    <row r="54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</row>
    <row r="543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</row>
    <row r="544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</row>
    <row r="545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</row>
    <row r="546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</row>
    <row r="547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</row>
    <row r="548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</row>
    <row r="549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</row>
    <row r="550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</row>
    <row r="551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</row>
    <row r="55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</row>
    <row r="553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</row>
    <row r="554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</row>
    <row r="555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</row>
    <row r="556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</row>
    <row r="557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</row>
    <row r="558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</row>
    <row r="559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</row>
    <row r="560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</row>
    <row r="561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</row>
    <row r="56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</row>
    <row r="563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</row>
    <row r="564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</row>
    <row r="565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</row>
    <row r="566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</row>
    <row r="567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</row>
    <row r="568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</row>
    <row r="569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</row>
    <row r="570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</row>
    <row r="571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</row>
    <row r="57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</row>
    <row r="573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</row>
    <row r="574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</row>
    <row r="575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</row>
    <row r="576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</row>
    <row r="577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</row>
    <row r="578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</row>
    <row r="579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</row>
    <row r="580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</row>
    <row r="581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</row>
    <row r="58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</row>
    <row r="583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</row>
    <row r="584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</row>
    <row r="585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</row>
    <row r="586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</row>
    <row r="587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</row>
    <row r="588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</row>
    <row r="589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</row>
    <row r="590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</row>
    <row r="591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</row>
    <row r="59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</row>
    <row r="593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</row>
    <row r="594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</row>
    <row r="595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</row>
    <row r="596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</row>
    <row r="597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</row>
    <row r="598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</row>
    <row r="599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</row>
    <row r="600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</row>
    <row r="601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</row>
    <row r="60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</row>
    <row r="603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</row>
    <row r="604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</row>
    <row r="605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</row>
    <row r="606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</row>
    <row r="607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</row>
    <row r="608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</row>
    <row r="609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</row>
    <row r="610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</row>
    <row r="611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</row>
    <row r="61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</row>
    <row r="613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</row>
    <row r="614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</row>
    <row r="615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</row>
    <row r="616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</row>
    <row r="617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</row>
    <row r="618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</row>
    <row r="619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</row>
    <row r="620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</row>
    <row r="621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</row>
    <row r="62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</row>
    <row r="623">
      <c r="A623" s="210"/>
      <c r="B623" s="210"/>
      <c r="C623" s="210"/>
      <c r="D623" s="210"/>
      <c r="E623" s="210"/>
      <c r="F623" s="210"/>
      <c r="G623" s="210"/>
      <c r="H623" s="210"/>
      <c r="I623" s="210"/>
      <c r="J623" s="210"/>
      <c r="K623" s="210"/>
      <c r="L623" s="210"/>
      <c r="M623" s="210"/>
      <c r="N623" s="210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</row>
    <row r="624">
      <c r="A624" s="210"/>
      <c r="B624" s="210"/>
      <c r="C624" s="210"/>
      <c r="D624" s="210"/>
      <c r="E624" s="210"/>
      <c r="F624" s="210"/>
      <c r="G624" s="210"/>
      <c r="H624" s="210"/>
      <c r="I624" s="210"/>
      <c r="J624" s="210"/>
      <c r="K624" s="210"/>
      <c r="L624" s="210"/>
      <c r="M624" s="210"/>
      <c r="N624" s="210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</row>
    <row r="625">
      <c r="A625" s="210"/>
      <c r="B625" s="210"/>
      <c r="C625" s="210"/>
      <c r="D625" s="210"/>
      <c r="E625" s="210"/>
      <c r="F625" s="210"/>
      <c r="G625" s="210"/>
      <c r="H625" s="210"/>
      <c r="I625" s="210"/>
      <c r="J625" s="210"/>
      <c r="K625" s="210"/>
      <c r="L625" s="210"/>
      <c r="M625" s="210"/>
      <c r="N625" s="210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</row>
    <row r="626">
      <c r="A626" s="210"/>
      <c r="B626" s="210"/>
      <c r="C626" s="210"/>
      <c r="D626" s="210"/>
      <c r="E626" s="210"/>
      <c r="F626" s="210"/>
      <c r="G626" s="210"/>
      <c r="H626" s="210"/>
      <c r="I626" s="210"/>
      <c r="J626" s="210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</row>
    <row r="627">
      <c r="A627" s="210"/>
      <c r="B627" s="210"/>
      <c r="C627" s="210"/>
      <c r="D627" s="210"/>
      <c r="E627" s="210"/>
      <c r="F627" s="210"/>
      <c r="G627" s="210"/>
      <c r="H627" s="210"/>
      <c r="I627" s="210"/>
      <c r="J627" s="210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</row>
    <row r="628">
      <c r="A628" s="210"/>
      <c r="B628" s="210"/>
      <c r="C628" s="210"/>
      <c r="D628" s="210"/>
      <c r="E628" s="210"/>
      <c r="F628" s="210"/>
      <c r="G628" s="210"/>
      <c r="H628" s="210"/>
      <c r="I628" s="210"/>
      <c r="J628" s="210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</row>
    <row r="629">
      <c r="A629" s="210"/>
      <c r="B629" s="210"/>
      <c r="C629" s="210"/>
      <c r="D629" s="210"/>
      <c r="E629" s="210"/>
      <c r="F629" s="210"/>
      <c r="G629" s="210"/>
      <c r="H629" s="210"/>
      <c r="I629" s="210"/>
      <c r="J629" s="210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</row>
    <row r="630">
      <c r="A630" s="210"/>
      <c r="B630" s="210"/>
      <c r="C630" s="210"/>
      <c r="D630" s="210"/>
      <c r="E630" s="210"/>
      <c r="F630" s="210"/>
      <c r="G630" s="210"/>
      <c r="H630" s="210"/>
      <c r="I630" s="210"/>
      <c r="J630" s="210"/>
      <c r="K630" s="210"/>
      <c r="L630" s="210"/>
      <c r="M630" s="210"/>
      <c r="N630" s="210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</row>
    <row r="631">
      <c r="A631" s="210"/>
      <c r="B631" s="210"/>
      <c r="C631" s="210"/>
      <c r="D631" s="210"/>
      <c r="E631" s="210"/>
      <c r="F631" s="210"/>
      <c r="G631" s="210"/>
      <c r="H631" s="210"/>
      <c r="I631" s="210"/>
      <c r="J631" s="210"/>
      <c r="K631" s="210"/>
      <c r="L631" s="210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</row>
    <row r="632">
      <c r="A632" s="210"/>
      <c r="B632" s="210"/>
      <c r="C632" s="210"/>
      <c r="D632" s="210"/>
      <c r="E632" s="210"/>
      <c r="F632" s="210"/>
      <c r="G632" s="210"/>
      <c r="H632" s="210"/>
      <c r="I632" s="210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</row>
    <row r="633">
      <c r="A633" s="210"/>
      <c r="B633" s="210"/>
      <c r="C633" s="210"/>
      <c r="D633" s="210"/>
      <c r="E633" s="210"/>
      <c r="F633" s="210"/>
      <c r="G633" s="210"/>
      <c r="H633" s="210"/>
      <c r="I633" s="210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</row>
    <row r="634">
      <c r="A634" s="210"/>
      <c r="B634" s="210"/>
      <c r="C634" s="210"/>
      <c r="D634" s="210"/>
      <c r="E634" s="210"/>
      <c r="F634" s="210"/>
      <c r="G634" s="210"/>
      <c r="H634" s="210"/>
      <c r="I634" s="210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</row>
    <row r="635">
      <c r="A635" s="210"/>
      <c r="B635" s="210"/>
      <c r="C635" s="210"/>
      <c r="D635" s="210"/>
      <c r="E635" s="210"/>
      <c r="F635" s="210"/>
      <c r="G635" s="210"/>
      <c r="H635" s="210"/>
      <c r="I635" s="210"/>
      <c r="J635" s="210"/>
      <c r="K635" s="210"/>
      <c r="L635" s="210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</row>
    <row r="636">
      <c r="A636" s="210"/>
      <c r="B636" s="210"/>
      <c r="C636" s="210"/>
      <c r="D636" s="210"/>
      <c r="E636" s="210"/>
      <c r="F636" s="210"/>
      <c r="G636" s="210"/>
      <c r="H636" s="210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</row>
    <row r="637">
      <c r="A637" s="210"/>
      <c r="B637" s="210"/>
      <c r="C637" s="210"/>
      <c r="D637" s="210"/>
      <c r="E637" s="210"/>
      <c r="F637" s="210"/>
      <c r="G637" s="210"/>
      <c r="H637" s="210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</row>
    <row r="638">
      <c r="A638" s="210"/>
      <c r="B638" s="210"/>
      <c r="C638" s="210"/>
      <c r="D638" s="210"/>
      <c r="E638" s="210"/>
      <c r="F638" s="210"/>
      <c r="G638" s="210"/>
      <c r="H638" s="210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</row>
    <row r="639">
      <c r="A639" s="210"/>
      <c r="B639" s="210"/>
      <c r="C639" s="210"/>
      <c r="D639" s="210"/>
      <c r="E639" s="210"/>
      <c r="F639" s="210"/>
      <c r="G639" s="210"/>
      <c r="H639" s="210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</row>
    <row r="640">
      <c r="A640" s="210"/>
      <c r="B640" s="210"/>
      <c r="C640" s="210"/>
      <c r="D640" s="210"/>
      <c r="E640" s="210"/>
      <c r="F640" s="210"/>
      <c r="G640" s="210"/>
      <c r="H640" s="210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</row>
    <row r="641">
      <c r="A641" s="210"/>
      <c r="B641" s="210"/>
      <c r="C641" s="210"/>
      <c r="D641" s="210"/>
      <c r="E641" s="210"/>
      <c r="F641" s="210"/>
      <c r="G641" s="210"/>
      <c r="H641" s="210"/>
      <c r="I641" s="210"/>
      <c r="J641" s="210"/>
      <c r="K641" s="210"/>
      <c r="L641" s="210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</row>
    <row r="642">
      <c r="A642" s="210"/>
      <c r="B642" s="210"/>
      <c r="C642" s="210"/>
      <c r="D642" s="210"/>
      <c r="E642" s="210"/>
      <c r="F642" s="210"/>
      <c r="G642" s="210"/>
      <c r="H642" s="210"/>
      <c r="I642" s="210"/>
      <c r="J642" s="210"/>
      <c r="K642" s="210"/>
      <c r="L642" s="210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</row>
    <row r="643">
      <c r="A643" s="210"/>
      <c r="B643" s="210"/>
      <c r="C643" s="210"/>
      <c r="D643" s="210"/>
      <c r="E643" s="210"/>
      <c r="F643" s="210"/>
      <c r="G643" s="210"/>
      <c r="H643" s="210"/>
      <c r="I643" s="210"/>
      <c r="J643" s="210"/>
      <c r="K643" s="210"/>
      <c r="L643" s="210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</row>
    <row r="644">
      <c r="A644" s="210"/>
      <c r="B644" s="210"/>
      <c r="C644" s="210"/>
      <c r="D644" s="210"/>
      <c r="E644" s="210"/>
      <c r="F644" s="210"/>
      <c r="G644" s="210"/>
      <c r="H644" s="210"/>
      <c r="I644" s="210"/>
      <c r="J644" s="210"/>
      <c r="K644" s="210"/>
      <c r="L644" s="210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</row>
    <row r="645">
      <c r="A645" s="210"/>
      <c r="B645" s="210"/>
      <c r="C645" s="210"/>
      <c r="D645" s="210"/>
      <c r="E645" s="210"/>
      <c r="F645" s="210"/>
      <c r="G645" s="210"/>
      <c r="H645" s="210"/>
      <c r="I645" s="210"/>
      <c r="J645" s="210"/>
      <c r="K645" s="210"/>
      <c r="L645" s="210"/>
      <c r="M645" s="210"/>
      <c r="N645" s="210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</row>
    <row r="646">
      <c r="A646" s="210"/>
      <c r="B646" s="210"/>
      <c r="C646" s="210"/>
      <c r="D646" s="210"/>
      <c r="E646" s="210"/>
      <c r="F646" s="210"/>
      <c r="G646" s="210"/>
      <c r="H646" s="210"/>
      <c r="I646" s="210"/>
      <c r="J646" s="210"/>
      <c r="K646" s="210"/>
      <c r="L646" s="210"/>
      <c r="M646" s="210"/>
      <c r="N646" s="210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</row>
    <row r="647">
      <c r="A647" s="210"/>
      <c r="B647" s="210"/>
      <c r="C647" s="210"/>
      <c r="D647" s="210"/>
      <c r="E647" s="210"/>
      <c r="F647" s="210"/>
      <c r="G647" s="210"/>
      <c r="H647" s="210"/>
      <c r="I647" s="210"/>
      <c r="J647" s="210"/>
      <c r="K647" s="210"/>
      <c r="L647" s="210"/>
      <c r="M647" s="210"/>
      <c r="N647" s="210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</row>
    <row r="648">
      <c r="A648" s="210"/>
      <c r="B648" s="210"/>
      <c r="C648" s="210"/>
      <c r="D648" s="210"/>
      <c r="E648" s="210"/>
      <c r="F648" s="210"/>
      <c r="G648" s="210"/>
      <c r="H648" s="210"/>
      <c r="I648" s="210"/>
      <c r="J648" s="210"/>
      <c r="K648" s="210"/>
      <c r="L648" s="210"/>
      <c r="M648" s="210"/>
      <c r="N648" s="210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</row>
    <row r="649">
      <c r="A649" s="210"/>
      <c r="B649" s="210"/>
      <c r="C649" s="210"/>
      <c r="D649" s="210"/>
      <c r="E649" s="210"/>
      <c r="F649" s="210"/>
      <c r="G649" s="210"/>
      <c r="H649" s="210"/>
      <c r="I649" s="210"/>
      <c r="J649" s="210"/>
      <c r="K649" s="210"/>
      <c r="L649" s="210"/>
      <c r="M649" s="210"/>
      <c r="N649" s="210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</row>
    <row r="650">
      <c r="A650" s="210"/>
      <c r="B650" s="210"/>
      <c r="C650" s="210"/>
      <c r="D650" s="210"/>
      <c r="E650" s="210"/>
      <c r="F650" s="210"/>
      <c r="G650" s="210"/>
      <c r="H650" s="210"/>
      <c r="I650" s="210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</row>
    <row r="651">
      <c r="A651" s="210"/>
      <c r="B651" s="210"/>
      <c r="C651" s="210"/>
      <c r="D651" s="210"/>
      <c r="E651" s="210"/>
      <c r="F651" s="210"/>
      <c r="G651" s="210"/>
      <c r="H651" s="210"/>
      <c r="I651" s="210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</row>
    <row r="652">
      <c r="A652" s="210"/>
      <c r="B652" s="210"/>
      <c r="C652" s="210"/>
      <c r="D652" s="210"/>
      <c r="E652" s="210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</row>
    <row r="653">
      <c r="A653" s="210"/>
      <c r="B653" s="210"/>
      <c r="C653" s="210"/>
      <c r="D653" s="210"/>
      <c r="E653" s="210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</row>
    <row r="654">
      <c r="A654" s="210"/>
      <c r="B654" s="210"/>
      <c r="C654" s="210"/>
      <c r="D654" s="210"/>
      <c r="E654" s="210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</row>
    <row r="655">
      <c r="A655" s="210"/>
      <c r="B655" s="210"/>
      <c r="C655" s="210"/>
      <c r="D655" s="210"/>
      <c r="E655" s="210"/>
      <c r="F655" s="210"/>
      <c r="G655" s="210"/>
      <c r="H655" s="210"/>
      <c r="I655" s="210"/>
      <c r="J655" s="210"/>
      <c r="K655" s="210"/>
      <c r="L655" s="210"/>
      <c r="M655" s="210"/>
      <c r="N655" s="210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</row>
    <row r="656">
      <c r="A656" s="210"/>
      <c r="B656" s="210"/>
      <c r="C656" s="210"/>
      <c r="D656" s="210"/>
      <c r="E656" s="210"/>
      <c r="F656" s="210"/>
      <c r="G656" s="210"/>
      <c r="H656" s="210"/>
      <c r="I656" s="210"/>
      <c r="J656" s="210"/>
      <c r="K656" s="210"/>
      <c r="L656" s="210"/>
      <c r="M656" s="210"/>
      <c r="N656" s="210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</row>
    <row r="657">
      <c r="A657" s="210"/>
      <c r="B657" s="210"/>
      <c r="C657" s="210"/>
      <c r="D657" s="210"/>
      <c r="E657" s="210"/>
      <c r="F657" s="210"/>
      <c r="G657" s="210"/>
      <c r="H657" s="210"/>
      <c r="I657" s="210"/>
      <c r="J657" s="210"/>
      <c r="K657" s="210"/>
      <c r="L657" s="210"/>
      <c r="M657" s="210"/>
      <c r="N657" s="210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</row>
    <row r="658">
      <c r="A658" s="210"/>
      <c r="B658" s="210"/>
      <c r="C658" s="210"/>
      <c r="D658" s="210"/>
      <c r="E658" s="210"/>
      <c r="F658" s="210"/>
      <c r="G658" s="210"/>
      <c r="H658" s="210"/>
      <c r="I658" s="210"/>
      <c r="J658" s="210"/>
      <c r="K658" s="210"/>
      <c r="L658" s="210"/>
      <c r="M658" s="210"/>
      <c r="N658" s="210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</row>
    <row r="659">
      <c r="A659" s="210"/>
      <c r="B659" s="210"/>
      <c r="C659" s="210"/>
      <c r="D659" s="210"/>
      <c r="E659" s="210"/>
      <c r="F659" s="210"/>
      <c r="G659" s="210"/>
      <c r="H659" s="210"/>
      <c r="I659" s="210"/>
      <c r="J659" s="210"/>
      <c r="K659" s="210"/>
      <c r="L659" s="210"/>
      <c r="M659" s="210"/>
      <c r="N659" s="210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</row>
    <row r="660">
      <c r="A660" s="210"/>
      <c r="B660" s="210"/>
      <c r="C660" s="210"/>
      <c r="D660" s="210"/>
      <c r="E660" s="210"/>
      <c r="F660" s="210"/>
      <c r="G660" s="210"/>
      <c r="H660" s="210"/>
      <c r="I660" s="210"/>
      <c r="J660" s="210"/>
      <c r="K660" s="210"/>
      <c r="L660" s="210"/>
      <c r="M660" s="210"/>
      <c r="N660" s="210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</row>
    <row r="661">
      <c r="A661" s="210"/>
      <c r="B661" s="210"/>
      <c r="C661" s="210"/>
      <c r="D661" s="210"/>
      <c r="E661" s="210"/>
      <c r="F661" s="210"/>
      <c r="G661" s="210"/>
      <c r="H661" s="210"/>
      <c r="I661" s="210"/>
      <c r="J661" s="210"/>
      <c r="K661" s="210"/>
      <c r="L661" s="210"/>
      <c r="M661" s="210"/>
      <c r="N661" s="210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</row>
    <row r="662">
      <c r="A662" s="210"/>
      <c r="B662" s="210"/>
      <c r="C662" s="210"/>
      <c r="D662" s="210"/>
      <c r="E662" s="210"/>
      <c r="F662" s="210"/>
      <c r="G662" s="210"/>
      <c r="H662" s="210"/>
      <c r="I662" s="210"/>
      <c r="J662" s="210"/>
      <c r="K662" s="210"/>
      <c r="L662" s="210"/>
      <c r="M662" s="210"/>
      <c r="N662" s="210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</row>
    <row r="663">
      <c r="A663" s="210"/>
      <c r="B663" s="210"/>
      <c r="C663" s="210"/>
      <c r="D663" s="210"/>
      <c r="E663" s="210"/>
      <c r="F663" s="210"/>
      <c r="G663" s="210"/>
      <c r="H663" s="210"/>
      <c r="I663" s="210"/>
      <c r="J663" s="210"/>
      <c r="K663" s="210"/>
      <c r="L663" s="210"/>
      <c r="M663" s="210"/>
      <c r="N663" s="210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</row>
    <row r="664">
      <c r="A664" s="210"/>
      <c r="B664" s="210"/>
      <c r="C664" s="210"/>
      <c r="D664" s="210"/>
      <c r="E664" s="210"/>
      <c r="F664" s="210"/>
      <c r="G664" s="210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</row>
    <row r="665">
      <c r="A665" s="210"/>
      <c r="B665" s="210"/>
      <c r="C665" s="210"/>
      <c r="D665" s="210"/>
      <c r="E665" s="210"/>
      <c r="F665" s="210"/>
      <c r="G665" s="210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</row>
    <row r="666">
      <c r="A666" s="210"/>
      <c r="B666" s="210"/>
      <c r="C666" s="210"/>
      <c r="D666" s="210"/>
      <c r="E666" s="210"/>
      <c r="F666" s="210"/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</row>
    <row r="667">
      <c r="A667" s="210"/>
      <c r="B667" s="210"/>
      <c r="C667" s="210"/>
      <c r="D667" s="210"/>
      <c r="E667" s="210"/>
      <c r="F667" s="210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</row>
    <row r="668">
      <c r="A668" s="210"/>
      <c r="B668" s="210"/>
      <c r="C668" s="210"/>
      <c r="D668" s="210"/>
      <c r="E668" s="210"/>
      <c r="F668" s="210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</row>
    <row r="669">
      <c r="A669" s="210"/>
      <c r="B669" s="210"/>
      <c r="C669" s="210"/>
      <c r="D669" s="210"/>
      <c r="E669" s="210"/>
      <c r="F669" s="210"/>
      <c r="G669" s="210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</row>
    <row r="670">
      <c r="A670" s="210"/>
      <c r="B670" s="210"/>
      <c r="C670" s="210"/>
      <c r="D670" s="210"/>
      <c r="E670" s="210"/>
      <c r="F670" s="210"/>
      <c r="G670" s="210"/>
      <c r="H670" s="210"/>
      <c r="I670" s="210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</row>
    <row r="671">
      <c r="A671" s="210"/>
      <c r="B671" s="210"/>
      <c r="C671" s="210"/>
      <c r="D671" s="210"/>
      <c r="E671" s="210"/>
      <c r="F671" s="210"/>
      <c r="G671" s="210"/>
      <c r="H671" s="210"/>
      <c r="I671" s="210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</row>
    <row r="672">
      <c r="A672" s="210"/>
      <c r="B672" s="210"/>
      <c r="C672" s="210"/>
      <c r="D672" s="210"/>
      <c r="E672" s="210"/>
      <c r="F672" s="210"/>
      <c r="G672" s="210"/>
      <c r="H672" s="210"/>
      <c r="I672" s="210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</row>
    <row r="673">
      <c r="A673" s="210"/>
      <c r="B673" s="210"/>
      <c r="C673" s="210"/>
      <c r="D673" s="210"/>
      <c r="E673" s="210"/>
      <c r="F673" s="210"/>
      <c r="G673" s="210"/>
      <c r="H673" s="210"/>
      <c r="I673" s="210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</row>
    <row r="674">
      <c r="A674" s="210"/>
      <c r="B674" s="210"/>
      <c r="C674" s="210"/>
      <c r="D674" s="210"/>
      <c r="E674" s="210"/>
      <c r="F674" s="210"/>
      <c r="G674" s="210"/>
      <c r="H674" s="210"/>
      <c r="I674" s="210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</row>
    <row r="675">
      <c r="A675" s="210"/>
      <c r="B675" s="210"/>
      <c r="C675" s="210"/>
      <c r="D675" s="210"/>
      <c r="E675" s="210"/>
      <c r="F675" s="210"/>
      <c r="G675" s="210"/>
      <c r="H675" s="210"/>
      <c r="I675" s="210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</row>
    <row r="676">
      <c r="A676" s="210"/>
      <c r="B676" s="210"/>
      <c r="C676" s="210"/>
      <c r="D676" s="210"/>
      <c r="E676" s="210"/>
      <c r="F676" s="210"/>
      <c r="G676" s="210"/>
      <c r="H676" s="210"/>
      <c r="I676" s="210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</row>
    <row r="677">
      <c r="A677" s="210"/>
      <c r="B677" s="210"/>
      <c r="C677" s="210"/>
      <c r="D677" s="210"/>
      <c r="E677" s="210"/>
      <c r="F677" s="210"/>
      <c r="G677" s="210"/>
      <c r="H677" s="210"/>
      <c r="I677" s="210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</row>
    <row r="678">
      <c r="A678" s="210"/>
      <c r="B678" s="210"/>
      <c r="C678" s="210"/>
      <c r="D678" s="210"/>
      <c r="E678" s="210"/>
      <c r="F678" s="210"/>
      <c r="G678" s="210"/>
      <c r="H678" s="210"/>
      <c r="I678" s="210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</row>
    <row r="679">
      <c r="A679" s="210"/>
      <c r="B679" s="210"/>
      <c r="C679" s="210"/>
      <c r="D679" s="210"/>
      <c r="E679" s="210"/>
      <c r="F679" s="210"/>
      <c r="G679" s="210"/>
      <c r="H679" s="210"/>
      <c r="I679" s="210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</row>
    <row r="680">
      <c r="A680" s="210"/>
      <c r="B680" s="210"/>
      <c r="C680" s="210"/>
      <c r="D680" s="210"/>
      <c r="E680" s="210"/>
      <c r="F680" s="210"/>
      <c r="G680" s="210"/>
      <c r="H680" s="210"/>
      <c r="I680" s="210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</row>
    <row r="681">
      <c r="A681" s="210"/>
      <c r="B681" s="210"/>
      <c r="C681" s="210"/>
      <c r="D681" s="210"/>
      <c r="E681" s="210"/>
      <c r="F681" s="210"/>
      <c r="G681" s="210"/>
      <c r="H681" s="210"/>
      <c r="I681" s="210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</row>
    <row r="682">
      <c r="A682" s="210"/>
      <c r="B682" s="210"/>
      <c r="C682" s="210"/>
      <c r="D682" s="210"/>
      <c r="E682" s="210"/>
      <c r="F682" s="210"/>
      <c r="G682" s="210"/>
      <c r="H682" s="210"/>
      <c r="I682" s="210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</row>
    <row r="683">
      <c r="A683" s="210"/>
      <c r="B683" s="210"/>
      <c r="C683" s="210"/>
      <c r="D683" s="210"/>
      <c r="E683" s="210"/>
      <c r="F683" s="210"/>
      <c r="G683" s="210"/>
      <c r="H683" s="210"/>
      <c r="I683" s="210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</row>
    <row r="684">
      <c r="A684" s="210"/>
      <c r="B684" s="210"/>
      <c r="C684" s="210"/>
      <c r="D684" s="210"/>
      <c r="E684" s="210"/>
      <c r="F684" s="210"/>
      <c r="G684" s="210"/>
      <c r="H684" s="210"/>
      <c r="I684" s="210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</row>
    <row r="685">
      <c r="A685" s="210"/>
      <c r="B685" s="210"/>
      <c r="C685" s="210"/>
      <c r="D685" s="210"/>
      <c r="E685" s="210"/>
      <c r="F685" s="210"/>
      <c r="G685" s="210"/>
      <c r="H685" s="210"/>
      <c r="I685" s="210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</row>
    <row r="686">
      <c r="A686" s="210"/>
      <c r="B686" s="210"/>
      <c r="C686" s="210"/>
      <c r="D686" s="210"/>
      <c r="E686" s="210"/>
      <c r="F686" s="210"/>
      <c r="G686" s="210"/>
      <c r="H686" s="210"/>
      <c r="I686" s="210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</row>
    <row r="687">
      <c r="A687" s="210"/>
      <c r="B687" s="210"/>
      <c r="C687" s="210"/>
      <c r="D687" s="210"/>
      <c r="E687" s="210"/>
      <c r="F687" s="210"/>
      <c r="G687" s="210"/>
      <c r="H687" s="210"/>
      <c r="I687" s="210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</row>
    <row r="688">
      <c r="A688" s="210"/>
      <c r="B688" s="210"/>
      <c r="C688" s="210"/>
      <c r="D688" s="210"/>
      <c r="E688" s="210"/>
      <c r="F688" s="210"/>
      <c r="G688" s="210"/>
      <c r="H688" s="210"/>
      <c r="I688" s="210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</row>
    <row r="689">
      <c r="A689" s="210"/>
      <c r="B689" s="210"/>
      <c r="C689" s="210"/>
      <c r="D689" s="210"/>
      <c r="E689" s="210"/>
      <c r="F689" s="210"/>
      <c r="G689" s="210"/>
      <c r="H689" s="210"/>
      <c r="I689" s="210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</row>
    <row r="690">
      <c r="A690" s="210"/>
      <c r="B690" s="210"/>
      <c r="C690" s="210"/>
      <c r="D690" s="210"/>
      <c r="E690" s="210"/>
      <c r="F690" s="210"/>
      <c r="G690" s="210"/>
      <c r="H690" s="210"/>
      <c r="I690" s="210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</row>
    <row r="691">
      <c r="A691" s="210"/>
      <c r="B691" s="210"/>
      <c r="C691" s="210"/>
      <c r="D691" s="210"/>
      <c r="E691" s="210"/>
      <c r="F691" s="210"/>
      <c r="G691" s="210"/>
      <c r="H691" s="210"/>
      <c r="I691" s="210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</row>
    <row r="692">
      <c r="A692" s="210"/>
      <c r="B692" s="210"/>
      <c r="C692" s="210"/>
      <c r="D692" s="210"/>
      <c r="E692" s="210"/>
      <c r="F692" s="210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</row>
    <row r="693">
      <c r="A693" s="210"/>
      <c r="B693" s="210"/>
      <c r="C693" s="210"/>
      <c r="D693" s="210"/>
      <c r="E693" s="210"/>
      <c r="F693" s="210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</row>
    <row r="694">
      <c r="A694" s="210"/>
      <c r="B694" s="210"/>
      <c r="C694" s="210"/>
      <c r="D694" s="210"/>
      <c r="E694" s="210"/>
      <c r="F694" s="210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</row>
    <row r="695">
      <c r="A695" s="210"/>
      <c r="B695" s="210"/>
      <c r="C695" s="210"/>
      <c r="D695" s="210"/>
      <c r="E695" s="210"/>
      <c r="F695" s="210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</row>
    <row r="696">
      <c r="A696" s="210"/>
      <c r="B696" s="210"/>
      <c r="C696" s="210"/>
      <c r="D696" s="210"/>
      <c r="E696" s="210"/>
      <c r="F696" s="210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</row>
    <row r="697">
      <c r="A697" s="210"/>
      <c r="B697" s="210"/>
      <c r="C697" s="210"/>
      <c r="D697" s="210"/>
      <c r="E697" s="210"/>
      <c r="F697" s="210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</row>
    <row r="698">
      <c r="A698" s="210"/>
      <c r="B698" s="210"/>
      <c r="C698" s="210"/>
      <c r="D698" s="210"/>
      <c r="E698" s="210"/>
      <c r="F698" s="210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</row>
    <row r="699">
      <c r="A699" s="210"/>
      <c r="B699" s="210"/>
      <c r="C699" s="210"/>
      <c r="D699" s="210"/>
      <c r="E699" s="210"/>
      <c r="F699" s="210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</row>
    <row r="700">
      <c r="A700" s="210"/>
      <c r="B700" s="210"/>
      <c r="C700" s="210"/>
      <c r="D700" s="210"/>
      <c r="E700" s="210"/>
      <c r="F700" s="210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</row>
    <row r="701">
      <c r="A701" s="210"/>
      <c r="B701" s="210"/>
      <c r="C701" s="210"/>
      <c r="D701" s="210"/>
      <c r="E701" s="210"/>
      <c r="F701" s="210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</row>
    <row r="702">
      <c r="A702" s="210"/>
      <c r="B702" s="210"/>
      <c r="C702" s="210"/>
      <c r="D702" s="210"/>
      <c r="E702" s="210"/>
      <c r="F702" s="210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</row>
    <row r="703">
      <c r="A703" s="210"/>
      <c r="B703" s="210"/>
      <c r="C703" s="210"/>
      <c r="D703" s="210"/>
      <c r="E703" s="210"/>
      <c r="F703" s="210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</row>
    <row r="704">
      <c r="A704" s="210"/>
      <c r="B704" s="210"/>
      <c r="C704" s="210"/>
      <c r="D704" s="210"/>
      <c r="E704" s="210"/>
      <c r="F704" s="210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</row>
    <row r="705">
      <c r="A705" s="210"/>
      <c r="B705" s="210"/>
      <c r="C705" s="210"/>
      <c r="D705" s="210"/>
      <c r="E705" s="210"/>
      <c r="F705" s="210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</row>
    <row r="706">
      <c r="A706" s="210"/>
      <c r="B706" s="210"/>
      <c r="C706" s="210"/>
      <c r="D706" s="210"/>
      <c r="E706" s="210"/>
      <c r="F706" s="210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</row>
    <row r="707">
      <c r="A707" s="210"/>
      <c r="B707" s="210"/>
      <c r="C707" s="210"/>
      <c r="D707" s="210"/>
      <c r="E707" s="210"/>
      <c r="F707" s="210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</row>
    <row r="708">
      <c r="A708" s="210"/>
      <c r="B708" s="210"/>
      <c r="C708" s="210"/>
      <c r="D708" s="210"/>
      <c r="E708" s="210"/>
      <c r="F708" s="210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</row>
    <row r="709">
      <c r="A709" s="210"/>
      <c r="B709" s="210"/>
      <c r="C709" s="210"/>
      <c r="D709" s="210"/>
      <c r="E709" s="210"/>
      <c r="F709" s="210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</row>
    <row r="710">
      <c r="A710" s="210"/>
      <c r="B710" s="210"/>
      <c r="C710" s="210"/>
      <c r="D710" s="210"/>
      <c r="E710" s="210"/>
      <c r="F710" s="210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</row>
    <row r="711">
      <c r="A711" s="210"/>
      <c r="B711" s="210"/>
      <c r="C711" s="210"/>
      <c r="D711" s="210"/>
      <c r="E711" s="210"/>
      <c r="F711" s="210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</row>
    <row r="712">
      <c r="A712" s="210"/>
      <c r="B712" s="210"/>
      <c r="C712" s="210"/>
      <c r="D712" s="210"/>
      <c r="E712" s="210"/>
      <c r="F712" s="210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</row>
    <row r="713">
      <c r="A713" s="210"/>
      <c r="B713" s="210"/>
      <c r="C713" s="210"/>
      <c r="D713" s="210"/>
      <c r="E713" s="210"/>
      <c r="F713" s="210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</row>
    <row r="714">
      <c r="A714" s="210"/>
      <c r="B714" s="210"/>
      <c r="C714" s="210"/>
      <c r="D714" s="210"/>
      <c r="E714" s="210"/>
      <c r="F714" s="210"/>
      <c r="G714" s="210"/>
      <c r="H714" s="210"/>
      <c r="I714" s="210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</row>
    <row r="715">
      <c r="A715" s="210"/>
      <c r="B715" s="210"/>
      <c r="C715" s="210"/>
      <c r="D715" s="210"/>
      <c r="E715" s="210"/>
      <c r="F715" s="210"/>
      <c r="G715" s="210"/>
      <c r="H715" s="210"/>
      <c r="I715" s="210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</row>
    <row r="716">
      <c r="A716" s="210"/>
      <c r="B716" s="210"/>
      <c r="C716" s="210"/>
      <c r="D716" s="210"/>
      <c r="E716" s="210"/>
      <c r="F716" s="210"/>
      <c r="G716" s="210"/>
      <c r="H716" s="210"/>
      <c r="I716" s="210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</row>
    <row r="717">
      <c r="A717" s="210"/>
      <c r="B717" s="210"/>
      <c r="C717" s="210"/>
      <c r="D717" s="210"/>
      <c r="E717" s="210"/>
      <c r="F717" s="210"/>
      <c r="G717" s="210"/>
      <c r="H717" s="210"/>
      <c r="I717" s="210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</row>
    <row r="718">
      <c r="A718" s="210"/>
      <c r="B718" s="210"/>
      <c r="C718" s="210"/>
      <c r="D718" s="210"/>
      <c r="E718" s="210"/>
      <c r="F718" s="210"/>
      <c r="G718" s="210"/>
      <c r="H718" s="210"/>
      <c r="I718" s="210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</row>
    <row r="719">
      <c r="A719" s="210"/>
      <c r="B719" s="210"/>
      <c r="C719" s="210"/>
      <c r="D719" s="210"/>
      <c r="E719" s="210"/>
      <c r="F719" s="210"/>
      <c r="G719" s="210"/>
      <c r="H719" s="210"/>
      <c r="I719" s="210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</row>
    <row r="720">
      <c r="A720" s="210"/>
      <c r="B720" s="210"/>
      <c r="C720" s="210"/>
      <c r="D720" s="210"/>
      <c r="E720" s="210"/>
      <c r="F720" s="210"/>
      <c r="G720" s="210"/>
      <c r="H720" s="210"/>
      <c r="I720" s="210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</row>
    <row r="721">
      <c r="A721" s="210"/>
      <c r="B721" s="210"/>
      <c r="C721" s="210"/>
      <c r="D721" s="210"/>
      <c r="E721" s="210"/>
      <c r="F721" s="210"/>
      <c r="G721" s="210"/>
      <c r="H721" s="210"/>
      <c r="I721" s="210"/>
      <c r="J721" s="210"/>
      <c r="K721" s="210"/>
      <c r="L721" s="210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</row>
    <row r="722">
      <c r="A722" s="210"/>
      <c r="B722" s="210"/>
      <c r="C722" s="210"/>
      <c r="D722" s="210"/>
      <c r="E722" s="210"/>
      <c r="F722" s="210"/>
      <c r="G722" s="210"/>
      <c r="H722" s="210"/>
      <c r="I722" s="210"/>
      <c r="J722" s="210"/>
      <c r="K722" s="210"/>
      <c r="L722" s="210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</row>
    <row r="723">
      <c r="A723" s="210"/>
      <c r="B723" s="210"/>
      <c r="C723" s="210"/>
      <c r="D723" s="210"/>
      <c r="E723" s="210"/>
      <c r="F723" s="210"/>
      <c r="G723" s="210"/>
      <c r="H723" s="210"/>
      <c r="I723" s="210"/>
      <c r="J723" s="210"/>
      <c r="K723" s="210"/>
      <c r="L723" s="210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</row>
    <row r="724">
      <c r="A724" s="210"/>
      <c r="B724" s="210"/>
      <c r="C724" s="210"/>
      <c r="D724" s="210"/>
      <c r="E724" s="210"/>
      <c r="F724" s="210"/>
      <c r="G724" s="210"/>
      <c r="H724" s="210"/>
      <c r="I724" s="210"/>
      <c r="J724" s="210"/>
      <c r="K724" s="210"/>
      <c r="L724" s="210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</row>
    <row r="725">
      <c r="A725" s="210"/>
      <c r="B725" s="210"/>
      <c r="C725" s="210"/>
      <c r="D725" s="210"/>
      <c r="E725" s="210"/>
      <c r="F725" s="210"/>
      <c r="G725" s="210"/>
      <c r="H725" s="210"/>
      <c r="I725" s="210"/>
      <c r="J725" s="210"/>
      <c r="K725" s="210"/>
      <c r="L725" s="210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</row>
    <row r="726">
      <c r="A726" s="210"/>
      <c r="B726" s="210"/>
      <c r="C726" s="210"/>
      <c r="D726" s="210"/>
      <c r="E726" s="210"/>
      <c r="F726" s="210"/>
      <c r="G726" s="210"/>
      <c r="H726" s="210"/>
      <c r="I726" s="210"/>
      <c r="J726" s="210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</row>
    <row r="727">
      <c r="A727" s="210"/>
      <c r="B727" s="210"/>
      <c r="C727" s="210"/>
      <c r="D727" s="210"/>
      <c r="E727" s="210"/>
      <c r="F727" s="210"/>
      <c r="G727" s="210"/>
      <c r="H727" s="210"/>
      <c r="I727" s="210"/>
      <c r="J727" s="210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</row>
    <row r="728">
      <c r="A728" s="210"/>
      <c r="B728" s="210"/>
      <c r="C728" s="210"/>
      <c r="D728" s="210"/>
      <c r="E728" s="210"/>
      <c r="F728" s="210"/>
      <c r="G728" s="210"/>
      <c r="H728" s="210"/>
      <c r="I728" s="210"/>
      <c r="J728" s="210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</row>
    <row r="729">
      <c r="A729" s="210"/>
      <c r="B729" s="210"/>
      <c r="C729" s="210"/>
      <c r="D729" s="210"/>
      <c r="E729" s="210"/>
      <c r="F729" s="210"/>
      <c r="G729" s="210"/>
      <c r="H729" s="210"/>
      <c r="I729" s="210"/>
      <c r="J729" s="210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</row>
    <row r="730">
      <c r="A730" s="210"/>
      <c r="B730" s="210"/>
      <c r="C730" s="210"/>
      <c r="D730" s="210"/>
      <c r="E730" s="210"/>
      <c r="F730" s="210"/>
      <c r="G730" s="210"/>
      <c r="H730" s="210"/>
      <c r="I730" s="210"/>
      <c r="J730" s="210"/>
      <c r="K730" s="210"/>
      <c r="L730" s="210"/>
      <c r="M730" s="210"/>
      <c r="N730" s="210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</row>
    <row r="731">
      <c r="A731" s="210"/>
      <c r="B731" s="210"/>
      <c r="C731" s="210"/>
      <c r="D731" s="210"/>
      <c r="E731" s="210"/>
      <c r="F731" s="210"/>
      <c r="G731" s="210"/>
      <c r="H731" s="210"/>
      <c r="I731" s="210"/>
      <c r="J731" s="210"/>
      <c r="K731" s="210"/>
      <c r="L731" s="210"/>
      <c r="M731" s="210"/>
      <c r="N731" s="210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</row>
    <row r="732">
      <c r="A732" s="210"/>
      <c r="B732" s="210"/>
      <c r="C732" s="210"/>
      <c r="D732" s="210"/>
      <c r="E732" s="210"/>
      <c r="F732" s="210"/>
      <c r="G732" s="210"/>
      <c r="H732" s="210"/>
      <c r="I732" s="210"/>
      <c r="J732" s="210"/>
      <c r="K732" s="210"/>
      <c r="L732" s="210"/>
      <c r="M732" s="210"/>
      <c r="N732" s="210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</row>
    <row r="733">
      <c r="A733" s="210"/>
      <c r="B733" s="210"/>
      <c r="C733" s="210"/>
      <c r="D733" s="210"/>
      <c r="E733" s="210"/>
      <c r="F733" s="210"/>
      <c r="G733" s="210"/>
      <c r="H733" s="210"/>
      <c r="I733" s="210"/>
      <c r="J733" s="210"/>
      <c r="K733" s="210"/>
      <c r="L733" s="210"/>
      <c r="M733" s="210"/>
      <c r="N733" s="210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</row>
    <row r="734">
      <c r="A734" s="210"/>
      <c r="B734" s="210"/>
      <c r="C734" s="210"/>
      <c r="D734" s="210"/>
      <c r="E734" s="210"/>
      <c r="F734" s="210"/>
      <c r="G734" s="210"/>
      <c r="H734" s="210"/>
      <c r="I734" s="210"/>
      <c r="J734" s="210"/>
      <c r="K734" s="210"/>
      <c r="L734" s="210"/>
      <c r="M734" s="210"/>
      <c r="N734" s="210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</row>
    <row r="735">
      <c r="A735" s="210"/>
      <c r="B735" s="210"/>
      <c r="C735" s="210"/>
      <c r="D735" s="210"/>
      <c r="E735" s="210"/>
      <c r="F735" s="210"/>
      <c r="G735" s="210"/>
      <c r="H735" s="210"/>
      <c r="I735" s="210"/>
      <c r="J735" s="210"/>
      <c r="K735" s="210"/>
      <c r="L735" s="210"/>
      <c r="M735" s="210"/>
      <c r="N735" s="210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</row>
    <row r="736">
      <c r="A736" s="210"/>
      <c r="B736" s="210"/>
      <c r="C736" s="210"/>
      <c r="D736" s="210"/>
      <c r="E736" s="210"/>
      <c r="F736" s="210"/>
      <c r="G736" s="210"/>
      <c r="H736" s="210"/>
      <c r="I736" s="210"/>
      <c r="J736" s="210"/>
      <c r="K736" s="210"/>
      <c r="L736" s="210"/>
      <c r="M736" s="210"/>
      <c r="N736" s="210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</row>
    <row r="737">
      <c r="A737" s="210"/>
      <c r="B737" s="210"/>
      <c r="C737" s="210"/>
      <c r="D737" s="210"/>
      <c r="E737" s="210"/>
      <c r="F737" s="210"/>
      <c r="G737" s="210"/>
      <c r="H737" s="210"/>
      <c r="I737" s="210"/>
      <c r="J737" s="210"/>
      <c r="K737" s="210"/>
      <c r="L737" s="210"/>
      <c r="M737" s="210"/>
      <c r="N737" s="210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</row>
    <row r="738">
      <c r="A738" s="210"/>
      <c r="B738" s="210"/>
      <c r="C738" s="210"/>
      <c r="D738" s="210"/>
      <c r="E738" s="210"/>
      <c r="F738" s="210"/>
      <c r="G738" s="210"/>
      <c r="H738" s="210"/>
      <c r="I738" s="210"/>
      <c r="J738" s="210"/>
      <c r="K738" s="210"/>
      <c r="L738" s="210"/>
      <c r="M738" s="210"/>
      <c r="N738" s="210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</row>
    <row r="739">
      <c r="A739" s="210"/>
      <c r="B739" s="210"/>
      <c r="C739" s="210"/>
      <c r="D739" s="210"/>
      <c r="E739" s="210"/>
      <c r="F739" s="210"/>
      <c r="G739" s="210"/>
      <c r="H739" s="210"/>
      <c r="I739" s="210"/>
      <c r="J739" s="210"/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</row>
    <row r="740">
      <c r="A740" s="210"/>
      <c r="B740" s="210"/>
      <c r="C740" s="210"/>
      <c r="D740" s="210"/>
      <c r="E740" s="210"/>
      <c r="F740" s="210"/>
      <c r="G740" s="210"/>
      <c r="H740" s="210"/>
      <c r="I740" s="210"/>
      <c r="J740" s="210"/>
      <c r="K740" s="210"/>
      <c r="L740" s="210"/>
      <c r="M740" s="210"/>
      <c r="N740" s="210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</row>
    <row r="741">
      <c r="A741" s="210"/>
      <c r="B741" s="210"/>
      <c r="C741" s="210"/>
      <c r="D741" s="210"/>
      <c r="E741" s="210"/>
      <c r="F741" s="210"/>
      <c r="G741" s="210"/>
      <c r="H741" s="210"/>
      <c r="I741" s="210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</row>
    <row r="742">
      <c r="A742" s="210"/>
      <c r="B742" s="210"/>
      <c r="C742" s="210"/>
      <c r="D742" s="210"/>
      <c r="E742" s="210"/>
      <c r="F742" s="210"/>
      <c r="G742" s="210"/>
      <c r="H742" s="210"/>
      <c r="I742" s="210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</row>
    <row r="743">
      <c r="A743" s="210"/>
      <c r="B743" s="210"/>
      <c r="C743" s="210"/>
      <c r="D743" s="210"/>
      <c r="E743" s="210"/>
      <c r="F743" s="210"/>
      <c r="G743" s="210"/>
      <c r="H743" s="210"/>
      <c r="I743" s="210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</row>
    <row r="744">
      <c r="A744" s="210"/>
      <c r="B744" s="210"/>
      <c r="C744" s="210"/>
      <c r="D744" s="210"/>
      <c r="E744" s="210"/>
      <c r="F744" s="210"/>
      <c r="G744" s="210"/>
      <c r="H744" s="210"/>
      <c r="I744" s="210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</row>
    <row r="745">
      <c r="A745" s="210"/>
      <c r="B745" s="210"/>
      <c r="C745" s="210"/>
      <c r="D745" s="210"/>
      <c r="E745" s="210"/>
      <c r="F745" s="210"/>
      <c r="G745" s="210"/>
      <c r="H745" s="210"/>
      <c r="I745" s="210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</row>
    <row r="746">
      <c r="A746" s="210"/>
      <c r="B746" s="210"/>
      <c r="C746" s="210"/>
      <c r="D746" s="210"/>
      <c r="E746" s="210"/>
      <c r="F746" s="210"/>
      <c r="G746" s="210"/>
      <c r="H746" s="210"/>
      <c r="I746" s="210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</row>
    <row r="747">
      <c r="A747" s="210"/>
      <c r="B747" s="210"/>
      <c r="C747" s="210"/>
      <c r="D747" s="210"/>
      <c r="E747" s="210"/>
      <c r="F747" s="210"/>
      <c r="G747" s="210"/>
      <c r="H747" s="210"/>
      <c r="I747" s="210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</row>
    <row r="748">
      <c r="A748" s="210"/>
      <c r="B748" s="210"/>
      <c r="C748" s="210"/>
      <c r="D748" s="210"/>
      <c r="E748" s="210"/>
      <c r="F748" s="210"/>
      <c r="G748" s="210"/>
      <c r="H748" s="210"/>
      <c r="I748" s="210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</row>
    <row r="749">
      <c r="A749" s="210"/>
      <c r="B749" s="210"/>
      <c r="C749" s="210"/>
      <c r="D749" s="210"/>
      <c r="E749" s="210"/>
      <c r="F749" s="210"/>
      <c r="G749" s="210"/>
      <c r="H749" s="210"/>
      <c r="I749" s="210"/>
      <c r="J749" s="210"/>
      <c r="K749" s="210"/>
      <c r="L749" s="210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</row>
    <row r="750">
      <c r="A750" s="210"/>
      <c r="B750" s="210"/>
      <c r="C750" s="210"/>
      <c r="D750" s="210"/>
      <c r="E750" s="210"/>
      <c r="F750" s="210"/>
      <c r="G750" s="210"/>
      <c r="H750" s="210"/>
      <c r="I750" s="210"/>
      <c r="J750" s="210"/>
      <c r="K750" s="210"/>
      <c r="L750" s="210"/>
      <c r="M750" s="210"/>
      <c r="N750" s="210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</row>
    <row r="751">
      <c r="A751" s="210"/>
      <c r="B751" s="210"/>
      <c r="C751" s="210"/>
      <c r="D751" s="210"/>
      <c r="E751" s="210"/>
      <c r="F751" s="210"/>
      <c r="G751" s="210"/>
      <c r="H751" s="210"/>
      <c r="I751" s="210"/>
      <c r="J751" s="210"/>
      <c r="K751" s="210"/>
      <c r="L751" s="210"/>
      <c r="M751" s="210"/>
      <c r="N751" s="210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</row>
    <row r="752">
      <c r="A752" s="210"/>
      <c r="B752" s="210"/>
      <c r="C752" s="210"/>
      <c r="D752" s="210"/>
      <c r="E752" s="210"/>
      <c r="F752" s="210"/>
      <c r="G752" s="210"/>
      <c r="H752" s="210"/>
      <c r="I752" s="210"/>
      <c r="J752" s="210"/>
      <c r="K752" s="210"/>
      <c r="L752" s="210"/>
      <c r="M752" s="210"/>
      <c r="N752" s="210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</row>
    <row r="753">
      <c r="A753" s="210"/>
      <c r="B753" s="210"/>
      <c r="C753" s="210"/>
      <c r="D753" s="210"/>
      <c r="E753" s="210"/>
      <c r="F753" s="210"/>
      <c r="G753" s="210"/>
      <c r="H753" s="210"/>
      <c r="I753" s="210"/>
      <c r="J753" s="210"/>
      <c r="K753" s="210"/>
      <c r="L753" s="210"/>
      <c r="M753" s="210"/>
      <c r="N753" s="210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</row>
    <row r="754">
      <c r="A754" s="210"/>
      <c r="B754" s="210"/>
      <c r="C754" s="210"/>
      <c r="D754" s="210"/>
      <c r="E754" s="210"/>
      <c r="F754" s="210"/>
      <c r="G754" s="210"/>
      <c r="H754" s="210"/>
      <c r="I754" s="210"/>
      <c r="J754" s="210"/>
      <c r="K754" s="210"/>
      <c r="L754" s="210"/>
      <c r="M754" s="210"/>
      <c r="N754" s="210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</row>
    <row r="755">
      <c r="A755" s="210"/>
      <c r="B755" s="210"/>
      <c r="C755" s="210"/>
      <c r="D755" s="210"/>
      <c r="E755" s="210"/>
      <c r="F755" s="210"/>
      <c r="G755" s="210"/>
      <c r="H755" s="210"/>
      <c r="I755" s="210"/>
      <c r="J755" s="210"/>
      <c r="K755" s="210"/>
      <c r="L755" s="210"/>
      <c r="M755" s="210"/>
      <c r="N755" s="210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</row>
    <row r="756">
      <c r="A756" s="210"/>
      <c r="B756" s="210"/>
      <c r="C756" s="210"/>
      <c r="D756" s="210"/>
      <c r="E756" s="210"/>
      <c r="F756" s="210"/>
      <c r="G756" s="210"/>
      <c r="H756" s="210"/>
      <c r="I756" s="210"/>
      <c r="J756" s="210"/>
      <c r="K756" s="210"/>
      <c r="L756" s="210"/>
      <c r="M756" s="210"/>
      <c r="N756" s="210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</row>
    <row r="757">
      <c r="A757" s="210"/>
      <c r="B757" s="210"/>
      <c r="C757" s="210"/>
      <c r="D757" s="210"/>
      <c r="E757" s="210"/>
      <c r="F757" s="210"/>
      <c r="G757" s="210"/>
      <c r="H757" s="210"/>
      <c r="I757" s="210"/>
      <c r="J757" s="210"/>
      <c r="K757" s="210"/>
      <c r="L757" s="210"/>
      <c r="M757" s="210"/>
      <c r="N757" s="210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</row>
    <row r="758">
      <c r="A758" s="210"/>
      <c r="B758" s="210"/>
      <c r="C758" s="210"/>
      <c r="D758" s="210"/>
      <c r="E758" s="210"/>
      <c r="F758" s="210"/>
      <c r="G758" s="210"/>
      <c r="H758" s="210"/>
      <c r="I758" s="210"/>
      <c r="J758" s="210"/>
      <c r="K758" s="210"/>
      <c r="L758" s="210"/>
      <c r="M758" s="210"/>
      <c r="N758" s="210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</row>
    <row r="759">
      <c r="A759" s="210"/>
      <c r="B759" s="210"/>
      <c r="C759" s="210"/>
      <c r="D759" s="210"/>
      <c r="E759" s="210"/>
      <c r="F759" s="210"/>
      <c r="G759" s="210"/>
      <c r="H759" s="210"/>
      <c r="I759" s="210"/>
      <c r="J759" s="210"/>
      <c r="K759" s="210"/>
      <c r="L759" s="210"/>
      <c r="M759" s="210"/>
      <c r="N759" s="210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</row>
    <row r="760">
      <c r="A760" s="210"/>
      <c r="B760" s="210"/>
      <c r="C760" s="210"/>
      <c r="D760" s="210"/>
      <c r="E760" s="210"/>
      <c r="F760" s="210"/>
      <c r="G760" s="210"/>
      <c r="H760" s="210"/>
      <c r="I760" s="210"/>
      <c r="J760" s="210"/>
      <c r="K760" s="210"/>
      <c r="L760" s="210"/>
      <c r="M760" s="210"/>
      <c r="N760" s="210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</row>
    <row r="761">
      <c r="A761" s="210"/>
      <c r="B761" s="210"/>
      <c r="C761" s="210"/>
      <c r="D761" s="210"/>
      <c r="E761" s="210"/>
      <c r="F761" s="210"/>
      <c r="G761" s="210"/>
      <c r="H761" s="210"/>
      <c r="I761" s="210"/>
      <c r="J761" s="210"/>
      <c r="K761" s="210"/>
      <c r="L761" s="210"/>
      <c r="M761" s="210"/>
      <c r="N761" s="210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</row>
    <row r="762">
      <c r="A762" s="210"/>
      <c r="B762" s="210"/>
      <c r="C762" s="210"/>
      <c r="D762" s="210"/>
      <c r="E762" s="210"/>
      <c r="F762" s="210"/>
      <c r="G762" s="210"/>
      <c r="H762" s="210"/>
      <c r="I762" s="210"/>
      <c r="J762" s="210"/>
      <c r="K762" s="210"/>
      <c r="L762" s="210"/>
      <c r="M762" s="210"/>
      <c r="N762" s="210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</row>
    <row r="763">
      <c r="A763" s="210"/>
      <c r="B763" s="210"/>
      <c r="C763" s="210"/>
      <c r="D763" s="210"/>
      <c r="E763" s="210"/>
      <c r="F763" s="210"/>
      <c r="G763" s="210"/>
      <c r="H763" s="210"/>
      <c r="I763" s="210"/>
      <c r="J763" s="210"/>
      <c r="K763" s="210"/>
      <c r="L763" s="210"/>
      <c r="M763" s="210"/>
      <c r="N763" s="210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</row>
    <row r="764">
      <c r="A764" s="210"/>
      <c r="B764" s="210"/>
      <c r="C764" s="210"/>
      <c r="D764" s="210"/>
      <c r="E764" s="210"/>
      <c r="F764" s="210"/>
      <c r="G764" s="210"/>
      <c r="H764" s="210"/>
      <c r="I764" s="210"/>
      <c r="J764" s="210"/>
      <c r="K764" s="210"/>
      <c r="L764" s="210"/>
      <c r="M764" s="210"/>
      <c r="N764" s="210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</row>
    <row r="765">
      <c r="A765" s="210"/>
      <c r="B765" s="210"/>
      <c r="C765" s="210"/>
      <c r="D765" s="210"/>
      <c r="E765" s="210"/>
      <c r="F765" s="210"/>
      <c r="G765" s="210"/>
      <c r="H765" s="210"/>
      <c r="I765" s="210"/>
      <c r="J765" s="210"/>
      <c r="K765" s="210"/>
      <c r="L765" s="210"/>
      <c r="M765" s="210"/>
      <c r="N765" s="210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</row>
    <row r="766">
      <c r="A766" s="210"/>
      <c r="B766" s="210"/>
      <c r="C766" s="210"/>
      <c r="D766" s="210"/>
      <c r="E766" s="210"/>
      <c r="F766" s="210"/>
      <c r="G766" s="210"/>
      <c r="H766" s="210"/>
      <c r="I766" s="210"/>
      <c r="J766" s="210"/>
      <c r="K766" s="210"/>
      <c r="L766" s="210"/>
      <c r="M766" s="210"/>
      <c r="N766" s="210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</row>
    <row r="767">
      <c r="A767" s="210"/>
      <c r="B767" s="210"/>
      <c r="C767" s="210"/>
      <c r="D767" s="210"/>
      <c r="E767" s="210"/>
      <c r="F767" s="210"/>
      <c r="G767" s="210"/>
      <c r="H767" s="210"/>
      <c r="I767" s="210"/>
      <c r="J767" s="210"/>
      <c r="K767" s="210"/>
      <c r="L767" s="210"/>
      <c r="M767" s="210"/>
      <c r="N767" s="210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</row>
    <row r="768">
      <c r="A768" s="210"/>
      <c r="B768" s="210"/>
      <c r="C768" s="210"/>
      <c r="D768" s="210"/>
      <c r="E768" s="210"/>
      <c r="F768" s="210"/>
      <c r="G768" s="210"/>
      <c r="H768" s="210"/>
      <c r="I768" s="210"/>
      <c r="J768" s="210"/>
      <c r="K768" s="210"/>
      <c r="L768" s="210"/>
      <c r="M768" s="210"/>
      <c r="N768" s="210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</row>
    <row r="769">
      <c r="A769" s="210"/>
      <c r="B769" s="210"/>
      <c r="C769" s="210"/>
      <c r="D769" s="210"/>
      <c r="E769" s="210"/>
      <c r="F769" s="210"/>
      <c r="G769" s="210"/>
      <c r="H769" s="210"/>
      <c r="I769" s="210"/>
      <c r="J769" s="210"/>
      <c r="K769" s="210"/>
      <c r="L769" s="210"/>
      <c r="M769" s="210"/>
      <c r="N769" s="210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</row>
    <row r="770">
      <c r="A770" s="210"/>
      <c r="B770" s="210"/>
      <c r="C770" s="210"/>
      <c r="D770" s="210"/>
      <c r="E770" s="210"/>
      <c r="F770" s="210"/>
      <c r="G770" s="210"/>
      <c r="H770" s="210"/>
      <c r="I770" s="210"/>
      <c r="J770" s="210"/>
      <c r="K770" s="210"/>
      <c r="L770" s="210"/>
      <c r="M770" s="210"/>
      <c r="N770" s="210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</row>
    <row r="771">
      <c r="A771" s="210"/>
      <c r="B771" s="210"/>
      <c r="C771" s="210"/>
      <c r="D771" s="210"/>
      <c r="E771" s="210"/>
      <c r="F771" s="210"/>
      <c r="G771" s="210"/>
      <c r="H771" s="210"/>
      <c r="I771" s="210"/>
      <c r="J771" s="210"/>
      <c r="K771" s="210"/>
      <c r="L771" s="210"/>
      <c r="M771" s="210"/>
      <c r="N771" s="210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</row>
    <row r="772">
      <c r="A772" s="210"/>
      <c r="B772" s="210"/>
      <c r="C772" s="210"/>
      <c r="D772" s="210"/>
      <c r="E772" s="210"/>
      <c r="F772" s="210"/>
      <c r="G772" s="210"/>
      <c r="H772" s="210"/>
      <c r="I772" s="210"/>
      <c r="J772" s="210"/>
      <c r="K772" s="210"/>
      <c r="L772" s="210"/>
      <c r="M772" s="210"/>
      <c r="N772" s="210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</row>
    <row r="773">
      <c r="A773" s="210"/>
      <c r="B773" s="210"/>
      <c r="C773" s="210"/>
      <c r="D773" s="210"/>
      <c r="E773" s="210"/>
      <c r="F773" s="210"/>
      <c r="G773" s="210"/>
      <c r="H773" s="210"/>
      <c r="I773" s="210"/>
      <c r="J773" s="210"/>
      <c r="K773" s="210"/>
      <c r="L773" s="210"/>
      <c r="M773" s="210"/>
      <c r="N773" s="210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</row>
    <row r="774">
      <c r="A774" s="210"/>
      <c r="B774" s="210"/>
      <c r="C774" s="210"/>
      <c r="D774" s="210"/>
      <c r="E774" s="210"/>
      <c r="F774" s="210"/>
      <c r="G774" s="210"/>
      <c r="H774" s="210"/>
      <c r="I774" s="210"/>
      <c r="J774" s="210"/>
      <c r="K774" s="210"/>
      <c r="L774" s="210"/>
      <c r="M774" s="210"/>
      <c r="N774" s="210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</row>
    <row r="775">
      <c r="A775" s="210"/>
      <c r="B775" s="210"/>
      <c r="C775" s="210"/>
      <c r="D775" s="210"/>
      <c r="E775" s="210"/>
      <c r="F775" s="210"/>
      <c r="G775" s="210"/>
      <c r="H775" s="210"/>
      <c r="I775" s="210"/>
      <c r="J775" s="210"/>
      <c r="K775" s="210"/>
      <c r="L775" s="210"/>
      <c r="M775" s="210"/>
      <c r="N775" s="210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</row>
    <row r="776">
      <c r="A776" s="210"/>
      <c r="B776" s="210"/>
      <c r="C776" s="210"/>
      <c r="D776" s="210"/>
      <c r="E776" s="210"/>
      <c r="F776" s="210"/>
      <c r="G776" s="210"/>
      <c r="H776" s="210"/>
      <c r="I776" s="210"/>
      <c r="J776" s="210"/>
      <c r="K776" s="210"/>
      <c r="L776" s="210"/>
      <c r="M776" s="210"/>
      <c r="N776" s="210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</row>
    <row r="777">
      <c r="A777" s="210"/>
      <c r="B777" s="210"/>
      <c r="C777" s="210"/>
      <c r="D777" s="210"/>
      <c r="E777" s="210"/>
      <c r="F777" s="210"/>
      <c r="G777" s="210"/>
      <c r="H777" s="210"/>
      <c r="I777" s="210"/>
      <c r="J777" s="210"/>
      <c r="K777" s="210"/>
      <c r="L777" s="210"/>
      <c r="M777" s="210"/>
      <c r="N777" s="210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</row>
    <row r="778">
      <c r="A778" s="210"/>
      <c r="B778" s="210"/>
      <c r="C778" s="210"/>
      <c r="D778" s="210"/>
      <c r="E778" s="210"/>
      <c r="F778" s="210"/>
      <c r="G778" s="210"/>
      <c r="H778" s="210"/>
      <c r="I778" s="210"/>
      <c r="J778" s="210"/>
      <c r="K778" s="210"/>
      <c r="L778" s="210"/>
      <c r="M778" s="210"/>
      <c r="N778" s="210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</row>
    <row r="779">
      <c r="A779" s="210"/>
      <c r="B779" s="210"/>
      <c r="C779" s="210"/>
      <c r="D779" s="210"/>
      <c r="E779" s="210"/>
      <c r="F779" s="210"/>
      <c r="G779" s="210"/>
      <c r="H779" s="210"/>
      <c r="I779" s="210"/>
      <c r="J779" s="210"/>
      <c r="K779" s="210"/>
      <c r="L779" s="210"/>
      <c r="M779" s="210"/>
      <c r="N779" s="210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</row>
    <row r="780">
      <c r="A780" s="210"/>
      <c r="B780" s="210"/>
      <c r="C780" s="210"/>
      <c r="D780" s="210"/>
      <c r="E780" s="210"/>
      <c r="F780" s="210"/>
      <c r="G780" s="210"/>
      <c r="H780" s="210"/>
      <c r="I780" s="210"/>
      <c r="J780" s="210"/>
      <c r="K780" s="210"/>
      <c r="L780" s="210"/>
      <c r="M780" s="210"/>
      <c r="N780" s="210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</row>
    <row r="781">
      <c r="A781" s="210"/>
      <c r="B781" s="210"/>
      <c r="C781" s="210"/>
      <c r="D781" s="210"/>
      <c r="E781" s="210"/>
      <c r="F781" s="210"/>
      <c r="G781" s="210"/>
      <c r="H781" s="210"/>
      <c r="I781" s="210"/>
      <c r="J781" s="210"/>
      <c r="K781" s="210"/>
      <c r="L781" s="210"/>
      <c r="M781" s="210"/>
      <c r="N781" s="210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</row>
    <row r="782">
      <c r="A782" s="210"/>
      <c r="B782" s="210"/>
      <c r="C782" s="210"/>
      <c r="D782" s="210"/>
      <c r="E782" s="210"/>
      <c r="F782" s="210"/>
      <c r="G782" s="210"/>
      <c r="H782" s="210"/>
      <c r="I782" s="210"/>
      <c r="J782" s="210"/>
      <c r="K782" s="210"/>
      <c r="L782" s="210"/>
      <c r="M782" s="210"/>
      <c r="N782" s="210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</row>
    <row r="783">
      <c r="A783" s="210"/>
      <c r="B783" s="210"/>
      <c r="C783" s="210"/>
      <c r="D783" s="210"/>
      <c r="E783" s="210"/>
      <c r="F783" s="210"/>
      <c r="G783" s="210"/>
      <c r="H783" s="210"/>
      <c r="I783" s="210"/>
      <c r="J783" s="210"/>
      <c r="K783" s="210"/>
      <c r="L783" s="210"/>
      <c r="M783" s="210"/>
      <c r="N783" s="210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</row>
    <row r="784">
      <c r="A784" s="210"/>
      <c r="B784" s="210"/>
      <c r="C784" s="210"/>
      <c r="D784" s="210"/>
      <c r="E784" s="210"/>
      <c r="F784" s="210"/>
      <c r="G784" s="210"/>
      <c r="H784" s="210"/>
      <c r="I784" s="210"/>
      <c r="J784" s="210"/>
      <c r="K784" s="210"/>
      <c r="L784" s="210"/>
      <c r="M784" s="210"/>
      <c r="N784" s="210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</row>
    <row r="785">
      <c r="A785" s="210"/>
      <c r="B785" s="210"/>
      <c r="C785" s="210"/>
      <c r="D785" s="210"/>
      <c r="E785" s="210"/>
      <c r="F785" s="210"/>
      <c r="G785" s="210"/>
      <c r="H785" s="210"/>
      <c r="I785" s="210"/>
      <c r="J785" s="210"/>
      <c r="K785" s="210"/>
      <c r="L785" s="210"/>
      <c r="M785" s="210"/>
      <c r="N785" s="210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</row>
    <row r="786">
      <c r="A786" s="210"/>
      <c r="B786" s="210"/>
      <c r="C786" s="210"/>
      <c r="D786" s="210"/>
      <c r="E786" s="210"/>
      <c r="F786" s="210"/>
      <c r="G786" s="210"/>
      <c r="H786" s="210"/>
      <c r="I786" s="210"/>
      <c r="J786" s="210"/>
      <c r="K786" s="210"/>
      <c r="L786" s="210"/>
      <c r="M786" s="210"/>
      <c r="N786" s="210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</row>
    <row r="787">
      <c r="A787" s="210"/>
      <c r="B787" s="210"/>
      <c r="C787" s="210"/>
      <c r="D787" s="210"/>
      <c r="E787" s="210"/>
      <c r="F787" s="210"/>
      <c r="G787" s="210"/>
      <c r="H787" s="210"/>
      <c r="I787" s="210"/>
      <c r="J787" s="210"/>
      <c r="K787" s="210"/>
      <c r="L787" s="210"/>
      <c r="M787" s="210"/>
      <c r="N787" s="210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</row>
    <row r="788">
      <c r="A788" s="210"/>
      <c r="B788" s="210"/>
      <c r="C788" s="210"/>
      <c r="D788" s="210"/>
      <c r="E788" s="210"/>
      <c r="F788" s="210"/>
      <c r="G788" s="210"/>
      <c r="H788" s="210"/>
      <c r="I788" s="210"/>
      <c r="J788" s="210"/>
      <c r="K788" s="210"/>
      <c r="L788" s="210"/>
      <c r="M788" s="210"/>
      <c r="N788" s="210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</row>
    <row r="789">
      <c r="A789" s="210"/>
      <c r="B789" s="210"/>
      <c r="C789" s="210"/>
      <c r="D789" s="210"/>
      <c r="E789" s="210"/>
      <c r="F789" s="210"/>
      <c r="G789" s="210"/>
      <c r="H789" s="210"/>
      <c r="I789" s="210"/>
      <c r="J789" s="210"/>
      <c r="K789" s="210"/>
      <c r="L789" s="210"/>
      <c r="M789" s="210"/>
      <c r="N789" s="210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</row>
    <row r="790">
      <c r="A790" s="210"/>
      <c r="B790" s="210"/>
      <c r="C790" s="210"/>
      <c r="D790" s="210"/>
      <c r="E790" s="210"/>
      <c r="F790" s="210"/>
      <c r="G790" s="210"/>
      <c r="H790" s="210"/>
      <c r="I790" s="210"/>
      <c r="J790" s="210"/>
      <c r="K790" s="210"/>
      <c r="L790" s="210"/>
      <c r="M790" s="210"/>
      <c r="N790" s="210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</row>
    <row r="791">
      <c r="A791" s="210"/>
      <c r="B791" s="210"/>
      <c r="C791" s="210"/>
      <c r="D791" s="210"/>
      <c r="E791" s="210"/>
      <c r="F791" s="210"/>
      <c r="G791" s="210"/>
      <c r="H791" s="210"/>
      <c r="I791" s="210"/>
      <c r="J791" s="210"/>
      <c r="K791" s="210"/>
      <c r="L791" s="210"/>
      <c r="M791" s="210"/>
      <c r="N791" s="210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</row>
    <row r="792">
      <c r="A792" s="210"/>
      <c r="B792" s="210"/>
      <c r="C792" s="210"/>
      <c r="D792" s="210"/>
      <c r="E792" s="210"/>
      <c r="F792" s="210"/>
      <c r="G792" s="210"/>
      <c r="H792" s="210"/>
      <c r="I792" s="210"/>
      <c r="J792" s="210"/>
      <c r="K792" s="210"/>
      <c r="L792" s="210"/>
      <c r="M792" s="210"/>
      <c r="N792" s="210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</row>
    <row r="793">
      <c r="A793" s="210"/>
      <c r="B793" s="210"/>
      <c r="C793" s="210"/>
      <c r="D793" s="210"/>
      <c r="E793" s="210"/>
      <c r="F793" s="210"/>
      <c r="G793" s="210"/>
      <c r="H793" s="210"/>
      <c r="I793" s="210"/>
      <c r="J793" s="210"/>
      <c r="K793" s="210"/>
      <c r="L793" s="210"/>
      <c r="M793" s="210"/>
      <c r="N793" s="210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</row>
    <row r="794">
      <c r="A794" s="210"/>
      <c r="B794" s="210"/>
      <c r="C794" s="210"/>
      <c r="D794" s="210"/>
      <c r="E794" s="210"/>
      <c r="F794" s="210"/>
      <c r="G794" s="210"/>
      <c r="H794" s="210"/>
      <c r="I794" s="210"/>
      <c r="J794" s="210"/>
      <c r="K794" s="210"/>
      <c r="L794" s="210"/>
      <c r="M794" s="210"/>
      <c r="N794" s="210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</row>
    <row r="795">
      <c r="A795" s="210"/>
      <c r="B795" s="210"/>
      <c r="C795" s="210"/>
      <c r="D795" s="210"/>
      <c r="E795" s="210"/>
      <c r="F795" s="210"/>
      <c r="G795" s="210"/>
      <c r="H795" s="210"/>
      <c r="I795" s="210"/>
      <c r="J795" s="210"/>
      <c r="K795" s="210"/>
      <c r="L795" s="210"/>
      <c r="M795" s="210"/>
      <c r="N795" s="210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</row>
    <row r="796">
      <c r="A796" s="210"/>
      <c r="B796" s="210"/>
      <c r="C796" s="210"/>
      <c r="D796" s="210"/>
      <c r="E796" s="210"/>
      <c r="F796" s="210"/>
      <c r="G796" s="210"/>
      <c r="H796" s="210"/>
      <c r="I796" s="210"/>
      <c r="J796" s="210"/>
      <c r="K796" s="210"/>
      <c r="L796" s="210"/>
      <c r="M796" s="210"/>
      <c r="N796" s="210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</row>
    <row r="797">
      <c r="A797" s="210"/>
      <c r="B797" s="210"/>
      <c r="C797" s="210"/>
      <c r="D797" s="210"/>
      <c r="E797" s="210"/>
      <c r="F797" s="210"/>
      <c r="G797" s="210"/>
      <c r="H797" s="210"/>
      <c r="I797" s="210"/>
      <c r="J797" s="210"/>
      <c r="K797" s="210"/>
      <c r="L797" s="210"/>
      <c r="M797" s="210"/>
      <c r="N797" s="210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</row>
    <row r="798">
      <c r="A798" s="210"/>
      <c r="B798" s="210"/>
      <c r="C798" s="210"/>
      <c r="D798" s="210"/>
      <c r="E798" s="210"/>
      <c r="F798" s="210"/>
      <c r="G798" s="210"/>
      <c r="H798" s="210"/>
      <c r="I798" s="210"/>
      <c r="J798" s="210"/>
      <c r="K798" s="210"/>
      <c r="L798" s="210"/>
      <c r="M798" s="210"/>
      <c r="N798" s="210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</row>
    <row r="799">
      <c r="A799" s="210"/>
      <c r="B799" s="210"/>
      <c r="C799" s="210"/>
      <c r="D799" s="210"/>
      <c r="E799" s="210"/>
      <c r="F799" s="210"/>
      <c r="G799" s="210"/>
      <c r="H799" s="210"/>
      <c r="I799" s="210"/>
      <c r="J799" s="210"/>
      <c r="K799" s="210"/>
      <c r="L799" s="210"/>
      <c r="M799" s="210"/>
      <c r="N799" s="210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</row>
    <row r="800">
      <c r="A800" s="210"/>
      <c r="B800" s="210"/>
      <c r="C800" s="210"/>
      <c r="D800" s="210"/>
      <c r="E800" s="210"/>
      <c r="F800" s="210"/>
      <c r="G800" s="210"/>
      <c r="H800" s="210"/>
      <c r="I800" s="210"/>
      <c r="J800" s="210"/>
      <c r="K800" s="210"/>
      <c r="L800" s="210"/>
      <c r="M800" s="210"/>
      <c r="N800" s="210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</row>
    <row r="801">
      <c r="A801" s="210"/>
      <c r="B801" s="210"/>
      <c r="C801" s="210"/>
      <c r="D801" s="210"/>
      <c r="E801" s="210"/>
      <c r="F801" s="210"/>
      <c r="G801" s="210"/>
      <c r="H801" s="210"/>
      <c r="I801" s="210"/>
      <c r="J801" s="210"/>
      <c r="K801" s="210"/>
      <c r="L801" s="210"/>
      <c r="M801" s="210"/>
      <c r="N801" s="210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</row>
    <row r="802">
      <c r="A802" s="210"/>
      <c r="B802" s="210"/>
      <c r="C802" s="210"/>
      <c r="D802" s="210"/>
      <c r="E802" s="210"/>
      <c r="F802" s="210"/>
      <c r="G802" s="210"/>
      <c r="H802" s="210"/>
      <c r="I802" s="210"/>
      <c r="J802" s="210"/>
      <c r="K802" s="210"/>
      <c r="L802" s="210"/>
      <c r="M802" s="210"/>
      <c r="N802" s="210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</row>
    <row r="803">
      <c r="A803" s="210"/>
      <c r="B803" s="210"/>
      <c r="C803" s="210"/>
      <c r="D803" s="210"/>
      <c r="E803" s="210"/>
      <c r="F803" s="210"/>
      <c r="G803" s="210"/>
      <c r="H803" s="210"/>
      <c r="I803" s="210"/>
      <c r="J803" s="210"/>
      <c r="K803" s="210"/>
      <c r="L803" s="210"/>
      <c r="M803" s="210"/>
      <c r="N803" s="210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</row>
    <row r="804">
      <c r="A804" s="210"/>
      <c r="B804" s="210"/>
      <c r="C804" s="210"/>
      <c r="D804" s="210"/>
      <c r="E804" s="210"/>
      <c r="F804" s="210"/>
      <c r="G804" s="210"/>
      <c r="H804" s="210"/>
      <c r="I804" s="210"/>
      <c r="J804" s="210"/>
      <c r="K804" s="210"/>
      <c r="L804" s="210"/>
      <c r="M804" s="210"/>
      <c r="N804" s="210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</row>
    <row r="805">
      <c r="A805" s="210"/>
      <c r="B805" s="210"/>
      <c r="C805" s="210"/>
      <c r="D805" s="210"/>
      <c r="E805" s="210"/>
      <c r="F805" s="210"/>
      <c r="G805" s="210"/>
      <c r="H805" s="210"/>
      <c r="I805" s="210"/>
      <c r="J805" s="210"/>
      <c r="K805" s="210"/>
      <c r="L805" s="210"/>
      <c r="M805" s="210"/>
      <c r="N805" s="210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</row>
    <row r="806">
      <c r="A806" s="210"/>
      <c r="B806" s="210"/>
      <c r="C806" s="210"/>
      <c r="D806" s="210"/>
      <c r="E806" s="210"/>
      <c r="F806" s="210"/>
      <c r="G806" s="210"/>
      <c r="H806" s="210"/>
      <c r="I806" s="210"/>
      <c r="J806" s="210"/>
      <c r="K806" s="210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</row>
    <row r="807">
      <c r="A807" s="210"/>
      <c r="B807" s="210"/>
      <c r="C807" s="210"/>
      <c r="D807" s="210"/>
      <c r="E807" s="210"/>
      <c r="F807" s="210"/>
      <c r="G807" s="210"/>
      <c r="H807" s="210"/>
      <c r="I807" s="210"/>
      <c r="J807" s="210"/>
      <c r="K807" s="210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</row>
    <row r="808">
      <c r="A808" s="210"/>
      <c r="B808" s="210"/>
      <c r="C808" s="210"/>
      <c r="D808" s="210"/>
      <c r="E808" s="210"/>
      <c r="F808" s="210"/>
      <c r="G808" s="210"/>
      <c r="H808" s="210"/>
      <c r="I808" s="210"/>
      <c r="J808" s="210"/>
      <c r="K808" s="210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</row>
    <row r="809">
      <c r="A809" s="210"/>
      <c r="B809" s="210"/>
      <c r="C809" s="210"/>
      <c r="D809" s="210"/>
      <c r="E809" s="210"/>
      <c r="F809" s="210"/>
      <c r="G809" s="210"/>
      <c r="H809" s="210"/>
      <c r="I809" s="210"/>
      <c r="J809" s="210"/>
      <c r="K809" s="210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</row>
    <row r="810">
      <c r="A810" s="210"/>
      <c r="B810" s="210"/>
      <c r="C810" s="210"/>
      <c r="D810" s="210"/>
      <c r="E810" s="210"/>
      <c r="F810" s="210"/>
      <c r="G810" s="210"/>
      <c r="H810" s="210"/>
      <c r="I810" s="210"/>
      <c r="J810" s="210"/>
      <c r="K810" s="210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</row>
    <row r="811">
      <c r="A811" s="210"/>
      <c r="B811" s="210"/>
      <c r="C811" s="210"/>
      <c r="D811" s="210"/>
      <c r="E811" s="210"/>
      <c r="F811" s="210"/>
      <c r="G811" s="210"/>
      <c r="H811" s="210"/>
      <c r="I811" s="210"/>
      <c r="J811" s="210"/>
      <c r="K811" s="210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</row>
    <row r="812">
      <c r="A812" s="210"/>
      <c r="B812" s="210"/>
      <c r="C812" s="210"/>
      <c r="D812" s="210"/>
      <c r="E812" s="210"/>
      <c r="F812" s="210"/>
      <c r="G812" s="210"/>
      <c r="H812" s="210"/>
      <c r="I812" s="210"/>
      <c r="J812" s="210"/>
      <c r="K812" s="210"/>
      <c r="L812" s="210"/>
      <c r="M812" s="210"/>
      <c r="N812" s="210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</row>
    <row r="813">
      <c r="A813" s="210"/>
      <c r="B813" s="210"/>
      <c r="C813" s="210"/>
      <c r="D813" s="210"/>
      <c r="E813" s="210"/>
      <c r="F813" s="210"/>
      <c r="G813" s="210"/>
      <c r="H813" s="210"/>
      <c r="I813" s="210"/>
      <c r="J813" s="210"/>
      <c r="K813" s="210"/>
      <c r="L813" s="210"/>
      <c r="M813" s="210"/>
      <c r="N813" s="210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</row>
    <row r="814">
      <c r="A814" s="210"/>
      <c r="B814" s="210"/>
      <c r="C814" s="210"/>
      <c r="D814" s="210"/>
      <c r="E814" s="210"/>
      <c r="F814" s="210"/>
      <c r="G814" s="210"/>
      <c r="H814" s="210"/>
      <c r="I814" s="210"/>
      <c r="J814" s="210"/>
      <c r="K814" s="210"/>
      <c r="L814" s="210"/>
      <c r="M814" s="210"/>
      <c r="N814" s="210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</row>
    <row r="815">
      <c r="A815" s="210"/>
      <c r="B815" s="210"/>
      <c r="C815" s="210"/>
      <c r="D815" s="210"/>
      <c r="E815" s="210"/>
      <c r="F815" s="210"/>
      <c r="G815" s="210"/>
      <c r="H815" s="210"/>
      <c r="I815" s="210"/>
      <c r="J815" s="210"/>
      <c r="K815" s="210"/>
      <c r="L815" s="210"/>
      <c r="M815" s="210"/>
      <c r="N815" s="210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</row>
    <row r="816">
      <c r="A816" s="210"/>
      <c r="B816" s="210"/>
      <c r="C816" s="210"/>
      <c r="D816" s="210"/>
      <c r="E816" s="210"/>
      <c r="F816" s="210"/>
      <c r="G816" s="210"/>
      <c r="H816" s="210"/>
      <c r="I816" s="210"/>
      <c r="J816" s="210"/>
      <c r="K816" s="210"/>
      <c r="L816" s="210"/>
      <c r="M816" s="210"/>
      <c r="N816" s="210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</row>
    <row r="817">
      <c r="A817" s="210"/>
      <c r="B817" s="210"/>
      <c r="C817" s="210"/>
      <c r="D817" s="210"/>
      <c r="E817" s="210"/>
      <c r="F817" s="210"/>
      <c r="G817" s="210"/>
      <c r="H817" s="210"/>
      <c r="I817" s="210"/>
      <c r="J817" s="210"/>
      <c r="K817" s="210"/>
      <c r="L817" s="210"/>
      <c r="M817" s="210"/>
      <c r="N817" s="210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</row>
    <row r="818">
      <c r="A818" s="210"/>
      <c r="B818" s="210"/>
      <c r="C818" s="210"/>
      <c r="D818" s="210"/>
      <c r="E818" s="210"/>
      <c r="F818" s="210"/>
      <c r="G818" s="210"/>
      <c r="H818" s="210"/>
      <c r="I818" s="210"/>
      <c r="J818" s="210"/>
      <c r="K818" s="210"/>
      <c r="L818" s="210"/>
      <c r="M818" s="210"/>
      <c r="N818" s="210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</row>
    <row r="819">
      <c r="A819" s="210"/>
      <c r="B819" s="210"/>
      <c r="C819" s="210"/>
      <c r="D819" s="210"/>
      <c r="E819" s="210"/>
      <c r="F819" s="210"/>
      <c r="G819" s="210"/>
      <c r="H819" s="210"/>
      <c r="I819" s="210"/>
      <c r="J819" s="210"/>
      <c r="K819" s="210"/>
      <c r="L819" s="210"/>
      <c r="M819" s="210"/>
      <c r="N819" s="210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</row>
    <row r="820">
      <c r="A820" s="210"/>
      <c r="B820" s="210"/>
      <c r="C820" s="210"/>
      <c r="D820" s="210"/>
      <c r="E820" s="210"/>
      <c r="F820" s="210"/>
      <c r="G820" s="210"/>
      <c r="H820" s="210"/>
      <c r="I820" s="210"/>
      <c r="J820" s="210"/>
      <c r="K820" s="210"/>
      <c r="L820" s="210"/>
      <c r="M820" s="210"/>
      <c r="N820" s="210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</row>
    <row r="821">
      <c r="A821" s="210"/>
      <c r="B821" s="210"/>
      <c r="C821" s="210"/>
      <c r="D821" s="210"/>
      <c r="E821" s="210"/>
      <c r="F821" s="210"/>
      <c r="G821" s="210"/>
      <c r="H821" s="210"/>
      <c r="I821" s="210"/>
      <c r="J821" s="210"/>
      <c r="K821" s="210"/>
      <c r="L821" s="210"/>
      <c r="M821" s="210"/>
      <c r="N821" s="210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</row>
    <row r="822">
      <c r="A822" s="210"/>
      <c r="B822" s="210"/>
      <c r="C822" s="210"/>
      <c r="D822" s="210"/>
      <c r="E822" s="210"/>
      <c r="F822" s="210"/>
      <c r="G822" s="210"/>
      <c r="H822" s="210"/>
      <c r="I822" s="210"/>
      <c r="J822" s="210"/>
      <c r="K822" s="210"/>
      <c r="L822" s="210"/>
      <c r="M822" s="210"/>
      <c r="N822" s="210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</row>
    <row r="823">
      <c r="A823" s="210"/>
      <c r="B823" s="210"/>
      <c r="C823" s="210"/>
      <c r="D823" s="210"/>
      <c r="E823" s="210"/>
      <c r="F823" s="210"/>
      <c r="G823" s="210"/>
      <c r="H823" s="210"/>
      <c r="I823" s="210"/>
      <c r="J823" s="210"/>
      <c r="K823" s="210"/>
      <c r="L823" s="210"/>
      <c r="M823" s="210"/>
      <c r="N823" s="210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</row>
    <row r="824">
      <c r="A824" s="210"/>
      <c r="B824" s="210"/>
      <c r="C824" s="210"/>
      <c r="D824" s="210"/>
      <c r="E824" s="210"/>
      <c r="F824" s="210"/>
      <c r="G824" s="210"/>
      <c r="H824" s="210"/>
      <c r="I824" s="210"/>
      <c r="J824" s="210"/>
      <c r="K824" s="210"/>
      <c r="L824" s="210"/>
      <c r="M824" s="210"/>
      <c r="N824" s="210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</row>
    <row r="825">
      <c r="A825" s="210"/>
      <c r="B825" s="210"/>
      <c r="C825" s="210"/>
      <c r="D825" s="210"/>
      <c r="E825" s="210"/>
      <c r="F825" s="210"/>
      <c r="G825" s="210"/>
      <c r="H825" s="210"/>
      <c r="I825" s="210"/>
      <c r="J825" s="210"/>
      <c r="K825" s="210"/>
      <c r="L825" s="210"/>
      <c r="M825" s="210"/>
      <c r="N825" s="210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</row>
    <row r="826">
      <c r="A826" s="210"/>
      <c r="B826" s="210"/>
      <c r="C826" s="210"/>
      <c r="D826" s="210"/>
      <c r="E826" s="210"/>
      <c r="F826" s="210"/>
      <c r="G826" s="210"/>
      <c r="H826" s="210"/>
      <c r="I826" s="210"/>
      <c r="J826" s="210"/>
      <c r="K826" s="210"/>
      <c r="L826" s="210"/>
      <c r="M826" s="210"/>
      <c r="N826" s="210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</row>
    <row r="827">
      <c r="A827" s="210"/>
      <c r="B827" s="210"/>
      <c r="C827" s="210"/>
      <c r="D827" s="210"/>
      <c r="E827" s="210"/>
      <c r="F827" s="210"/>
      <c r="G827" s="210"/>
      <c r="H827" s="210"/>
      <c r="I827" s="210"/>
      <c r="J827" s="210"/>
      <c r="K827" s="210"/>
      <c r="L827" s="210"/>
      <c r="M827" s="210"/>
      <c r="N827" s="210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</row>
    <row r="828">
      <c r="A828" s="210"/>
      <c r="B828" s="210"/>
      <c r="C828" s="210"/>
      <c r="D828" s="210"/>
      <c r="E828" s="210"/>
      <c r="F828" s="210"/>
      <c r="G828" s="210"/>
      <c r="H828" s="210"/>
      <c r="I828" s="210"/>
      <c r="J828" s="210"/>
      <c r="K828" s="210"/>
      <c r="L828" s="210"/>
      <c r="M828" s="210"/>
      <c r="N828" s="210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</row>
    <row r="829">
      <c r="A829" s="210"/>
      <c r="B829" s="210"/>
      <c r="C829" s="210"/>
      <c r="D829" s="210"/>
      <c r="E829" s="210"/>
      <c r="F829" s="210"/>
      <c r="G829" s="210"/>
      <c r="H829" s="210"/>
      <c r="I829" s="210"/>
      <c r="J829" s="210"/>
      <c r="K829" s="210"/>
      <c r="L829" s="210"/>
      <c r="M829" s="210"/>
      <c r="N829" s="210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</row>
    <row r="830">
      <c r="A830" s="210"/>
      <c r="B830" s="210"/>
      <c r="C830" s="210"/>
      <c r="D830" s="210"/>
      <c r="E830" s="210"/>
      <c r="F830" s="210"/>
      <c r="G830" s="210"/>
      <c r="H830" s="210"/>
      <c r="I830" s="210"/>
      <c r="J830" s="210"/>
      <c r="K830" s="210"/>
      <c r="L830" s="210"/>
      <c r="M830" s="210"/>
      <c r="N830" s="210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</row>
    <row r="831">
      <c r="A831" s="210"/>
      <c r="B831" s="210"/>
      <c r="C831" s="210"/>
      <c r="D831" s="210"/>
      <c r="E831" s="210"/>
      <c r="F831" s="210"/>
      <c r="G831" s="210"/>
      <c r="H831" s="210"/>
      <c r="I831" s="210"/>
      <c r="J831" s="210"/>
      <c r="K831" s="210"/>
      <c r="L831" s="210"/>
      <c r="M831" s="210"/>
      <c r="N831" s="210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</row>
    <row r="832">
      <c r="A832" s="210"/>
      <c r="B832" s="210"/>
      <c r="C832" s="210"/>
      <c r="D832" s="210"/>
      <c r="E832" s="210"/>
      <c r="F832" s="210"/>
      <c r="G832" s="210"/>
      <c r="H832" s="210"/>
      <c r="I832" s="210"/>
      <c r="J832" s="210"/>
      <c r="K832" s="210"/>
      <c r="L832" s="210"/>
      <c r="M832" s="210"/>
      <c r="N832" s="210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</row>
    <row r="833">
      <c r="A833" s="210"/>
      <c r="B833" s="210"/>
      <c r="C833" s="210"/>
      <c r="D833" s="210"/>
      <c r="E833" s="210"/>
      <c r="F833" s="210"/>
      <c r="G833" s="210"/>
      <c r="H833" s="210"/>
      <c r="I833" s="210"/>
      <c r="J833" s="210"/>
      <c r="K833" s="210"/>
      <c r="L833" s="210"/>
      <c r="M833" s="210"/>
      <c r="N833" s="210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</row>
    <row r="834">
      <c r="A834" s="210"/>
      <c r="B834" s="210"/>
      <c r="C834" s="210"/>
      <c r="D834" s="210"/>
      <c r="E834" s="210"/>
      <c r="F834" s="210"/>
      <c r="G834" s="210"/>
      <c r="H834" s="210"/>
      <c r="I834" s="210"/>
      <c r="J834" s="210"/>
      <c r="K834" s="210"/>
      <c r="L834" s="210"/>
      <c r="M834" s="210"/>
      <c r="N834" s="210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</row>
    <row r="835">
      <c r="A835" s="210"/>
      <c r="B835" s="210"/>
      <c r="C835" s="210"/>
      <c r="D835" s="210"/>
      <c r="E835" s="210"/>
      <c r="F835" s="210"/>
      <c r="G835" s="210"/>
      <c r="H835" s="210"/>
      <c r="I835" s="210"/>
      <c r="J835" s="210"/>
      <c r="K835" s="210"/>
      <c r="L835" s="210"/>
      <c r="M835" s="210"/>
      <c r="N835" s="210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</row>
    <row r="836">
      <c r="A836" s="210"/>
      <c r="B836" s="210"/>
      <c r="C836" s="210"/>
      <c r="D836" s="210"/>
      <c r="E836" s="210"/>
      <c r="F836" s="210"/>
      <c r="G836" s="210"/>
      <c r="H836" s="210"/>
      <c r="I836" s="210"/>
      <c r="J836" s="210"/>
      <c r="K836" s="210"/>
      <c r="L836" s="210"/>
      <c r="M836" s="210"/>
      <c r="N836" s="210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</row>
    <row r="837">
      <c r="A837" s="210"/>
      <c r="B837" s="210"/>
      <c r="C837" s="210"/>
      <c r="D837" s="210"/>
      <c r="E837" s="210"/>
      <c r="F837" s="210"/>
      <c r="G837" s="210"/>
      <c r="H837" s="210"/>
      <c r="I837" s="210"/>
      <c r="J837" s="210"/>
      <c r="K837" s="210"/>
      <c r="L837" s="210"/>
      <c r="M837" s="210"/>
      <c r="N837" s="210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</row>
    <row r="838">
      <c r="A838" s="210"/>
      <c r="B838" s="210"/>
      <c r="C838" s="210"/>
      <c r="D838" s="210"/>
      <c r="E838" s="210"/>
      <c r="F838" s="210"/>
      <c r="G838" s="210"/>
      <c r="H838" s="210"/>
      <c r="I838" s="210"/>
      <c r="J838" s="210"/>
      <c r="K838" s="210"/>
      <c r="L838" s="210"/>
      <c r="M838" s="210"/>
      <c r="N838" s="210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</row>
    <row r="839">
      <c r="A839" s="210"/>
      <c r="B839" s="210"/>
      <c r="C839" s="210"/>
      <c r="D839" s="210"/>
      <c r="E839" s="210"/>
      <c r="F839" s="210"/>
      <c r="G839" s="210"/>
      <c r="H839" s="210"/>
      <c r="I839" s="210"/>
      <c r="J839" s="210"/>
      <c r="K839" s="210"/>
      <c r="L839" s="210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</row>
    <row r="840">
      <c r="A840" s="210"/>
      <c r="B840" s="210"/>
      <c r="C840" s="210"/>
      <c r="D840" s="210"/>
      <c r="E840" s="210"/>
      <c r="F840" s="210"/>
      <c r="G840" s="210"/>
      <c r="H840" s="210"/>
      <c r="I840" s="210"/>
      <c r="J840" s="210"/>
      <c r="K840" s="210"/>
      <c r="L840" s="210"/>
      <c r="M840" s="210"/>
      <c r="N840" s="210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</row>
    <row r="841">
      <c r="A841" s="210"/>
      <c r="B841" s="210"/>
      <c r="C841" s="210"/>
      <c r="D841" s="210"/>
      <c r="E841" s="210"/>
      <c r="F841" s="210"/>
      <c r="G841" s="210"/>
      <c r="H841" s="210"/>
      <c r="I841" s="210"/>
      <c r="J841" s="210"/>
      <c r="K841" s="210"/>
      <c r="L841" s="210"/>
      <c r="M841" s="210"/>
      <c r="N841" s="210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</row>
    <row r="842">
      <c r="A842" s="210"/>
      <c r="B842" s="210"/>
      <c r="C842" s="210"/>
      <c r="D842" s="210"/>
      <c r="E842" s="210"/>
      <c r="F842" s="210"/>
      <c r="G842" s="210"/>
      <c r="H842" s="210"/>
      <c r="I842" s="210"/>
      <c r="J842" s="210"/>
      <c r="K842" s="210"/>
      <c r="L842" s="210"/>
      <c r="M842" s="210"/>
      <c r="N842" s="210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</row>
    <row r="843">
      <c r="A843" s="210"/>
      <c r="B843" s="210"/>
      <c r="C843" s="210"/>
      <c r="D843" s="210"/>
      <c r="E843" s="210"/>
      <c r="F843" s="210"/>
      <c r="G843" s="210"/>
      <c r="H843" s="210"/>
      <c r="I843" s="210"/>
      <c r="J843" s="210"/>
      <c r="K843" s="210"/>
      <c r="L843" s="210"/>
      <c r="M843" s="210"/>
      <c r="N843" s="210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</row>
    <row r="844">
      <c r="A844" s="210"/>
      <c r="B844" s="210"/>
      <c r="C844" s="210"/>
      <c r="D844" s="210"/>
      <c r="E844" s="210"/>
      <c r="F844" s="210"/>
      <c r="G844" s="210"/>
      <c r="H844" s="210"/>
      <c r="I844" s="210"/>
      <c r="J844" s="210"/>
      <c r="K844" s="210"/>
      <c r="L844" s="210"/>
      <c r="M844" s="210"/>
      <c r="N844" s="210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</row>
    <row r="845">
      <c r="A845" s="210"/>
      <c r="B845" s="210"/>
      <c r="C845" s="210"/>
      <c r="D845" s="210"/>
      <c r="E845" s="210"/>
      <c r="F845" s="210"/>
      <c r="G845" s="210"/>
      <c r="H845" s="210"/>
      <c r="I845" s="210"/>
      <c r="J845" s="210"/>
      <c r="K845" s="210"/>
      <c r="L845" s="210"/>
      <c r="M845" s="210"/>
      <c r="N845" s="210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</row>
    <row r="846">
      <c r="A846" s="210"/>
      <c r="B846" s="210"/>
      <c r="C846" s="210"/>
      <c r="D846" s="210"/>
      <c r="E846" s="210"/>
      <c r="F846" s="210"/>
      <c r="G846" s="210"/>
      <c r="H846" s="210"/>
      <c r="I846" s="210"/>
      <c r="J846" s="210"/>
      <c r="K846" s="210"/>
      <c r="L846" s="210"/>
      <c r="M846" s="210"/>
      <c r="N846" s="210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</row>
    <row r="847">
      <c r="A847" s="210"/>
      <c r="B847" s="210"/>
      <c r="C847" s="210"/>
      <c r="D847" s="210"/>
      <c r="E847" s="210"/>
      <c r="F847" s="210"/>
      <c r="G847" s="210"/>
      <c r="H847" s="210"/>
      <c r="I847" s="210"/>
      <c r="J847" s="210"/>
      <c r="K847" s="210"/>
      <c r="L847" s="210"/>
      <c r="M847" s="210"/>
      <c r="N847" s="210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</row>
    <row r="848">
      <c r="A848" s="210"/>
      <c r="B848" s="210"/>
      <c r="C848" s="210"/>
      <c r="D848" s="210"/>
      <c r="E848" s="210"/>
      <c r="F848" s="210"/>
      <c r="G848" s="210"/>
      <c r="H848" s="210"/>
      <c r="I848" s="210"/>
      <c r="J848" s="210"/>
      <c r="K848" s="210"/>
      <c r="L848" s="210"/>
      <c r="M848" s="210"/>
      <c r="N848" s="210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</row>
    <row r="849">
      <c r="A849" s="210"/>
      <c r="B849" s="210"/>
      <c r="C849" s="210"/>
      <c r="D849" s="210"/>
      <c r="E849" s="210"/>
      <c r="F849" s="210"/>
      <c r="G849" s="210"/>
      <c r="H849" s="210"/>
      <c r="I849" s="210"/>
      <c r="J849" s="210"/>
      <c r="K849" s="210"/>
      <c r="L849" s="210"/>
      <c r="M849" s="210"/>
      <c r="N849" s="210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</row>
    <row r="850">
      <c r="A850" s="210"/>
      <c r="B850" s="210"/>
      <c r="C850" s="210"/>
      <c r="D850" s="210"/>
      <c r="E850" s="210"/>
      <c r="F850" s="210"/>
      <c r="G850" s="210"/>
      <c r="H850" s="210"/>
      <c r="I850" s="210"/>
      <c r="J850" s="210"/>
      <c r="K850" s="210"/>
      <c r="L850" s="210"/>
      <c r="M850" s="210"/>
      <c r="N850" s="210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</row>
    <row r="851">
      <c r="A851" s="210"/>
      <c r="B851" s="210"/>
      <c r="C851" s="210"/>
      <c r="D851" s="210"/>
      <c r="E851" s="210"/>
      <c r="F851" s="210"/>
      <c r="G851" s="210"/>
      <c r="H851" s="210"/>
      <c r="I851" s="210"/>
      <c r="J851" s="210"/>
      <c r="K851" s="210"/>
      <c r="L851" s="210"/>
      <c r="M851" s="210"/>
      <c r="N851" s="210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</row>
    <row r="852">
      <c r="A852" s="210"/>
      <c r="B852" s="210"/>
      <c r="C852" s="210"/>
      <c r="D852" s="210"/>
      <c r="E852" s="210"/>
      <c r="F852" s="210"/>
      <c r="G852" s="210"/>
      <c r="H852" s="210"/>
      <c r="I852" s="210"/>
      <c r="J852" s="210"/>
      <c r="K852" s="210"/>
      <c r="L852" s="210"/>
      <c r="M852" s="210"/>
      <c r="N852" s="210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</row>
    <row r="853">
      <c r="A853" s="210"/>
      <c r="B853" s="210"/>
      <c r="C853" s="210"/>
      <c r="D853" s="210"/>
      <c r="E853" s="210"/>
      <c r="F853" s="210"/>
      <c r="G853" s="210"/>
      <c r="H853" s="210"/>
      <c r="I853" s="210"/>
      <c r="J853" s="210"/>
      <c r="K853" s="210"/>
      <c r="L853" s="210"/>
      <c r="M853" s="210"/>
      <c r="N853" s="210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</row>
    <row r="854">
      <c r="A854" s="210"/>
      <c r="B854" s="210"/>
      <c r="C854" s="210"/>
      <c r="D854" s="210"/>
      <c r="E854" s="210"/>
      <c r="F854" s="210"/>
      <c r="G854" s="210"/>
      <c r="H854" s="210"/>
      <c r="I854" s="210"/>
      <c r="J854" s="210"/>
      <c r="K854" s="210"/>
      <c r="L854" s="210"/>
      <c r="M854" s="210"/>
      <c r="N854" s="210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</row>
    <row r="855">
      <c r="A855" s="210"/>
      <c r="B855" s="210"/>
      <c r="C855" s="210"/>
      <c r="D855" s="210"/>
      <c r="E855" s="210"/>
      <c r="F855" s="210"/>
      <c r="G855" s="210"/>
      <c r="H855" s="210"/>
      <c r="I855" s="210"/>
      <c r="J855" s="210"/>
      <c r="K855" s="210"/>
      <c r="L855" s="210"/>
      <c r="M855" s="210"/>
      <c r="N855" s="210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</row>
    <row r="856">
      <c r="A856" s="210"/>
      <c r="B856" s="210"/>
      <c r="C856" s="210"/>
      <c r="D856" s="210"/>
      <c r="E856" s="210"/>
      <c r="F856" s="210"/>
      <c r="G856" s="210"/>
      <c r="H856" s="210"/>
      <c r="I856" s="210"/>
      <c r="J856" s="210"/>
      <c r="K856" s="210"/>
      <c r="L856" s="210"/>
      <c r="M856" s="210"/>
      <c r="N856" s="210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</row>
    <row r="857">
      <c r="A857" s="210"/>
      <c r="B857" s="210"/>
      <c r="C857" s="210"/>
      <c r="D857" s="210"/>
      <c r="E857" s="210"/>
      <c r="F857" s="210"/>
      <c r="G857" s="210"/>
      <c r="H857" s="210"/>
      <c r="I857" s="210"/>
      <c r="J857" s="210"/>
      <c r="K857" s="210"/>
      <c r="L857" s="210"/>
      <c r="M857" s="210"/>
      <c r="N857" s="210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</row>
    <row r="858">
      <c r="A858" s="210"/>
      <c r="B858" s="210"/>
      <c r="C858" s="210"/>
      <c r="D858" s="210"/>
      <c r="E858" s="210"/>
      <c r="F858" s="210"/>
      <c r="G858" s="210"/>
      <c r="H858" s="210"/>
      <c r="I858" s="210"/>
      <c r="J858" s="210"/>
      <c r="K858" s="210"/>
      <c r="L858" s="210"/>
      <c r="M858" s="210"/>
      <c r="N858" s="210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</row>
    <row r="859">
      <c r="A859" s="210"/>
      <c r="B859" s="210"/>
      <c r="C859" s="210"/>
      <c r="D859" s="210"/>
      <c r="E859" s="210"/>
      <c r="F859" s="210"/>
      <c r="G859" s="210"/>
      <c r="H859" s="210"/>
      <c r="I859" s="210"/>
      <c r="J859" s="210"/>
      <c r="K859" s="210"/>
      <c r="L859" s="210"/>
      <c r="M859" s="210"/>
      <c r="N859" s="210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</row>
    <row r="860">
      <c r="A860" s="210"/>
      <c r="B860" s="210"/>
      <c r="C860" s="210"/>
      <c r="D860" s="210"/>
      <c r="E860" s="210"/>
      <c r="F860" s="210"/>
      <c r="G860" s="210"/>
      <c r="H860" s="210"/>
      <c r="I860" s="210"/>
      <c r="J860" s="210"/>
      <c r="K860" s="210"/>
      <c r="L860" s="210"/>
      <c r="M860" s="210"/>
      <c r="N860" s="210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</row>
    <row r="861">
      <c r="A861" s="210"/>
      <c r="B861" s="210"/>
      <c r="C861" s="210"/>
      <c r="D861" s="210"/>
      <c r="E861" s="210"/>
      <c r="F861" s="210"/>
      <c r="G861" s="210"/>
      <c r="H861" s="210"/>
      <c r="I861" s="210"/>
      <c r="J861" s="210"/>
      <c r="K861" s="210"/>
      <c r="L861" s="210"/>
      <c r="M861" s="210"/>
      <c r="N861" s="210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</row>
    <row r="862">
      <c r="A862" s="210"/>
      <c r="B862" s="210"/>
      <c r="C862" s="210"/>
      <c r="D862" s="210"/>
      <c r="E862" s="210"/>
      <c r="F862" s="210"/>
      <c r="G862" s="210"/>
      <c r="H862" s="210"/>
      <c r="I862" s="210"/>
      <c r="J862" s="210"/>
      <c r="K862" s="210"/>
      <c r="L862" s="210"/>
      <c r="M862" s="210"/>
      <c r="N862" s="210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</row>
    <row r="863">
      <c r="A863" s="210"/>
      <c r="B863" s="210"/>
      <c r="C863" s="210"/>
      <c r="D863" s="210"/>
      <c r="E863" s="210"/>
      <c r="F863" s="210"/>
      <c r="G863" s="210"/>
      <c r="H863" s="210"/>
      <c r="I863" s="210"/>
      <c r="J863" s="210"/>
      <c r="K863" s="210"/>
      <c r="L863" s="210"/>
      <c r="M863" s="210"/>
      <c r="N863" s="210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</row>
    <row r="864">
      <c r="A864" s="210"/>
      <c r="B864" s="210"/>
      <c r="C864" s="210"/>
      <c r="D864" s="210"/>
      <c r="E864" s="210"/>
      <c r="F864" s="210"/>
      <c r="G864" s="210"/>
      <c r="H864" s="210"/>
      <c r="I864" s="210"/>
      <c r="J864" s="210"/>
      <c r="K864" s="210"/>
      <c r="L864" s="210"/>
      <c r="M864" s="210"/>
      <c r="N864" s="210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</row>
    <row r="865">
      <c r="A865" s="210"/>
      <c r="B865" s="210"/>
      <c r="C865" s="210"/>
      <c r="D865" s="210"/>
      <c r="E865" s="210"/>
      <c r="F865" s="210"/>
      <c r="G865" s="210"/>
      <c r="H865" s="210"/>
      <c r="I865" s="210"/>
      <c r="J865" s="210"/>
      <c r="K865" s="210"/>
      <c r="L865" s="210"/>
      <c r="M865" s="210"/>
      <c r="N865" s="210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</row>
    <row r="866">
      <c r="A866" s="210"/>
      <c r="B866" s="210"/>
      <c r="C866" s="210"/>
      <c r="D866" s="210"/>
      <c r="E866" s="210"/>
      <c r="F866" s="210"/>
      <c r="G866" s="210"/>
      <c r="H866" s="210"/>
      <c r="I866" s="210"/>
      <c r="J866" s="210"/>
      <c r="K866" s="210"/>
      <c r="L866" s="210"/>
      <c r="M866" s="210"/>
      <c r="N866" s="210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</row>
    <row r="867">
      <c r="A867" s="210"/>
      <c r="B867" s="210"/>
      <c r="C867" s="210"/>
      <c r="D867" s="210"/>
      <c r="E867" s="210"/>
      <c r="F867" s="210"/>
      <c r="G867" s="210"/>
      <c r="H867" s="210"/>
      <c r="I867" s="210"/>
      <c r="J867" s="210"/>
      <c r="K867" s="210"/>
      <c r="L867" s="210"/>
      <c r="M867" s="210"/>
      <c r="N867" s="210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</row>
    <row r="868">
      <c r="A868" s="210"/>
      <c r="B868" s="210"/>
      <c r="C868" s="210"/>
      <c r="D868" s="210"/>
      <c r="E868" s="210"/>
      <c r="F868" s="210"/>
      <c r="G868" s="210"/>
      <c r="H868" s="210"/>
      <c r="I868" s="210"/>
      <c r="J868" s="210"/>
      <c r="K868" s="210"/>
      <c r="L868" s="210"/>
      <c r="M868" s="210"/>
      <c r="N868" s="210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</row>
    <row r="869">
      <c r="A869" s="210"/>
      <c r="B869" s="210"/>
      <c r="C869" s="210"/>
      <c r="D869" s="210"/>
      <c r="E869" s="210"/>
      <c r="F869" s="210"/>
      <c r="G869" s="210"/>
      <c r="H869" s="210"/>
      <c r="I869" s="210"/>
      <c r="J869" s="210"/>
      <c r="K869" s="210"/>
      <c r="L869" s="210"/>
      <c r="M869" s="210"/>
      <c r="N869" s="210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</row>
    <row r="870">
      <c r="A870" s="210"/>
      <c r="B870" s="210"/>
      <c r="C870" s="210"/>
      <c r="D870" s="210"/>
      <c r="E870" s="210"/>
      <c r="F870" s="210"/>
      <c r="G870" s="210"/>
      <c r="H870" s="210"/>
      <c r="I870" s="210"/>
      <c r="J870" s="210"/>
      <c r="K870" s="210"/>
      <c r="L870" s="210"/>
      <c r="M870" s="210"/>
      <c r="N870" s="210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</row>
    <row r="871">
      <c r="A871" s="210"/>
      <c r="B871" s="210"/>
      <c r="C871" s="210"/>
      <c r="D871" s="210"/>
      <c r="E871" s="210"/>
      <c r="F871" s="210"/>
      <c r="G871" s="210"/>
      <c r="H871" s="210"/>
      <c r="I871" s="210"/>
      <c r="J871" s="210"/>
      <c r="K871" s="210"/>
      <c r="L871" s="210"/>
      <c r="M871" s="210"/>
      <c r="N871" s="210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</row>
    <row r="872">
      <c r="A872" s="210"/>
      <c r="B872" s="210"/>
      <c r="C872" s="210"/>
      <c r="D872" s="210"/>
      <c r="E872" s="210"/>
      <c r="F872" s="210"/>
      <c r="G872" s="210"/>
      <c r="H872" s="210"/>
      <c r="I872" s="210"/>
      <c r="J872" s="210"/>
      <c r="K872" s="210"/>
      <c r="L872" s="210"/>
      <c r="M872" s="210"/>
      <c r="N872" s="210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</row>
    <row r="873">
      <c r="A873" s="210"/>
      <c r="B873" s="210"/>
      <c r="C873" s="210"/>
      <c r="D873" s="210"/>
      <c r="E873" s="210"/>
      <c r="F873" s="210"/>
      <c r="G873" s="210"/>
      <c r="H873" s="210"/>
      <c r="I873" s="210"/>
      <c r="J873" s="210"/>
      <c r="K873" s="210"/>
      <c r="L873" s="210"/>
      <c r="M873" s="210"/>
      <c r="N873" s="210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</row>
    <row r="874">
      <c r="A874" s="210"/>
      <c r="B874" s="210"/>
      <c r="C874" s="210"/>
      <c r="D874" s="210"/>
      <c r="E874" s="210"/>
      <c r="F874" s="210"/>
      <c r="G874" s="210"/>
      <c r="H874" s="210"/>
      <c r="I874" s="210"/>
      <c r="J874" s="210"/>
      <c r="K874" s="210"/>
      <c r="L874" s="210"/>
      <c r="M874" s="210"/>
      <c r="N874" s="210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</row>
    <row r="875">
      <c r="A875" s="210"/>
      <c r="B875" s="210"/>
      <c r="C875" s="210"/>
      <c r="D875" s="210"/>
      <c r="E875" s="210"/>
      <c r="F875" s="210"/>
      <c r="G875" s="210"/>
      <c r="H875" s="210"/>
      <c r="I875" s="210"/>
      <c r="J875" s="210"/>
      <c r="K875" s="210"/>
      <c r="L875" s="210"/>
      <c r="M875" s="210"/>
      <c r="N875" s="210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</row>
    <row r="876">
      <c r="A876" s="210"/>
      <c r="B876" s="210"/>
      <c r="C876" s="210"/>
      <c r="D876" s="210"/>
      <c r="E876" s="210"/>
      <c r="F876" s="210"/>
      <c r="G876" s="210"/>
      <c r="H876" s="210"/>
      <c r="I876" s="210"/>
      <c r="J876" s="210"/>
      <c r="K876" s="210"/>
      <c r="L876" s="210"/>
      <c r="M876" s="210"/>
      <c r="N876" s="210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</row>
    <row r="877">
      <c r="A877" s="210"/>
      <c r="B877" s="210"/>
      <c r="C877" s="210"/>
      <c r="D877" s="210"/>
      <c r="E877" s="210"/>
      <c r="F877" s="210"/>
      <c r="G877" s="210"/>
      <c r="H877" s="210"/>
      <c r="I877" s="210"/>
      <c r="J877" s="210"/>
      <c r="K877" s="210"/>
      <c r="L877" s="210"/>
      <c r="M877" s="210"/>
      <c r="N877" s="210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</row>
    <row r="878">
      <c r="A878" s="210"/>
      <c r="B878" s="210"/>
      <c r="C878" s="210"/>
      <c r="D878" s="210"/>
      <c r="E878" s="210"/>
      <c r="F878" s="210"/>
      <c r="G878" s="210"/>
      <c r="H878" s="210"/>
      <c r="I878" s="210"/>
      <c r="J878" s="210"/>
      <c r="K878" s="210"/>
      <c r="L878" s="210"/>
      <c r="M878" s="210"/>
      <c r="N878" s="210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</row>
    <row r="879">
      <c r="A879" s="210"/>
      <c r="B879" s="210"/>
      <c r="C879" s="210"/>
      <c r="D879" s="210"/>
      <c r="E879" s="210"/>
      <c r="F879" s="210"/>
      <c r="G879" s="210"/>
      <c r="H879" s="210"/>
      <c r="I879" s="210"/>
      <c r="J879" s="210"/>
      <c r="K879" s="210"/>
      <c r="L879" s="210"/>
      <c r="M879" s="210"/>
      <c r="N879" s="210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</row>
    <row r="880">
      <c r="A880" s="210"/>
      <c r="B880" s="210"/>
      <c r="C880" s="210"/>
      <c r="D880" s="210"/>
      <c r="E880" s="210"/>
      <c r="F880" s="210"/>
      <c r="G880" s="210"/>
      <c r="H880" s="210"/>
      <c r="I880" s="210"/>
      <c r="J880" s="210"/>
      <c r="K880" s="210"/>
      <c r="L880" s="210"/>
      <c r="M880" s="210"/>
      <c r="N880" s="210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</row>
    <row r="881">
      <c r="A881" s="210"/>
      <c r="B881" s="210"/>
      <c r="C881" s="210"/>
      <c r="D881" s="210"/>
      <c r="E881" s="210"/>
      <c r="F881" s="210"/>
      <c r="G881" s="210"/>
      <c r="H881" s="210"/>
      <c r="I881" s="210"/>
      <c r="J881" s="210"/>
      <c r="K881" s="210"/>
      <c r="L881" s="210"/>
      <c r="M881" s="210"/>
      <c r="N881" s="210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</row>
    <row r="882">
      <c r="A882" s="210"/>
      <c r="B882" s="210"/>
      <c r="C882" s="210"/>
      <c r="D882" s="210"/>
      <c r="E882" s="210"/>
      <c r="F882" s="210"/>
      <c r="G882" s="210"/>
      <c r="H882" s="210"/>
      <c r="I882" s="210"/>
      <c r="J882" s="210"/>
      <c r="K882" s="210"/>
      <c r="L882" s="210"/>
      <c r="M882" s="210"/>
      <c r="N882" s="210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</row>
    <row r="883">
      <c r="A883" s="210"/>
      <c r="B883" s="210"/>
      <c r="C883" s="210"/>
      <c r="D883" s="210"/>
      <c r="E883" s="210"/>
      <c r="F883" s="210"/>
      <c r="G883" s="210"/>
      <c r="H883" s="210"/>
      <c r="I883" s="210"/>
      <c r="J883" s="210"/>
      <c r="K883" s="210"/>
      <c r="L883" s="210"/>
      <c r="M883" s="210"/>
      <c r="N883" s="210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</row>
    <row r="884">
      <c r="A884" s="210"/>
      <c r="B884" s="210"/>
      <c r="C884" s="210"/>
      <c r="D884" s="210"/>
      <c r="E884" s="210"/>
      <c r="F884" s="210"/>
      <c r="G884" s="210"/>
      <c r="H884" s="210"/>
      <c r="I884" s="210"/>
      <c r="J884" s="210"/>
      <c r="K884" s="210"/>
      <c r="L884" s="210"/>
      <c r="M884" s="210"/>
      <c r="N884" s="210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</row>
    <row r="885">
      <c r="A885" s="210"/>
      <c r="B885" s="210"/>
      <c r="C885" s="210"/>
      <c r="D885" s="210"/>
      <c r="E885" s="210"/>
      <c r="F885" s="210"/>
      <c r="G885" s="210"/>
      <c r="H885" s="210"/>
      <c r="I885" s="210"/>
      <c r="J885" s="210"/>
      <c r="K885" s="210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</row>
    <row r="886">
      <c r="A886" s="210"/>
      <c r="B886" s="210"/>
      <c r="C886" s="210"/>
      <c r="D886" s="210"/>
      <c r="E886" s="210"/>
      <c r="F886" s="210"/>
      <c r="G886" s="210"/>
      <c r="H886" s="210"/>
      <c r="I886" s="210"/>
      <c r="J886" s="210"/>
      <c r="K886" s="210"/>
      <c r="L886" s="210"/>
      <c r="M886" s="210"/>
      <c r="N886" s="210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</row>
    <row r="887">
      <c r="A887" s="210"/>
      <c r="B887" s="210"/>
      <c r="C887" s="210"/>
      <c r="D887" s="210"/>
      <c r="E887" s="210"/>
      <c r="F887" s="210"/>
      <c r="G887" s="210"/>
      <c r="H887" s="210"/>
      <c r="I887" s="210"/>
      <c r="J887" s="210"/>
      <c r="K887" s="210"/>
      <c r="L887" s="210"/>
      <c r="M887" s="210"/>
      <c r="N887" s="210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</row>
    <row r="888">
      <c r="A888" s="210"/>
      <c r="B888" s="210"/>
      <c r="C888" s="210"/>
      <c r="D888" s="210"/>
      <c r="E888" s="210"/>
      <c r="F888" s="210"/>
      <c r="G888" s="210"/>
      <c r="H888" s="210"/>
      <c r="I888" s="210"/>
      <c r="J888" s="210"/>
      <c r="K888" s="210"/>
      <c r="L888" s="210"/>
      <c r="M888" s="210"/>
      <c r="N888" s="210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</row>
    <row r="889">
      <c r="A889" s="210"/>
      <c r="B889" s="210"/>
      <c r="C889" s="210"/>
      <c r="D889" s="210"/>
      <c r="E889" s="210"/>
      <c r="F889" s="210"/>
      <c r="G889" s="210"/>
      <c r="H889" s="210"/>
      <c r="I889" s="210"/>
      <c r="J889" s="210"/>
      <c r="K889" s="210"/>
      <c r="L889" s="210"/>
      <c r="M889" s="210"/>
      <c r="N889" s="210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</row>
    <row r="890">
      <c r="A890" s="210"/>
      <c r="B890" s="210"/>
      <c r="C890" s="210"/>
      <c r="D890" s="210"/>
      <c r="E890" s="210"/>
      <c r="F890" s="210"/>
      <c r="G890" s="210"/>
      <c r="H890" s="210"/>
      <c r="I890" s="210"/>
      <c r="J890" s="210"/>
      <c r="K890" s="210"/>
      <c r="L890" s="210"/>
      <c r="M890" s="210"/>
      <c r="N890" s="210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</row>
    <row r="891">
      <c r="A891" s="210"/>
      <c r="B891" s="210"/>
      <c r="C891" s="210"/>
      <c r="D891" s="210"/>
      <c r="E891" s="210"/>
      <c r="F891" s="210"/>
      <c r="G891" s="210"/>
      <c r="H891" s="210"/>
      <c r="I891" s="210"/>
      <c r="J891" s="210"/>
      <c r="K891" s="210"/>
      <c r="L891" s="210"/>
      <c r="M891" s="210"/>
      <c r="N891" s="210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</row>
    <row r="892">
      <c r="A892" s="210"/>
      <c r="B892" s="210"/>
      <c r="C892" s="210"/>
      <c r="D892" s="210"/>
      <c r="E892" s="210"/>
      <c r="F892" s="210"/>
      <c r="G892" s="210"/>
      <c r="H892" s="210"/>
      <c r="I892" s="210"/>
      <c r="J892" s="210"/>
      <c r="K892" s="210"/>
      <c r="L892" s="210"/>
      <c r="M892" s="210"/>
      <c r="N892" s="210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</row>
    <row r="893">
      <c r="A893" s="210"/>
      <c r="B893" s="210"/>
      <c r="C893" s="210"/>
      <c r="D893" s="210"/>
      <c r="E893" s="210"/>
      <c r="F893" s="210"/>
      <c r="G893" s="210"/>
      <c r="H893" s="210"/>
      <c r="I893" s="210"/>
      <c r="J893" s="210"/>
      <c r="K893" s="210"/>
      <c r="L893" s="210"/>
      <c r="M893" s="210"/>
      <c r="N893" s="210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</row>
    <row r="894">
      <c r="A894" s="210"/>
      <c r="B894" s="210"/>
      <c r="C894" s="210"/>
      <c r="D894" s="210"/>
      <c r="E894" s="210"/>
      <c r="F894" s="210"/>
      <c r="G894" s="210"/>
      <c r="H894" s="210"/>
      <c r="I894" s="210"/>
      <c r="J894" s="210"/>
      <c r="K894" s="210"/>
      <c r="L894" s="210"/>
      <c r="M894" s="210"/>
      <c r="N894" s="210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</row>
    <row r="895">
      <c r="A895" s="210"/>
      <c r="B895" s="210"/>
      <c r="C895" s="210"/>
      <c r="D895" s="210"/>
      <c r="E895" s="210"/>
      <c r="F895" s="210"/>
      <c r="G895" s="210"/>
      <c r="H895" s="210"/>
      <c r="I895" s="210"/>
      <c r="J895" s="210"/>
      <c r="K895" s="210"/>
      <c r="L895" s="210"/>
      <c r="M895" s="210"/>
      <c r="N895" s="210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</row>
    <row r="896">
      <c r="A896" s="210"/>
      <c r="B896" s="210"/>
      <c r="C896" s="210"/>
      <c r="D896" s="210"/>
      <c r="E896" s="210"/>
      <c r="F896" s="210"/>
      <c r="G896" s="210"/>
      <c r="H896" s="210"/>
      <c r="I896" s="210"/>
      <c r="J896" s="210"/>
      <c r="K896" s="210"/>
      <c r="L896" s="210"/>
      <c r="M896" s="210"/>
      <c r="N896" s="210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</row>
    <row r="897">
      <c r="A897" s="210"/>
      <c r="B897" s="210"/>
      <c r="C897" s="210"/>
      <c r="D897" s="210"/>
      <c r="E897" s="210"/>
      <c r="F897" s="210"/>
      <c r="G897" s="210"/>
      <c r="H897" s="210"/>
      <c r="I897" s="210"/>
      <c r="J897" s="210"/>
      <c r="K897" s="210"/>
      <c r="L897" s="210"/>
      <c r="M897" s="210"/>
      <c r="N897" s="210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</row>
    <row r="898">
      <c r="A898" s="210"/>
      <c r="B898" s="210"/>
      <c r="C898" s="210"/>
      <c r="D898" s="210"/>
      <c r="E898" s="210"/>
      <c r="F898" s="210"/>
      <c r="G898" s="210"/>
      <c r="H898" s="210"/>
      <c r="I898" s="210"/>
      <c r="J898" s="210"/>
      <c r="K898" s="210"/>
      <c r="L898" s="210"/>
      <c r="M898" s="210"/>
      <c r="N898" s="210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</row>
    <row r="899">
      <c r="A899" s="210"/>
      <c r="B899" s="210"/>
      <c r="C899" s="210"/>
      <c r="D899" s="210"/>
      <c r="E899" s="210"/>
      <c r="F899" s="210"/>
      <c r="G899" s="210"/>
      <c r="H899" s="210"/>
      <c r="I899" s="210"/>
      <c r="J899" s="210"/>
      <c r="K899" s="210"/>
      <c r="L899" s="210"/>
      <c r="M899" s="210"/>
      <c r="N899" s="210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</row>
    <row r="900">
      <c r="A900" s="210"/>
      <c r="B900" s="210"/>
      <c r="C900" s="210"/>
      <c r="D900" s="210"/>
      <c r="E900" s="210"/>
      <c r="F900" s="210"/>
      <c r="G900" s="210"/>
      <c r="H900" s="210"/>
      <c r="I900" s="210"/>
      <c r="J900" s="210"/>
      <c r="K900" s="210"/>
      <c r="L900" s="210"/>
      <c r="M900" s="210"/>
      <c r="N900" s="210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</row>
    <row r="901">
      <c r="A901" s="210"/>
      <c r="B901" s="210"/>
      <c r="C901" s="210"/>
      <c r="D901" s="210"/>
      <c r="E901" s="210"/>
      <c r="F901" s="210"/>
      <c r="G901" s="210"/>
      <c r="H901" s="210"/>
      <c r="I901" s="210"/>
      <c r="J901" s="210"/>
      <c r="K901" s="210"/>
      <c r="L901" s="210"/>
      <c r="M901" s="210"/>
      <c r="N901" s="210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</row>
    <row r="902">
      <c r="A902" s="210"/>
      <c r="B902" s="210"/>
      <c r="C902" s="210"/>
      <c r="D902" s="210"/>
      <c r="E902" s="210"/>
      <c r="F902" s="210"/>
      <c r="G902" s="210"/>
      <c r="H902" s="210"/>
      <c r="I902" s="210"/>
      <c r="J902" s="210"/>
      <c r="K902" s="210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</row>
    <row r="903">
      <c r="A903" s="210"/>
      <c r="B903" s="210"/>
      <c r="C903" s="210"/>
      <c r="D903" s="210"/>
      <c r="E903" s="210"/>
      <c r="F903" s="210"/>
      <c r="G903" s="210"/>
      <c r="H903" s="210"/>
      <c r="I903" s="210"/>
      <c r="J903" s="210"/>
      <c r="K903" s="210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</row>
    <row r="904">
      <c r="A904" s="210"/>
      <c r="B904" s="210"/>
      <c r="C904" s="210"/>
      <c r="D904" s="210"/>
      <c r="E904" s="210"/>
      <c r="F904" s="210"/>
      <c r="G904" s="210"/>
      <c r="H904" s="210"/>
      <c r="I904" s="210"/>
      <c r="J904" s="210"/>
      <c r="K904" s="210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</row>
    <row r="905">
      <c r="A905" s="210"/>
      <c r="B905" s="210"/>
      <c r="C905" s="210"/>
      <c r="D905" s="210"/>
      <c r="E905" s="210"/>
      <c r="F905" s="210"/>
      <c r="G905" s="210"/>
      <c r="H905" s="210"/>
      <c r="I905" s="210"/>
      <c r="J905" s="210"/>
      <c r="K905" s="210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</row>
    <row r="906">
      <c r="A906" s="210"/>
      <c r="B906" s="210"/>
      <c r="C906" s="210"/>
      <c r="D906" s="210"/>
      <c r="E906" s="210"/>
      <c r="F906" s="210"/>
      <c r="G906" s="210"/>
      <c r="H906" s="210"/>
      <c r="I906" s="210"/>
      <c r="J906" s="210"/>
      <c r="K906" s="210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</row>
    <row r="907">
      <c r="A907" s="210"/>
      <c r="B907" s="210"/>
      <c r="C907" s="210"/>
      <c r="D907" s="210"/>
      <c r="E907" s="210"/>
      <c r="F907" s="210"/>
      <c r="G907" s="210"/>
      <c r="H907" s="210"/>
      <c r="I907" s="210"/>
      <c r="J907" s="210"/>
      <c r="K907" s="210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</row>
    <row r="908">
      <c r="A908" s="210"/>
      <c r="B908" s="210"/>
      <c r="C908" s="210"/>
      <c r="D908" s="210"/>
      <c r="E908" s="210"/>
      <c r="F908" s="210"/>
      <c r="G908" s="210"/>
      <c r="H908" s="210"/>
      <c r="I908" s="210"/>
      <c r="J908" s="210"/>
      <c r="K908" s="210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</row>
    <row r="909">
      <c r="A909" s="210"/>
      <c r="B909" s="210"/>
      <c r="C909" s="210"/>
      <c r="D909" s="210"/>
      <c r="E909" s="210"/>
      <c r="F909" s="210"/>
      <c r="G909" s="210"/>
      <c r="H909" s="210"/>
      <c r="I909" s="210"/>
      <c r="J909" s="210"/>
      <c r="K909" s="210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</row>
    <row r="910">
      <c r="A910" s="210"/>
      <c r="B910" s="210"/>
      <c r="C910" s="210"/>
      <c r="D910" s="210"/>
      <c r="E910" s="210"/>
      <c r="F910" s="210"/>
      <c r="G910" s="210"/>
      <c r="H910" s="210"/>
      <c r="I910" s="210"/>
      <c r="J910" s="210"/>
      <c r="K910" s="210"/>
      <c r="L910" s="210"/>
      <c r="M910" s="210"/>
      <c r="N910" s="210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</row>
    <row r="911">
      <c r="A911" s="210"/>
      <c r="B911" s="210"/>
      <c r="C911" s="210"/>
      <c r="D911" s="210"/>
      <c r="E911" s="210"/>
      <c r="F911" s="210"/>
      <c r="G911" s="210"/>
      <c r="H911" s="210"/>
      <c r="I911" s="210"/>
      <c r="J911" s="210"/>
      <c r="K911" s="210"/>
      <c r="L911" s="210"/>
      <c r="M911" s="210"/>
      <c r="N911" s="210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</row>
    <row r="912">
      <c r="A912" s="210"/>
      <c r="B912" s="210"/>
      <c r="C912" s="210"/>
      <c r="D912" s="210"/>
      <c r="E912" s="210"/>
      <c r="F912" s="210"/>
      <c r="G912" s="210"/>
      <c r="H912" s="210"/>
      <c r="I912" s="210"/>
      <c r="J912" s="210"/>
      <c r="K912" s="210"/>
      <c r="L912" s="210"/>
      <c r="M912" s="210"/>
      <c r="N912" s="210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</row>
    <row r="913">
      <c r="A913" s="210"/>
      <c r="B913" s="210"/>
      <c r="C913" s="210"/>
      <c r="D913" s="210"/>
      <c r="E913" s="210"/>
      <c r="F913" s="210"/>
      <c r="G913" s="210"/>
      <c r="H913" s="210"/>
      <c r="I913" s="210"/>
      <c r="J913" s="210"/>
      <c r="K913" s="210"/>
      <c r="L913" s="210"/>
      <c r="M913" s="210"/>
      <c r="N913" s="210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</row>
    <row r="914">
      <c r="A914" s="210"/>
      <c r="B914" s="210"/>
      <c r="C914" s="210"/>
      <c r="D914" s="210"/>
      <c r="E914" s="210"/>
      <c r="F914" s="210"/>
      <c r="G914" s="210"/>
      <c r="H914" s="210"/>
      <c r="I914" s="210"/>
      <c r="J914" s="210"/>
      <c r="K914" s="210"/>
      <c r="L914" s="210"/>
      <c r="M914" s="210"/>
      <c r="N914" s="210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</row>
    <row r="915">
      <c r="A915" s="210"/>
      <c r="B915" s="210"/>
      <c r="C915" s="210"/>
      <c r="D915" s="210"/>
      <c r="E915" s="210"/>
      <c r="F915" s="210"/>
      <c r="G915" s="210"/>
      <c r="H915" s="210"/>
      <c r="I915" s="210"/>
      <c r="J915" s="210"/>
      <c r="K915" s="210"/>
      <c r="L915" s="210"/>
      <c r="M915" s="210"/>
      <c r="N915" s="210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</row>
    <row r="916">
      <c r="A916" s="210"/>
      <c r="B916" s="210"/>
      <c r="C916" s="210"/>
      <c r="D916" s="210"/>
      <c r="E916" s="210"/>
      <c r="F916" s="210"/>
      <c r="G916" s="210"/>
      <c r="H916" s="210"/>
      <c r="I916" s="210"/>
      <c r="J916" s="210"/>
      <c r="K916" s="210"/>
      <c r="L916" s="210"/>
      <c r="M916" s="210"/>
      <c r="N916" s="210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</row>
    <row r="917">
      <c r="A917" s="210"/>
      <c r="B917" s="210"/>
      <c r="C917" s="210"/>
      <c r="D917" s="210"/>
      <c r="E917" s="210"/>
      <c r="F917" s="210"/>
      <c r="G917" s="210"/>
      <c r="H917" s="210"/>
      <c r="I917" s="210"/>
      <c r="J917" s="210"/>
      <c r="K917" s="210"/>
      <c r="L917" s="210"/>
      <c r="M917" s="210"/>
      <c r="N917" s="210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</row>
    <row r="918">
      <c r="A918" s="210"/>
      <c r="B918" s="210"/>
      <c r="C918" s="210"/>
      <c r="D918" s="210"/>
      <c r="E918" s="210"/>
      <c r="F918" s="210"/>
      <c r="G918" s="210"/>
      <c r="H918" s="210"/>
      <c r="I918" s="210"/>
      <c r="J918" s="210"/>
      <c r="K918" s="210"/>
      <c r="L918" s="210"/>
      <c r="M918" s="210"/>
      <c r="N918" s="210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</row>
    <row r="919">
      <c r="A919" s="210"/>
      <c r="B919" s="210"/>
      <c r="C919" s="210"/>
      <c r="D919" s="210"/>
      <c r="E919" s="210"/>
      <c r="F919" s="210"/>
      <c r="G919" s="210"/>
      <c r="H919" s="210"/>
      <c r="I919" s="210"/>
      <c r="J919" s="210"/>
      <c r="K919" s="210"/>
      <c r="L919" s="210"/>
      <c r="M919" s="210"/>
      <c r="N919" s="210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</row>
    <row r="920">
      <c r="A920" s="210"/>
      <c r="B920" s="210"/>
      <c r="C920" s="210"/>
      <c r="D920" s="210"/>
      <c r="E920" s="210"/>
      <c r="F920" s="210"/>
      <c r="G920" s="210"/>
      <c r="H920" s="210"/>
      <c r="I920" s="210"/>
      <c r="J920" s="210"/>
      <c r="K920" s="210"/>
      <c r="L920" s="210"/>
      <c r="M920" s="210"/>
      <c r="N920" s="210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</row>
    <row r="921">
      <c r="A921" s="210"/>
      <c r="B921" s="210"/>
      <c r="C921" s="210"/>
      <c r="D921" s="210"/>
      <c r="E921" s="210"/>
      <c r="F921" s="210"/>
      <c r="G921" s="210"/>
      <c r="H921" s="210"/>
      <c r="I921" s="210"/>
      <c r="J921" s="210"/>
      <c r="K921" s="210"/>
      <c r="L921" s="210"/>
      <c r="M921" s="210"/>
      <c r="N921" s="210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</row>
    <row r="922">
      <c r="A922" s="210"/>
      <c r="B922" s="210"/>
      <c r="C922" s="210"/>
      <c r="D922" s="210"/>
      <c r="E922" s="210"/>
      <c r="F922" s="210"/>
      <c r="G922" s="210"/>
      <c r="H922" s="210"/>
      <c r="I922" s="210"/>
      <c r="J922" s="210"/>
      <c r="K922" s="210"/>
      <c r="L922" s="210"/>
      <c r="M922" s="210"/>
      <c r="N922" s="210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</row>
    <row r="923">
      <c r="A923" s="210"/>
      <c r="B923" s="210"/>
      <c r="C923" s="210"/>
      <c r="D923" s="210"/>
      <c r="E923" s="210"/>
      <c r="F923" s="210"/>
      <c r="G923" s="210"/>
      <c r="H923" s="210"/>
      <c r="I923" s="210"/>
      <c r="J923" s="210"/>
      <c r="K923" s="210"/>
      <c r="L923" s="210"/>
      <c r="M923" s="210"/>
      <c r="N923" s="210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</row>
    <row r="924">
      <c r="A924" s="210"/>
      <c r="B924" s="210"/>
      <c r="C924" s="210"/>
      <c r="D924" s="210"/>
      <c r="E924" s="210"/>
      <c r="F924" s="210"/>
      <c r="G924" s="210"/>
      <c r="H924" s="210"/>
      <c r="I924" s="210"/>
      <c r="J924" s="210"/>
      <c r="K924" s="210"/>
      <c r="L924" s="210"/>
      <c r="M924" s="210"/>
      <c r="N924" s="210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</row>
    <row r="925">
      <c r="A925" s="210"/>
      <c r="B925" s="210"/>
      <c r="C925" s="210"/>
      <c r="D925" s="210"/>
      <c r="E925" s="210"/>
      <c r="F925" s="210"/>
      <c r="G925" s="210"/>
      <c r="H925" s="210"/>
      <c r="I925" s="210"/>
      <c r="J925" s="210"/>
      <c r="K925" s="210"/>
      <c r="L925" s="210"/>
      <c r="M925" s="210"/>
      <c r="N925" s="210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</row>
    <row r="926">
      <c r="A926" s="210"/>
      <c r="B926" s="210"/>
      <c r="C926" s="210"/>
      <c r="D926" s="210"/>
      <c r="E926" s="210"/>
      <c r="F926" s="210"/>
      <c r="G926" s="210"/>
      <c r="H926" s="210"/>
      <c r="I926" s="210"/>
      <c r="J926" s="210"/>
      <c r="K926" s="210"/>
      <c r="L926" s="210"/>
      <c r="M926" s="210"/>
      <c r="N926" s="210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</row>
    <row r="927">
      <c r="A927" s="210"/>
      <c r="B927" s="210"/>
      <c r="C927" s="210"/>
      <c r="D927" s="210"/>
      <c r="E927" s="210"/>
      <c r="F927" s="210"/>
      <c r="G927" s="210"/>
      <c r="H927" s="210"/>
      <c r="I927" s="210"/>
      <c r="J927" s="210"/>
      <c r="K927" s="210"/>
      <c r="L927" s="210"/>
      <c r="M927" s="210"/>
      <c r="N927" s="210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</row>
    <row r="928">
      <c r="A928" s="210"/>
      <c r="B928" s="210"/>
      <c r="C928" s="210"/>
      <c r="D928" s="210"/>
      <c r="E928" s="210"/>
      <c r="F928" s="210"/>
      <c r="G928" s="210"/>
      <c r="H928" s="210"/>
      <c r="I928" s="210"/>
      <c r="J928" s="210"/>
      <c r="K928" s="210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</row>
    <row r="929">
      <c r="A929" s="210"/>
      <c r="B929" s="210"/>
      <c r="C929" s="210"/>
      <c r="D929" s="210"/>
      <c r="E929" s="210"/>
      <c r="F929" s="210"/>
      <c r="G929" s="210"/>
      <c r="H929" s="210"/>
      <c r="I929" s="210"/>
      <c r="J929" s="210"/>
      <c r="K929" s="210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</row>
    <row r="930">
      <c r="A930" s="210"/>
      <c r="B930" s="210"/>
      <c r="C930" s="210"/>
      <c r="D930" s="210"/>
      <c r="E930" s="210"/>
      <c r="F930" s="210"/>
      <c r="G930" s="210"/>
      <c r="H930" s="210"/>
      <c r="I930" s="210"/>
      <c r="J930" s="210"/>
      <c r="K930" s="210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</row>
    <row r="931">
      <c r="A931" s="210"/>
      <c r="B931" s="210"/>
      <c r="C931" s="210"/>
      <c r="D931" s="210"/>
      <c r="E931" s="210"/>
      <c r="F931" s="210"/>
      <c r="G931" s="210"/>
      <c r="H931" s="210"/>
      <c r="I931" s="210"/>
      <c r="J931" s="210"/>
      <c r="K931" s="210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</row>
    <row r="932">
      <c r="A932" s="210"/>
      <c r="B932" s="210"/>
      <c r="C932" s="210"/>
      <c r="D932" s="210"/>
      <c r="E932" s="210"/>
      <c r="F932" s="210"/>
      <c r="G932" s="210"/>
      <c r="H932" s="210"/>
      <c r="I932" s="210"/>
      <c r="J932" s="210"/>
      <c r="K932" s="210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</row>
    <row r="933">
      <c r="A933" s="210"/>
      <c r="B933" s="210"/>
      <c r="C933" s="210"/>
      <c r="D933" s="210"/>
      <c r="E933" s="210"/>
      <c r="F933" s="210"/>
      <c r="G933" s="210"/>
      <c r="H933" s="210"/>
      <c r="I933" s="210"/>
      <c r="J933" s="210"/>
      <c r="K933" s="210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</row>
    <row r="934">
      <c r="A934" s="210"/>
      <c r="B934" s="210"/>
      <c r="C934" s="210"/>
      <c r="D934" s="210"/>
      <c r="E934" s="210"/>
      <c r="F934" s="210"/>
      <c r="G934" s="210"/>
      <c r="H934" s="210"/>
      <c r="I934" s="210"/>
      <c r="J934" s="210"/>
      <c r="K934" s="210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</row>
    <row r="935">
      <c r="A935" s="210"/>
      <c r="B935" s="210"/>
      <c r="C935" s="210"/>
      <c r="D935" s="210"/>
      <c r="E935" s="210"/>
      <c r="F935" s="210"/>
      <c r="G935" s="210"/>
      <c r="H935" s="210"/>
      <c r="I935" s="210"/>
      <c r="J935" s="210"/>
      <c r="K935" s="210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</row>
    <row r="936">
      <c r="A936" s="210"/>
      <c r="B936" s="210"/>
      <c r="C936" s="210"/>
      <c r="D936" s="210"/>
      <c r="E936" s="210"/>
      <c r="F936" s="210"/>
      <c r="G936" s="210"/>
      <c r="H936" s="210"/>
      <c r="I936" s="210"/>
      <c r="J936" s="210"/>
      <c r="K936" s="210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</row>
    <row r="937">
      <c r="A937" s="210"/>
      <c r="B937" s="210"/>
      <c r="C937" s="210"/>
      <c r="D937" s="210"/>
      <c r="E937" s="210"/>
      <c r="F937" s="210"/>
      <c r="G937" s="210"/>
      <c r="H937" s="210"/>
      <c r="I937" s="210"/>
      <c r="J937" s="210"/>
      <c r="K937" s="210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</row>
    <row r="938">
      <c r="A938" s="210"/>
      <c r="B938" s="210"/>
      <c r="C938" s="210"/>
      <c r="D938" s="210"/>
      <c r="E938" s="210"/>
      <c r="F938" s="210"/>
      <c r="G938" s="210"/>
      <c r="H938" s="210"/>
      <c r="I938" s="210"/>
      <c r="J938" s="210"/>
      <c r="K938" s="210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</row>
    <row r="939">
      <c r="A939" s="210"/>
      <c r="B939" s="210"/>
      <c r="C939" s="210"/>
      <c r="D939" s="210"/>
      <c r="E939" s="210"/>
      <c r="F939" s="210"/>
      <c r="G939" s="210"/>
      <c r="H939" s="210"/>
      <c r="I939" s="210"/>
      <c r="J939" s="210"/>
      <c r="K939" s="210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</row>
    <row r="940">
      <c r="A940" s="210"/>
      <c r="B940" s="210"/>
      <c r="C940" s="210"/>
      <c r="D940" s="210"/>
      <c r="E940" s="210"/>
      <c r="F940" s="210"/>
      <c r="G940" s="210"/>
      <c r="H940" s="210"/>
      <c r="I940" s="210"/>
      <c r="J940" s="210"/>
      <c r="K940" s="210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</row>
    <row r="941">
      <c r="A941" s="210"/>
      <c r="B941" s="210"/>
      <c r="C941" s="210"/>
      <c r="D941" s="210"/>
      <c r="E941" s="210"/>
      <c r="F941" s="210"/>
      <c r="G941" s="210"/>
      <c r="H941" s="210"/>
      <c r="I941" s="210"/>
      <c r="J941" s="210"/>
      <c r="K941" s="210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</row>
    <row r="942">
      <c r="A942" s="210"/>
      <c r="B942" s="210"/>
      <c r="C942" s="210"/>
      <c r="D942" s="210"/>
      <c r="E942" s="210"/>
      <c r="F942" s="210"/>
      <c r="G942" s="210"/>
      <c r="H942" s="210"/>
      <c r="I942" s="210"/>
      <c r="J942" s="210"/>
      <c r="K942" s="210"/>
      <c r="L942" s="210"/>
      <c r="M942" s="210"/>
      <c r="N942" s="210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</row>
    <row r="943">
      <c r="A943" s="210"/>
      <c r="B943" s="210"/>
      <c r="C943" s="210"/>
      <c r="D943" s="210"/>
      <c r="E943" s="210"/>
      <c r="F943" s="210"/>
      <c r="G943" s="210"/>
      <c r="H943" s="210"/>
      <c r="I943" s="210"/>
      <c r="J943" s="210"/>
      <c r="K943" s="210"/>
      <c r="L943" s="210"/>
      <c r="M943" s="210"/>
      <c r="N943" s="210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</row>
    <row r="944">
      <c r="A944" s="210"/>
      <c r="B944" s="210"/>
      <c r="C944" s="210"/>
      <c r="D944" s="210"/>
      <c r="E944" s="210"/>
      <c r="F944" s="210"/>
      <c r="G944" s="210"/>
      <c r="H944" s="210"/>
      <c r="I944" s="210"/>
      <c r="J944" s="210"/>
      <c r="K944" s="210"/>
      <c r="L944" s="210"/>
      <c r="M944" s="210"/>
      <c r="N944" s="210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</row>
    <row r="945">
      <c r="A945" s="210"/>
      <c r="B945" s="210"/>
      <c r="C945" s="210"/>
      <c r="D945" s="210"/>
      <c r="E945" s="210"/>
      <c r="F945" s="210"/>
      <c r="G945" s="210"/>
      <c r="H945" s="210"/>
      <c r="I945" s="210"/>
      <c r="J945" s="210"/>
      <c r="K945" s="210"/>
      <c r="L945" s="210"/>
      <c r="M945" s="210"/>
      <c r="N945" s="210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</row>
    <row r="946">
      <c r="A946" s="210"/>
      <c r="B946" s="210"/>
      <c r="C946" s="210"/>
      <c r="D946" s="210"/>
      <c r="E946" s="210"/>
      <c r="F946" s="210"/>
      <c r="G946" s="210"/>
      <c r="H946" s="210"/>
      <c r="I946" s="210"/>
      <c r="J946" s="210"/>
      <c r="K946" s="210"/>
      <c r="L946" s="210"/>
      <c r="M946" s="210"/>
      <c r="N946" s="210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</row>
    <row r="947">
      <c r="A947" s="210"/>
      <c r="B947" s="210"/>
      <c r="C947" s="210"/>
      <c r="D947" s="210"/>
      <c r="E947" s="210"/>
      <c r="F947" s="210"/>
      <c r="G947" s="210"/>
      <c r="H947" s="210"/>
      <c r="I947" s="210"/>
      <c r="J947" s="210"/>
      <c r="K947" s="210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</row>
    <row r="948">
      <c r="A948" s="210"/>
      <c r="B948" s="210"/>
      <c r="C948" s="210"/>
      <c r="D948" s="210"/>
      <c r="E948" s="210"/>
      <c r="F948" s="210"/>
      <c r="G948" s="210"/>
      <c r="H948" s="210"/>
      <c r="I948" s="210"/>
      <c r="J948" s="210"/>
      <c r="K948" s="210"/>
      <c r="L948" s="210"/>
      <c r="M948" s="210"/>
      <c r="N948" s="210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</row>
    <row r="949">
      <c r="A949" s="210"/>
      <c r="B949" s="210"/>
      <c r="C949" s="210"/>
      <c r="D949" s="210"/>
      <c r="E949" s="210"/>
      <c r="F949" s="210"/>
      <c r="G949" s="210"/>
      <c r="H949" s="210"/>
      <c r="I949" s="210"/>
      <c r="J949" s="210"/>
      <c r="K949" s="210"/>
      <c r="L949" s="210"/>
      <c r="M949" s="210"/>
      <c r="N949" s="210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</row>
    <row r="950">
      <c r="A950" s="210"/>
      <c r="B950" s="210"/>
      <c r="C950" s="210"/>
      <c r="D950" s="210"/>
      <c r="E950" s="210"/>
      <c r="F950" s="210"/>
      <c r="G950" s="210"/>
      <c r="H950" s="210"/>
      <c r="I950" s="210"/>
      <c r="J950" s="210"/>
      <c r="K950" s="210"/>
      <c r="L950" s="210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</row>
    <row r="951">
      <c r="A951" s="210"/>
      <c r="B951" s="210"/>
      <c r="C951" s="210"/>
      <c r="D951" s="210"/>
      <c r="E951" s="210"/>
      <c r="F951" s="210"/>
      <c r="G951" s="210"/>
      <c r="H951" s="210"/>
      <c r="I951" s="210"/>
      <c r="J951" s="210"/>
      <c r="K951" s="210"/>
      <c r="L951" s="210"/>
      <c r="M951" s="210"/>
      <c r="N951" s="210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</row>
    <row r="952">
      <c r="A952" s="210"/>
      <c r="B952" s="210"/>
      <c r="C952" s="210"/>
      <c r="D952" s="210"/>
      <c r="E952" s="210"/>
      <c r="F952" s="210"/>
      <c r="G952" s="210"/>
      <c r="H952" s="210"/>
      <c r="I952" s="210"/>
      <c r="J952" s="210"/>
      <c r="K952" s="210"/>
      <c r="L952" s="210"/>
      <c r="M952" s="210"/>
      <c r="N952" s="210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  <c r="Z952" s="210"/>
    </row>
    <row r="953">
      <c r="A953" s="210"/>
      <c r="B953" s="210"/>
      <c r="C953" s="210"/>
      <c r="D953" s="210"/>
      <c r="E953" s="210"/>
      <c r="F953" s="210"/>
      <c r="G953" s="210"/>
      <c r="H953" s="210"/>
      <c r="I953" s="210"/>
      <c r="J953" s="210"/>
      <c r="K953" s="210"/>
      <c r="L953" s="210"/>
      <c r="M953" s="210"/>
      <c r="N953" s="210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  <c r="Z953" s="210"/>
    </row>
    <row r="954">
      <c r="A954" s="210"/>
      <c r="B954" s="210"/>
      <c r="C954" s="210"/>
      <c r="D954" s="210"/>
      <c r="E954" s="210"/>
      <c r="F954" s="210"/>
      <c r="G954" s="210"/>
      <c r="H954" s="210"/>
      <c r="I954" s="210"/>
      <c r="J954" s="210"/>
      <c r="K954" s="210"/>
      <c r="L954" s="210"/>
      <c r="M954" s="210"/>
      <c r="N954" s="210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  <c r="Z954" s="210"/>
    </row>
    <row r="955">
      <c r="A955" s="210"/>
      <c r="B955" s="210"/>
      <c r="C955" s="210"/>
      <c r="D955" s="210"/>
      <c r="E955" s="210"/>
      <c r="F955" s="210"/>
      <c r="G955" s="210"/>
      <c r="H955" s="210"/>
      <c r="I955" s="210"/>
      <c r="J955" s="210"/>
      <c r="K955" s="210"/>
      <c r="L955" s="210"/>
      <c r="M955" s="210"/>
      <c r="N955" s="210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  <c r="Z955" s="210"/>
    </row>
    <row r="956">
      <c r="A956" s="210"/>
      <c r="B956" s="210"/>
      <c r="C956" s="210"/>
      <c r="D956" s="210"/>
      <c r="E956" s="210"/>
      <c r="F956" s="210"/>
      <c r="G956" s="210"/>
      <c r="H956" s="210"/>
      <c r="I956" s="210"/>
      <c r="J956" s="210"/>
      <c r="K956" s="210"/>
      <c r="L956" s="210"/>
      <c r="M956" s="210"/>
      <c r="N956" s="210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  <c r="Z956" s="210"/>
    </row>
    <row r="957">
      <c r="A957" s="210"/>
      <c r="B957" s="210"/>
      <c r="C957" s="210"/>
      <c r="D957" s="210"/>
      <c r="E957" s="210"/>
      <c r="F957" s="210"/>
      <c r="G957" s="210"/>
      <c r="H957" s="210"/>
      <c r="I957" s="210"/>
      <c r="J957" s="210"/>
      <c r="K957" s="210"/>
      <c r="L957" s="210"/>
      <c r="M957" s="210"/>
      <c r="N957" s="210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  <c r="Z957" s="210"/>
    </row>
    <row r="958">
      <c r="A958" s="210"/>
      <c r="B958" s="210"/>
      <c r="C958" s="210"/>
      <c r="D958" s="210"/>
      <c r="E958" s="210"/>
      <c r="F958" s="210"/>
      <c r="G958" s="210"/>
      <c r="H958" s="210"/>
      <c r="I958" s="210"/>
      <c r="J958" s="210"/>
      <c r="K958" s="210"/>
      <c r="L958" s="210"/>
      <c r="M958" s="210"/>
      <c r="N958" s="210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  <c r="Z958" s="210"/>
    </row>
    <row r="959">
      <c r="A959" s="210"/>
      <c r="B959" s="210"/>
      <c r="C959" s="210"/>
      <c r="D959" s="210"/>
      <c r="E959" s="210"/>
      <c r="F959" s="210"/>
      <c r="G959" s="210"/>
      <c r="H959" s="210"/>
      <c r="I959" s="210"/>
      <c r="J959" s="210"/>
      <c r="K959" s="210"/>
      <c r="L959" s="210"/>
      <c r="M959" s="210"/>
      <c r="N959" s="210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  <c r="Z959" s="210"/>
    </row>
    <row r="960">
      <c r="A960" s="210"/>
      <c r="B960" s="210"/>
      <c r="C960" s="210"/>
      <c r="D960" s="210"/>
      <c r="E960" s="210"/>
      <c r="F960" s="210"/>
      <c r="G960" s="210"/>
      <c r="H960" s="210"/>
      <c r="I960" s="210"/>
      <c r="J960" s="210"/>
      <c r="K960" s="210"/>
      <c r="L960" s="210"/>
      <c r="M960" s="210"/>
      <c r="N960" s="210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  <c r="Z960" s="210"/>
    </row>
    <row r="961">
      <c r="A961" s="210"/>
      <c r="B961" s="210"/>
      <c r="C961" s="210"/>
      <c r="D961" s="210"/>
      <c r="E961" s="210"/>
      <c r="F961" s="210"/>
      <c r="G961" s="210"/>
      <c r="H961" s="210"/>
      <c r="I961" s="210"/>
      <c r="J961" s="210"/>
      <c r="K961" s="210"/>
      <c r="L961" s="210"/>
      <c r="M961" s="210"/>
      <c r="N961" s="210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  <c r="Z961" s="210"/>
    </row>
    <row r="962">
      <c r="A962" s="210"/>
      <c r="B962" s="210"/>
      <c r="C962" s="210"/>
      <c r="D962" s="210"/>
      <c r="E962" s="210"/>
      <c r="F962" s="210"/>
      <c r="G962" s="210"/>
      <c r="H962" s="210"/>
      <c r="I962" s="210"/>
      <c r="J962" s="210"/>
      <c r="K962" s="210"/>
      <c r="L962" s="210"/>
      <c r="M962" s="210"/>
      <c r="N962" s="210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  <c r="Z962" s="210"/>
    </row>
    <row r="963">
      <c r="A963" s="210"/>
      <c r="B963" s="210"/>
      <c r="C963" s="210"/>
      <c r="D963" s="210"/>
      <c r="E963" s="210"/>
      <c r="F963" s="210"/>
      <c r="G963" s="210"/>
      <c r="H963" s="210"/>
      <c r="I963" s="210"/>
      <c r="J963" s="210"/>
      <c r="K963" s="210"/>
      <c r="L963" s="210"/>
      <c r="M963" s="210"/>
      <c r="N963" s="210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  <c r="Z963" s="210"/>
    </row>
    <row r="964">
      <c r="A964" s="210"/>
      <c r="B964" s="210"/>
      <c r="C964" s="210"/>
      <c r="D964" s="210"/>
      <c r="E964" s="210"/>
      <c r="F964" s="210"/>
      <c r="G964" s="210"/>
      <c r="H964" s="210"/>
      <c r="I964" s="210"/>
      <c r="J964" s="210"/>
      <c r="K964" s="210"/>
      <c r="L964" s="210"/>
      <c r="M964" s="210"/>
      <c r="N964" s="210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  <c r="Z964" s="210"/>
    </row>
    <row r="965">
      <c r="A965" s="210"/>
      <c r="B965" s="210"/>
      <c r="C965" s="210"/>
      <c r="D965" s="210"/>
      <c r="E965" s="210"/>
      <c r="F965" s="210"/>
      <c r="G965" s="210"/>
      <c r="H965" s="210"/>
      <c r="I965" s="210"/>
      <c r="J965" s="210"/>
      <c r="K965" s="210"/>
      <c r="L965" s="210"/>
      <c r="M965" s="210"/>
      <c r="N965" s="210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  <c r="Z965" s="210"/>
    </row>
    <row r="966">
      <c r="A966" s="210"/>
      <c r="B966" s="210"/>
      <c r="C966" s="210"/>
      <c r="D966" s="210"/>
      <c r="E966" s="210"/>
      <c r="F966" s="210"/>
      <c r="G966" s="210"/>
      <c r="H966" s="210"/>
      <c r="I966" s="210"/>
      <c r="J966" s="210"/>
      <c r="K966" s="210"/>
      <c r="L966" s="210"/>
      <c r="M966" s="210"/>
      <c r="N966" s="210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  <c r="Z966" s="210"/>
    </row>
    <row r="967">
      <c r="A967" s="210"/>
      <c r="B967" s="210"/>
      <c r="C967" s="210"/>
      <c r="D967" s="210"/>
      <c r="E967" s="210"/>
      <c r="F967" s="210"/>
      <c r="G967" s="210"/>
      <c r="H967" s="210"/>
      <c r="I967" s="210"/>
      <c r="J967" s="210"/>
      <c r="K967" s="210"/>
      <c r="L967" s="210"/>
      <c r="M967" s="210"/>
      <c r="N967" s="210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  <c r="Z967" s="210"/>
    </row>
    <row r="968">
      <c r="A968" s="210"/>
      <c r="B968" s="210"/>
      <c r="C968" s="210"/>
      <c r="D968" s="210"/>
      <c r="E968" s="210"/>
      <c r="F968" s="210"/>
      <c r="G968" s="210"/>
      <c r="H968" s="210"/>
      <c r="I968" s="210"/>
      <c r="J968" s="210"/>
      <c r="K968" s="210"/>
      <c r="L968" s="210"/>
      <c r="M968" s="210"/>
      <c r="N968" s="210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  <c r="Z968" s="210"/>
    </row>
    <row r="969">
      <c r="A969" s="210"/>
      <c r="B969" s="210"/>
      <c r="C969" s="210"/>
      <c r="D969" s="210"/>
      <c r="E969" s="210"/>
      <c r="F969" s="210"/>
      <c r="G969" s="210"/>
      <c r="H969" s="210"/>
      <c r="I969" s="210"/>
      <c r="J969" s="210"/>
      <c r="K969" s="210"/>
      <c r="L969" s="210"/>
      <c r="M969" s="210"/>
      <c r="N969" s="210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  <c r="Z969" s="210"/>
    </row>
    <row r="970">
      <c r="A970" s="210"/>
      <c r="B970" s="210"/>
      <c r="C970" s="210"/>
      <c r="D970" s="210"/>
      <c r="E970" s="210"/>
      <c r="F970" s="210"/>
      <c r="G970" s="210"/>
      <c r="H970" s="210"/>
      <c r="I970" s="210"/>
      <c r="J970" s="210"/>
      <c r="K970" s="210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</row>
    <row r="971">
      <c r="A971" s="210"/>
      <c r="B971" s="210"/>
      <c r="C971" s="210"/>
      <c r="D971" s="210"/>
      <c r="E971" s="210"/>
      <c r="F971" s="210"/>
      <c r="G971" s="210"/>
      <c r="H971" s="210"/>
      <c r="I971" s="210"/>
      <c r="J971" s="210"/>
      <c r="K971" s="210"/>
      <c r="L971" s="210"/>
      <c r="M971" s="210"/>
      <c r="N971" s="210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  <c r="Z971" s="210"/>
    </row>
    <row r="972">
      <c r="A972" s="210"/>
      <c r="B972" s="210"/>
      <c r="C972" s="210"/>
      <c r="D972" s="210"/>
      <c r="E972" s="210"/>
      <c r="F972" s="210"/>
      <c r="G972" s="210"/>
      <c r="H972" s="210"/>
      <c r="I972" s="210"/>
      <c r="J972" s="210"/>
      <c r="K972" s="210"/>
      <c r="L972" s="210"/>
      <c r="M972" s="210"/>
      <c r="N972" s="210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  <c r="Z972" s="210"/>
    </row>
    <row r="973">
      <c r="A973" s="210"/>
      <c r="B973" s="210"/>
      <c r="C973" s="210"/>
      <c r="D973" s="210"/>
      <c r="E973" s="210"/>
      <c r="F973" s="210"/>
      <c r="G973" s="210"/>
      <c r="H973" s="210"/>
      <c r="I973" s="210"/>
      <c r="J973" s="210"/>
      <c r="K973" s="210"/>
      <c r="L973" s="210"/>
      <c r="M973" s="210"/>
      <c r="N973" s="210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  <c r="Z973" s="210"/>
    </row>
    <row r="974">
      <c r="A974" s="210"/>
      <c r="B974" s="210"/>
      <c r="C974" s="210"/>
      <c r="D974" s="210"/>
      <c r="E974" s="210"/>
      <c r="F974" s="210"/>
      <c r="G974" s="210"/>
      <c r="H974" s="210"/>
      <c r="I974" s="210"/>
      <c r="J974" s="210"/>
      <c r="K974" s="210"/>
      <c r="L974" s="210"/>
      <c r="M974" s="210"/>
      <c r="N974" s="210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  <c r="Z974" s="210"/>
    </row>
    <row r="975">
      <c r="A975" s="210"/>
      <c r="B975" s="210"/>
      <c r="C975" s="210"/>
      <c r="D975" s="210"/>
      <c r="E975" s="210"/>
      <c r="F975" s="210"/>
      <c r="G975" s="210"/>
      <c r="H975" s="210"/>
      <c r="I975" s="210"/>
      <c r="J975" s="210"/>
      <c r="K975" s="210"/>
      <c r="L975" s="210"/>
      <c r="M975" s="210"/>
      <c r="N975" s="210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  <c r="Z975" s="210"/>
    </row>
    <row r="976">
      <c r="A976" s="210"/>
      <c r="B976" s="210"/>
      <c r="C976" s="210"/>
      <c r="D976" s="210"/>
      <c r="E976" s="210"/>
      <c r="F976" s="210"/>
      <c r="G976" s="210"/>
      <c r="H976" s="210"/>
      <c r="I976" s="210"/>
      <c r="J976" s="210"/>
      <c r="K976" s="210"/>
      <c r="L976" s="210"/>
      <c r="M976" s="210"/>
      <c r="N976" s="210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  <c r="Z976" s="210"/>
    </row>
    <row r="977">
      <c r="A977" s="210"/>
      <c r="B977" s="210"/>
      <c r="C977" s="210"/>
      <c r="D977" s="210"/>
      <c r="E977" s="210"/>
      <c r="F977" s="210"/>
      <c r="G977" s="210"/>
      <c r="H977" s="210"/>
      <c r="I977" s="210"/>
      <c r="J977" s="210"/>
      <c r="K977" s="210"/>
      <c r="L977" s="210"/>
      <c r="M977" s="210"/>
      <c r="N977" s="210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  <c r="Z977" s="210"/>
    </row>
    <row r="978">
      <c r="A978" s="210"/>
      <c r="B978" s="210"/>
      <c r="C978" s="210"/>
      <c r="D978" s="210"/>
      <c r="E978" s="210"/>
      <c r="F978" s="210"/>
      <c r="G978" s="210"/>
      <c r="H978" s="210"/>
      <c r="I978" s="210"/>
      <c r="J978" s="210"/>
      <c r="K978" s="210"/>
      <c r="L978" s="210"/>
      <c r="M978" s="210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</row>
    <row r="979">
      <c r="A979" s="210"/>
      <c r="B979" s="210"/>
      <c r="C979" s="210"/>
      <c r="D979" s="210"/>
      <c r="E979" s="210"/>
      <c r="F979" s="210"/>
      <c r="G979" s="210"/>
      <c r="H979" s="210"/>
      <c r="I979" s="210"/>
      <c r="J979" s="210"/>
      <c r="K979" s="210"/>
      <c r="L979" s="210"/>
      <c r="M979" s="210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</row>
    <row r="980">
      <c r="A980" s="210"/>
      <c r="B980" s="210"/>
      <c r="C980" s="210"/>
      <c r="D980" s="210"/>
      <c r="E980" s="210"/>
      <c r="F980" s="210"/>
      <c r="G980" s="210"/>
      <c r="H980" s="210"/>
      <c r="I980" s="210"/>
      <c r="J980" s="210"/>
      <c r="K980" s="210"/>
      <c r="L980" s="210"/>
      <c r="M980" s="210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</row>
    <row r="981">
      <c r="A981" s="210"/>
      <c r="B981" s="210"/>
      <c r="C981" s="210"/>
      <c r="D981" s="210"/>
      <c r="E981" s="210"/>
      <c r="F981" s="210"/>
      <c r="G981" s="210"/>
      <c r="H981" s="210"/>
      <c r="I981" s="210"/>
      <c r="J981" s="210"/>
      <c r="K981" s="210"/>
      <c r="L981" s="210"/>
      <c r="M981" s="210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</row>
    <row r="982">
      <c r="A982" s="210"/>
      <c r="B982" s="210"/>
      <c r="C982" s="210"/>
      <c r="D982" s="210"/>
      <c r="E982" s="210"/>
      <c r="F982" s="210"/>
      <c r="G982" s="210"/>
      <c r="H982" s="210"/>
      <c r="I982" s="210"/>
      <c r="J982" s="210"/>
      <c r="K982" s="210"/>
      <c r="L982" s="210"/>
      <c r="M982" s="210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</row>
    <row r="983">
      <c r="A983" s="210"/>
      <c r="B983" s="210"/>
      <c r="C983" s="210"/>
      <c r="D983" s="210"/>
      <c r="E983" s="210"/>
      <c r="F983" s="210"/>
      <c r="G983" s="210"/>
      <c r="H983" s="210"/>
      <c r="I983" s="210"/>
      <c r="J983" s="210"/>
      <c r="K983" s="210"/>
      <c r="L983" s="210"/>
      <c r="M983" s="210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</row>
    <row r="984">
      <c r="A984" s="210"/>
      <c r="B984" s="210"/>
      <c r="C984" s="210"/>
      <c r="D984" s="210"/>
      <c r="E984" s="210"/>
      <c r="F984" s="210"/>
      <c r="G984" s="210"/>
      <c r="H984" s="210"/>
      <c r="I984" s="210"/>
      <c r="J984" s="210"/>
      <c r="K984" s="210"/>
      <c r="L984" s="210"/>
      <c r="M984" s="210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  <c r="Z984" s="210"/>
    </row>
    <row r="985">
      <c r="A985" s="210"/>
      <c r="B985" s="210"/>
      <c r="C985" s="210"/>
      <c r="D985" s="210"/>
      <c r="E985" s="210"/>
      <c r="F985" s="210"/>
      <c r="G985" s="210"/>
      <c r="H985" s="210"/>
      <c r="I985" s="210"/>
      <c r="J985" s="210"/>
      <c r="K985" s="210"/>
      <c r="L985" s="210"/>
      <c r="M985" s="210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  <c r="Z985" s="210"/>
    </row>
    <row r="986">
      <c r="A986" s="210"/>
      <c r="B986" s="210"/>
      <c r="C986" s="210"/>
      <c r="D986" s="210"/>
      <c r="E986" s="210"/>
      <c r="F986" s="210"/>
      <c r="G986" s="210"/>
      <c r="H986" s="210"/>
      <c r="I986" s="210"/>
      <c r="J986" s="210"/>
      <c r="K986" s="210"/>
      <c r="L986" s="210"/>
      <c r="M986" s="210"/>
      <c r="N986" s="210"/>
      <c r="O986" s="210"/>
      <c r="P986" s="210"/>
      <c r="Q986" s="210"/>
      <c r="R986" s="210"/>
      <c r="S986" s="210"/>
      <c r="T986" s="210"/>
      <c r="U986" s="210"/>
      <c r="V986" s="210"/>
      <c r="W986" s="210"/>
      <c r="X986" s="210"/>
      <c r="Y986" s="210"/>
      <c r="Z986" s="210"/>
    </row>
    <row r="987">
      <c r="A987" s="210"/>
      <c r="B987" s="210"/>
      <c r="C987" s="210"/>
      <c r="D987" s="210"/>
      <c r="E987" s="210"/>
      <c r="F987" s="210"/>
      <c r="G987" s="210"/>
      <c r="H987" s="210"/>
      <c r="I987" s="210"/>
      <c r="J987" s="210"/>
      <c r="K987" s="210"/>
      <c r="L987" s="210"/>
      <c r="M987" s="210"/>
      <c r="N987" s="210"/>
      <c r="O987" s="210"/>
      <c r="P987" s="210"/>
      <c r="Q987" s="210"/>
      <c r="R987" s="210"/>
      <c r="S987" s="210"/>
      <c r="T987" s="210"/>
      <c r="U987" s="210"/>
      <c r="V987" s="210"/>
      <c r="W987" s="210"/>
      <c r="X987" s="210"/>
      <c r="Y987" s="210"/>
      <c r="Z987" s="210"/>
    </row>
    <row r="988">
      <c r="A988" s="210"/>
      <c r="B988" s="210"/>
      <c r="C988" s="210"/>
      <c r="D988" s="210"/>
      <c r="E988" s="210"/>
      <c r="F988" s="210"/>
      <c r="G988" s="210"/>
      <c r="H988" s="210"/>
      <c r="I988" s="210"/>
      <c r="J988" s="210"/>
      <c r="K988" s="210"/>
      <c r="L988" s="210"/>
      <c r="M988" s="210"/>
      <c r="N988" s="210"/>
      <c r="O988" s="210"/>
      <c r="P988" s="210"/>
      <c r="Q988" s="210"/>
      <c r="R988" s="210"/>
      <c r="S988" s="210"/>
      <c r="T988" s="210"/>
      <c r="U988" s="210"/>
      <c r="V988" s="210"/>
      <c r="W988" s="210"/>
      <c r="X988" s="210"/>
      <c r="Y988" s="210"/>
      <c r="Z988" s="210"/>
    </row>
    <row r="989">
      <c r="A989" s="210"/>
      <c r="B989" s="210"/>
      <c r="C989" s="210"/>
      <c r="D989" s="210"/>
      <c r="E989" s="210"/>
      <c r="F989" s="210"/>
      <c r="G989" s="210"/>
      <c r="H989" s="210"/>
      <c r="I989" s="210"/>
      <c r="J989" s="210"/>
      <c r="K989" s="210"/>
      <c r="L989" s="210"/>
      <c r="M989" s="210"/>
      <c r="N989" s="210"/>
      <c r="O989" s="210"/>
      <c r="P989" s="210"/>
      <c r="Q989" s="210"/>
      <c r="R989" s="210"/>
      <c r="S989" s="210"/>
      <c r="T989" s="210"/>
      <c r="U989" s="210"/>
      <c r="V989" s="210"/>
      <c r="W989" s="210"/>
      <c r="X989" s="210"/>
      <c r="Y989" s="210"/>
      <c r="Z989" s="210"/>
    </row>
    <row r="990">
      <c r="A990" s="210"/>
      <c r="B990" s="210"/>
      <c r="C990" s="210"/>
      <c r="D990" s="210"/>
      <c r="E990" s="210"/>
      <c r="F990" s="210"/>
      <c r="G990" s="210"/>
      <c r="H990" s="210"/>
      <c r="I990" s="210"/>
      <c r="J990" s="210"/>
      <c r="K990" s="210"/>
      <c r="L990" s="210"/>
      <c r="M990" s="210"/>
      <c r="N990" s="210"/>
      <c r="O990" s="210"/>
      <c r="P990" s="210"/>
      <c r="Q990" s="210"/>
      <c r="R990" s="210"/>
      <c r="S990" s="210"/>
      <c r="T990" s="210"/>
      <c r="U990" s="210"/>
      <c r="V990" s="210"/>
      <c r="W990" s="210"/>
      <c r="X990" s="210"/>
      <c r="Y990" s="210"/>
      <c r="Z990" s="210"/>
    </row>
    <row r="991">
      <c r="A991" s="210"/>
      <c r="B991" s="210"/>
      <c r="C991" s="210"/>
      <c r="D991" s="210"/>
      <c r="E991" s="210"/>
      <c r="F991" s="210"/>
      <c r="G991" s="210"/>
      <c r="H991" s="210"/>
      <c r="I991" s="210"/>
      <c r="J991" s="210"/>
      <c r="K991" s="210"/>
      <c r="L991" s="210"/>
      <c r="M991" s="210"/>
      <c r="N991" s="210"/>
      <c r="O991" s="210"/>
      <c r="P991" s="210"/>
      <c r="Q991" s="210"/>
      <c r="R991" s="210"/>
      <c r="S991" s="210"/>
      <c r="T991" s="210"/>
      <c r="U991" s="210"/>
      <c r="V991" s="210"/>
      <c r="W991" s="210"/>
      <c r="X991" s="210"/>
      <c r="Y991" s="210"/>
      <c r="Z991" s="210"/>
    </row>
    <row r="992">
      <c r="A992" s="210"/>
      <c r="B992" s="210"/>
      <c r="C992" s="210"/>
      <c r="D992" s="210"/>
      <c r="E992" s="210"/>
      <c r="F992" s="210"/>
      <c r="G992" s="210"/>
      <c r="H992" s="210"/>
      <c r="I992" s="210"/>
      <c r="J992" s="210"/>
      <c r="K992" s="210"/>
      <c r="L992" s="210"/>
      <c r="M992" s="210"/>
      <c r="N992" s="210"/>
      <c r="O992" s="210"/>
      <c r="P992" s="210"/>
      <c r="Q992" s="210"/>
      <c r="R992" s="210"/>
      <c r="S992" s="210"/>
      <c r="T992" s="210"/>
      <c r="U992" s="210"/>
      <c r="V992" s="210"/>
      <c r="W992" s="210"/>
      <c r="X992" s="210"/>
      <c r="Y992" s="210"/>
      <c r="Z992" s="210"/>
    </row>
    <row r="993">
      <c r="A993" s="210"/>
      <c r="B993" s="210"/>
      <c r="C993" s="210"/>
      <c r="D993" s="210"/>
      <c r="E993" s="210"/>
      <c r="F993" s="210"/>
      <c r="G993" s="210"/>
      <c r="H993" s="210"/>
      <c r="I993" s="210"/>
      <c r="J993" s="210"/>
      <c r="K993" s="210"/>
      <c r="L993" s="210"/>
      <c r="M993" s="210"/>
      <c r="N993" s="210"/>
      <c r="O993" s="210"/>
      <c r="P993" s="210"/>
      <c r="Q993" s="210"/>
      <c r="R993" s="210"/>
      <c r="S993" s="210"/>
      <c r="T993" s="210"/>
      <c r="U993" s="210"/>
      <c r="V993" s="210"/>
      <c r="W993" s="210"/>
      <c r="X993" s="210"/>
      <c r="Y993" s="210"/>
      <c r="Z993" s="210"/>
    </row>
    <row r="994">
      <c r="A994" s="210"/>
      <c r="B994" s="210"/>
      <c r="C994" s="210"/>
      <c r="D994" s="210"/>
      <c r="E994" s="210"/>
      <c r="F994" s="210"/>
      <c r="G994" s="210"/>
      <c r="H994" s="210"/>
      <c r="I994" s="210"/>
      <c r="J994" s="210"/>
      <c r="K994" s="210"/>
      <c r="L994" s="210"/>
      <c r="M994" s="210"/>
      <c r="N994" s="210"/>
      <c r="O994" s="210"/>
      <c r="P994" s="210"/>
      <c r="Q994" s="210"/>
      <c r="R994" s="210"/>
      <c r="S994" s="210"/>
      <c r="T994" s="210"/>
      <c r="U994" s="210"/>
      <c r="V994" s="210"/>
      <c r="W994" s="210"/>
      <c r="X994" s="210"/>
      <c r="Y994" s="210"/>
      <c r="Z994" s="210"/>
    </row>
    <row r="995">
      <c r="A995" s="210"/>
      <c r="B995" s="210"/>
      <c r="C995" s="210"/>
      <c r="D995" s="210"/>
      <c r="E995" s="210"/>
      <c r="F995" s="210"/>
      <c r="G995" s="210"/>
      <c r="H995" s="210"/>
      <c r="I995" s="210"/>
      <c r="J995" s="210"/>
      <c r="K995" s="210"/>
      <c r="L995" s="210"/>
      <c r="M995" s="210"/>
      <c r="N995" s="210"/>
      <c r="O995" s="210"/>
      <c r="P995" s="210"/>
      <c r="Q995" s="210"/>
      <c r="R995" s="210"/>
      <c r="S995" s="210"/>
      <c r="T995" s="210"/>
      <c r="U995" s="210"/>
      <c r="V995" s="210"/>
      <c r="W995" s="210"/>
      <c r="X995" s="210"/>
      <c r="Y995" s="210"/>
      <c r="Z995" s="210"/>
    </row>
    <row r="996">
      <c r="A996" s="210"/>
      <c r="B996" s="210"/>
      <c r="C996" s="210"/>
      <c r="D996" s="210"/>
      <c r="E996" s="210"/>
      <c r="F996" s="210"/>
      <c r="G996" s="210"/>
      <c r="H996" s="210"/>
      <c r="I996" s="210"/>
      <c r="J996" s="210"/>
      <c r="K996" s="210"/>
      <c r="L996" s="210"/>
      <c r="M996" s="210"/>
      <c r="N996" s="210"/>
      <c r="O996" s="210"/>
      <c r="P996" s="210"/>
      <c r="Q996" s="210"/>
      <c r="R996" s="210"/>
      <c r="S996" s="210"/>
      <c r="T996" s="210"/>
      <c r="U996" s="210"/>
      <c r="V996" s="210"/>
      <c r="W996" s="210"/>
      <c r="X996" s="210"/>
      <c r="Y996" s="210"/>
      <c r="Z996" s="210"/>
    </row>
    <row r="997">
      <c r="A997" s="210"/>
      <c r="B997" s="210"/>
      <c r="C997" s="210"/>
      <c r="D997" s="210"/>
      <c r="E997" s="210"/>
      <c r="F997" s="210"/>
      <c r="G997" s="210"/>
      <c r="H997" s="210"/>
      <c r="I997" s="210"/>
      <c r="J997" s="210"/>
      <c r="K997" s="210"/>
      <c r="L997" s="210"/>
      <c r="M997" s="210"/>
      <c r="N997" s="210"/>
      <c r="O997" s="210"/>
      <c r="P997" s="210"/>
      <c r="Q997" s="210"/>
      <c r="R997" s="210"/>
      <c r="S997" s="210"/>
      <c r="T997" s="210"/>
      <c r="U997" s="210"/>
      <c r="V997" s="210"/>
      <c r="W997" s="210"/>
      <c r="X997" s="210"/>
      <c r="Y997" s="210"/>
      <c r="Z997" s="210"/>
    </row>
    <row r="998">
      <c r="A998" s="210"/>
      <c r="B998" s="210"/>
      <c r="C998" s="210"/>
      <c r="D998" s="210"/>
      <c r="E998" s="210"/>
      <c r="F998" s="210"/>
      <c r="G998" s="210"/>
      <c r="H998" s="210"/>
      <c r="I998" s="210"/>
      <c r="J998" s="210"/>
      <c r="K998" s="210"/>
      <c r="L998" s="210"/>
      <c r="M998" s="210"/>
      <c r="N998" s="210"/>
      <c r="O998" s="210"/>
      <c r="P998" s="210"/>
      <c r="Q998" s="210"/>
      <c r="R998" s="210"/>
      <c r="S998" s="210"/>
      <c r="T998" s="210"/>
      <c r="U998" s="210"/>
      <c r="V998" s="210"/>
      <c r="W998" s="210"/>
      <c r="X998" s="210"/>
      <c r="Y998" s="210"/>
      <c r="Z998" s="210"/>
    </row>
    <row r="999">
      <c r="A999" s="210"/>
      <c r="B999" s="210"/>
      <c r="C999" s="210"/>
      <c r="D999" s="210"/>
      <c r="E999" s="210"/>
      <c r="F999" s="210"/>
      <c r="G999" s="210"/>
      <c r="H999" s="210"/>
      <c r="I999" s="210"/>
      <c r="J999" s="210"/>
      <c r="K999" s="210"/>
      <c r="L999" s="210"/>
      <c r="M999" s="210"/>
      <c r="N999" s="210"/>
      <c r="O999" s="210"/>
      <c r="P999" s="210"/>
      <c r="Q999" s="210"/>
      <c r="R999" s="210"/>
      <c r="S999" s="210"/>
      <c r="T999" s="210"/>
      <c r="U999" s="210"/>
      <c r="V999" s="210"/>
      <c r="W999" s="210"/>
      <c r="X999" s="210"/>
      <c r="Y999" s="210"/>
      <c r="Z999" s="210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2.75"/>
  <cols>
    <col customWidth="1" min="2" max="2" width="89.0"/>
  </cols>
  <sheetData>
    <row r="2">
      <c r="A2" s="1" t="s">
        <v>6223</v>
      </c>
      <c r="B2" s="1" t="s">
        <v>6224</v>
      </c>
    </row>
    <row r="3">
      <c r="B3" s="1" t="s">
        <v>6225</v>
      </c>
    </row>
    <row r="4">
      <c r="B4" s="1" t="s">
        <v>6226</v>
      </c>
    </row>
    <row r="5">
      <c r="B5" s="1" t="s">
        <v>6227</v>
      </c>
    </row>
    <row r="7">
      <c r="A7" s="1" t="s">
        <v>6228</v>
      </c>
      <c r="B7" s="1" t="s">
        <v>6229</v>
      </c>
    </row>
    <row r="8">
      <c r="B8" s="1" t="s">
        <v>6230</v>
      </c>
    </row>
    <row r="9">
      <c r="B9" s="1" t="s">
        <v>6231</v>
      </c>
    </row>
    <row r="10">
      <c r="B10" s="1" t="s">
        <v>6232</v>
      </c>
    </row>
    <row r="11">
      <c r="B11" s="1" t="s">
        <v>6233</v>
      </c>
    </row>
    <row r="12">
      <c r="B12" s="1" t="s">
        <v>6234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