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bnc_budget" sheetId="1" r:id="rId3"/>
    <sheet state="visible" name="pnl_budget" sheetId="2" r:id="rId4"/>
    <sheet state="visible" name="availability" sheetId="3" r:id="rId5"/>
    <sheet state="visible" name="PNL임대료" sheetId="4" r:id="rId6"/>
    <sheet state="visible" name="PNL임차인" sheetId="5" r:id="rId7"/>
    <sheet state="visible" name="RE rental" sheetId="6" r:id="rId8"/>
    <sheet state="visible" name="미향기록" sheetId="7" r:id="rId9"/>
    <sheet state="visible" name="must" sheetId="8" r:id="rId10"/>
    <sheet state="visible" name="calculations" sheetId="9" r:id="rId11"/>
    <sheet state="visible" name="검진 및 클리닉" sheetId="10" r:id="rId12"/>
  </sheets>
  <definedNames/>
  <calcPr/>
</workbook>
</file>

<file path=xl/sharedStrings.xml><?xml version="1.0" encoding="utf-8"?>
<sst xmlns="http://schemas.openxmlformats.org/spreadsheetml/2006/main" count="6323" uniqueCount="3174">
  <si>
    <t>SBNC Budget</t>
  </si>
  <si>
    <t>씨티은행 193-01381-265-01</t>
  </si>
  <si>
    <t>211-90-68256</t>
  </si>
  <si>
    <t>137-90-08872 (P ENT)</t>
  </si>
  <si>
    <t>신한 110-206-395815</t>
  </si>
  <si>
    <t>국민 646802-01-043648 / 646801-01-002286</t>
  </si>
  <si>
    <t xml:space="preserve">135-892 </t>
  </si>
  <si>
    <t>수입</t>
  </si>
  <si>
    <t>카이사르는 훗날 역사 속에서 회자되는 명연설을 많이 남겼다. 그러나 사람들에게 회자되지 않는 연설 중에 이런 게 있다. "병사와 돈, 두 가지는 권력을 창출하고 보존하며 확장한다. 그리고 병사는 돈만 있으면 살 수 있다." 이미 오래전부터 돈은 권력과 동의어였다. 근대에 들어서도 마찬가지였다.</t>
  </si>
  <si>
    <t>이일근(서울브레인신경과의원) 097601-04-185597</t>
  </si>
  <si>
    <t xml:space="preserve">NH기업자유예금 317-0012-1613-21 </t>
  </si>
  <si>
    <t>2007.11.12.</t>
  </si>
  <si>
    <t>전세계약금</t>
  </si>
  <si>
    <t>소득세</t>
  </si>
  <si>
    <t>소개비</t>
  </si>
  <si>
    <t>영수증 받을 것</t>
  </si>
  <si>
    <t>미향KEB하나 244-18-00313-4</t>
  </si>
  <si>
    <t>주민세</t>
  </si>
  <si>
    <t>2007.11.29.</t>
  </si>
  <si>
    <t>Citi Loan 300M</t>
  </si>
  <si>
    <t>국민.MMT.  097649-74-022967</t>
  </si>
  <si>
    <t>전세중도금</t>
  </si>
  <si>
    <t>명함</t>
  </si>
  <si>
    <t>2008.6.2.</t>
  </si>
  <si>
    <t>2007.12.11.</t>
  </si>
  <si>
    <t>김선영 교육지원</t>
  </si>
  <si>
    <t>2007.12.13.</t>
  </si>
  <si>
    <t>심부장님</t>
  </si>
  <si>
    <t>2007.12.18.</t>
  </si>
  <si>
    <t>계림(TCD,Carotid) 계약금</t>
  </si>
  <si>
    <t>2007.12.26.</t>
  </si>
  <si>
    <t>정주영 교육지원</t>
  </si>
  <si>
    <t>2007.12.28.</t>
  </si>
  <si>
    <t>전세잔금</t>
  </si>
  <si>
    <t>2007.12.31.</t>
  </si>
  <si>
    <t>씨티대출이자</t>
  </si>
  <si>
    <t>2008.1.3.</t>
  </si>
  <si>
    <t>광원(수면뇌파/신경근전도) 계약금</t>
  </si>
  <si>
    <t>기업 21103003504019 이상원</t>
  </si>
  <si>
    <t>2008.1.5.</t>
  </si>
  <si>
    <t>이승우 급여 + 20</t>
  </si>
  <si>
    <t>2008.1.14.</t>
  </si>
  <si>
    <t>2008.1.15.</t>
  </si>
  <si>
    <t>2008.1.17.</t>
  </si>
  <si>
    <t>유니온공조 계약금</t>
  </si>
  <si>
    <t>계산서확인필요</t>
  </si>
  <si>
    <t>비엠 착수금</t>
  </si>
  <si>
    <t>신한 140006770839 비엠아이엔에이</t>
  </si>
  <si>
    <t>검사실 복사제본</t>
  </si>
  <si>
    <t>2008.1.29.</t>
  </si>
  <si>
    <t>2008.1.30.</t>
  </si>
  <si>
    <t>비엠중도금</t>
  </si>
  <si>
    <t>ING 대출</t>
  </si>
  <si>
    <t>100000000 상환 (2008.4월초)</t>
  </si>
  <si>
    <t>2008.2.1.</t>
  </si>
  <si>
    <t>비엠 추가 계약금</t>
  </si>
  <si>
    <t>미르텍(AV) 계약금</t>
  </si>
  <si>
    <t>김용배건축사 계약금</t>
  </si>
  <si>
    <t>농협중앙 121402008481 김용배</t>
  </si>
  <si>
    <t>2008.2.4.</t>
  </si>
  <si>
    <t>이승우 급여</t>
  </si>
  <si>
    <t>2008.2.5.</t>
  </si>
  <si>
    <t>래시스 홈피 계약금</t>
  </si>
  <si>
    <t>2008.2.11.</t>
  </si>
  <si>
    <t>한미퍼니처 계약금</t>
  </si>
  <si>
    <t>2008.2.14</t>
  </si>
  <si>
    <t>장애인시설 공사비</t>
  </si>
  <si>
    <t>신한 62112244188 허만재</t>
  </si>
  <si>
    <t>간판 계약금</t>
  </si>
  <si>
    <t>국민 759210140051 박돈호</t>
  </si>
  <si>
    <t>700만원+부가세70만원</t>
  </si>
  <si>
    <t>2008.2.15.</t>
  </si>
  <si>
    <t>보루네오 의자(2)</t>
  </si>
  <si>
    <t>한샘침대(5)</t>
  </si>
  <si>
    <t>2008.2.18.</t>
  </si>
  <si>
    <t>잡비</t>
  </si>
  <si>
    <t>2008.2.19.</t>
  </si>
  <si>
    <t>한미퍼니처 잔금</t>
  </si>
  <si>
    <t>중소기업 29003474901011 한미퍼니처</t>
  </si>
  <si>
    <t>계림 중도금</t>
  </si>
  <si>
    <t>우리 1005601186410 최승용</t>
  </si>
  <si>
    <t>지하철 판넬광고 계약금</t>
  </si>
  <si>
    <t>우체국 01189001006712 탑애드</t>
  </si>
  <si>
    <t>청소기</t>
  </si>
  <si>
    <t>유니온공조 잔금</t>
  </si>
  <si>
    <t>기업 00706885801010 박기남</t>
  </si>
  <si>
    <t>977)5181</t>
  </si>
  <si>
    <t>삼성전자 리빙프라자</t>
  </si>
  <si>
    <t>시티카드</t>
  </si>
  <si>
    <t>2008.2.21.</t>
  </si>
  <si>
    <t>병원명함</t>
  </si>
  <si>
    <t>국민 084210621651 이재권 잘해드림</t>
  </si>
  <si>
    <t>2008.2.22.</t>
  </si>
  <si>
    <t>세덱 가구</t>
  </si>
  <si>
    <t>국민 284010029229 주식회사 쎄덱</t>
  </si>
  <si>
    <t>4302400 또는 5226400</t>
  </si>
  <si>
    <t xml:space="preserve">display </t>
  </si>
  <si>
    <t>신한 63512127306 류진이</t>
  </si>
  <si>
    <t>인사장 잘해드림</t>
  </si>
  <si>
    <t>광원(수면뇌파/신경근전도) 중도금</t>
  </si>
  <si>
    <t>윤혜연 2월 식비</t>
  </si>
  <si>
    <t>2008.2.26</t>
  </si>
  <si>
    <t>간판 중도금</t>
  </si>
  <si>
    <t>770중 650 지급</t>
  </si>
  <si>
    <t>민경/김선/정주 식비</t>
  </si>
  <si>
    <t>건축사 잔금</t>
  </si>
  <si>
    <t>농협 121402008481 김용배</t>
  </si>
  <si>
    <t>장애인 잔금</t>
  </si>
  <si>
    <t>2008.2.27.</t>
  </si>
  <si>
    <t>주혜 식비</t>
  </si>
  <si>
    <t>미르텍(AV) 잔금</t>
  </si>
  <si>
    <t>신한 110227328525</t>
  </si>
  <si>
    <t>114 광고 계약금</t>
  </si>
  <si>
    <t>국민 53170201020819 김용우</t>
  </si>
  <si>
    <t>2008.2.29.</t>
  </si>
  <si>
    <t>카드단말기</t>
  </si>
  <si>
    <t>외환 10118302716 노수홍</t>
  </si>
  <si>
    <t>유니폼(정현영)</t>
  </si>
  <si>
    <t>국민 218210628713 정현영</t>
  </si>
  <si>
    <t>2008.3.3.</t>
  </si>
  <si>
    <t>현금운영비</t>
  </si>
  <si>
    <t>(진료개시)</t>
  </si>
  <si>
    <t>신분증제작</t>
  </si>
  <si>
    <t>이젤2개</t>
  </si>
  <si>
    <t>다음쇼핑</t>
  </si>
  <si>
    <t>굿모닝 의자</t>
  </si>
  <si>
    <t>의사랑차트</t>
  </si>
  <si>
    <t>비엠잔금</t>
  </si>
  <si>
    <t>소화기 3개</t>
  </si>
  <si>
    <t>방송사진</t>
  </si>
  <si>
    <t>액자</t>
  </si>
  <si>
    <t>2008.3.4.</t>
  </si>
  <si>
    <t>간판 잔금</t>
  </si>
  <si>
    <t>3월 주차비</t>
  </si>
  <si>
    <t>의사랑공유기</t>
  </si>
  <si>
    <t>청소도구</t>
  </si>
  <si>
    <t>2008.3.5.</t>
  </si>
  <si>
    <t>정주영 웍샵비</t>
  </si>
  <si>
    <t>명함6000매</t>
  </si>
  <si>
    <t>호출벨</t>
  </si>
  <si>
    <t>국민 01540104183805 링크맨 정영미</t>
  </si>
  <si>
    <t>린넨</t>
  </si>
  <si>
    <t>외환 10522019882 이명직</t>
  </si>
  <si>
    <t>2008.3.6.</t>
  </si>
  <si>
    <t>케이터링예약금(230x30%)</t>
  </si>
  <si>
    <t>신한 635-12-127306 류진이</t>
  </si>
  <si>
    <t>래시스 홈피 잔금</t>
  </si>
  <si>
    <t>기업은행 06604756402016 유석철</t>
  </si>
  <si>
    <t>2008.3.10.</t>
  </si>
  <si>
    <t>조선광고심의료(의협)</t>
  </si>
  <si>
    <t>하나 22892124825037 대한의사협회(가상)</t>
  </si>
  <si>
    <t>고데기</t>
  </si>
  <si>
    <t>G market</t>
  </si>
  <si>
    <t>클릭초이스</t>
  </si>
  <si>
    <t>관리비 1월</t>
  </si>
  <si>
    <t>국민 097210421716 장기철</t>
  </si>
  <si>
    <t>임대관리비 2월</t>
  </si>
  <si>
    <t>국민 097210421732 장기철</t>
  </si>
  <si>
    <t>케이터링잔금(230x70%)</t>
  </si>
  <si>
    <t xml:space="preserve">박해정 50% </t>
  </si>
  <si>
    <t>2008.3.12.</t>
  </si>
  <si>
    <t>추가 가구 한미퍼니처</t>
  </si>
  <si>
    <t>잘해드림 봉투, 명함 추가</t>
  </si>
  <si>
    <t>지금까지 세금 133000 포함</t>
  </si>
  <si>
    <t>2008.3.13.</t>
  </si>
  <si>
    <t>네이버 키워드광고</t>
  </si>
  <si>
    <t>deposit</t>
  </si>
  <si>
    <t>다음 광고</t>
  </si>
  <si>
    <t xml:space="preserve">6개월 </t>
  </si>
  <si>
    <t xml:space="preserve">두통 어지럼증 손발저림 불면증 수면장애 신경과 편두통 </t>
  </si>
  <si>
    <t>2008.3.15.</t>
  </si>
  <si>
    <t>야후 광고</t>
  </si>
  <si>
    <t>3개월</t>
  </si>
  <si>
    <t>2008.3.17.</t>
  </si>
  <si>
    <t>비엠 잔금</t>
  </si>
  <si>
    <t>가계정보114 잔금</t>
  </si>
  <si>
    <t>VAT 10 포함 (계산서 확인)</t>
  </si>
  <si>
    <t>굿유니폼</t>
  </si>
  <si>
    <t>국민 60350104041386</t>
  </si>
  <si>
    <t>운영현금</t>
  </si>
  <si>
    <t>2008.3.18.</t>
  </si>
  <si>
    <t>컵수거기</t>
  </si>
  <si>
    <t>2008.3.20.</t>
  </si>
  <si>
    <t>약정리장</t>
  </si>
  <si>
    <t>계림잔금</t>
  </si>
  <si>
    <t>2008.3.25.</t>
  </si>
  <si>
    <t>민경미</t>
  </si>
  <si>
    <t>정주영</t>
  </si>
  <si>
    <t>김선영</t>
  </si>
  <si>
    <t>탑애드 지하철광고 잔금</t>
  </si>
  <si>
    <t>부가세포함</t>
  </si>
  <si>
    <t>2008.3.27.</t>
  </si>
  <si>
    <t>주혜진</t>
  </si>
  <si>
    <t>실내/케이터링 잔금</t>
  </si>
  <si>
    <t>2008.3.29.</t>
  </si>
  <si>
    <t>볼펜 400개</t>
  </si>
  <si>
    <t>신한 110234055367 이종문</t>
  </si>
  <si>
    <t>2008.4.1.</t>
  </si>
  <si>
    <t>진료안내 4000장</t>
  </si>
  <si>
    <t>82만*0.8=65만6천</t>
  </si>
  <si>
    <t>의료보험 추가(건국대)</t>
  </si>
  <si>
    <t>신한 140006772620 건국대총장</t>
  </si>
  <si>
    <t>2008.4.4.</t>
  </si>
  <si>
    <t>광원잔금</t>
  </si>
  <si>
    <t>finished</t>
  </si>
  <si>
    <t>2008.4.7.</t>
  </si>
  <si>
    <t>잘해드림 세액</t>
  </si>
  <si>
    <t>2008.4.8.</t>
  </si>
  <si>
    <t>주차비</t>
  </si>
  <si>
    <t>(600000+150000)</t>
  </si>
  <si>
    <t>월주차4월분 150000 포함</t>
  </si>
  <si>
    <t>기념품 우산 300개</t>
  </si>
  <si>
    <t>하나은행 15007739200104</t>
  </si>
  <si>
    <t>6600*300</t>
  </si>
  <si>
    <t>2008.4.10.</t>
  </si>
  <si>
    <t>의료보험료</t>
  </si>
  <si>
    <t>지로</t>
  </si>
  <si>
    <t>갑근세</t>
  </si>
  <si>
    <t>임대료관리비환경부담금</t>
  </si>
  <si>
    <t>2008.4.18.</t>
  </si>
  <si>
    <t>KT(2,3,4월)</t>
  </si>
  <si>
    <t>윤혜연</t>
  </si>
  <si>
    <t>2008.4.21.</t>
  </si>
  <si>
    <t>완납</t>
  </si>
  <si>
    <t>2008.4.23.</t>
  </si>
  <si>
    <t>랩지노믹스 검사대금</t>
  </si>
  <si>
    <t>국민 290210258138</t>
  </si>
  <si>
    <t>2008.4.24.</t>
  </si>
  <si>
    <t>국민연금(연체)</t>
  </si>
  <si>
    <t>2008.4.25.</t>
  </si>
  <si>
    <t>2008.4.26.</t>
  </si>
  <si>
    <t>2008.5.1.</t>
  </si>
  <si>
    <t>조선AD</t>
  </si>
  <si>
    <t>?</t>
  </si>
  <si>
    <t>1/3 VAT included</t>
  </si>
  <si>
    <t>한미메디케어</t>
  </si>
  <si>
    <t>하나 56291000228304 한미</t>
  </si>
  <si>
    <t>9090350 중 3000000</t>
  </si>
  <si>
    <t>24090350(-15000000)</t>
  </si>
  <si>
    <t>비엠 마지막 정산</t>
  </si>
  <si>
    <t>영우</t>
  </si>
  <si>
    <t>신한 37605002014 영우</t>
  </si>
  <si>
    <t>2008.5.2.</t>
  </si>
  <si>
    <t>하복 대금</t>
  </si>
  <si>
    <t>국민 60350104041386 김휘종 굿유니폼</t>
  </si>
  <si>
    <t>2008.5.3.</t>
  </si>
  <si>
    <t xml:space="preserve">referring clinic flowers </t>
  </si>
  <si>
    <t>이화/지디스/소리/미래/서울이비/윤이비/홍내과</t>
  </si>
  <si>
    <t>50000*7</t>
  </si>
  <si>
    <t>2008.5.6.</t>
  </si>
  <si>
    <t>고용보험</t>
  </si>
  <si>
    <t>산재보험</t>
  </si>
  <si>
    <t>2008.5.7.</t>
  </si>
  <si>
    <t>고구려 세무법인</t>
  </si>
  <si>
    <t>국민 53040101135067 세무법인고구려</t>
  </si>
  <si>
    <t>2008.5.8.</t>
  </si>
  <si>
    <t>연금보험료</t>
  </si>
  <si>
    <t>2008.5.13.</t>
  </si>
  <si>
    <t>임대관리비 4월</t>
  </si>
  <si>
    <t>(450000+150000)</t>
  </si>
  <si>
    <t>월주차5월분 150000 포함</t>
  </si>
  <si>
    <t>2008.5.14.</t>
  </si>
  <si>
    <t>문구류</t>
  </si>
  <si>
    <t>모든오피스</t>
  </si>
  <si>
    <t>시사뉴스피플</t>
  </si>
  <si>
    <t xml:space="preserve">국민 00993704008722 </t>
  </si>
  <si>
    <t>2008.5.20.</t>
  </si>
  <si>
    <t>두통학회등록</t>
  </si>
  <si>
    <t>2008.5.23.</t>
  </si>
  <si>
    <t>신동아6월호 구입</t>
  </si>
  <si>
    <t>2008.5.24.</t>
  </si>
  <si>
    <t>2008.5.27.</t>
  </si>
  <si>
    <t>광원 에어플로우 센서</t>
  </si>
  <si>
    <t>KT(5월)</t>
  </si>
  <si>
    <t>2008.5.28.</t>
  </si>
  <si>
    <t>이정은 제복</t>
  </si>
  <si>
    <t>굿유니폼 국민 603501 04 041386</t>
  </si>
  <si>
    <t>(Sum to May 08)</t>
  </si>
  <si>
    <t>올해납부/작년정산</t>
  </si>
  <si>
    <t>2008.6.3.</t>
  </si>
  <si>
    <t>신한 100020576154</t>
  </si>
  <si>
    <t>광원</t>
  </si>
  <si>
    <t>신동아 1년 구독</t>
  </si>
  <si>
    <t>2008.6.4.</t>
  </si>
  <si>
    <t>인터파크 치솔세트/면도크림</t>
  </si>
  <si>
    <t>2008.6.9.</t>
  </si>
  <si>
    <t>임대/관리비</t>
  </si>
  <si>
    <t>국민연금</t>
  </si>
  <si>
    <t>건강보험</t>
  </si>
  <si>
    <t>2008.6.10.</t>
  </si>
  <si>
    <t>(250000+150000)</t>
  </si>
  <si>
    <t>월주차6월분 150000 포함</t>
  </si>
  <si>
    <t>2008.6.11.</t>
  </si>
  <si>
    <t>수면학회 평생회비</t>
  </si>
  <si>
    <t>3,4,5월 내일신문광고(3/22~6/14)</t>
  </si>
  <si>
    <t xml:space="preserve"> 씨티카드 할부</t>
  </si>
  <si>
    <t>6,7,8월 내일신문광고(6/21~9/6)</t>
  </si>
  <si>
    <t>씨티카드 할부</t>
  </si>
  <si>
    <t>2008.6.18.</t>
  </si>
  <si>
    <t>2008.6.25.</t>
  </si>
  <si>
    <t>네이버 키워드(3,4,5,6월)</t>
  </si>
  <si>
    <t>추산, 월90만</t>
  </si>
  <si>
    <t>2008.6.26.</t>
  </si>
  <si>
    <t>이정은</t>
  </si>
  <si>
    <t>2008.6.28.</t>
  </si>
  <si>
    <t>홈피수정</t>
  </si>
  <si>
    <t>2008.7.1.</t>
  </si>
  <si>
    <t>청소급여</t>
  </si>
  <si>
    <t>2008.7.4.</t>
  </si>
  <si>
    <t>랩지노믹스 검사대금(5월)</t>
  </si>
  <si>
    <t>광원 전극</t>
  </si>
  <si>
    <t>한국MS</t>
  </si>
  <si>
    <t>신한 34905017626</t>
  </si>
  <si>
    <t>2008.7.8.</t>
  </si>
  <si>
    <t>흑백잉크 10개</t>
  </si>
  <si>
    <t>2008.7.9.</t>
  </si>
  <si>
    <t>건보료</t>
  </si>
  <si>
    <t>2008.7.11.</t>
  </si>
  <si>
    <t>하수구</t>
  </si>
  <si>
    <t>2008.7.18.</t>
  </si>
  <si>
    <t>2008.7.25.</t>
  </si>
  <si>
    <t>2008.7.26</t>
  </si>
  <si>
    <t>2008.7.27.</t>
  </si>
  <si>
    <t>2008.7.28.</t>
  </si>
  <si>
    <t>휴온스</t>
  </si>
  <si>
    <t>2008.7.30.</t>
  </si>
  <si>
    <t>광원 Neuprep</t>
  </si>
  <si>
    <t>2008.8.1.</t>
  </si>
  <si>
    <t>2008.8.4.</t>
  </si>
  <si>
    <t>KT Jun</t>
  </si>
  <si>
    <t>KT Jul</t>
  </si>
  <si>
    <t>2008.8.6.</t>
  </si>
  <si>
    <t>랩지노믹스 검사대금(6월)</t>
  </si>
  <si>
    <t>2008.8.9.</t>
  </si>
  <si>
    <t>가상계좌</t>
  </si>
  <si>
    <t>2008.8.11.</t>
  </si>
  <si>
    <t>2008.8.18.</t>
  </si>
  <si>
    <t>고용보험료</t>
  </si>
  <si>
    <t>산재보험료</t>
  </si>
  <si>
    <t>2008.8.23.</t>
  </si>
  <si>
    <t>주차비(6월분?)</t>
  </si>
  <si>
    <t>(+150000)</t>
  </si>
  <si>
    <t>월주차7월분 150000 포함</t>
  </si>
  <si>
    <t>주차비(7월분)</t>
  </si>
  <si>
    <t>(470000+150000)</t>
  </si>
  <si>
    <t>월주차8월분 150000 포함</t>
  </si>
  <si>
    <t>2008.8.25.</t>
  </si>
  <si>
    <t>2008.8.26.</t>
  </si>
  <si>
    <t>2008.8.27.</t>
  </si>
  <si>
    <t>잔액 3057000</t>
  </si>
  <si>
    <t>랩지노믹스 검사대금(7월)</t>
  </si>
  <si>
    <t>2008.8.28.</t>
  </si>
  <si>
    <t>잉크마트</t>
  </si>
  <si>
    <t>2008.9.1.</t>
  </si>
  <si>
    <t>내일신문(3개월광고, 9/13~  11/29)</t>
  </si>
  <si>
    <t>씨티비자 할부</t>
  </si>
  <si>
    <t>2008.9.2.</t>
  </si>
  <si>
    <t>기장료(7.8월)</t>
  </si>
  <si>
    <t>농협 110802165967 정범식</t>
  </si>
  <si>
    <t>2008.9.9.</t>
  </si>
  <si>
    <t>추석선물</t>
  </si>
  <si>
    <t>(추정)</t>
  </si>
  <si>
    <t>2008.9.10.</t>
  </si>
  <si>
    <t>건강보험 지로</t>
  </si>
  <si>
    <t>연금보험 지로</t>
  </si>
  <si>
    <t>매경 이코노미 대금</t>
  </si>
  <si>
    <t>2008.9.12.</t>
  </si>
  <si>
    <t>(500000+150000)</t>
  </si>
  <si>
    <t>월주차9월분 150000 포함</t>
  </si>
  <si>
    <t>2008.9.15.</t>
  </si>
  <si>
    <t>도메인 2년 연장 (seoulbrain.co.kr)</t>
  </si>
  <si>
    <t>2008.9.18.</t>
  </si>
  <si>
    <t>2008.9.25.</t>
  </si>
  <si>
    <t>2008.9.26</t>
  </si>
  <si>
    <t>2008.9.27.</t>
  </si>
  <si>
    <t>2008.9.22.</t>
  </si>
  <si>
    <t>KT (26453938)</t>
  </si>
  <si>
    <t>giro</t>
  </si>
  <si>
    <t>KT(5418286)</t>
  </si>
  <si>
    <t>재산세(광장동)</t>
  </si>
  <si>
    <t>재산세(목동)</t>
  </si>
  <si>
    <t>2008.10.1.</t>
  </si>
  <si>
    <t>병원청소</t>
  </si>
  <si>
    <t>2008.10.7.</t>
  </si>
  <si>
    <t>기장료(9월)</t>
  </si>
  <si>
    <t>이불(한일장식)</t>
  </si>
  <si>
    <t>외환 10522019882 이명직(한일장식상사)</t>
  </si>
  <si>
    <t>광원(8월,9월)</t>
  </si>
  <si>
    <t>랩지노믹스 검사대금(8월)</t>
  </si>
  <si>
    <t>국민 290210258138 양윤선</t>
  </si>
  <si>
    <t>2008.10.9.</t>
  </si>
  <si>
    <t>은행납부</t>
  </si>
  <si>
    <t>조선일보목동</t>
  </si>
  <si>
    <t>조선일보신사</t>
  </si>
  <si>
    <t>2008.10.13.</t>
  </si>
  <si>
    <t>2008.10.14.</t>
  </si>
  <si>
    <t>(170000+150000)</t>
  </si>
  <si>
    <t>월주차10월분 150000 포함</t>
  </si>
  <si>
    <t>2008.10.18.</t>
  </si>
  <si>
    <t>2008.10.25.</t>
  </si>
  <si>
    <t>2008.10.26</t>
  </si>
  <si>
    <t>2008.10.27.</t>
  </si>
  <si>
    <t>2008.10.20.</t>
  </si>
  <si>
    <t>2008.10.21.</t>
  </si>
  <si>
    <t>병원 잡화</t>
  </si>
  <si>
    <t>2008.10.31.</t>
  </si>
  <si>
    <t>잔액 1057000?</t>
  </si>
  <si>
    <t>기장료(10월)</t>
  </si>
  <si>
    <t>신한 140005642990 영우</t>
  </si>
  <si>
    <t>랩지노믹스 검사대금(9월)</t>
  </si>
  <si>
    <t>2008.11.2.</t>
  </si>
  <si>
    <t>간판 이동 비용</t>
  </si>
  <si>
    <t>정주영 임상신경 등록비</t>
  </si>
  <si>
    <t>2008.11.3.</t>
  </si>
  <si>
    <t>미화 급여</t>
  </si>
  <si>
    <t>국민 71660101049683 김옥순</t>
  </si>
  <si>
    <t>12월1일부터 이체</t>
  </si>
  <si>
    <t>2008.11.10.</t>
  </si>
  <si>
    <t>2008.11.11.</t>
  </si>
  <si>
    <t>네이버 키워드(7,8,9,10월)</t>
  </si>
  <si>
    <t>2008.11.12.</t>
  </si>
  <si>
    <t>전구</t>
  </si>
  <si>
    <t>월주차11월분 150000 포함</t>
  </si>
  <si>
    <t>2008.11.17.</t>
  </si>
  <si>
    <t>2008.11.18.</t>
  </si>
  <si>
    <t>2008.11.25.</t>
  </si>
  <si>
    <t>2008.11.26</t>
  </si>
  <si>
    <t>2008.11.27.</t>
  </si>
  <si>
    <t>2008.11.21.</t>
  </si>
  <si>
    <t>메이필드등록취득</t>
  </si>
  <si>
    <t>잘해드림 소봉투 2000</t>
  </si>
  <si>
    <t>기장료(11월)</t>
  </si>
  <si>
    <t>랩지노믹스 검사대금(10월)</t>
  </si>
  <si>
    <t>2008.12.1.</t>
  </si>
  <si>
    <t>병원미화</t>
  </si>
  <si>
    <t>국민 716601 01 049683 김옥순</t>
  </si>
  <si>
    <t>다음광고 두통 편두통 3개월</t>
  </si>
  <si>
    <t>씨티 원리금상환시작</t>
  </si>
  <si>
    <t>%6.65%</t>
  </si>
  <si>
    <t>지난 1년 대출이자</t>
  </si>
  <si>
    <t>%6.20%</t>
  </si>
  <si>
    <t>2008.12.2.</t>
  </si>
  <si>
    <t>SK chemical vaccine</t>
  </si>
  <si>
    <t>하나 10096151262137 sk 케미칼</t>
  </si>
  <si>
    <t>2008.12.5.</t>
  </si>
  <si>
    <t>M club</t>
  </si>
  <si>
    <t>입회비</t>
  </si>
  <si>
    <t>근소세/주민세</t>
  </si>
  <si>
    <t>2008.12.12.</t>
  </si>
  <si>
    <t>2008.12.16.</t>
  </si>
  <si>
    <t>(400000+150000)</t>
  </si>
  <si>
    <t>월주차12월분 150000 포함</t>
  </si>
  <si>
    <t>2008.12.18.</t>
  </si>
  <si>
    <t>2008.12.25.</t>
  </si>
  <si>
    <t>2008.12.26</t>
  </si>
  <si>
    <t>2008.12.27.</t>
  </si>
  <si>
    <t>2008.12.22.</t>
  </si>
  <si>
    <t>병원잡화 이마트몰</t>
  </si>
  <si>
    <t>2008.12.29.</t>
  </si>
  <si>
    <t>씨티상환</t>
  </si>
  <si>
    <t>2008.12.31.</t>
  </si>
  <si>
    <t>건강보험(11월분체납)</t>
  </si>
  <si>
    <t>기장료(12월)</t>
  </si>
  <si>
    <t>랩지노믹스 검사대금(11월)</t>
  </si>
  <si>
    <t>2009.1.2.</t>
  </si>
  <si>
    <t>2009.1.7.</t>
  </si>
  <si>
    <t>연금보험료 12월분</t>
  </si>
  <si>
    <t>건강보험료 12월분</t>
  </si>
  <si>
    <t>연금보험료 11월분 체납분</t>
  </si>
  <si>
    <t>2009.1.13.</t>
  </si>
  <si>
    <t>2009.1.14.</t>
  </si>
  <si>
    <t>윤혜연 조모상</t>
  </si>
  <si>
    <t>WCSA2009 registration</t>
  </si>
  <si>
    <t>2009.1.16.</t>
  </si>
  <si>
    <t>래시스 홈피 annual fee</t>
  </si>
  <si>
    <t>(300000+150000)</t>
  </si>
  <si>
    <t>월주차1월분 150000 포함</t>
  </si>
  <si>
    <t>2009.1.23.</t>
  </si>
  <si>
    <t>2009.1.23</t>
  </si>
  <si>
    <t>2009.1.29.</t>
  </si>
  <si>
    <t>2009.1.30.</t>
  </si>
  <si>
    <t>2009.1.31.</t>
  </si>
  <si>
    <t>기장료(1월)</t>
  </si>
  <si>
    <t>랩지노믹스 검사대금(12월)</t>
  </si>
  <si>
    <t>2009.2.4.</t>
  </si>
  <si>
    <t>병원물품</t>
  </si>
  <si>
    <t>이마트몰</t>
  </si>
  <si>
    <t>2009.2.9.</t>
  </si>
  <si>
    <t>연금보험료 1월분</t>
  </si>
  <si>
    <t>건강보험료 1월분</t>
  </si>
  <si>
    <t>영우메디텍</t>
  </si>
  <si>
    <t>신한 37605002014 영우메디텍</t>
  </si>
  <si>
    <t>2009.2.11.</t>
  </si>
  <si>
    <t>2009.2.12</t>
  </si>
  <si>
    <t>2009.2.13.</t>
  </si>
  <si>
    <t>월주차2월분 150000 포함</t>
  </si>
  <si>
    <t>2009.2.24.</t>
  </si>
  <si>
    <t>조선일보(1,2월)</t>
  </si>
  <si>
    <t>2009.2.18.</t>
  </si>
  <si>
    <t>2009.2.25.</t>
  </si>
  <si>
    <t xml:space="preserve">김선영 16/24 근무 - </t>
  </si>
  <si>
    <t>2009.2.26</t>
  </si>
  <si>
    <t>2009.2.27.</t>
  </si>
  <si>
    <t>2009.2.28.</t>
  </si>
  <si>
    <t>기장료(2월)</t>
  </si>
  <si>
    <t>랩지노믹스 검사대금(1월)</t>
  </si>
  <si>
    <t>2009.3.6.</t>
  </si>
  <si>
    <t>민경미 퇴직금 정산</t>
  </si>
  <si>
    <t>정주영 퇴직금정산</t>
  </si>
  <si>
    <t>윤혜연 퇴직금정산</t>
  </si>
  <si>
    <t>주혜진 퇴직금정산</t>
  </si>
  <si>
    <t>10월말 잔액 1057000? 에서 1955620원 잔액으로 요청이 왔으나 불명확 - 100만원 입금함 - 추후 확인 필요</t>
  </si>
  <si>
    <t>2009.3.9.</t>
  </si>
  <si>
    <t>2009.3.10.</t>
  </si>
  <si>
    <t>건강보험료</t>
  </si>
  <si>
    <t>2009.3.16.</t>
  </si>
  <si>
    <t>월주차3월분 150000 포함</t>
  </si>
  <si>
    <t>2009.3.17.</t>
  </si>
  <si>
    <t xml:space="preserve">병원 진료의뢰서 </t>
  </si>
  <si>
    <t>노인신경 등록비</t>
  </si>
  <si>
    <t>2009.3.18.</t>
  </si>
  <si>
    <t>2009.3.25.</t>
  </si>
  <si>
    <t>2009.3.26</t>
  </si>
  <si>
    <t>2009.3.27.</t>
  </si>
  <si>
    <t>2009.3.30</t>
  </si>
  <si>
    <t>산재</t>
  </si>
  <si>
    <t>고용</t>
  </si>
  <si>
    <t>2009.3.31.</t>
  </si>
  <si>
    <t>기장료(3월)</t>
  </si>
  <si>
    <t>랩지노믹스 검사대금(2월)</t>
  </si>
  <si>
    <t>조선일보 신사동</t>
  </si>
  <si>
    <t>2009.4.7.</t>
  </si>
  <si>
    <t>김선영 퇴직금</t>
  </si>
  <si>
    <t>1424060+179490(연말정산)</t>
  </si>
  <si>
    <t>2009.4.8.</t>
  </si>
  <si>
    <t>임대료/관리비</t>
  </si>
  <si>
    <t>정주영축의금</t>
  </si>
  <si>
    <t>2009.4.10.</t>
  </si>
  <si>
    <t>연금보험</t>
  </si>
  <si>
    <t>2009.4.15.</t>
  </si>
  <si>
    <t>간호화</t>
  </si>
  <si>
    <t>국민 조광현(비단구두) 807501-04-002176</t>
  </si>
  <si>
    <t>유니폼</t>
  </si>
  <si>
    <t>농협중앙회 정순원 274-02-045608</t>
  </si>
  <si>
    <t>2009.4.16.</t>
  </si>
  <si>
    <t>2009.4.17.</t>
  </si>
  <si>
    <t>Part Time</t>
  </si>
  <si>
    <t>2009.4.24.</t>
  </si>
  <si>
    <t>2009.4.24</t>
  </si>
  <si>
    <t>실지급 1873670</t>
  </si>
  <si>
    <t>이정은 가불</t>
  </si>
  <si>
    <t>다음 달에 감하여 지급</t>
  </si>
  <si>
    <t>2009.4.27.</t>
  </si>
  <si>
    <t>병원미화(4월분 선지급)</t>
  </si>
  <si>
    <t>2009.4.22.</t>
  </si>
  <si>
    <t xml:space="preserve">미르텍(AV)  데스크전화작업 </t>
  </si>
  <si>
    <t>신한 110227328525 이영수(미르테크)</t>
  </si>
  <si>
    <t>조선일보 신사동(4월분)</t>
  </si>
  <si>
    <t>엠클럽 제주 항공</t>
  </si>
  <si>
    <t>우리 141-242388-02-006 황성주</t>
  </si>
  <si>
    <t>돋보기세트</t>
  </si>
  <si>
    <t>농협 48002102342 김만영</t>
  </si>
  <si>
    <t>신개협등록</t>
  </si>
  <si>
    <t>2009.4.30.</t>
  </si>
  <si>
    <t>기장료(4월)</t>
  </si>
  <si>
    <t>랩지노믹스 검사대금(3월)</t>
  </si>
  <si>
    <t>2009.4.28.</t>
  </si>
  <si>
    <t>홈피 배너</t>
  </si>
  <si>
    <t>기업은행 066-047564-02-016 유석철 (5만원)</t>
  </si>
  <si>
    <t>2009.5.1.</t>
  </si>
  <si>
    <t>김선영 선생</t>
  </si>
  <si>
    <t>cash</t>
  </si>
  <si>
    <t>2009.5.6.</t>
  </si>
  <si>
    <t>SK 결제</t>
  </si>
  <si>
    <t>카드</t>
  </si>
  <si>
    <t>2009.5.8.</t>
  </si>
  <si>
    <t>2009.5.11.</t>
  </si>
  <si>
    <t>2009.5.12.</t>
  </si>
  <si>
    <t>2009.5.15.</t>
  </si>
  <si>
    <t>월주차 5월분 150000 포함</t>
  </si>
  <si>
    <t>2009.5.18.</t>
  </si>
  <si>
    <t>2009.5.25.</t>
  </si>
  <si>
    <t>2009.5.26.</t>
  </si>
  <si>
    <t>실지급 1803620</t>
  </si>
  <si>
    <t>이정은 가불 감액</t>
  </si>
  <si>
    <t>이정은 퇴직금정산</t>
  </si>
  <si>
    <t>2009.5.27.</t>
  </si>
  <si>
    <t xml:space="preserve">토너 </t>
  </si>
  <si>
    <t>2009.5.29.</t>
  </si>
  <si>
    <t>기장료</t>
  </si>
  <si>
    <t>조선일보</t>
  </si>
  <si>
    <t>2009.6.2.</t>
  </si>
  <si>
    <t>조정보수</t>
  </si>
  <si>
    <t>세무</t>
  </si>
  <si>
    <t>1009.6.9.</t>
  </si>
  <si>
    <t>2009.6.10.</t>
  </si>
  <si>
    <t>2009.6.13.</t>
  </si>
  <si>
    <t>월주차 6월분 150000 포함</t>
  </si>
  <si>
    <t>2009.6.18.</t>
  </si>
  <si>
    <t>2009.6.25.</t>
  </si>
  <si>
    <t>2006.6.26</t>
  </si>
  <si>
    <t>2006.6.17.</t>
  </si>
  <si>
    <t>1718780 (급여+상여) + 409570  (퇴직금)</t>
  </si>
  <si>
    <t>2006.6.19.</t>
  </si>
  <si>
    <t xml:space="preserve">운영현금 </t>
  </si>
  <si>
    <t>(100000+100000=200000)</t>
  </si>
  <si>
    <t>2009.6.26.</t>
  </si>
  <si>
    <t>의약품카드</t>
  </si>
  <si>
    <t>2009.6.30.</t>
  </si>
  <si>
    <t>2009.7.9.</t>
  </si>
  <si>
    <t>2009.7.14.</t>
  </si>
  <si>
    <t>(350000+150000)</t>
  </si>
  <si>
    <t>월주차 7월분 150000 포함</t>
  </si>
  <si>
    <t>2009.7.17.</t>
  </si>
  <si>
    <t>2009.7.24.</t>
  </si>
  <si>
    <t>2009.7.24</t>
  </si>
  <si>
    <t>2009.7.28.</t>
  </si>
  <si>
    <t>휴온스결제</t>
  </si>
  <si>
    <t>잔액 0</t>
  </si>
  <si>
    <t>2009.7.29.</t>
  </si>
  <si>
    <t>사업소세(356m2)</t>
  </si>
  <si>
    <t>주민세 재산분 (356m2)</t>
  </si>
  <si>
    <t>KT</t>
  </si>
  <si>
    <t>랩지노믹스</t>
  </si>
  <si>
    <t>2009.7.31.</t>
  </si>
  <si>
    <t>2009.8.4.</t>
  </si>
  <si>
    <t>간판</t>
  </si>
  <si>
    <t>농협 370 12 120224 박돈승</t>
  </si>
  <si>
    <t>2009.8.7.</t>
  </si>
  <si>
    <t>2009.8.10.</t>
  </si>
  <si>
    <t>2009.8.12.</t>
  </si>
  <si>
    <t>월주차 8월분 150000 포함</t>
  </si>
  <si>
    <t>국민 084-21-0621-651</t>
  </si>
  <si>
    <t>매경이코노미</t>
  </si>
  <si>
    <t>2009.8.17.</t>
  </si>
  <si>
    <t>2009.8.18.</t>
  </si>
  <si>
    <t>2009.8.25.</t>
  </si>
  <si>
    <t>2009.8.26.</t>
  </si>
  <si>
    <t xml:space="preserve">2009.8.17. </t>
  </si>
  <si>
    <t>영문스탬프</t>
  </si>
  <si>
    <t xml:space="preserve">안압기 수리 </t>
  </si>
  <si>
    <t xml:space="preserve">KT </t>
  </si>
  <si>
    <t>2009.8.31.</t>
  </si>
  <si>
    <t xml:space="preserve">SK vaccine </t>
  </si>
  <si>
    <t>완불</t>
  </si>
  <si>
    <t>2009.9.2.</t>
  </si>
  <si>
    <t>아세아약품 독감백신 (20개)</t>
  </si>
  <si>
    <t>신한 100 019 666660</t>
  </si>
  <si>
    <t>병원물품(11번가)</t>
  </si>
  <si>
    <t>2009.9.9.</t>
  </si>
  <si>
    <t>2009.9.7.</t>
  </si>
  <si>
    <t>아세아약품 독감백신 (60개)</t>
  </si>
  <si>
    <t>신한 100001167084</t>
  </si>
  <si>
    <t>독감백신 (-20개, 박승희소아과)</t>
  </si>
  <si>
    <t>시티</t>
  </si>
  <si>
    <t>2009.9.14.</t>
  </si>
  <si>
    <t>(550000+150000)</t>
  </si>
  <si>
    <t>2009.9.16.</t>
  </si>
  <si>
    <t>병원물품 이마트몰</t>
  </si>
  <si>
    <t>유니폼/유정인</t>
  </si>
  <si>
    <t>농협 정순원 274-02-045608</t>
  </si>
  <si>
    <t>2009.9.18.</t>
  </si>
  <si>
    <t>1270140+647080</t>
  </si>
  <si>
    <t>2009.9.25.</t>
  </si>
  <si>
    <t>1794900+895950</t>
  </si>
  <si>
    <t>2009.9.22.</t>
  </si>
  <si>
    <t>아세아약품 독감백신 (100개)</t>
  </si>
  <si>
    <t>2009.9.30.</t>
  </si>
  <si>
    <t xml:space="preserve">랩지노믹스 </t>
  </si>
  <si>
    <t>2009.9.24.</t>
  </si>
  <si>
    <t>조선신사</t>
  </si>
  <si>
    <t>2009.9.27.</t>
  </si>
  <si>
    <t>손세정제</t>
  </si>
  <si>
    <t>옥션</t>
  </si>
  <si>
    <t>2009.9.28.</t>
  </si>
  <si>
    <t>2009.10.9.</t>
  </si>
  <si>
    <t>곽티슈</t>
  </si>
  <si>
    <t>2009.10.14.</t>
  </si>
  <si>
    <t>유정인</t>
  </si>
  <si>
    <t>국민 097602-04-081656</t>
  </si>
  <si>
    <t>2009.10.16.</t>
  </si>
  <si>
    <t>2009.10.23.</t>
  </si>
  <si>
    <t>2009.10.26.</t>
  </si>
  <si>
    <t>월주차 10월분 150000 포함</t>
  </si>
  <si>
    <t>2009.10.30.</t>
  </si>
  <si>
    <t>한미메디</t>
  </si>
  <si>
    <t>50% 결제</t>
  </si>
  <si>
    <t>2009.10.28.</t>
  </si>
  <si>
    <t>2009.11.2.</t>
  </si>
  <si>
    <t>토너(잉크할인마트, HP LJ 1160)</t>
  </si>
  <si>
    <t>2009.11.9.</t>
  </si>
  <si>
    <t>2009.11.12</t>
  </si>
  <si>
    <t>월주차 11월분 150000 포함</t>
  </si>
  <si>
    <t>2009.11.14.</t>
  </si>
  <si>
    <t>2009.11.18.</t>
  </si>
  <si>
    <t>2009.11.25.</t>
  </si>
  <si>
    <t>2009.11.26.</t>
  </si>
  <si>
    <t>정주영 임상신경생리학회 + 지침서</t>
  </si>
  <si>
    <t>2009.11.16.</t>
  </si>
  <si>
    <t>두통학회</t>
  </si>
  <si>
    <t>2009.11.19.</t>
  </si>
  <si>
    <t>커피믹스</t>
  </si>
  <si>
    <t>인터파크</t>
  </si>
  <si>
    <t>의사회비</t>
  </si>
  <si>
    <t>2009.11.23.</t>
  </si>
  <si>
    <t>2009.11.24.</t>
  </si>
  <si>
    <t>인터파크 스킨로션</t>
  </si>
  <si>
    <t>2009.11.27.</t>
  </si>
  <si>
    <t>SK 백신대금</t>
  </si>
  <si>
    <t>삼성 의약품카드</t>
  </si>
  <si>
    <t>종합소득세</t>
  </si>
  <si>
    <t>KT 전화요금</t>
  </si>
  <si>
    <t>보령 백신(간염A)</t>
  </si>
  <si>
    <t>2009.11.30.</t>
  </si>
  <si>
    <t>2009.12.9.</t>
  </si>
  <si>
    <t>근로소득세</t>
  </si>
  <si>
    <t>2009.12.14.</t>
  </si>
  <si>
    <t>2009.12.18.</t>
  </si>
  <si>
    <t>2009.12.24.</t>
  </si>
  <si>
    <t>월주차 12월분 150000 포함</t>
  </si>
  <si>
    <t>2009.12.22.</t>
  </si>
  <si>
    <t>아세아백신(독감) 100개 (미향)</t>
  </si>
  <si>
    <t>400개 강남구의(4840000) 신한 100-019-666660</t>
  </si>
  <si>
    <t>2009.12.30.</t>
  </si>
  <si>
    <t>2009.12.31.</t>
  </si>
  <si>
    <t>계림메디칼(probe)</t>
  </si>
  <si>
    <t>2010.1.9.</t>
  </si>
  <si>
    <t>2010.1.11.</t>
  </si>
  <si>
    <t>2010.1.14.</t>
  </si>
  <si>
    <t>2010.1.18.</t>
  </si>
  <si>
    <t>2010.1.25.</t>
  </si>
  <si>
    <t>2010.1.26.</t>
  </si>
  <si>
    <t>월주차 1월분 150000 포함</t>
  </si>
  <si>
    <t>2010.1.29.</t>
  </si>
  <si>
    <t>2010.2.9.</t>
  </si>
  <si>
    <t>연말정산</t>
  </si>
  <si>
    <t>2010.2.12.</t>
  </si>
  <si>
    <t>2010.2.18.</t>
  </si>
  <si>
    <t>2010.2.25.</t>
  </si>
  <si>
    <t>2010.2.26.</t>
  </si>
  <si>
    <t>월주차 2월분 150000 포함</t>
  </si>
  <si>
    <t>2010.3.3.</t>
  </si>
  <si>
    <t>2010.2.24.</t>
  </si>
  <si>
    <t>보령 간염A 백신</t>
  </si>
  <si>
    <t>2010.3.9.</t>
  </si>
  <si>
    <t>2010.3.12.</t>
  </si>
  <si>
    <t>월주차 3월분 150000 포함</t>
  </si>
  <si>
    <t>2010.3.15.</t>
  </si>
  <si>
    <t>2010.3.18.</t>
  </si>
  <si>
    <t>2010.3.25.</t>
  </si>
  <si>
    <t>2010.3.26.</t>
  </si>
  <si>
    <t>2010.3.16.</t>
  </si>
  <si>
    <t>산재/고용 정산</t>
  </si>
  <si>
    <t>농협 714 12 308363 김휘종(굿유니폼)</t>
  </si>
  <si>
    <t>2010.3.21.</t>
  </si>
  <si>
    <t>신사모 등록</t>
  </si>
  <si>
    <t>신경과동문회비(2007~2010)</t>
  </si>
  <si>
    <t>2010년 이사 연회비 15만원</t>
  </si>
  <si>
    <t>2010.3.23.</t>
  </si>
  <si>
    <t>래시스 홈피 revision fee</t>
  </si>
  <si>
    <t>2010.3.31.</t>
  </si>
  <si>
    <t>2010.3.30.</t>
  </si>
  <si>
    <t>하나 164 910012 90504 한미</t>
  </si>
  <si>
    <t>잔고 270380</t>
  </si>
  <si>
    <t>삼성 의약품카드(220990 remained)</t>
  </si>
  <si>
    <t>병원명함/봉투</t>
  </si>
  <si>
    <t>2010.4.5.</t>
  </si>
  <si>
    <t>영우에디텍</t>
  </si>
  <si>
    <t>신한은행</t>
  </si>
  <si>
    <t>2010.4.9.</t>
  </si>
  <si>
    <t>2010.4.14.</t>
  </si>
  <si>
    <t>2010.4.16.</t>
  </si>
  <si>
    <t>2010.4.23.</t>
  </si>
  <si>
    <t>2010.4.26.</t>
  </si>
  <si>
    <t>2010.4.13.</t>
  </si>
  <si>
    <t>(500000+150000 월주차 4월분)</t>
  </si>
  <si>
    <t>월주차 4월분 150000 포함</t>
  </si>
  <si>
    <t>노무법인 율촌</t>
  </si>
  <si>
    <t>국민 782701-04-066172</t>
  </si>
  <si>
    <t>2010.4.20.</t>
  </si>
  <si>
    <t>두통학회 등록 (+ 보톡스 웍샵)</t>
  </si>
  <si>
    <t>2010.2.28</t>
  </si>
  <si>
    <t>2010.4.30.</t>
  </si>
  <si>
    <t>2010.4.27.</t>
  </si>
  <si>
    <t>SK chemical</t>
  </si>
  <si>
    <t>2010.4.28.</t>
  </si>
  <si>
    <t>2010.5.10.</t>
  </si>
  <si>
    <t>2010.5.9.</t>
  </si>
  <si>
    <t>커피 그라인더</t>
  </si>
  <si>
    <t>2010.5.12.</t>
  </si>
  <si>
    <t>(500000+150000 월주차 5월분)</t>
  </si>
  <si>
    <t>2010.5.14.</t>
  </si>
  <si>
    <t>2010.5.18.</t>
  </si>
  <si>
    <t>2010.5.25.</t>
  </si>
  <si>
    <t>2010.5.26.</t>
  </si>
  <si>
    <t>2010.5.16.</t>
  </si>
  <si>
    <t>2010.5.28.</t>
  </si>
  <si>
    <t>종합소득세 - 1/2분납</t>
  </si>
  <si>
    <t>지방소득세(소득세분) - 1/2분납</t>
  </si>
  <si>
    <t>2010.5.27</t>
  </si>
  <si>
    <t>2010.5.31.</t>
  </si>
  <si>
    <t>조정료</t>
  </si>
  <si>
    <t>2010.6.9.</t>
  </si>
  <si>
    <t>2010.6.11.</t>
  </si>
  <si>
    <t>(300000+150000 월주차 6월분)</t>
  </si>
  <si>
    <t>2010.6.14.</t>
  </si>
  <si>
    <t>2010.6.18.</t>
  </si>
  <si>
    <t>2010.6.25.</t>
  </si>
  <si>
    <t>2010.6.20.</t>
  </si>
  <si>
    <t>수연 보수교육</t>
  </si>
  <si>
    <t>2010.6.21.</t>
  </si>
  <si>
    <t>자동차세</t>
  </si>
  <si>
    <t xml:space="preserve">SK 케미칼 </t>
  </si>
  <si>
    <t>2010.6.30.</t>
  </si>
  <si>
    <t>2010.6.29.</t>
  </si>
  <si>
    <t>보령</t>
  </si>
  <si>
    <t>2010.7.1.</t>
  </si>
  <si>
    <t>신한 140 005 642990 영우메디텍 (2/16매입분)</t>
  </si>
  <si>
    <t>삼성컴퓨터 그래픽카드 서비스</t>
  </si>
  <si>
    <t>2010.7.9.</t>
  </si>
  <si>
    <t>2010.7..</t>
  </si>
  <si>
    <t>(450000+150000 월주차 7월분)</t>
  </si>
  <si>
    <t>2010.7.14.</t>
  </si>
  <si>
    <t>2010.7.15.</t>
  </si>
  <si>
    <t>2010.7.23.</t>
  </si>
  <si>
    <t>2010.7.26.</t>
  </si>
  <si>
    <t>2010.7.8.</t>
  </si>
  <si>
    <t>2010.7.10.</t>
  </si>
  <si>
    <t>2010.7.20.</t>
  </si>
  <si>
    <t>2010.7.27.</t>
  </si>
  <si>
    <t>종합소득세분납</t>
  </si>
  <si>
    <t>2010.7.30.</t>
  </si>
  <si>
    <t>삼성카드</t>
  </si>
  <si>
    <t>2010.8.10.</t>
  </si>
  <si>
    <t>89000+가산세</t>
  </si>
  <si>
    <t>2010.8.13.</t>
  </si>
  <si>
    <t>2010.8.18.</t>
  </si>
  <si>
    <t>2010.8.25.</t>
  </si>
  <si>
    <t>2010.8.26.</t>
  </si>
  <si>
    <t>2010.8.11.</t>
  </si>
  <si>
    <t>(550000+150000 월주차 8월분)</t>
  </si>
  <si>
    <t>2010.8.17.</t>
  </si>
  <si>
    <t>2010.8.21.</t>
  </si>
  <si>
    <t>주민세(사업자)</t>
  </si>
  <si>
    <t>2010.8.31.</t>
  </si>
  <si>
    <t>2010.9.9.</t>
  </si>
  <si>
    <t>국민은행 644837 04 000208 김영순(동아빌딩)</t>
  </si>
  <si>
    <t>2010.9.14.</t>
  </si>
  <si>
    <t>2010.9.17.</t>
  </si>
  <si>
    <t>2010.9.20.</t>
  </si>
  <si>
    <t>2010.9.11.</t>
  </si>
  <si>
    <t>(500000+150000 월주차 9월분)</t>
  </si>
  <si>
    <t>2010.9.25.</t>
  </si>
  <si>
    <t>2010.9.30.</t>
  </si>
  <si>
    <t>2010.9.28.</t>
  </si>
  <si>
    <t>2010.10.11.</t>
  </si>
  <si>
    <t>교통개선부담금, 환경부담금 2010년 9월</t>
  </si>
  <si>
    <t>2010.10.9.</t>
  </si>
  <si>
    <t>2010.10.14.</t>
  </si>
  <si>
    <t>2010.10.18.</t>
  </si>
  <si>
    <t>2010.10.25.</t>
  </si>
  <si>
    <t>2010.10.26.</t>
  </si>
  <si>
    <t>2010.10.19.</t>
  </si>
  <si>
    <t>잔고 516980</t>
  </si>
  <si>
    <t>잘해드림, 봉투명함</t>
  </si>
  <si>
    <t>국민 084210621651</t>
  </si>
  <si>
    <t>2010.10.31</t>
  </si>
  <si>
    <t>(400000+150000 월주차10월분)</t>
  </si>
  <si>
    <t>2010.11.9.</t>
  </si>
  <si>
    <t>한국일보</t>
  </si>
  <si>
    <t>2010.11.13.</t>
  </si>
  <si>
    <t>2010.11.18.</t>
  </si>
  <si>
    <t>2010.11.25.</t>
  </si>
  <si>
    <t>2010.11.26.</t>
  </si>
  <si>
    <t>2010.11.13</t>
  </si>
  <si>
    <t>유정인퇴직금</t>
  </si>
  <si>
    <t>2010.11.15.</t>
  </si>
  <si>
    <t>(350000+150000 월주차11월분)</t>
  </si>
  <si>
    <t>2010.11.22.</t>
  </si>
  <si>
    <t>2010.11.23.</t>
  </si>
  <si>
    <t>하이전구/삼성카드결제</t>
  </si>
  <si>
    <t>2010.11.28.</t>
  </si>
  <si>
    <t>2010.11.30</t>
  </si>
  <si>
    <t>2010.12.2.</t>
  </si>
  <si>
    <t>중소기업 211 030035 04 019</t>
  </si>
  <si>
    <t>계림</t>
  </si>
  <si>
    <t>TCD 수리 우리은행 최승용 1005 601 186410</t>
  </si>
  <si>
    <t>2010.12.7.</t>
  </si>
  <si>
    <t>2010.12.9.</t>
  </si>
  <si>
    <t>349401-04-196346 김영순(동아빌딩)</t>
  </si>
  <si>
    <t>2010.12.10.</t>
  </si>
  <si>
    <t>2010.12.14.</t>
  </si>
  <si>
    <t xml:space="preserve">홈피연장 </t>
  </si>
  <si>
    <t>기업 167-094898-01-015 유현</t>
  </si>
  <si>
    <t>2010.12.16.</t>
  </si>
  <si>
    <t>(400000+150000 월주차12월분)</t>
  </si>
  <si>
    <t>2010.12.17.</t>
  </si>
  <si>
    <t>2010.12.24.</t>
  </si>
  <si>
    <t>2010.12.22.</t>
  </si>
  <si>
    <t>하나 164 910012 90504 한미 (잔고 517880)</t>
  </si>
  <si>
    <t>2010.12.27.</t>
  </si>
  <si>
    <t xml:space="preserve">위드메드(nCPAP) </t>
  </si>
  <si>
    <t>중소기업은행 1644 7713 00 (121.5+90*3)</t>
  </si>
  <si>
    <t>2010.12.29.</t>
  </si>
  <si>
    <t>2010.12.31.</t>
  </si>
  <si>
    <t>2010.1.10.</t>
  </si>
  <si>
    <t>2011.1.11.</t>
  </si>
  <si>
    <t>납기후</t>
  </si>
  <si>
    <t>2011.1.13.</t>
  </si>
  <si>
    <t>(400000+150000 월주차1월분)</t>
  </si>
  <si>
    <t>2011.1.14.</t>
  </si>
  <si>
    <t>2011.1.18.</t>
  </si>
  <si>
    <t>2011.1.25.</t>
  </si>
  <si>
    <t>2011.1.26.</t>
  </si>
  <si>
    <t>등록면허세(면허분)</t>
  </si>
  <si>
    <t>2011.1.31.</t>
  </si>
  <si>
    <t>2011.2.10.</t>
  </si>
  <si>
    <t>2011.2.9.</t>
  </si>
  <si>
    <t>뉴로포스(electrode)</t>
  </si>
  <si>
    <t>외환은행 611 018346 701</t>
  </si>
  <si>
    <t>2011.2.14.</t>
  </si>
  <si>
    <t>2011.2.18.</t>
  </si>
  <si>
    <t>2011.2.25.</t>
  </si>
  <si>
    <t>2011.2.16.</t>
  </si>
  <si>
    <t>(350000+150000 월주차2월분)</t>
  </si>
  <si>
    <t>2011.2.28.</t>
  </si>
  <si>
    <t>민경미 퇴직금정산</t>
  </si>
  <si>
    <t>3Yr. gift</t>
  </si>
  <si>
    <t>3+2+2+1+1</t>
  </si>
  <si>
    <t>2011.2.23.</t>
  </si>
  <si>
    <t>2011.3.8.</t>
  </si>
  <si>
    <t>직원제복(해피사)</t>
  </si>
  <si>
    <t>국민 486401-04-009514</t>
  </si>
  <si>
    <t>직원제복(올웨이즈)</t>
  </si>
  <si>
    <t>국민 650737-01-001199</t>
  </si>
  <si>
    <t>2011.3.9.</t>
  </si>
  <si>
    <t>2011.3.10.</t>
  </si>
  <si>
    <t>건보/연금/산재/고용</t>
  </si>
  <si>
    <t>산재체납</t>
  </si>
  <si>
    <t>고용체납</t>
  </si>
  <si>
    <t>2011.3.14.</t>
  </si>
  <si>
    <t>2011.3.18.</t>
  </si>
  <si>
    <t>2011.3.25.</t>
  </si>
  <si>
    <t>(400000+150000 월주차3월분)</t>
  </si>
  <si>
    <t>2011.3.24.</t>
  </si>
  <si>
    <t>토너</t>
  </si>
  <si>
    <t>신한 140 005 642990 영우메디텍 (6/29매입분)</t>
  </si>
  <si>
    <t>2011.3.28.</t>
  </si>
  <si>
    <t>2011.3.31</t>
  </si>
  <si>
    <t>이정은 급여</t>
  </si>
  <si>
    <t>(369354+55980)</t>
  </si>
  <si>
    <t>이정은 퇴직금 정산</t>
  </si>
  <si>
    <t>(1620773-44370)</t>
  </si>
  <si>
    <t>2011.4.9.</t>
  </si>
  <si>
    <t>349401-04-196346 김영순(동아빌딩), 환경금포함</t>
  </si>
  <si>
    <t>2011.4.7.</t>
  </si>
  <si>
    <t>프린터</t>
  </si>
  <si>
    <t>11번가</t>
  </si>
  <si>
    <t>2011.4.14.</t>
  </si>
  <si>
    <t>2011.4.18.</t>
  </si>
  <si>
    <t>2011.4.25.</t>
  </si>
  <si>
    <t>2011.4.29.</t>
  </si>
  <si>
    <t>한아라</t>
  </si>
  <si>
    <t>2011.4.10.</t>
  </si>
  <si>
    <t>신개협등록/연회비2010,2011</t>
  </si>
  <si>
    <t>2011.4.11.</t>
  </si>
  <si>
    <t>통합사회보험</t>
  </si>
  <si>
    <t>2011.4.13.</t>
  </si>
  <si>
    <t>토너(SCX6322DN, HP LJ1100)</t>
  </si>
  <si>
    <t>(400000+150000 월주차4월분)</t>
  </si>
  <si>
    <t>홈플러스</t>
  </si>
  <si>
    <t>정주영 휴가 수당(2일치)</t>
  </si>
  <si>
    <t>현금</t>
  </si>
  <si>
    <t>2011.5.9.</t>
  </si>
  <si>
    <t>2011.5.13.</t>
  </si>
  <si>
    <t>2011.5.18.</t>
  </si>
  <si>
    <t>2011.5.25.</t>
  </si>
  <si>
    <t>2011.6.1.</t>
  </si>
  <si>
    <t>2011.5.12.</t>
  </si>
  <si>
    <t>(600000+150000 월주차5월분)</t>
  </si>
  <si>
    <t>2011.5.31.</t>
  </si>
  <si>
    <t>2011.5.30.</t>
  </si>
  <si>
    <t>2010 소득세</t>
  </si>
  <si>
    <t>농특세</t>
  </si>
  <si>
    <t>지방소득세 종합소득분</t>
  </si>
  <si>
    <t>2011.6.9.</t>
  </si>
  <si>
    <t>2011.6.10.</t>
  </si>
  <si>
    <t>임대료/관리비/주차비</t>
  </si>
  <si>
    <t>하나 101-910012-67104(월주차6월분)</t>
  </si>
  <si>
    <t>KT 전화요금(201104)</t>
  </si>
  <si>
    <t>KT 전화요금(201105)</t>
  </si>
  <si>
    <t>2011.6.14.</t>
  </si>
  <si>
    <t>2011.6.17.</t>
  </si>
  <si>
    <t>2011.6.24.</t>
  </si>
  <si>
    <t>2011.7.1.</t>
  </si>
  <si>
    <t>2011.6.27.</t>
  </si>
  <si>
    <t>소프트웨어구입(한컴오피스*2,V3*5)</t>
  </si>
  <si>
    <t>VAT 포함</t>
  </si>
  <si>
    <t>2011.6.28.</t>
  </si>
  <si>
    <t>KT 전화요금(201106)</t>
  </si>
  <si>
    <t>2011.6.30.</t>
  </si>
  <si>
    <t>원래 116792(5월에 6000원 더 이체)</t>
  </si>
  <si>
    <t>2011.7.4.</t>
  </si>
  <si>
    <t>하나 101-910012-67104  (월주차7월분)</t>
  </si>
  <si>
    <t>뉴로포스(전극)</t>
  </si>
  <si>
    <t>외환 611-018346-701 뉴로포스</t>
  </si>
  <si>
    <t>2011.7.6.</t>
  </si>
  <si>
    <t>2011.7.18.</t>
  </si>
  <si>
    <t>하나 101-910012-67104</t>
  </si>
  <si>
    <t>2011.7.14.</t>
  </si>
  <si>
    <t>2011.7.25.</t>
  </si>
  <si>
    <t>2011.8.1.</t>
  </si>
  <si>
    <t>2011.7.19.</t>
  </si>
  <si>
    <t>기업은행 16709489801015 유현</t>
  </si>
  <si>
    <t>샤워기+수고비</t>
  </si>
  <si>
    <t>75000&amp;20000</t>
  </si>
  <si>
    <t>2011.7.31.</t>
  </si>
  <si>
    <t>임대+관리+주차</t>
  </si>
  <si>
    <t>월주차 8월분</t>
  </si>
  <si>
    <t>2011.7.27.</t>
  </si>
  <si>
    <t>KT 전화요금(201107)</t>
  </si>
  <si>
    <t>2011.7.29.</t>
  </si>
  <si>
    <t>Citi Card</t>
  </si>
  <si>
    <t>이마트몰/씨티카드</t>
  </si>
  <si>
    <t>11번가/씨티카드</t>
  </si>
  <si>
    <t>2011.8.8.</t>
  </si>
  <si>
    <t>2011.8.10.</t>
  </si>
  <si>
    <t>2011.8.12.</t>
  </si>
  <si>
    <t>2011.8.18.</t>
  </si>
  <si>
    <t>2011.8.25.</t>
  </si>
  <si>
    <t>2011.9.1.</t>
  </si>
  <si>
    <t>2011.8.23.</t>
  </si>
  <si>
    <t>레시스 홈피수정</t>
  </si>
  <si>
    <t>기업은행 167-094898-01-015 유현</t>
  </si>
  <si>
    <t>2011.8.31.</t>
  </si>
  <si>
    <t>2011.8.26.</t>
  </si>
  <si>
    <t>신사동 주민세</t>
  </si>
  <si>
    <t>한국일보 신사</t>
  </si>
  <si>
    <t>2011.9.5.</t>
  </si>
  <si>
    <t>월주차 당월분</t>
  </si>
  <si>
    <t>2011.9.7.</t>
  </si>
  <si>
    <t>레시스 홈피 annual fee(매년12월)</t>
  </si>
  <si>
    <t>2011.9.9.</t>
  </si>
  <si>
    <t>2011.9.16.</t>
  </si>
  <si>
    <t>2011.9.23.</t>
  </si>
  <si>
    <t>2011.9.30.</t>
  </si>
  <si>
    <t>2011.9.8.</t>
  </si>
  <si>
    <t>2011.9.14.</t>
  </si>
  <si>
    <t>잉크할인마트 HP LJ P1102</t>
  </si>
  <si>
    <t>주민세(신사동건물)</t>
  </si>
  <si>
    <t>2011.9.27.</t>
  </si>
  <si>
    <t>2011.9.28.</t>
  </si>
  <si>
    <t>잔액 243050</t>
  </si>
  <si>
    <t>홈플러스인터넷쇼핑몰</t>
  </si>
  <si>
    <t>2011.9.29.</t>
  </si>
  <si>
    <t>2011.10.7.</t>
  </si>
  <si>
    <t>2011.10.14.</t>
  </si>
  <si>
    <t>2011.10.18.</t>
  </si>
  <si>
    <t>2011.10.25.</t>
  </si>
  <si>
    <t>2011.11.1.</t>
  </si>
  <si>
    <t>2011.10.17.</t>
  </si>
  <si>
    <t>신경과 동문회비</t>
  </si>
  <si>
    <t>2011.10.20.</t>
  </si>
  <si>
    <t>2011.10.31.</t>
  </si>
  <si>
    <t>2011.10.25</t>
  </si>
  <si>
    <t>2011.11.4.</t>
  </si>
  <si>
    <t>2011.11.9.</t>
  </si>
  <si>
    <t>전자납부번호 5701 8587 046 01</t>
  </si>
  <si>
    <t>2011.11.14.</t>
  </si>
  <si>
    <t>유정인 퇴직금 정산</t>
  </si>
  <si>
    <t>2011.11.18.</t>
  </si>
  <si>
    <t>2011.11.25.</t>
  </si>
  <si>
    <t>2011.12.1.</t>
  </si>
  <si>
    <t>2011.11.22.</t>
  </si>
  <si>
    <t>2011.11.24.</t>
  </si>
  <si>
    <t>종합소득세 중간예납</t>
  </si>
  <si>
    <t>2011.11.29.</t>
  </si>
  <si>
    <t>한국일보신사</t>
  </si>
  <si>
    <t>KT 신사동</t>
  </si>
  <si>
    <t>병원홍보팜플렛</t>
  </si>
  <si>
    <t>국민 이재권 084-21-0621651</t>
  </si>
  <si>
    <t>2011.11.30.</t>
  </si>
  <si>
    <t>2011.12.14.</t>
  </si>
  <si>
    <t>2011.12.16.</t>
  </si>
  <si>
    <t>2011.12.23.</t>
  </si>
  <si>
    <t>2011.12.30.</t>
  </si>
  <si>
    <t>2011.12.8.</t>
  </si>
  <si>
    <t>2011.12.12</t>
  </si>
  <si>
    <t>기업 211-030035-04-019 광원메디칼</t>
  </si>
  <si>
    <t>민경미 퇴직금</t>
  </si>
  <si>
    <t>2011.12.22.</t>
  </si>
  <si>
    <t>유정인 인상분 누락 차액지급</t>
  </si>
  <si>
    <t>(1657690-1601073)</t>
  </si>
  <si>
    <t>뉴로포스 전극</t>
  </si>
  <si>
    <t>외환 611-018346-701 주식회사뉴로포스</t>
  </si>
  <si>
    <t>2011.12.26.</t>
  </si>
  <si>
    <t>2011.12.28.</t>
  </si>
  <si>
    <t>2012.1.9.</t>
  </si>
  <si>
    <t>2012.1.13.</t>
  </si>
  <si>
    <t>2012.1.18.</t>
  </si>
  <si>
    <t>2012.1.20.</t>
  </si>
  <si>
    <t>2012.2.1.</t>
  </si>
  <si>
    <t>2012.1.16.</t>
  </si>
  <si>
    <t>윤혜연 수당</t>
  </si>
  <si>
    <t>2012.1.31.</t>
  </si>
  <si>
    <t>2012.1.25.</t>
  </si>
  <si>
    <t>2012.1.27.</t>
  </si>
  <si>
    <t>등록면허세</t>
  </si>
  <si>
    <t>2012.1.30.</t>
  </si>
  <si>
    <t>2012.2.14.</t>
  </si>
  <si>
    <t>2012.2.17.</t>
  </si>
  <si>
    <t>2012.2.24.</t>
  </si>
  <si>
    <t>2012.2.29.</t>
  </si>
  <si>
    <t>2012.2.8.</t>
  </si>
  <si>
    <t>2012.2.14</t>
  </si>
  <si>
    <t>윤혜연 퇴직금 정산</t>
  </si>
  <si>
    <t>정주영 퇴직금 정산</t>
  </si>
  <si>
    <t>2012.2.20.</t>
  </si>
  <si>
    <t>2012.2.23.</t>
  </si>
  <si>
    <t>직원제복 올웨이즈</t>
  </si>
  <si>
    <t>2012.2.27.</t>
  </si>
  <si>
    <t>2012.3.10.</t>
  </si>
  <si>
    <t>2012.3.14.</t>
  </si>
  <si>
    <t>(1777300+65780)</t>
  </si>
  <si>
    <t>2012.3.16.</t>
  </si>
  <si>
    <t>(1768600+166440)</t>
  </si>
  <si>
    <t>2012.3.23.</t>
  </si>
  <si>
    <t>(1954630+190880)</t>
  </si>
  <si>
    <t>2012.3.30.</t>
  </si>
  <si>
    <t>(1585680+82900)</t>
  </si>
  <si>
    <t>2012.3.7.</t>
  </si>
  <si>
    <t>잔액 441580 (한미메디.하나 164 910012 90504)</t>
  </si>
  <si>
    <t>2012.3.24.</t>
  </si>
  <si>
    <t>2012.3.26.</t>
  </si>
  <si>
    <t>두통학회 등록</t>
  </si>
  <si>
    <t>2012.3.27.</t>
  </si>
  <si>
    <t>2012.4.9.</t>
  </si>
  <si>
    <t>2012.4.8.</t>
  </si>
  <si>
    <t>2012.4.10</t>
  </si>
  <si>
    <t>정보경</t>
  </si>
  <si>
    <t>2012.4.13.</t>
  </si>
  <si>
    <t>2012.4.18.</t>
  </si>
  <si>
    <t>2012.4.25.</t>
  </si>
  <si>
    <t>2012.5.1.</t>
  </si>
  <si>
    <t>2012.4.19.</t>
  </si>
  <si>
    <t>2012.4.23.</t>
  </si>
  <si>
    <t>2012.4.30.</t>
  </si>
  <si>
    <t>2012.4.26.</t>
  </si>
  <si>
    <t>2012.5.2.</t>
  </si>
  <si>
    <t>2012.5.7.</t>
  </si>
  <si>
    <t>2012.5.8.</t>
  </si>
  <si>
    <t>2012.5.14.</t>
  </si>
  <si>
    <t>2012.5.16.</t>
  </si>
  <si>
    <t>이세영</t>
  </si>
  <si>
    <t>2012.5.18.</t>
  </si>
  <si>
    <t>2012.5.25.</t>
  </si>
  <si>
    <t>2012.6.1.</t>
  </si>
  <si>
    <t>2012.5.11.</t>
  </si>
  <si>
    <t>2012.5.17.</t>
  </si>
  <si>
    <t>올웨이즈 유니폼</t>
  </si>
  <si>
    <t>2012.5.22.</t>
  </si>
  <si>
    <t>2012.5.31.</t>
  </si>
  <si>
    <t>2012.5.29.</t>
  </si>
  <si>
    <t>잔액 291180 (한미메디.하나 164 910012 90504)</t>
  </si>
  <si>
    <t>세무회계 조정료</t>
  </si>
  <si>
    <t>지방소득세</t>
  </si>
  <si>
    <t>2012.5.30.</t>
  </si>
  <si>
    <t>2012.6.5.</t>
  </si>
  <si>
    <t>직원퇴직연금</t>
  </si>
  <si>
    <t>최초불입, 소급포함</t>
  </si>
  <si>
    <t>2012.6.9.</t>
  </si>
  <si>
    <t>2012.6.14.</t>
  </si>
  <si>
    <t>2012.6.15.</t>
  </si>
  <si>
    <t>2012.6.18.</t>
  </si>
  <si>
    <t>2012.6.25.</t>
  </si>
  <si>
    <t>2012.6.29.</t>
  </si>
  <si>
    <t>2012.6.22.</t>
  </si>
  <si>
    <t>2012.6.28.</t>
  </si>
  <si>
    <t>2012.6.30.</t>
  </si>
  <si>
    <t>2012.7.6.</t>
  </si>
  <si>
    <t>의협,시의사회비</t>
  </si>
  <si>
    <t>구의사회비 250000 기 납부</t>
  </si>
  <si>
    <t>2012.7.9.</t>
  </si>
  <si>
    <t>V3 백신 갱신</t>
  </si>
  <si>
    <t>2012.7.13.</t>
  </si>
  <si>
    <t>2012.7.16.</t>
  </si>
  <si>
    <t>2012.7.18.</t>
  </si>
  <si>
    <t>2012.7.25.</t>
  </si>
  <si>
    <t>2012.8.1.</t>
  </si>
  <si>
    <t>2012.7.31.</t>
  </si>
  <si>
    <t>2012.7.24.</t>
  </si>
  <si>
    <t>2012.8.9.</t>
  </si>
  <si>
    <t>2012.8.6.</t>
  </si>
  <si>
    <t>근전도 수리, 광원메디칼</t>
  </si>
  <si>
    <t>기업 211-030035-04-019</t>
  </si>
  <si>
    <t>2012.8.7.</t>
  </si>
  <si>
    <t>래시스 홈피 년회비, SSL 비용</t>
  </si>
  <si>
    <t>기업 167-094898-01-015 유 현 (13만+38500)</t>
  </si>
  <si>
    <t>2012.8.14.</t>
  </si>
  <si>
    <t>2012.8.16.</t>
  </si>
  <si>
    <t>2012.8.17.</t>
  </si>
  <si>
    <t>2012.8.24.</t>
  </si>
  <si>
    <t>2012.8.31.</t>
  </si>
  <si>
    <t>잘해드림, 명함봉투</t>
  </si>
  <si>
    <t>국민은행 084-21-0621-651 이재권</t>
  </si>
  <si>
    <t>2012.9.14.</t>
  </si>
  <si>
    <t>2012.9.18.</t>
  </si>
  <si>
    <t>2012.9.25.</t>
  </si>
  <si>
    <t>2012.9.28.</t>
  </si>
  <si>
    <t>2012.9.6.</t>
  </si>
  <si>
    <t>80050530-0001 한국투자증권 이일근</t>
  </si>
  <si>
    <t>2012.9.9.</t>
  </si>
  <si>
    <t>2012.9.26.</t>
  </si>
  <si>
    <t>하나 164-910012-90504</t>
  </si>
  <si>
    <t>2012.10.12.</t>
  </si>
  <si>
    <t>2012.10.16.</t>
  </si>
  <si>
    <t>2012.10.18.</t>
  </si>
  <si>
    <t>2012.10.25.</t>
  </si>
  <si>
    <t>2012.11.1.</t>
  </si>
  <si>
    <t>2012.10.8.</t>
  </si>
  <si>
    <t>2012.10.11.</t>
  </si>
  <si>
    <t>신경과학회비(2011.8만+2012.10만)</t>
  </si>
  <si>
    <t>2012.10.22.</t>
  </si>
  <si>
    <t>2012.10.31.</t>
  </si>
  <si>
    <t>2012.10.24.</t>
  </si>
  <si>
    <t>녹십자 뇌수막구균백신</t>
  </si>
  <si>
    <t>HP 근전도 컴퓨터 메인보드 교체</t>
  </si>
  <si>
    <t>2012.11.14.</t>
  </si>
  <si>
    <t>2012.11.16.</t>
  </si>
  <si>
    <t>2012.11.23.</t>
  </si>
  <si>
    <t>2012.11.30.</t>
  </si>
  <si>
    <t>2012.11.6.</t>
  </si>
  <si>
    <t>80050530-0001 한국투자증권 이일근 (3배수 월초)</t>
  </si>
  <si>
    <t>2012.11.8.</t>
  </si>
  <si>
    <t>2012.11.21.</t>
  </si>
  <si>
    <t>소득세예납</t>
  </si>
  <si>
    <t>외환 661-018346-701</t>
  </si>
  <si>
    <t>2012.11.22.</t>
  </si>
  <si>
    <t>2012.12.14.</t>
  </si>
  <si>
    <t>2012.12.18.</t>
  </si>
  <si>
    <t>2012.12.24.</t>
  </si>
  <si>
    <t>2012.12.31.</t>
  </si>
  <si>
    <t>2012.12.7.</t>
  </si>
  <si>
    <t>2012.12.12.</t>
  </si>
  <si>
    <t>직원퇴직연금(이세영)</t>
  </si>
  <si>
    <t>80050530-0001 한국투자증권 이일근 (3배수월 초)</t>
  </si>
  <si>
    <t>2012.12.20.</t>
  </si>
  <si>
    <t>2012.12.22.</t>
  </si>
  <si>
    <t>2012.12.23.</t>
  </si>
  <si>
    <t>2013.1.14.</t>
  </si>
  <si>
    <t>2013.1.16.</t>
  </si>
  <si>
    <t>2013.1.18.</t>
  </si>
  <si>
    <t>2013.1.25.</t>
  </si>
  <si>
    <t>2013.2.1.</t>
  </si>
  <si>
    <t>2013.1.4.</t>
  </si>
  <si>
    <t>병원물품/홈플러스</t>
  </si>
  <si>
    <t>2013.1.21.</t>
  </si>
  <si>
    <t>등록세</t>
  </si>
  <si>
    <t>2013.1.22.</t>
  </si>
  <si>
    <t>2013.1.31</t>
  </si>
  <si>
    <t>2013.1.24.</t>
  </si>
  <si>
    <t>2012.2.4.</t>
  </si>
  <si>
    <t>2013.2.14.</t>
  </si>
  <si>
    <t>2013.2.15.</t>
  </si>
  <si>
    <t>2013.2.18.</t>
  </si>
  <si>
    <t>2013.2.25.</t>
  </si>
  <si>
    <t>2013.2.28.</t>
  </si>
  <si>
    <t>2013.2.7.</t>
  </si>
  <si>
    <t>2013.2.20.</t>
  </si>
  <si>
    <t>2013.2.22.</t>
  </si>
  <si>
    <t>2013.2.27</t>
  </si>
  <si>
    <t>2013.2.27.</t>
  </si>
  <si>
    <t>기영약품</t>
  </si>
  <si>
    <t>씨티카드</t>
  </si>
  <si>
    <t>(2012년 정산 차액 지급 - 25일 일괄 지급)</t>
  </si>
  <si>
    <t>2013.3.14.</t>
  </si>
  <si>
    <t>2013.3.15.</t>
  </si>
  <si>
    <t>2013.3.18.</t>
  </si>
  <si>
    <t>2013.3.25.</t>
  </si>
  <si>
    <t>2013.4.1.</t>
  </si>
  <si>
    <t>2013.3.7.</t>
  </si>
  <si>
    <t>2013.3.8.</t>
  </si>
  <si>
    <t>래시스 홈피 1G</t>
  </si>
  <si>
    <t>2013.3.19.</t>
  </si>
  <si>
    <t>파인컬러 국민 083701-04-024547</t>
  </si>
  <si>
    <t>해피사 이철주 국민 486401-04-009514</t>
  </si>
  <si>
    <t>2013.3.20.</t>
  </si>
  <si>
    <t>2013.3.29.</t>
  </si>
  <si>
    <t>2013.3.23.</t>
  </si>
  <si>
    <t>노신의등록</t>
  </si>
  <si>
    <t>한미메디케어 이체</t>
  </si>
  <si>
    <t>2013.3.26.</t>
  </si>
  <si>
    <t>2013.3.27.</t>
  </si>
  <si>
    <t>2013.4.9.</t>
  </si>
  <si>
    <t>2013.4.11.</t>
  </si>
  <si>
    <t xml:space="preserve">병원물품 홈플러스 </t>
  </si>
  <si>
    <t>2013.4.12.</t>
  </si>
  <si>
    <t>바이오스페이스 혈압계 수리비</t>
  </si>
  <si>
    <t>우리 1005 601 020129</t>
  </si>
  <si>
    <t>2013.4.16.</t>
  </si>
  <si>
    <t>2013.4.18.</t>
  </si>
  <si>
    <t>2013.4.25.</t>
  </si>
  <si>
    <t>2013.5.1.</t>
  </si>
  <si>
    <t>2013.4.29.</t>
  </si>
  <si>
    <t>2013.4.30.</t>
  </si>
  <si>
    <t>의료소모품</t>
  </si>
  <si>
    <t>shop.co.kr</t>
  </si>
  <si>
    <t>2013.5.3.</t>
  </si>
  <si>
    <t>계림 T3000 계약금</t>
  </si>
  <si>
    <t>우리 1005 601 186410</t>
  </si>
  <si>
    <t>2013.5.14.</t>
  </si>
  <si>
    <t>2013.5.16.</t>
  </si>
  <si>
    <t>2013.5.24.</t>
  </si>
  <si>
    <t>2013.5.31.</t>
  </si>
  <si>
    <t>2013.5.7.</t>
  </si>
  <si>
    <t>2013.5.8.</t>
  </si>
  <si>
    <t>계림 T3000 중도금</t>
  </si>
  <si>
    <t>2013.5.29.</t>
  </si>
  <si>
    <t>소득세분(주민세)</t>
  </si>
  <si>
    <t>2013.5.30.</t>
  </si>
  <si>
    <t>보령 A형백신 결제</t>
  </si>
  <si>
    <t>2013.6.14.</t>
  </si>
  <si>
    <t>2013.6.18.</t>
  </si>
  <si>
    <t>2013.6.25.</t>
  </si>
  <si>
    <t>2013.7.1.</t>
  </si>
  <si>
    <t>2013.6.7.</t>
  </si>
  <si>
    <t>2013.6.8.</t>
  </si>
  <si>
    <t>계림 T3000 잔금</t>
  </si>
  <si>
    <t>2013.6.17.</t>
  </si>
  <si>
    <t>래시스 보안인증 연장비용</t>
  </si>
  <si>
    <t>유현 기업은행 167-094898-01-015</t>
  </si>
  <si>
    <t>2013.6.19.</t>
  </si>
  <si>
    <t>직원퇴직연금 수수료</t>
  </si>
  <si>
    <t>2013.6.27</t>
  </si>
  <si>
    <t>2013.6.29.</t>
  </si>
  <si>
    <t>2013.7.12.</t>
  </si>
  <si>
    <t>2013.7.16.</t>
  </si>
  <si>
    <t>2013.7.18.</t>
  </si>
  <si>
    <t>2013.7.25.</t>
  </si>
  <si>
    <t>2013.8.1.</t>
  </si>
  <si>
    <t>2013.7.8.</t>
  </si>
  <si>
    <t>2013.7.9.</t>
  </si>
  <si>
    <t>V3 백신 갱신 (2년)</t>
  </si>
  <si>
    <t>2013.7.10.</t>
  </si>
  <si>
    <t>병원물품 홈플러스</t>
  </si>
  <si>
    <t>래시스 홈피 호스팅 비용</t>
  </si>
  <si>
    <t xml:space="preserve">기업 167-094898-01-015 유 현 </t>
  </si>
  <si>
    <t>2013.7.19.</t>
  </si>
  <si>
    <t>2013.7.31</t>
  </si>
  <si>
    <t>2013.7.22.</t>
  </si>
  <si>
    <t>뇌파업그레이드</t>
  </si>
  <si>
    <t>기업은행 광원 이체</t>
  </si>
  <si>
    <t>주민세재산분(사업소세, 356m2)</t>
  </si>
  <si>
    <t>etax.seoul.go.kr /지로</t>
  </si>
  <si>
    <t>2013.7.23.</t>
  </si>
  <si>
    <t>2013.8.14.</t>
  </si>
  <si>
    <t>2013.8.16.</t>
  </si>
  <si>
    <t>2013.8.23.</t>
  </si>
  <si>
    <t>2013.8.28.</t>
  </si>
  <si>
    <t>사회보험료체납분</t>
  </si>
  <si>
    <t>2013.8.30.</t>
  </si>
  <si>
    <t>2013.9.13.</t>
  </si>
  <si>
    <t>2013.9.16.</t>
  </si>
  <si>
    <t>2013.9.17.</t>
  </si>
  <si>
    <t>2013.9.25.</t>
  </si>
  <si>
    <t>2013.10.1.</t>
  </si>
  <si>
    <t>2013.9.6.</t>
  </si>
  <si>
    <t>2013.9.9.</t>
  </si>
  <si>
    <t>2013.9.24.</t>
  </si>
  <si>
    <t>2013.9.30.</t>
  </si>
  <si>
    <t>2013.10.14.</t>
  </si>
  <si>
    <t>2013.10.16.</t>
  </si>
  <si>
    <t>2013.10.18.</t>
  </si>
  <si>
    <t>2013.10.25.</t>
  </si>
  <si>
    <t>2013.11.1.</t>
  </si>
  <si>
    <t>2013.10.22.</t>
  </si>
  <si>
    <t>2013.10.31.</t>
  </si>
  <si>
    <t>2013.11.5.</t>
  </si>
  <si>
    <t>2013.11.14.</t>
  </si>
  <si>
    <t>2013.11.15.</t>
  </si>
  <si>
    <t>2013.11.18.</t>
  </si>
  <si>
    <t>2013.11.25</t>
  </si>
  <si>
    <t>2013.11.29.</t>
  </si>
  <si>
    <t>2013.11.20.</t>
  </si>
  <si>
    <t>2013.11.26.</t>
  </si>
  <si>
    <t>2013.11.30.</t>
  </si>
  <si>
    <t>2013.11.27.</t>
  </si>
  <si>
    <t>2013.12.9.</t>
  </si>
  <si>
    <t>2013.12.13.</t>
  </si>
  <si>
    <t>2013.12.16.</t>
  </si>
  <si>
    <t>2013.12.18.</t>
  </si>
  <si>
    <t>2013.12.24.</t>
  </si>
  <si>
    <t>2013.12.31.</t>
  </si>
  <si>
    <t>2013.12.27.</t>
  </si>
  <si>
    <t>2013..12.27.</t>
  </si>
  <si>
    <t>2014.1.8.</t>
  </si>
  <si>
    <t>2014.1.14.</t>
  </si>
  <si>
    <t>2014.1.16.</t>
  </si>
  <si>
    <t>2014.1.17.</t>
  </si>
  <si>
    <t>2014.1.24.</t>
  </si>
  <si>
    <t>2014.1.31.</t>
  </si>
  <si>
    <t>2014.1.21.</t>
  </si>
  <si>
    <t>2014.1.29.</t>
  </si>
  <si>
    <t>2014.1.28.</t>
  </si>
  <si>
    <t>2014.2.3.</t>
  </si>
  <si>
    <t>래시스호스팅메인/추가/보안</t>
  </si>
  <si>
    <t>330000/yr</t>
  </si>
  <si>
    <t>2014.2.6.</t>
  </si>
  <si>
    <t>래시스호스팅메인/추가/보안 - 부가세</t>
  </si>
  <si>
    <t>2014.2.7.</t>
  </si>
  <si>
    <t>2014.2.14.</t>
  </si>
  <si>
    <t>2014.2.18.</t>
  </si>
  <si>
    <t>2014.2.25.</t>
  </si>
  <si>
    <t>2014.2.28.</t>
  </si>
  <si>
    <t>2014.2.24.</t>
  </si>
  <si>
    <t>2014.3.7.</t>
  </si>
  <si>
    <t>2014.3.14.</t>
  </si>
  <si>
    <t>2014.3.18.</t>
  </si>
  <si>
    <t>2014.3.25.</t>
  </si>
  <si>
    <t>2014.4.1.</t>
  </si>
  <si>
    <t>2014.3.20.</t>
  </si>
  <si>
    <t>병원 제복</t>
  </si>
  <si>
    <t>(주)올웨이즈 국민은행 650737-01-001199</t>
  </si>
  <si>
    <t>2014.3.24.</t>
  </si>
  <si>
    <t>2014.3.31.</t>
  </si>
  <si>
    <t>2014.4.7.</t>
  </si>
  <si>
    <t>2014.4.14.</t>
  </si>
  <si>
    <t>2014.4.16.</t>
  </si>
  <si>
    <t>2014.4.18.</t>
  </si>
  <si>
    <t>2014.4.25.</t>
  </si>
  <si>
    <t>2014.5.1.</t>
  </si>
  <si>
    <t>2014.4.22.</t>
  </si>
  <si>
    <t>2014.4.30.</t>
  </si>
  <si>
    <t>신경과의사회비.2012~2014</t>
  </si>
  <si>
    <t>신의회 학술대회비</t>
  </si>
  <si>
    <t>2014.4.28.</t>
  </si>
  <si>
    <t>2014.5.8.</t>
  </si>
  <si>
    <t>2014.5.14.</t>
  </si>
  <si>
    <t>2014.5.16.</t>
  </si>
  <si>
    <t>2014.5.23.</t>
  </si>
  <si>
    <t>2014.5.30.</t>
  </si>
  <si>
    <t xml:space="preserve">2014.5.24. </t>
  </si>
  <si>
    <t>광원. 젤리</t>
  </si>
  <si>
    <t>2014.5.28.</t>
  </si>
  <si>
    <t>2014.5.29.</t>
  </si>
  <si>
    <t>2014.6.8.</t>
  </si>
  <si>
    <t>2014.6.13.</t>
  </si>
  <si>
    <t>2014.6.16.</t>
  </si>
  <si>
    <t>2014.6.18.</t>
  </si>
  <si>
    <t>2014.6.25.</t>
  </si>
  <si>
    <t>2014.7.1.</t>
  </si>
  <si>
    <t>2014.6.23.</t>
  </si>
  <si>
    <t>유정인 결혼축의금</t>
  </si>
  <si>
    <t>2014.6.30.</t>
  </si>
  <si>
    <t>주차 258000+150000</t>
  </si>
  <si>
    <t>2014.7.4.</t>
  </si>
  <si>
    <t>2014.7.14.</t>
  </si>
  <si>
    <t>2014.7.16.</t>
  </si>
  <si>
    <t>2014.7.18.</t>
  </si>
  <si>
    <t>2014.7.25.</t>
  </si>
  <si>
    <t>2014.8.1.</t>
  </si>
  <si>
    <t>2014.7.17.</t>
  </si>
  <si>
    <t>래시스 홈피 연비용 선납</t>
  </si>
  <si>
    <t>새마을금고 9002-1420-8874-8 유석철</t>
  </si>
  <si>
    <t>2014.7.23.</t>
  </si>
  <si>
    <t>etax.seoul.go.kr /지로 356*250=89000</t>
  </si>
  <si>
    <t>주차 288000</t>
  </si>
  <si>
    <t>2014.7.29.</t>
  </si>
  <si>
    <t>광원.완납</t>
  </si>
  <si>
    <t>2014.8.2.</t>
  </si>
  <si>
    <t>국민 097601-04-204511 서창희</t>
  </si>
  <si>
    <t>주차는 후불, 원장주차는 선불</t>
  </si>
  <si>
    <t>2014.8.14.</t>
  </si>
  <si>
    <t>2014.8.18.</t>
  </si>
  <si>
    <t>2014.8.25.</t>
  </si>
  <si>
    <t>2014.9.1.</t>
  </si>
  <si>
    <t>2014.8.8.</t>
  </si>
  <si>
    <t>80050530-0001 한국투자증권 이일근 (연 수수료)</t>
  </si>
  <si>
    <t>2014.8.13.</t>
  </si>
  <si>
    <t>2014.8.29.</t>
  </si>
  <si>
    <t>임대+관리</t>
  </si>
  <si>
    <t>2014.9.6.</t>
  </si>
  <si>
    <t>주차정산</t>
  </si>
  <si>
    <t>국민은행 097601-04-204511 서창희</t>
  </si>
  <si>
    <t>2014.9.12.</t>
  </si>
  <si>
    <t>2014.9.16.</t>
  </si>
  <si>
    <t>2014.9.18.</t>
  </si>
  <si>
    <t>2014.9.25.</t>
  </si>
  <si>
    <t>2014.10.1.</t>
  </si>
  <si>
    <t>homplus.co.kr</t>
  </si>
  <si>
    <t>2014.9.19.</t>
  </si>
  <si>
    <t>2014.9.22.</t>
  </si>
  <si>
    <t>초과근무수당.정주영(8/22~9/21,23일간)</t>
  </si>
  <si>
    <t>초과근무수당.한아라</t>
  </si>
  <si>
    <t>2014.9.24.</t>
  </si>
  <si>
    <t>2014.9.30.</t>
  </si>
  <si>
    <t>2014.10.14.</t>
  </si>
  <si>
    <t>2014.10.16.</t>
  </si>
  <si>
    <t>2014.10.17.</t>
  </si>
  <si>
    <t>2014.10.24.</t>
  </si>
  <si>
    <t>2014.10.31.</t>
  </si>
  <si>
    <t>2014.10.23.</t>
  </si>
  <si>
    <t>초과근무.정주영(9/22~10/21,19일간)</t>
  </si>
  <si>
    <t>26000(*21)</t>
  </si>
  <si>
    <t>25000(*21)</t>
  </si>
  <si>
    <t>초과근무수당.이세영</t>
  </si>
  <si>
    <t>27000(*21)</t>
  </si>
  <si>
    <t>윤혜연.출산축하</t>
  </si>
  <si>
    <t>유정인.출산축하</t>
  </si>
  <si>
    <t>2014년 10월 1일부터 근무</t>
  </si>
  <si>
    <t>2014.11.6.</t>
  </si>
  <si>
    <t>2014.11.14.</t>
  </si>
  <si>
    <t>2014.11.18.</t>
  </si>
  <si>
    <t>2014.11.25.</t>
  </si>
  <si>
    <t>2014.12.1.</t>
  </si>
  <si>
    <t>2014.11.22.</t>
  </si>
  <si>
    <t>초과근무.정주영(10/22~11/19,25일간)</t>
  </si>
  <si>
    <t>26000(*27)</t>
  </si>
  <si>
    <t>25000(*27)</t>
  </si>
  <si>
    <t>초과근무수당.이세영(~11/21,27일간)</t>
  </si>
  <si>
    <t>27000(*29)</t>
  </si>
  <si>
    <t>2014.11.24.</t>
  </si>
  <si>
    <t>2014.11.29.</t>
  </si>
  <si>
    <t>2014.12.3.</t>
  </si>
  <si>
    <t>2014.12.5.</t>
  </si>
  <si>
    <t>2014.12.8.</t>
  </si>
  <si>
    <t>2014.12.12.</t>
  </si>
  <si>
    <t>2014.12.16.</t>
  </si>
  <si>
    <t>2014.12.18.</t>
  </si>
  <si>
    <t>2014.12.24.</t>
  </si>
  <si>
    <t>2014.12.31.</t>
  </si>
  <si>
    <t>2014.12.19.</t>
  </si>
  <si>
    <t>2014.12.22.</t>
  </si>
  <si>
    <t>초과근무수당.이세영(~12/21,24일간)</t>
  </si>
  <si>
    <t>27000(*26)</t>
  </si>
  <si>
    <t>2014.12.23.</t>
  </si>
  <si>
    <t>2015.1.6.</t>
  </si>
  <si>
    <t>2015.1.14.</t>
  </si>
  <si>
    <t>2015.1.16.</t>
  </si>
  <si>
    <t>2015.1.23.</t>
  </si>
  <si>
    <t>2015.1.30.</t>
  </si>
  <si>
    <t>KT 신사동(2014.12월분)</t>
  </si>
  <si>
    <t>2015.1.27.</t>
  </si>
  <si>
    <t>2015.1.29.</t>
  </si>
  <si>
    <t>2015.2.13.</t>
  </si>
  <si>
    <t>2015.2.16.</t>
  </si>
  <si>
    <t>2015.2.17.</t>
  </si>
  <si>
    <t>2015.2.25.</t>
  </si>
  <si>
    <t>2015.2.27.</t>
  </si>
  <si>
    <t>2015.2.5.</t>
  </si>
  <si>
    <t>2015.2.9.</t>
  </si>
  <si>
    <t>2015.2.21.</t>
  </si>
  <si>
    <t>2015.2.26.</t>
  </si>
  <si>
    <t xml:space="preserve">신경전도 컴퓨터 수리비 </t>
  </si>
  <si>
    <t xml:space="preserve">컴119넷. KB국민.9-15549669-45 </t>
  </si>
  <si>
    <t>2015.3.5.</t>
  </si>
  <si>
    <t>2015.3.13.</t>
  </si>
  <si>
    <t>2015.3.16.</t>
  </si>
  <si>
    <t>2015.3.18.</t>
  </si>
  <si>
    <t>2015.3.25.</t>
  </si>
  <si>
    <t>2015.4.1.</t>
  </si>
  <si>
    <t>2015.3.14.</t>
  </si>
  <si>
    <t>2015.3.17.</t>
  </si>
  <si>
    <t>신경전도데이터 복구비용</t>
  </si>
  <si>
    <t>신한100-024-574396 이규경 119컴퓨터 FIXRDATA</t>
  </si>
  <si>
    <t>2015.3.20.</t>
  </si>
  <si>
    <t>shop.co.kr  하나카드</t>
  </si>
  <si>
    <t>2015.3.23.</t>
  </si>
  <si>
    <t>2015.3.31.</t>
  </si>
  <si>
    <t>2015.3.26.</t>
  </si>
  <si>
    <t>외환.메디노블스카드</t>
  </si>
  <si>
    <t>2015.4.2.</t>
  </si>
  <si>
    <t>신경과학회 연회비</t>
  </si>
  <si>
    <t>하나카드</t>
  </si>
  <si>
    <t>두통학회 연회비</t>
  </si>
  <si>
    <t>2015.4.7.</t>
  </si>
  <si>
    <t>2015.4.14.</t>
  </si>
  <si>
    <t>2015.4.16.</t>
  </si>
  <si>
    <t>2015.4.17.</t>
  </si>
  <si>
    <t>2015.4.24.</t>
  </si>
  <si>
    <t>2015.5.1.</t>
  </si>
  <si>
    <t>2015.4.15.</t>
  </si>
  <si>
    <t>2015.4.30.</t>
  </si>
  <si>
    <t>2015.4.28.</t>
  </si>
  <si>
    <t>SK chemical (가처리.원장서명 못함)</t>
  </si>
  <si>
    <t>2015.5.4.</t>
  </si>
  <si>
    <t>2015.5.7.</t>
  </si>
  <si>
    <t>2015.5.14.</t>
  </si>
  <si>
    <t>2015.5.15.</t>
  </si>
  <si>
    <t>2015.5.18.</t>
  </si>
  <si>
    <t>2015.5.22.</t>
  </si>
  <si>
    <t>2015.6.1.</t>
  </si>
  <si>
    <t>2015.5.29.</t>
  </si>
  <si>
    <t>2015.5.28.</t>
  </si>
  <si>
    <t>2015.6.4.</t>
  </si>
  <si>
    <t>정수기 구입</t>
  </si>
  <si>
    <t>씨티카드+계산서</t>
  </si>
  <si>
    <t>2015.6.8.</t>
  </si>
  <si>
    <t>2015.6.12.</t>
  </si>
  <si>
    <t>2015.6.16.</t>
  </si>
  <si>
    <t>2015.6.18.</t>
  </si>
  <si>
    <t>2015.6.25.</t>
  </si>
  <si>
    <t>2015.7.1.</t>
  </si>
  <si>
    <t>1801937(1745353+56584)</t>
  </si>
  <si>
    <t>2015.6.11.</t>
  </si>
  <si>
    <t>2015.6.15.</t>
  </si>
  <si>
    <t>2015.6.23.</t>
  </si>
  <si>
    <t>2015.6.30.</t>
  </si>
  <si>
    <t>2015.6.29.</t>
  </si>
  <si>
    <t>소득세조정료</t>
  </si>
  <si>
    <t>성실수수료</t>
  </si>
  <si>
    <t>소득세.농어촌특별세</t>
  </si>
  <si>
    <t>지방소득세.소득세분</t>
  </si>
  <si>
    <t>2015.7.5.</t>
  </si>
  <si>
    <t>2015.7.14.</t>
  </si>
  <si>
    <t>2015.7.16.</t>
  </si>
  <si>
    <t>2015.7.17.</t>
  </si>
  <si>
    <t>2015.7.24.</t>
  </si>
  <si>
    <t>2015.7.31.</t>
  </si>
  <si>
    <t>2015.7.15.</t>
  </si>
  <si>
    <t>초과근무.정주영(6/15~7/14,26일간)</t>
  </si>
  <si>
    <t>26000(*28)</t>
  </si>
  <si>
    <t>25000(*28)</t>
  </si>
  <si>
    <t>2015.8.4.</t>
  </si>
  <si>
    <t>2015.8.</t>
  </si>
  <si>
    <t>2015.8.14.</t>
  </si>
  <si>
    <t>2015.8.18.</t>
  </si>
  <si>
    <t>2015.8.25.</t>
  </si>
  <si>
    <t>2015.9.1.</t>
  </si>
  <si>
    <t>2015.8.13.</t>
  </si>
  <si>
    <t>초과근무.정주영(7/15~8/14,26일간)</t>
  </si>
  <si>
    <t>의협24기</t>
  </si>
  <si>
    <t>etax.seoul.go.kr /지로 356*250=89000+가산</t>
  </si>
  <si>
    <t>소득세(분납2)</t>
  </si>
  <si>
    <t>2015.8.27.</t>
  </si>
  <si>
    <t>2015.8.31.</t>
  </si>
  <si>
    <t>2015.9.7.</t>
  </si>
  <si>
    <t>2015.9.7..</t>
  </si>
  <si>
    <t>2015.9.14.</t>
  </si>
  <si>
    <t>(-63180)</t>
  </si>
  <si>
    <t>2015.9.16.</t>
  </si>
  <si>
    <t>2015.9.18.</t>
  </si>
  <si>
    <t>2015.9.25.</t>
  </si>
  <si>
    <t>2015.10.1.</t>
  </si>
  <si>
    <t>2015.9.12.</t>
  </si>
  <si>
    <t>26000(*26)</t>
  </si>
  <si>
    <t>25000(*26)</t>
  </si>
  <si>
    <t>안랩 Internet Security9.0(2년 라이센스)</t>
  </si>
  <si>
    <t>2015.9.30.</t>
  </si>
  <si>
    <t>신경과의사회.연회비.등록비</t>
  </si>
  <si>
    <t>2015.10.5.</t>
  </si>
  <si>
    <t>2015.10.14.</t>
  </si>
  <si>
    <t>2015.10.16.</t>
  </si>
  <si>
    <t>2015.10.23.</t>
  </si>
  <si>
    <t>2015.10.30.</t>
  </si>
  <si>
    <t>inkdcmart.co.kr(HP Laserjet P1102)</t>
  </si>
  <si>
    <t>광원(paste)</t>
  </si>
  <si>
    <t>퇴직연금 수수료</t>
  </si>
  <si>
    <t>한국투자</t>
  </si>
  <si>
    <t>2015.10.22.</t>
  </si>
  <si>
    <t>2015.10.23</t>
  </si>
  <si>
    <t>2015.11.2.</t>
  </si>
  <si>
    <t>래시스 홈피 수정 비용</t>
  </si>
  <si>
    <t>2015.11.4</t>
  </si>
  <si>
    <t>광원(2014.12.24.)</t>
  </si>
  <si>
    <t>광원(2015.02.26)</t>
  </si>
  <si>
    <t>2015.11.6.</t>
  </si>
  <si>
    <t>2015.11.7.</t>
  </si>
  <si>
    <t>2015.11.13.</t>
  </si>
  <si>
    <t>2015.11.16.</t>
  </si>
  <si>
    <t>2015.11.18.</t>
  </si>
  <si>
    <t>2015.11.25.</t>
  </si>
  <si>
    <t>2015.12.1.</t>
  </si>
  <si>
    <t>2015.11.17.</t>
  </si>
  <si>
    <t>잘해드림, 병원명함, 봉투</t>
  </si>
  <si>
    <t>2015.11.20.</t>
  </si>
  <si>
    <t>2015.11.30.</t>
  </si>
  <si>
    <t>2015.11.26.</t>
  </si>
  <si>
    <t>명함.잘해드림.부가세추가</t>
  </si>
  <si>
    <t>280000?</t>
  </si>
  <si>
    <t>의사랑.새컴퓨터비용</t>
  </si>
  <si>
    <t>홈플러스.병원물품</t>
  </si>
  <si>
    <t>2015.12.3.</t>
  </si>
  <si>
    <t>2015.12.8.</t>
  </si>
  <si>
    <t>2015.12.14.</t>
  </si>
  <si>
    <t>2015.12.16.</t>
  </si>
  <si>
    <t>2015.12.18.</t>
  </si>
  <si>
    <t>2015.12.24.</t>
  </si>
  <si>
    <t>2015.12.31.</t>
  </si>
  <si>
    <t>2015.12.21.</t>
  </si>
  <si>
    <t>citi card</t>
  </si>
  <si>
    <t>2015.12.23.</t>
  </si>
  <si>
    <t>병원물품.the.shop</t>
  </si>
  <si>
    <t>www.shop.co.kr</t>
  </si>
  <si>
    <t>2015.12.30.</t>
  </si>
  <si>
    <t>직원퇴직연금(6개월)</t>
  </si>
  <si>
    <t>2016.1.6.</t>
  </si>
  <si>
    <t>2016.1.11.</t>
  </si>
  <si>
    <t>2016.1.14.</t>
  </si>
  <si>
    <t>2016.1.15.</t>
  </si>
  <si>
    <t>2016.1.18.</t>
  </si>
  <si>
    <t>2016.1.25.</t>
  </si>
  <si>
    <t>2016.2.1.</t>
  </si>
  <si>
    <t>2016.1.20.</t>
  </si>
  <si>
    <t>2016.1.29.</t>
  </si>
  <si>
    <t>2016.2.5.</t>
  </si>
  <si>
    <t>2016.2.6.</t>
  </si>
  <si>
    <t>2016.2.15.</t>
  </si>
  <si>
    <t>2016.2.16.</t>
  </si>
  <si>
    <t>2016.2.18.</t>
  </si>
  <si>
    <t>정선영</t>
  </si>
  <si>
    <t>2016.2.25.</t>
  </si>
  <si>
    <t>2016.2.29.</t>
  </si>
  <si>
    <t>2016.2.23.</t>
  </si>
  <si>
    <t>2016.2.24.</t>
  </si>
  <si>
    <t>유정인.퇴직연금정산</t>
  </si>
  <si>
    <t>2016.2.27.</t>
  </si>
  <si>
    <t>광원.paste x12</t>
  </si>
  <si>
    <t>2016.3.4.</t>
  </si>
  <si>
    <t>2016.3.7.</t>
  </si>
  <si>
    <t>2016.3.16.</t>
  </si>
  <si>
    <t>2016.3.18.</t>
  </si>
  <si>
    <t>2016.3.25.</t>
  </si>
  <si>
    <t>2016.4.1.</t>
  </si>
  <si>
    <t>이세영(연말정산환급)</t>
  </si>
  <si>
    <t>2016.3.22.</t>
  </si>
  <si>
    <t>2016.3.24.</t>
  </si>
  <si>
    <t>2016.3.31.</t>
  </si>
  <si>
    <t>2016년1월부터 29만원으로 인상 적용</t>
  </si>
  <si>
    <t>아이젤 2개</t>
  </si>
  <si>
    <t>박ENT 2개 같이.</t>
  </si>
  <si>
    <t>2016.4.4.</t>
  </si>
  <si>
    <t>2016.4.7.</t>
  </si>
  <si>
    <t>2016.4.15.</t>
  </si>
  <si>
    <t>2016.4.18.</t>
  </si>
  <si>
    <t>2016.4.25.</t>
  </si>
  <si>
    <t>2016.4.29.</t>
  </si>
  <si>
    <t>2016.4.14.</t>
  </si>
  <si>
    <t>이세영 결혼축의금</t>
  </si>
  <si>
    <t>유니폼.올웨이즈</t>
  </si>
  <si>
    <t>2016.4.23.</t>
  </si>
  <si>
    <t>2016.5.24.</t>
  </si>
  <si>
    <t>2016.4.30.</t>
  </si>
  <si>
    <t>2016.5.9.</t>
  </si>
  <si>
    <t>2016.5.16.</t>
  </si>
  <si>
    <t>2016.5.18.</t>
  </si>
  <si>
    <t>2016.5.25.</t>
  </si>
  <si>
    <t>2016.6.1.</t>
  </si>
  <si>
    <t>2016.5.13.</t>
  </si>
  <si>
    <t>광원.stimulator.수리</t>
  </si>
  <si>
    <t>2016.5.19.</t>
  </si>
  <si>
    <t>서울대.신경과의국.연회비.2015</t>
  </si>
  <si>
    <t>서울대.신경과의국.연회비.2016</t>
  </si>
  <si>
    <t>유당학술기금1</t>
  </si>
  <si>
    <t>2016.5.31.</t>
  </si>
  <si>
    <t>광원.PC교체</t>
  </si>
  <si>
    <t>2016.6.2.</t>
  </si>
  <si>
    <t>2016.6.8.</t>
  </si>
  <si>
    <t>2016.6.16.</t>
  </si>
  <si>
    <t>2016.6.17.</t>
  </si>
  <si>
    <t>2016.6.24.</t>
  </si>
  <si>
    <t>2016.7.1.</t>
  </si>
  <si>
    <t>유당학술기금2</t>
  </si>
  <si>
    <t>2016.6.20.</t>
  </si>
  <si>
    <t>2016.6.23.</t>
  </si>
  <si>
    <t>광원.전극</t>
  </si>
  <si>
    <t>2016.6.30.</t>
  </si>
  <si>
    <t>2016.6.28.</t>
  </si>
  <si>
    <t>2015귀속.종합소득세납부</t>
  </si>
  <si>
    <t>세무조정수수료</t>
  </si>
  <si>
    <t>성실신고확인보수</t>
  </si>
  <si>
    <t>2016.7.4.</t>
  </si>
  <si>
    <t>2016.7.6.</t>
  </si>
  <si>
    <t>원장 재킷</t>
  </si>
  <si>
    <t>2016.7.12.</t>
  </si>
  <si>
    <t>래시스 1년 연장(30% DC)</t>
  </si>
  <si>
    <t>2016.7.15.</t>
  </si>
  <si>
    <t>2016.7.18.</t>
  </si>
  <si>
    <t>2016.7.25.</t>
  </si>
  <si>
    <t>2016.8.1.</t>
  </si>
  <si>
    <t>2016.7.14.</t>
  </si>
  <si>
    <t>유당학술기금3</t>
  </si>
  <si>
    <t>2016.7.22.</t>
  </si>
  <si>
    <t>2016.7.29.</t>
  </si>
  <si>
    <t>2016.8.2.</t>
  </si>
  <si>
    <t>2016.8.4.</t>
  </si>
  <si>
    <t>중복납부.환급신청(9/5)</t>
  </si>
  <si>
    <t>2016.8.8.</t>
  </si>
  <si>
    <t>2016.8.16.</t>
  </si>
  <si>
    <t>2016.8.18.</t>
  </si>
  <si>
    <t>2016.8.25.</t>
  </si>
  <si>
    <t>2016.9.1.</t>
  </si>
  <si>
    <t>2016.8.10.</t>
  </si>
  <si>
    <t>2015귀속.종합소득세분납</t>
  </si>
  <si>
    <t>인터넷지로</t>
  </si>
  <si>
    <t>2016.8.30</t>
  </si>
  <si>
    <t>2016.9.3.</t>
  </si>
  <si>
    <t>혈압기</t>
  </si>
  <si>
    <t>인바디강남.우리.1005-402-659327</t>
  </si>
  <si>
    <t>2016.9.7.</t>
  </si>
  <si>
    <t>2016.9.13.</t>
  </si>
  <si>
    <t>2016.9.23.</t>
  </si>
  <si>
    <t>2016.9.30.</t>
  </si>
  <si>
    <t>2016.9.8.</t>
  </si>
  <si>
    <t>seoulbrain.도메인연장</t>
  </si>
  <si>
    <t>2019.9.말까지 3년 (whois)</t>
  </si>
  <si>
    <t>2016.9.24.</t>
  </si>
  <si>
    <t>2016.10.10.</t>
  </si>
  <si>
    <t>2016.10.14.</t>
  </si>
  <si>
    <t>2016.10.18.</t>
  </si>
  <si>
    <t>2016.10.25.</t>
  </si>
  <si>
    <t>2016.11.1.</t>
  </si>
  <si>
    <t>2016.10.31.</t>
  </si>
  <si>
    <t>2016.10.26.</t>
  </si>
  <si>
    <t>광원.paste.nuprep</t>
  </si>
  <si>
    <t>2016.11.3.</t>
  </si>
  <si>
    <t>2016.11.7.</t>
  </si>
  <si>
    <t>2016.11.9.</t>
  </si>
  <si>
    <t>래시스 홈피 이전공고</t>
  </si>
  <si>
    <t>2016.11.16.</t>
  </si>
  <si>
    <t>2016.11.18.</t>
  </si>
  <si>
    <t>2016.11.25.</t>
  </si>
  <si>
    <t>2016.12.1.</t>
  </si>
  <si>
    <t>2016.11.22.</t>
  </si>
  <si>
    <t>2016.11.24.</t>
  </si>
  <si>
    <t>2016.11.30.</t>
  </si>
  <si>
    <t xml:space="preserve">더편한 세무법인 301-01207-205-41 농협중앙
</t>
  </si>
  <si>
    <t>2016.11.29.</t>
  </si>
  <si>
    <t>소득세.중간예납.분납</t>
  </si>
  <si>
    <t>19076000원 중 9076000원은 1월 납부 예정</t>
  </si>
  <si>
    <t>2016.12.5.</t>
  </si>
  <si>
    <t>2016.12.6.</t>
  </si>
  <si>
    <t>2016.12.16.</t>
  </si>
  <si>
    <t>2016.12.23.</t>
  </si>
  <si>
    <t>2016.12.30.</t>
  </si>
  <si>
    <t>2016.12.12.</t>
  </si>
  <si>
    <t>새병원.인테리어공사비.계약금</t>
  </si>
  <si>
    <t>계약금/중도금/잔금76000000</t>
  </si>
  <si>
    <t>우리은행 1002-352-064299 이선임</t>
  </si>
  <si>
    <t>2016.12.22.</t>
  </si>
  <si>
    <t>2016.12.27.</t>
  </si>
  <si>
    <t>(2016.9.)</t>
  </si>
  <si>
    <t>2017.1.4.</t>
  </si>
  <si>
    <t>2017.1.5.</t>
  </si>
  <si>
    <t xml:space="preserve">간판.계약금
</t>
  </si>
  <si>
    <t>신한100-025-128087 박돈승(지에스데코)</t>
  </si>
  <si>
    <t>440만원(400+40)의 60%</t>
  </si>
  <si>
    <t>2017.1.16.</t>
  </si>
  <si>
    <t>2017.1.18.</t>
  </si>
  <si>
    <t>2017.1.25.</t>
  </si>
  <si>
    <t>2017.2.1.</t>
  </si>
  <si>
    <t>2017.1.9.</t>
  </si>
  <si>
    <t>2017.1.11.</t>
  </si>
  <si>
    <t>새병원.인테리어공사비.중도금</t>
  </si>
  <si>
    <t xml:space="preserve">간판.잔금
</t>
  </si>
  <si>
    <t>440만원(400+40)의 40%</t>
  </si>
  <si>
    <t>2017.1.17.</t>
  </si>
  <si>
    <t>촉탁의사등록회비(서울요양원.20만원)</t>
  </si>
  <si>
    <t xml:space="preserve">씨티 146-51397-245 강남구의사회
</t>
  </si>
  <si>
    <t>촉탁의사등록회비(논현요양원.8만원)</t>
  </si>
  <si>
    <t>직원.의자.1개</t>
  </si>
  <si>
    <t>직원.의자.2개</t>
  </si>
  <si>
    <t>새병원.냉난방.환풍기.공사</t>
  </si>
  <si>
    <t>(890+89) 국민은행 048-21-1068-381 배준영</t>
  </si>
  <si>
    <t>소득세.중간예납.분납2</t>
  </si>
  <si>
    <t>citicard</t>
  </si>
  <si>
    <t>2017.1.30.</t>
  </si>
  <si>
    <t>철거비용.백호</t>
  </si>
  <si>
    <t>(4114000+2000000+2114000)</t>
  </si>
  <si>
    <t>2017.1.31.</t>
  </si>
  <si>
    <t>잔여관리비.합산</t>
  </si>
  <si>
    <t>네오스.임대보증금.환불</t>
  </si>
  <si>
    <t>2017.2.2.</t>
  </si>
  <si>
    <t>삼화301임대관리전기수도</t>
  </si>
  <si>
    <t>국민 097601-04-235351 이일근피엔엘</t>
  </si>
  <si>
    <t>2017.2.3.</t>
  </si>
  <si>
    <t xml:space="preserve">홈페이지.수정비용
</t>
  </si>
  <si>
    <t>TCD.PMD150 5V Power Supply</t>
  </si>
  <si>
    <t>우리은행 1005-802-252747 (주)계림메디칼</t>
  </si>
  <si>
    <t>2017.2.8.</t>
  </si>
  <si>
    <t>2017.2.16.</t>
  </si>
  <si>
    <t>2017.2.17.</t>
  </si>
  <si>
    <t>2017.2.24.</t>
  </si>
  <si>
    <t>2017.2.28.</t>
  </si>
  <si>
    <t>2017.2.10</t>
  </si>
  <si>
    <t>주차정산(1/1~1/23)</t>
  </si>
  <si>
    <t>2017.2.20.</t>
  </si>
  <si>
    <t>이전.네트워크.배선</t>
  </si>
  <si>
    <t>신협 131-017-711894 이영수에스엠텍미디어</t>
  </si>
  <si>
    <t>2017.2.22.</t>
  </si>
  <si>
    <t>미화아주머니 첫 급여</t>
  </si>
  <si>
    <t>2017.2.23.</t>
  </si>
  <si>
    <t>안압기계.진원메디칼</t>
  </si>
  <si>
    <t xml:space="preserve">국민 383601-04-084715 </t>
  </si>
  <si>
    <t>임대관리전기</t>
  </si>
  <si>
    <t>피엔엘</t>
  </si>
  <si>
    <t>광원.paste</t>
  </si>
  <si>
    <t>촉탁의사등록회비(강남실버.8만원)</t>
  </si>
  <si>
    <t>씨티 146-51397-245 강남구의사회</t>
  </si>
  <si>
    <t>촉탁의사등록회비(역삼요양원.8만원)</t>
  </si>
  <si>
    <t>촉탁의사등록회비(유명요양원.3만원)</t>
  </si>
  <si>
    <t>2017.3.8.</t>
  </si>
  <si>
    <t>2017.3.16.</t>
  </si>
  <si>
    <t>2017.3.17.</t>
  </si>
  <si>
    <t>2017.3.24.</t>
  </si>
  <si>
    <t>2017.4.1.</t>
  </si>
  <si>
    <t>2017.3.9.</t>
  </si>
  <si>
    <t>광원.이전비용</t>
  </si>
  <si>
    <t>citicard (장부교체.대표이사교체)</t>
  </si>
  <si>
    <t>2017.3.23.</t>
  </si>
  <si>
    <t>미화아주머니 급여</t>
  </si>
  <si>
    <t>KT 텔레캅 (1월)</t>
  </si>
  <si>
    <t xml:space="preserve">가상개인계좌.KB국민.4710 9013 7140 29 </t>
  </si>
  <si>
    <t>KT 텔레캅 (2월)</t>
  </si>
  <si>
    <t>2017.3.31.</t>
  </si>
  <si>
    <t>피엔엘 KB국민 097601-04-235351</t>
  </si>
  <si>
    <t>수도요금</t>
  </si>
  <si>
    <t>2017.3.30.</t>
  </si>
  <si>
    <t>2017.4.6.</t>
  </si>
  <si>
    <t>KT 텔레캅 (3월)</t>
  </si>
  <si>
    <t>2017.4.7.</t>
  </si>
  <si>
    <t>2017.4.15.</t>
  </si>
  <si>
    <t>올웨이즈.유니폼</t>
  </si>
  <si>
    <t>2017.4.17.</t>
  </si>
  <si>
    <t>2017.4.18.</t>
  </si>
  <si>
    <t>2017.4.22.</t>
  </si>
  <si>
    <t>2017.5.1.</t>
  </si>
  <si>
    <t>2017.5.8.</t>
  </si>
  <si>
    <t>KT 텔레캅 (4월)</t>
  </si>
  <si>
    <t>2017.4.21.</t>
  </si>
  <si>
    <t>김순례 하나은행 144-890700-62807</t>
  </si>
  <si>
    <t>2017.4.24.</t>
  </si>
  <si>
    <t>2017.4.28.</t>
  </si>
  <si>
    <t>김혜진 급여 산정</t>
  </si>
  <si>
    <t>국민 490102 04 138700 김혜진</t>
  </si>
  <si>
    <t>2017.4.27.</t>
  </si>
  <si>
    <t xml:space="preserve">citicard </t>
  </si>
  <si>
    <t>2017.5.15.</t>
  </si>
  <si>
    <t>2017.5.18.</t>
  </si>
  <si>
    <t>2017.6.1.</t>
  </si>
  <si>
    <t>2017.5.12.</t>
  </si>
  <si>
    <t>carotid.probe.계림메디칼</t>
  </si>
  <si>
    <t>우리은행 1005-802-252747 주식회사계림메디칼</t>
  </si>
  <si>
    <t>2017.5.17.</t>
  </si>
  <si>
    <t>한아라.수당</t>
  </si>
  <si>
    <t>4/24~5/15. 16+1=17일</t>
  </si>
  <si>
    <t>정선영.수당</t>
  </si>
  <si>
    <t>2017.5.23.</t>
  </si>
  <si>
    <t>2017.5.31.</t>
  </si>
  <si>
    <t>임대관리전기수도</t>
  </si>
  <si>
    <t>196112원 납입 못하고 6월에 같이 납입</t>
  </si>
  <si>
    <t>2017.6.7.</t>
  </si>
  <si>
    <t>5/16~5/31(-3일). 9+1-3=7일</t>
  </si>
  <si>
    <t>5/16~5/31. 9+1=10일</t>
  </si>
  <si>
    <t>2017.6.9.</t>
  </si>
  <si>
    <t>2017.6.16.</t>
  </si>
  <si>
    <t>5월16일~25일 10일간 근무</t>
  </si>
  <si>
    <t>2017.6.30.</t>
  </si>
  <si>
    <t>2017.6.23.</t>
  </si>
  <si>
    <t>2017.6.19.</t>
  </si>
  <si>
    <t>윤혜연.수당</t>
  </si>
  <si>
    <t>6/5~6/15(9일). 9+1 = 10일 (+1일근무)</t>
  </si>
  <si>
    <t>6/5~6/15(9일). 9+1 = 10일 (+3일근무)</t>
  </si>
  <si>
    <t>2017.6.20.</t>
  </si>
  <si>
    <t>보완지급</t>
  </si>
  <si>
    <t>KT 텔레캅 (5월)</t>
  </si>
  <si>
    <t>5,6월 합산납입 196112+210816</t>
  </si>
  <si>
    <t>2017.6.27.</t>
  </si>
  <si>
    <t>통합종합소득세(분할1)</t>
  </si>
  <si>
    <t>지로(분할2: 19421220) 17660원.추가</t>
  </si>
  <si>
    <t>1760원.추가</t>
  </si>
  <si>
    <t>2017.7.4.</t>
  </si>
  <si>
    <t>6/16~6/30(13일). 13+1 = 14일 (+1일근무)</t>
  </si>
  <si>
    <t>세무.조정보수.부가세포함</t>
  </si>
  <si>
    <t>성실신고확인수수료</t>
  </si>
  <si>
    <t>2017.7.5.</t>
  </si>
  <si>
    <t>2017.7.7.</t>
  </si>
  <si>
    <t>2017.7.14.</t>
  </si>
  <si>
    <t>2017.8.1.</t>
  </si>
  <si>
    <t>2017.7.10.</t>
  </si>
  <si>
    <t>KT 텔레캅 (6월)</t>
  </si>
  <si>
    <t>2017.7.13.</t>
  </si>
  <si>
    <t>구.시의사회비.의협회비</t>
  </si>
  <si>
    <t>래시스 1년 연장(20% DC)</t>
  </si>
  <si>
    <t>2017.7.21.</t>
  </si>
  <si>
    <t>미화아주머니 급여(2018.2.33만원으로)</t>
  </si>
  <si>
    <t>017.7.31.</t>
  </si>
  <si>
    <t>2017.7.17.</t>
  </si>
  <si>
    <t>7/1~7/15(13일). 13+1 = 14일 (+1일근무)</t>
  </si>
  <si>
    <t>2017.7.19.</t>
  </si>
  <si>
    <t>직원퇴직연금(이세영.미납분)</t>
  </si>
  <si>
    <t>7/16~7/31(13일). 13+1 = 14일 (+1일근무)</t>
  </si>
  <si>
    <t>7/16~7/31(13일-휴가1일). 12+1 = 13일 (+1일근무)</t>
  </si>
  <si>
    <t>2017.8.7.</t>
  </si>
  <si>
    <t>KT 텔레캅 (7월)</t>
  </si>
  <si>
    <t>2017.8.16.</t>
  </si>
  <si>
    <t>2017.9.1.</t>
  </si>
  <si>
    <t>2017.8.10.</t>
  </si>
  <si>
    <t>병원물품(the.shop)</t>
  </si>
  <si>
    <t>citicard-계산서</t>
  </si>
  <si>
    <t>2017.8.23.</t>
  </si>
  <si>
    <t>2017.8.31.</t>
  </si>
  <si>
    <t>2017.8.18.</t>
  </si>
  <si>
    <t>8/1~8/15(8일). 8+1 = 9일 (+1일근무)</t>
  </si>
  <si>
    <t>종합소득세분납(2)</t>
  </si>
  <si>
    <t xml:space="preserve">주민세 </t>
  </si>
  <si>
    <t>2017.8.24.</t>
  </si>
  <si>
    <t>8/16~8/31(14일). 14+1 = 15일 (+1일근무)</t>
  </si>
  <si>
    <t>2017.9.6.</t>
  </si>
  <si>
    <t>KT 텔레캅 (8월)</t>
  </si>
  <si>
    <t>2017.9.18.</t>
  </si>
  <si>
    <t>2017.9.29.</t>
  </si>
  <si>
    <t>2017.9.22.</t>
  </si>
  <si>
    <t>미화아주머니 급여(2018.2.부터33만)</t>
  </si>
  <si>
    <t>추석7만추가</t>
  </si>
  <si>
    <t>9/1~9/15(13일). 13+1 = 14일 (휴가1.5일-&gt; 12.5일)</t>
  </si>
  <si>
    <t>9/1~9/15(13일). 13+1 = 14일 (휴가0.5일-&gt; 13.5일)</t>
  </si>
  <si>
    <t>9/1~9/15(13일). 13+1 = 14일 (휴가1.0일-&gt; 13일)</t>
  </si>
  <si>
    <t>9/16~9/30(13일). 13+1 = 14일 (휴가0일)</t>
  </si>
  <si>
    <t>9/16~9/30(13일). 13+1 = 14일 (휴가3일)</t>
  </si>
  <si>
    <t>9/16~9/30(13일). 13+1 = 14일 (휴가0.5일)</t>
  </si>
  <si>
    <t>2017.9.28.</t>
  </si>
  <si>
    <t>통합사회보험료.9월분(10/10.납부기한)</t>
  </si>
  <si>
    <t>2017.10.</t>
  </si>
  <si>
    <t>KT 텔레캅 (9월)</t>
  </si>
  <si>
    <t>2017.10.18.</t>
  </si>
  <si>
    <t>2017.11.1.</t>
  </si>
  <si>
    <t>2017.10.16.</t>
  </si>
  <si>
    <t>10/1~10/15(5일). 5+1 = 6일</t>
  </si>
  <si>
    <t>2017.10.23.</t>
  </si>
  <si>
    <t>2017.10.31.</t>
  </si>
  <si>
    <t>2017.10.19.</t>
  </si>
  <si>
    <t>뉴로포스.전극</t>
  </si>
  <si>
    <t>우리은행 1005-101-355193 (주)뉴로포스</t>
  </si>
  <si>
    <t>2017.10.20.</t>
  </si>
  <si>
    <t>조무사교육등록비2016(윤혜연)</t>
  </si>
  <si>
    <t>조무사교육등록비2017(윤혜연)</t>
  </si>
  <si>
    <t>직원 퇴직연금 한국투자 80050530-0001</t>
  </si>
  <si>
    <t>0.2% for 1yr</t>
  </si>
  <si>
    <t>2008.3.</t>
  </si>
  <si>
    <t>2008.4.29.</t>
  </si>
  <si>
    <t>청구(입금액) - 보호급여 빠짐...</t>
  </si>
  <si>
    <t>본인부담</t>
  </si>
  <si>
    <t>비급여</t>
  </si>
  <si>
    <t>2008.4.</t>
  </si>
  <si>
    <t>2008.5.</t>
  </si>
  <si>
    <t>2008.6.19.</t>
  </si>
  <si>
    <t>2008.6.</t>
  </si>
  <si>
    <t>2008.7.17.</t>
  </si>
  <si>
    <t>2008.7.</t>
  </si>
  <si>
    <t>2008.8.20.</t>
  </si>
  <si>
    <t>2008.8.</t>
  </si>
  <si>
    <t>2008.9.17.</t>
  </si>
  <si>
    <t>2008.9.</t>
  </si>
  <si>
    <t>2008.10.</t>
  </si>
  <si>
    <t>2008.11.24.</t>
  </si>
  <si>
    <t>2008.11.</t>
  </si>
  <si>
    <t>2008.12.17.</t>
  </si>
  <si>
    <t>2008.12.</t>
  </si>
  <si>
    <t>2009.1.20.</t>
  </si>
  <si>
    <t>2009.1.</t>
  </si>
  <si>
    <t>2009.2.19.</t>
  </si>
  <si>
    <t>2009.2.</t>
  </si>
  <si>
    <t>2009.3.20.</t>
  </si>
  <si>
    <t>2009.3.</t>
  </si>
  <si>
    <t>2009.4.</t>
  </si>
  <si>
    <t>2009.5.20.</t>
  </si>
  <si>
    <t>2009.5.</t>
  </si>
  <si>
    <t>2009.6.15.</t>
  </si>
  <si>
    <t>2009.6.</t>
  </si>
  <si>
    <t>2009.7.16.</t>
  </si>
  <si>
    <t>2009.7.</t>
  </si>
  <si>
    <t>2009.8.</t>
  </si>
  <si>
    <t>2009.9.15.</t>
  </si>
  <si>
    <t>2009.9.</t>
  </si>
  <si>
    <t>2009.10.</t>
  </si>
  <si>
    <t>2009.11.</t>
  </si>
  <si>
    <t>2009.12.15.</t>
  </si>
  <si>
    <t>2009.12.</t>
  </si>
  <si>
    <t>2010.1.20.</t>
  </si>
  <si>
    <t>2010.1.</t>
  </si>
  <si>
    <t>2010.2.</t>
  </si>
  <si>
    <t>2010.3.</t>
  </si>
  <si>
    <t>2010.4.19.</t>
  </si>
  <si>
    <t>2010.4.</t>
  </si>
  <si>
    <t>2010.5.19.</t>
  </si>
  <si>
    <t>2010.5.</t>
  </si>
  <si>
    <t>2010.6.</t>
  </si>
  <si>
    <t>2010.7.16.</t>
  </si>
  <si>
    <t>2010.7.</t>
  </si>
  <si>
    <t>2010.8.</t>
  </si>
  <si>
    <t>2010.9.16.</t>
  </si>
  <si>
    <t>2010.9.</t>
  </si>
  <si>
    <t>2010.10.</t>
  </si>
  <si>
    <t>2010.11.17.</t>
  </si>
  <si>
    <t>2010.11.</t>
  </si>
  <si>
    <t>2010.12.</t>
  </si>
  <si>
    <t>2011.1.20.</t>
  </si>
  <si>
    <t>2011.1.</t>
  </si>
  <si>
    <t>2011.2.22.</t>
  </si>
  <si>
    <t>2011.2.</t>
  </si>
  <si>
    <t>2011.3.22.</t>
  </si>
  <si>
    <t>2011.3.</t>
  </si>
  <si>
    <t>2011.4.19.</t>
  </si>
  <si>
    <t>2011.4.</t>
  </si>
  <si>
    <t>2011.5.23.</t>
  </si>
  <si>
    <t>2011.5.</t>
  </si>
  <si>
    <t>2011.6.21.</t>
  </si>
  <si>
    <t>2011.6.</t>
  </si>
  <si>
    <t>2011.7.</t>
  </si>
  <si>
    <t>2011.8.19.(+2500000)</t>
  </si>
  <si>
    <t>2011.8.</t>
  </si>
  <si>
    <t>2011.9.</t>
  </si>
  <si>
    <t>2011.10.</t>
  </si>
  <si>
    <t>2011.11.17</t>
  </si>
  <si>
    <t>2011.11.</t>
  </si>
  <si>
    <t>2011.12.21.(+3766000)</t>
  </si>
  <si>
    <t>2011.12.</t>
  </si>
  <si>
    <t>2012.1.</t>
  </si>
  <si>
    <t>2012.2.</t>
  </si>
  <si>
    <t>2012.3.</t>
  </si>
  <si>
    <t>2012.4.17.</t>
  </si>
  <si>
    <t>2012.4.</t>
  </si>
  <si>
    <t>2012.5.</t>
  </si>
  <si>
    <t>2012.6.20.</t>
  </si>
  <si>
    <t>2012.6.</t>
  </si>
  <si>
    <t>2012.7.18.(+6896650)</t>
  </si>
  <si>
    <t>2012.7.</t>
  </si>
  <si>
    <t>2012.8.21.</t>
  </si>
  <si>
    <t>2012.8.</t>
  </si>
  <si>
    <t>2012.9.19.</t>
  </si>
  <si>
    <t>2012.9.</t>
  </si>
  <si>
    <t>2012.10.19.</t>
  </si>
  <si>
    <t>2012.10.</t>
  </si>
  <si>
    <t>2012.11.</t>
  </si>
  <si>
    <t>2012.12.</t>
  </si>
  <si>
    <t>2013.1.</t>
  </si>
  <si>
    <t>2013.3.21.</t>
  </si>
  <si>
    <t>2013.2.</t>
  </si>
  <si>
    <t>2013.3.22.</t>
  </si>
  <si>
    <t>2013.3.</t>
  </si>
  <si>
    <t>2013.4.19.</t>
  </si>
  <si>
    <t>2013.4.</t>
  </si>
  <si>
    <t>2013.5.22.</t>
  </si>
  <si>
    <t>2013.5.</t>
  </si>
  <si>
    <t>2013.6.21.</t>
  </si>
  <si>
    <t>2013.6.</t>
  </si>
  <si>
    <t>2013.7.</t>
  </si>
  <si>
    <t>2013.8.16</t>
  </si>
  <si>
    <t>2013.8.</t>
  </si>
  <si>
    <t>2013.9.</t>
  </si>
  <si>
    <t>2013.10.21.</t>
  </si>
  <si>
    <t>2013.10.</t>
  </si>
  <si>
    <t>2013.11.</t>
  </si>
  <si>
    <t>2013.12.20.</t>
  </si>
  <si>
    <t>2013.12.</t>
  </si>
  <si>
    <t>2014.1.</t>
  </si>
  <si>
    <t>2014.2.</t>
  </si>
  <si>
    <t>2014.3.</t>
  </si>
  <si>
    <t>2014.4.</t>
  </si>
  <si>
    <t>2014.5.22.</t>
  </si>
  <si>
    <t>2014.5.</t>
  </si>
  <si>
    <t>2014.6.</t>
  </si>
  <si>
    <t>2014.7.</t>
  </si>
  <si>
    <t>2014.8.20.</t>
  </si>
  <si>
    <t>2014.8.</t>
  </si>
  <si>
    <t>2014.9.</t>
  </si>
  <si>
    <t>2014.10.22.</t>
  </si>
  <si>
    <t>2014.10.</t>
  </si>
  <si>
    <t>2014.11.21.</t>
  </si>
  <si>
    <t>2014.11.</t>
  </si>
  <si>
    <t>2014.12.</t>
  </si>
  <si>
    <t>2015.1.22.</t>
  </si>
  <si>
    <t>2015.1.</t>
  </si>
  <si>
    <t>2015.2.23.</t>
  </si>
  <si>
    <t>2015.2.</t>
  </si>
  <si>
    <t>2015.3.</t>
  </si>
  <si>
    <t>2015.4.21.</t>
  </si>
  <si>
    <t>2015.4.</t>
  </si>
  <si>
    <t>2015.5.21.</t>
  </si>
  <si>
    <t>2015.5.</t>
  </si>
  <si>
    <t>2015.6.</t>
  </si>
  <si>
    <t>2015.7.10</t>
  </si>
  <si>
    <t>2015.7.</t>
  </si>
  <si>
    <t>2015.8.12.</t>
  </si>
  <si>
    <t>2015.9.10.</t>
  </si>
  <si>
    <t>2015.9.</t>
  </si>
  <si>
    <t>2015.10.12.</t>
  </si>
  <si>
    <t>2015.10.</t>
  </si>
  <si>
    <t>2015.11.11.</t>
  </si>
  <si>
    <t>2015.11.</t>
  </si>
  <si>
    <t>2015.12.10.</t>
  </si>
  <si>
    <t>2015.12.</t>
  </si>
  <si>
    <t>2016.1.13.</t>
  </si>
  <si>
    <t>2016.1.</t>
  </si>
  <si>
    <t>2016.2.12.</t>
  </si>
  <si>
    <t>2016.2.</t>
  </si>
  <si>
    <t>2016.3.11.</t>
  </si>
  <si>
    <t>2016.3.</t>
  </si>
  <si>
    <t>2016.4.11.</t>
  </si>
  <si>
    <t>2016.4.</t>
  </si>
  <si>
    <t>2016.5.12.</t>
  </si>
  <si>
    <t>2016.5.</t>
  </si>
  <si>
    <t>2016.6.10.</t>
  </si>
  <si>
    <t>2016.6.</t>
  </si>
  <si>
    <t>2016.7.11.</t>
  </si>
  <si>
    <t>2016.7.</t>
  </si>
  <si>
    <t>2016.8.</t>
  </si>
  <si>
    <t>2016.9.12.</t>
  </si>
  <si>
    <t>2016.9.</t>
  </si>
  <si>
    <t>2016.10.17.</t>
  </si>
  <si>
    <t>2016.10.</t>
  </si>
  <si>
    <t>2016.11.10.</t>
  </si>
  <si>
    <t>2016.11.</t>
  </si>
  <si>
    <t xml:space="preserve">2016.12.
</t>
  </si>
  <si>
    <t>2017.1.</t>
  </si>
  <si>
    <t>2017.2.10.</t>
  </si>
  <si>
    <t>2017.2.</t>
  </si>
  <si>
    <t>2017.3.13.</t>
  </si>
  <si>
    <t>2017.3.</t>
  </si>
  <si>
    <t>2017.4.</t>
  </si>
  <si>
    <t>2017.5.</t>
  </si>
  <si>
    <t>2017.6.14.</t>
  </si>
  <si>
    <t>2017.6.</t>
  </si>
  <si>
    <t>2017.7.12.</t>
  </si>
  <si>
    <t>2017.7.</t>
  </si>
  <si>
    <t>2017.8.</t>
  </si>
  <si>
    <t>전세보증금(120M)양변</t>
  </si>
  <si>
    <t>9일</t>
  </si>
  <si>
    <t>연금/건강/산재/고용</t>
  </si>
  <si>
    <t>근소세주민세</t>
  </si>
  <si>
    <t>14일</t>
  </si>
  <si>
    <t>18일</t>
  </si>
  <si>
    <t>25일</t>
  </si>
  <si>
    <t>1일</t>
  </si>
  <si>
    <t>26일</t>
  </si>
  <si>
    <t>노란우산공제(2010.5.)</t>
  </si>
  <si>
    <t>(종민하키/부부여행적립)</t>
  </si>
  <si>
    <t>말일</t>
  </si>
  <si>
    <t>종민하키/부부여행적립</t>
  </si>
  <si>
    <t>아파트관리비</t>
  </si>
  <si>
    <t>진달래지역아동센터 (대표 최옥)</t>
  </si>
  <si>
    <t>30~50</t>
  </si>
  <si>
    <t>우리은행 1005-601-631772</t>
  </si>
  <si>
    <t>PNL_Budget</t>
  </si>
  <si>
    <t>KB account</t>
  </si>
  <si>
    <t>cyber.kepco/neurolee/auction</t>
  </si>
  <si>
    <t>giro.pnl160912.pnl216###</t>
  </si>
  <si>
    <t xml:space="preserve">hometaxneurolee1NameNoName#
</t>
  </si>
  <si>
    <t>601-52-00200</t>
  </si>
  <si>
    <t>097601-04-235351 이일근(피엔엘)</t>
  </si>
  <si>
    <t>01 0312 1024</t>
  </si>
  <si>
    <t>날짜</t>
  </si>
  <si>
    <t>항목</t>
  </si>
  <si>
    <t>지출</t>
  </si>
  <si>
    <t>증빙확인</t>
  </si>
  <si>
    <t>기업용공인인증서(KB)</t>
  </si>
  <si>
    <t>설정등기.인지50%</t>
  </si>
  <si>
    <t>국민 346-01-0022-112 국민은행.학동지점</t>
  </si>
  <si>
    <t>설정채권할인</t>
  </si>
  <si>
    <t>국민 346501-04-199463 정지환법무사무소</t>
  </si>
  <si>
    <t>#</t>
  </si>
  <si>
    <t>법무사수수료.인지.채권(1)</t>
  </si>
  <si>
    <t>손기봉법무사무소 신한 110283839049</t>
  </si>
  <si>
    <t>세금</t>
  </si>
  <si>
    <t>2016.9.13</t>
  </si>
  <si>
    <t>법무사수수료.인지.채권(2).채권착오분</t>
  </si>
  <si>
    <t>중개수수료.닥터공인</t>
  </si>
  <si>
    <t>신한 140-008-046838 (주)닥터뱅크앤에셋부동산중개 이상훈</t>
  </si>
  <si>
    <t>2016.9.27.</t>
  </si>
  <si>
    <t>동부.화재보험.1년</t>
  </si>
  <si>
    <t>함영님.아주머니.급여.상여</t>
  </si>
  <si>
    <t>KB국민.097602.04.074542  (40+3)*(19/30)+10만</t>
  </si>
  <si>
    <t>202비엔엠.임대료</t>
  </si>
  <si>
    <t>2016.9.28.</t>
  </si>
  <si>
    <t>바비스토리.임대보증금</t>
  </si>
  <si>
    <t>2016.9.29.</t>
  </si>
  <si>
    <t>B102바비스토리임대료</t>
  </si>
  <si>
    <t>501대한전기임대료</t>
  </si>
  <si>
    <t>302세움아트임대료</t>
  </si>
  <si>
    <t>201디자인삼층임대료</t>
  </si>
  <si>
    <t>502테무임대료</t>
  </si>
  <si>
    <t>102제이랩임대료</t>
  </si>
  <si>
    <t>402MKS임대료</t>
  </si>
  <si>
    <t>2016.10.4.</t>
  </si>
  <si>
    <t>401매스21임대료</t>
  </si>
  <si>
    <t>2016.10.5.</t>
  </si>
  <si>
    <t>101롤리우드임대료</t>
  </si>
  <si>
    <t>2016.10.7.</t>
  </si>
  <si>
    <t>9월 전기료(삼화사.대납)</t>
  </si>
  <si>
    <t>국민은행 전용입금계좌</t>
  </si>
  <si>
    <t>소방안전 업무 대행 계약</t>
  </si>
  <si>
    <t>매월 말일 10만원(VAT 별도) 자동이체</t>
  </si>
  <si>
    <t>엘리베이터 관리 계약</t>
  </si>
  <si>
    <t>매월 25일 이체 필요</t>
  </si>
  <si>
    <t>### 정화조 청소</t>
  </si>
  <si>
    <t>2016년8월 중 시행했다고 함</t>
  </si>
  <si>
    <t>2016.10.11.</t>
  </si>
  <si>
    <t>B101JK골프.임대보증금반환</t>
  </si>
  <si>
    <t>신한은행 598 04 135060 임철균</t>
  </si>
  <si>
    <t>2016.10.12.</t>
  </si>
  <si>
    <t>상하수도요금.물이용부담금(7월3일~9월2일)</t>
  </si>
  <si>
    <t>국민.전용입금계좌.673090-78-307389</t>
  </si>
  <si>
    <t>전기요금</t>
  </si>
  <si>
    <t>지로. 고객번호 01 0312 1024</t>
  </si>
  <si>
    <t>2016.10.29.</t>
  </si>
  <si>
    <t>옥션.500매.7000+2500</t>
  </si>
  <si>
    <t>2016.10.27.</t>
  </si>
  <si>
    <t>함영님.아주머니.급여</t>
  </si>
  <si>
    <t>소방안전 관리비용.월11만원</t>
  </si>
  <si>
    <t>자동이체.프라임방재</t>
  </si>
  <si>
    <t>엘리베이터 관리비용(9,10월)월9만원</t>
  </si>
  <si>
    <t>신한은행 140-010-403800 DAK 엘리베이터</t>
  </si>
  <si>
    <t>501대한전기.전기요금</t>
  </si>
  <si>
    <t>302세움아트.전기요금</t>
  </si>
  <si>
    <t>(전기요금 제외 입금)</t>
  </si>
  <si>
    <t xml:space="preserve">
</t>
  </si>
  <si>
    <t>합계 2048407 - 입금착오 추가입금 정리</t>
  </si>
  <si>
    <t>2016.11.2.</t>
  </si>
  <si>
    <t>B102바비스토리전기요금(9,10월)</t>
  </si>
  <si>
    <t>(전기요금 추가 입금)</t>
  </si>
  <si>
    <t>2016.11.8.</t>
  </si>
  <si>
    <t>(원래 2962656원.착오기재 -&gt; 230000원 차액 추가 납입 요정)</t>
  </si>
  <si>
    <t>합계 2922656 - 입금착오 추가입금 정리</t>
  </si>
  <si>
    <t>엘리베이터 관리비용(11월)월9만원</t>
  </si>
  <si>
    <t>2016.11.31.</t>
  </si>
  <si>
    <t>지로(seoulbrain)</t>
  </si>
  <si>
    <t>지로(seoulbrain)  PNL고객번호 01 0312 1024</t>
  </si>
  <si>
    <t>2016.11.28.</t>
  </si>
  <si>
    <t>302세움아트.수도요금</t>
  </si>
  <si>
    <t>501대한전기.수도요금</t>
  </si>
  <si>
    <t>B102바비스토리전기요금</t>
  </si>
  <si>
    <t>B102바비스토리수도요금</t>
  </si>
  <si>
    <t>엘리베이터 시스템업그레이드 계약금</t>
  </si>
  <si>
    <t>2016.12.8.</t>
  </si>
  <si>
    <t>기장료(10,11월)</t>
  </si>
  <si>
    <t>건물수리.공사비.계약금</t>
  </si>
  <si>
    <t>계약금/중도금/잔금60000000</t>
  </si>
  <si>
    <t xml:space="preserve">B101.공사비.계약금
</t>
  </si>
  <si>
    <t>2016.12.13.</t>
  </si>
  <si>
    <t>101롤리우드임대료(임대료.원금)</t>
  </si>
  <si>
    <t>함영님.아주머니.급여.(히터관리10)</t>
  </si>
  <si>
    <t>소방안전 관리비용.월11만원.자동이체</t>
  </si>
  <si>
    <t xml:space="preserve">B101.계약금/중도금/잔금26000000
</t>
  </si>
  <si>
    <t>*상하수도요금.물이용부담금(7월3일~9월2일)</t>
  </si>
  <si>
    <t xml:space="preserve">*(기장료.121000)
</t>
  </si>
  <si>
    <t>101롤리우드임대료(관리비포함.11월분완납)</t>
  </si>
  <si>
    <t>2016.12.28.</t>
  </si>
  <si>
    <t>건물수리.공사비.중도금</t>
  </si>
  <si>
    <t>2017.1.13.</t>
  </si>
  <si>
    <t>세금계산서 지연수취 가산금(대한전기)</t>
  </si>
  <si>
    <t>신한 140-003-703333 대한전기</t>
  </si>
  <si>
    <t>부가세납부</t>
  </si>
  <si>
    <t>국민은행 위탁계좌 001392-16-767841</t>
  </si>
  <si>
    <t>2017.1.26.</t>
  </si>
  <si>
    <t>함영님.아주머니.급여.(설20)</t>
  </si>
  <si>
    <t>상하수도요금.물이용부담금(11월~1월)</t>
  </si>
  <si>
    <t xml:space="preserve">기장료
</t>
  </si>
  <si>
    <t>기장료 월 11만원(부가세포함)</t>
  </si>
  <si>
    <t>엘리베이터 관리비용</t>
  </si>
  <si>
    <t>202비엔엠.임대료.전기요금</t>
  </si>
  <si>
    <t>B102바비스토리.임대료</t>
  </si>
  <si>
    <t>B102바비스토리.전기료</t>
  </si>
  <si>
    <t>B102바비스토리.수도료</t>
  </si>
  <si>
    <t>301서울브레인신경과</t>
  </si>
  <si>
    <t>건물수리.공사비.잔금</t>
  </si>
  <si>
    <t>우리은행 1002-352-064299 이선임.주차차단기209만원제외</t>
  </si>
  <si>
    <t>202비엔엠.수도요금</t>
  </si>
  <si>
    <t>2017.2.6.</t>
  </si>
  <si>
    <t xml:space="preserve">소방안전교육.등록비
</t>
  </si>
  <si>
    <t>지정계좌.국민 708190-13-038087 삼화빌딩</t>
  </si>
  <si>
    <t>엘리베이터교육.등록비</t>
  </si>
  <si>
    <t>교육시.직접.납부</t>
  </si>
  <si>
    <t>502테무임대료(12월.미납.1월임대료납부)</t>
  </si>
  <si>
    <t>201디자인삼층임대료.11월.임대전기</t>
  </si>
  <si>
    <t>201디자인삼층임대료.12월.임대전기</t>
  </si>
  <si>
    <t>201디자인삼층임대료.1월.임대전기수도</t>
  </si>
  <si>
    <t>201디자인삼층임대료.11월.수도</t>
  </si>
  <si>
    <t>국민은행 426602-01-512690 서창희</t>
  </si>
  <si>
    <t>301서울브레인신경과.임대료.전기요금</t>
  </si>
  <si>
    <t>함영님.아주머니.급여.</t>
  </si>
  <si>
    <t>자동이체</t>
  </si>
  <si>
    <t>2017.2.25.</t>
  </si>
  <si>
    <t>102제이랩임대료.전기요금</t>
  </si>
  <si>
    <t>2017.2.27.</t>
  </si>
  <si>
    <t>402MKS임대.전기료</t>
  </si>
  <si>
    <t>2017.3.1.</t>
  </si>
  <si>
    <t>B102바비스토리.전기료(2월)</t>
  </si>
  <si>
    <t>2017.3.3.</t>
  </si>
  <si>
    <t>401매스21임대료.전기료</t>
  </si>
  <si>
    <t>2017.3.6.</t>
  </si>
  <si>
    <t>101롤리우드임대료.전기요금.2017.2월분</t>
  </si>
  <si>
    <t>엘리베이터 시스템업그레이드 잔금</t>
  </si>
  <si>
    <t>엘리베이터 인테리어비용</t>
  </si>
  <si>
    <t>2017.3.16</t>
  </si>
  <si>
    <t xml:space="preserve">503호 계약금 </t>
  </si>
  <si>
    <t>현금. 이찬호(Mickey Lee)</t>
  </si>
  <si>
    <t>101롤리우드임대료.전기수도.2017.1월분</t>
  </si>
  <si>
    <t>롤리우드.유태욱.   12,629,151원 이체해드림.우리은행</t>
  </si>
  <si>
    <t>101롤리우드임대료.전기.2016.12월분</t>
  </si>
  <si>
    <t>101롤리우드임대료.전기수도.2017.3월정산</t>
  </si>
  <si>
    <t>3월1일~17일</t>
  </si>
  <si>
    <t>롤리우드.임대보증금 정산</t>
  </si>
  <si>
    <t>101호.임대보증금.권용기</t>
  </si>
  <si>
    <t>권용기.이체</t>
  </si>
  <si>
    <t>자동이체25일</t>
  </si>
  <si>
    <t>102제이랩임대료.전기.수도.요금</t>
  </si>
  <si>
    <t>2017.3.28.</t>
  </si>
  <si>
    <t>101버터밀크비스켓</t>
  </si>
  <si>
    <t>401매스21임대료.전기료.수도료</t>
  </si>
  <si>
    <t>301서울브레인신경과.수도요금</t>
  </si>
  <si>
    <t>202비엔엠.임대료.전기요금.수도요금</t>
  </si>
  <si>
    <t>402MKS임대.전기수도료</t>
  </si>
  <si>
    <t>B102바비스토리.임대료(2월)</t>
  </si>
  <si>
    <t>2017.4.4.</t>
  </si>
  <si>
    <t>B102바비스토리.전기료(3월)</t>
  </si>
  <si>
    <t>B102바비스토리.수도료(3월)</t>
  </si>
  <si>
    <t>502테무임대료(12월)</t>
  </si>
  <si>
    <t>502테무임대료(2월)</t>
  </si>
  <si>
    <t>502테무임대료(3월)</t>
  </si>
  <si>
    <t>부가가치세 예납</t>
  </si>
  <si>
    <t>가상계좌 국민 0013-92-4757179-6</t>
  </si>
  <si>
    <t>2017.4.10.</t>
  </si>
  <si>
    <t>503호.중도금.</t>
  </si>
  <si>
    <t>503호.잔금.</t>
  </si>
  <si>
    <t>2017.4.20.</t>
  </si>
  <si>
    <t>503호.중개수수료.</t>
  </si>
  <si>
    <t>부가세포함. 신한은행 905-04-047166 예금주 이상훈</t>
  </si>
  <si>
    <t>지로 고객번호 01 0312 1024</t>
  </si>
  <si>
    <t>2017.4.26.</t>
  </si>
  <si>
    <t>이종현.급여</t>
  </si>
  <si>
    <t>국민 026402-04-172835 이종현</t>
  </si>
  <si>
    <t>101버터밀크비스켓.임대료.전기요금</t>
  </si>
  <si>
    <t>2017.4.30.</t>
  </si>
  <si>
    <t>503올고톡임대료</t>
  </si>
  <si>
    <t>B102바비스토리.임대료(3월)</t>
  </si>
  <si>
    <t>2017.5.2.</t>
  </si>
  <si>
    <t>B102바비스토리.전기료(4월)</t>
  </si>
  <si>
    <t>2017.5.30.</t>
  </si>
  <si>
    <t>프라임방재.공사대금</t>
  </si>
  <si>
    <t>기업은행 2692-5475-00 프라임방재</t>
  </si>
  <si>
    <t>서창희</t>
  </si>
  <si>
    <t>상하수도요금</t>
  </si>
  <si>
    <t>102제이랩임대료.전기수도요금</t>
  </si>
  <si>
    <t>2017.5.26.</t>
  </si>
  <si>
    <t>2017.5.28.</t>
  </si>
  <si>
    <t>101버터밀크비스켓.임대료.전기수도요금</t>
  </si>
  <si>
    <t>2017.5.29.</t>
  </si>
  <si>
    <t>502테무임대료(4월)</t>
  </si>
  <si>
    <t>301서울브레인신경과.임대료.전기수도요금</t>
  </si>
  <si>
    <t>401매스21임대료.전기수도료</t>
  </si>
  <si>
    <t>2017.6.2.</t>
  </si>
  <si>
    <t>B102바비스토리.임대료(4월)</t>
  </si>
  <si>
    <t>B102바비스토리.전기료(5월)</t>
  </si>
  <si>
    <t>B102바비스토리.수도료(5월)</t>
  </si>
  <si>
    <t>2017.6.22.</t>
  </si>
  <si>
    <t>국민 163490-12-265520 이일근</t>
  </si>
  <si>
    <t>국민 115390-12-989416 이일근</t>
  </si>
  <si>
    <t>201호.계약금.박준형</t>
  </si>
  <si>
    <t>201호.보증금.잔금.박준형</t>
  </si>
  <si>
    <t>201호.6월관리비(임대료는7월1일부터.부과)</t>
  </si>
  <si>
    <t>201호디자인삼층.보증금반환</t>
  </si>
  <si>
    <t>(10000000-9776061) 신한은행 140 010 233174 디자인삼층</t>
  </si>
  <si>
    <t>삼화빌딩.삼화사.소액소송.답변서.비용</t>
  </si>
  <si>
    <t>신한.110-283-991854 김영섭 (세금계산서+)</t>
  </si>
  <si>
    <t>201호.중개수수료.</t>
  </si>
  <si>
    <t>2017.6.26.</t>
  </si>
  <si>
    <t>정화조.청소비용</t>
  </si>
  <si>
    <t>국민은행 809-01-0157-218 한성성업(주)</t>
  </si>
  <si>
    <t>2017.6.28.</t>
  </si>
  <si>
    <t>503올고톡임대료.전기요금</t>
  </si>
  <si>
    <t>2017.7.31.</t>
  </si>
  <si>
    <t>citicard 자동이체</t>
  </si>
  <si>
    <t>2017.7.24.</t>
  </si>
  <si>
    <t xml:space="preserve">국민은행 426602-01-512690 서창희 </t>
  </si>
  <si>
    <t>국민 673090-78-307389 이일근</t>
  </si>
  <si>
    <t>B102바비스토리.전기료(6월)</t>
  </si>
  <si>
    <t>우산포장기.옴니팩</t>
  </si>
  <si>
    <t>국민은행 524901-01-030066 에이앤에스개발</t>
  </si>
  <si>
    <t>5층.화장실.변기공사비(부가세포함)</t>
  </si>
  <si>
    <t>하나은행 589-910001-61404 박(실장) 대원이씨엠(주)</t>
  </si>
  <si>
    <t>삼화빌딩재산세.건물분</t>
  </si>
  <si>
    <t>국민(가상계좌) 408492-13-631133 서울재산이일근</t>
  </si>
  <si>
    <t>국민은행 001-4923-8836-87-3 가상계좌</t>
  </si>
  <si>
    <t>2017.7.26.</t>
  </si>
  <si>
    <t>통합사회보험료.7월분(8/10.납부기한)</t>
  </si>
  <si>
    <t>건강보험5,6월분</t>
  </si>
  <si>
    <t>국민연금5,6월분</t>
  </si>
  <si>
    <t>2017.7.25.</t>
  </si>
  <si>
    <t>2017.7.28.</t>
  </si>
  <si>
    <t>2017.7.29.</t>
  </si>
  <si>
    <t>초과납부</t>
  </si>
  <si>
    <t>2017.7.30.</t>
  </si>
  <si>
    <t>201아티스.임대료.전기수도요금</t>
  </si>
  <si>
    <t>국민은행 426602-01-512690 서창희 (SBNC.account...)</t>
  </si>
  <si>
    <t>공인인증서.갱신</t>
  </si>
  <si>
    <t>국민은행</t>
  </si>
  <si>
    <t>2017.8.25.</t>
  </si>
  <si>
    <t>502테무임대료.전기요금(8월)</t>
  </si>
  <si>
    <t>2017.8.28.</t>
  </si>
  <si>
    <t>2017.8.29.</t>
  </si>
  <si>
    <t>초과납부 상계</t>
  </si>
  <si>
    <t>201아티스.임대료.전기요금</t>
  </si>
  <si>
    <t>통합사회보험료.8월분(9/10.납부기한)</t>
  </si>
  <si>
    <t xml:space="preserve">가상계좌 KB국민 650790-72-703809 </t>
  </si>
  <si>
    <t>502테무임대료(5월)</t>
  </si>
  <si>
    <t>502테무임대료(6월)</t>
  </si>
  <si>
    <t>502테무임대료(7월)</t>
  </si>
  <si>
    <t>추석10만추가</t>
  </si>
  <si>
    <t>2017.9.26.</t>
  </si>
  <si>
    <t>2017.9.15.</t>
  </si>
  <si>
    <t>동부.화재보험.소멸성.1년</t>
  </si>
  <si>
    <t>국민 097890-13-898862 동부화재</t>
  </si>
  <si>
    <t>삼화빌딩재산세.토지분</t>
  </si>
  <si>
    <t xml:space="preserve">국민(가상) 407-592524-25145 </t>
  </si>
  <si>
    <t>2017.9.16.</t>
  </si>
  <si>
    <t>주차장.누수공사비50%.그린.이정우</t>
  </si>
  <si>
    <t>465만원*0.5*1.1. 하나은행.847-910189-11307 이정우</t>
  </si>
  <si>
    <t>503올고톡임대료관리비전기수도</t>
  </si>
  <si>
    <t>2017.9.27.</t>
  </si>
  <si>
    <t>2017.10..</t>
  </si>
  <si>
    <t>교통유발부담금</t>
  </si>
  <si>
    <t>신한은행 562-049-54506662</t>
  </si>
  <si>
    <t>부가가치세</t>
  </si>
  <si>
    <t>국민은행 0014-92-8776087-9</t>
  </si>
  <si>
    <t>예현금</t>
  </si>
  <si>
    <t>MMF.T+예금+debt</t>
  </si>
  <si>
    <t>fund</t>
  </si>
  <si>
    <t>stockbond</t>
  </si>
  <si>
    <t>Mi</t>
  </si>
  <si>
    <t>Keun</t>
  </si>
  <si>
    <t>insu</t>
  </si>
  <si>
    <t>real E.</t>
  </si>
  <si>
    <t>USD(USA)</t>
  </si>
  <si>
    <t>홍보용소설</t>
  </si>
  <si>
    <t>교보</t>
  </si>
  <si>
    <t>에스24</t>
  </si>
  <si>
    <t>알라딘</t>
  </si>
  <si>
    <t>USD(집) (x1100)</t>
  </si>
  <si>
    <t>2016.9.18.</t>
  </si>
  <si>
    <t>USD(KB) 외화정기</t>
  </si>
  <si>
    <t>2016.9.21.</t>
  </si>
  <si>
    <t>미향대출</t>
  </si>
  <si>
    <t>국민기업PNL</t>
  </si>
  <si>
    <t>국민은행 예금(3)/MMT/MMF</t>
  </si>
  <si>
    <t>키움증권</t>
  </si>
  <si>
    <t>신한은행 예금(2)/MMF(2)</t>
  </si>
  <si>
    <t>[20000]</t>
  </si>
  <si>
    <t>여행적립</t>
  </si>
  <si>
    <t>200(2017.3)</t>
  </si>
  <si>
    <t>현대증권</t>
  </si>
  <si>
    <t>씨티은행 예금(2)MMF</t>
  </si>
  <si>
    <t>Wooribank</t>
  </si>
  <si>
    <t>대신증권(미래에셋상장주포함)</t>
  </si>
  <si>
    <t>키움증권(박미향)</t>
  </si>
  <si>
    <t>[000]</t>
  </si>
  <si>
    <t>KEB</t>
  </si>
  <si>
    <t>동양증권(이일근)</t>
  </si>
  <si>
    <t>국민 09769060027077</t>
  </si>
  <si>
    <t>미래에셋증권(이종현)</t>
  </si>
  <si>
    <t>[3500]</t>
  </si>
  <si>
    <t>미래에셋증권(이종민)</t>
  </si>
  <si>
    <t>[3000]</t>
  </si>
  <si>
    <t>미래에셋증권(박미향)</t>
  </si>
  <si>
    <t>[80000]</t>
  </si>
  <si>
    <t>미향현금</t>
  </si>
  <si>
    <t>신사동 전세보증금</t>
  </si>
  <si>
    <t>M Tower 보증금 - 보류상태</t>
  </si>
  <si>
    <t>((1000))</t>
  </si>
  <si>
    <t>서울시니어스 보증금</t>
  </si>
  <si>
    <t>[14538.6]</t>
  </si>
  <si>
    <t>선수54.84</t>
  </si>
  <si>
    <t xml:space="preserve">대우증권 </t>
  </si>
  <si>
    <t>대우증권(미향)</t>
  </si>
  <si>
    <t>KDB account?</t>
  </si>
  <si>
    <t>종민적립(2011.10.~ 400+200)</t>
  </si>
  <si>
    <t>비용/감가 적립(2011.1.~ 월100)</t>
  </si>
  <si>
    <t>-&gt;</t>
  </si>
  <si>
    <t>CD1900</t>
  </si>
  <si>
    <t>health expense(2011.1.~ 월30)</t>
  </si>
  <si>
    <t>EEG160</t>
  </si>
  <si>
    <t>차등적립</t>
  </si>
  <si>
    <t>NCS104</t>
  </si>
  <si>
    <t>혈압기80</t>
  </si>
  <si>
    <t>임대현황</t>
  </si>
  <si>
    <t>2013.1.1.국토부공시가</t>
  </si>
  <si>
    <t>2014.1.1.</t>
  </si>
  <si>
    <t>목동</t>
  </si>
  <si>
    <t>5.3억+35</t>
  </si>
  <si>
    <t>광장동(박미향)</t>
  </si>
  <si>
    <t>3.3억</t>
  </si>
  <si>
    <t>부평(박미향)</t>
  </si>
  <si>
    <t>대전 보증금(박인서)</t>
  </si>
  <si>
    <t>목동보증금</t>
  </si>
  <si>
    <t>월35</t>
  </si>
  <si>
    <t>광장동보증금</t>
  </si>
  <si>
    <t>PNL</t>
  </si>
  <si>
    <t>신사동566-14.15 (논현로159길17)</t>
  </si>
  <si>
    <t>전세보증금</t>
  </si>
  <si>
    <t>국민은행.대출</t>
  </si>
  <si>
    <t>6억</t>
  </si>
  <si>
    <t xml:space="preserve">미향에게.4억차용(주1.박미연1) </t>
  </si>
  <si>
    <t>5.3(8.6)</t>
  </si>
  <si>
    <t>전세 목동5.3억 광장3.3억</t>
  </si>
  <si>
    <t>P</t>
  </si>
  <si>
    <t>근</t>
  </si>
  <si>
    <t>premium 2013.11.6.</t>
  </si>
  <si>
    <t>keun</t>
  </si>
  <si>
    <t>잔금(기 납부분) 11/13</t>
  </si>
  <si>
    <t>2017년9월1일 후 성년증여 가능</t>
  </si>
  <si>
    <t>2014.3.17.</t>
  </si>
  <si>
    <t>향</t>
  </si>
  <si>
    <t>2014.7.3.</t>
  </si>
  <si>
    <t>2016.2.3.</t>
  </si>
  <si>
    <t>2011.3.5.</t>
  </si>
  <si>
    <t>2016.3.28.</t>
  </si>
  <si>
    <t>2016.5.11.</t>
  </si>
  <si>
    <t>실제비용</t>
  </si>
  <si>
    <t>(+P)</t>
  </si>
  <si>
    <t>송학복비</t>
  </si>
  <si>
    <t>옵션(1)</t>
  </si>
  <si>
    <t>옵션(2)</t>
  </si>
  <si>
    <t>옵션(3)</t>
  </si>
  <si>
    <t>&lt;잔금&gt;2016.3.28.</t>
  </si>
  <si>
    <t>취득세</t>
  </si>
  <si>
    <t>2020.IFRS4 2단계</t>
  </si>
  <si>
    <t>1588-5005</t>
  </si>
  <si>
    <t>개시일연기</t>
  </si>
  <si>
    <t>ING 연금보험(2012.2.21.개시)</t>
  </si>
  <si>
    <t>2020.2.(57세개시)</t>
  </si>
  <si>
    <t>3%(3.6)</t>
  </si>
  <si>
    <t>(2017.10.)</t>
  </si>
  <si>
    <t>ING 연금보험 (박미향)</t>
  </si>
  <si>
    <t>2019.12.</t>
  </si>
  <si>
    <t>5%(5)</t>
  </si>
  <si>
    <t>(2017.9.)</t>
  </si>
  <si>
    <t>ING (이일근)</t>
  </si>
  <si>
    <t>2019.12.(57세개시)</t>
  </si>
  <si>
    <t>월15?(완)</t>
  </si>
  <si>
    <t>ING (이일근/이종현)</t>
  </si>
  <si>
    <t>2038.7.(45세)</t>
  </si>
  <si>
    <t>PCA (박미향)</t>
  </si>
  <si>
    <t>사업비</t>
  </si>
  <si>
    <t>121회차2018부터</t>
  </si>
  <si>
    <t>14-&gt;7%</t>
  </si>
  <si>
    <t>월200</t>
  </si>
  <si>
    <t>(2017.6.)</t>
  </si>
  <si>
    <t>Metlife (박미향/이종민)</t>
  </si>
  <si>
    <t>월 155</t>
  </si>
  <si>
    <t>(2017.4.)</t>
  </si>
  <si>
    <t>Metlife (이일근)</t>
  </si>
  <si>
    <t>월 30</t>
  </si>
  <si>
    <t>ING 종신 (이일근)</t>
  </si>
  <si>
    <t>60세납</t>
  </si>
  <si>
    <t>월33</t>
  </si>
  <si>
    <t>ING 종신 (박미향)</t>
  </si>
  <si>
    <t>대한생명 (국민2006) 연금 300/년</t>
  </si>
  <si>
    <t>(100추)</t>
  </si>
  <si>
    <t>2006.11.~(10년만기. 17.11개시)</t>
  </si>
  <si>
    <t>((2016.4.))</t>
  </si>
  <si>
    <t>(420/12 = 35/월. 증액)</t>
  </si>
  <si>
    <t>2017.10.의무</t>
  </si>
  <si>
    <t>3800평가</t>
  </si>
  <si>
    <t>대한 종신 (이종현)</t>
  </si>
  <si>
    <t>2008~</t>
  </si>
  <si>
    <t>월 15</t>
  </si>
  <si>
    <t>55세이후연금수령</t>
  </si>
  <si>
    <t>대한 종신 (이종민)</t>
  </si>
  <si>
    <t>2013?~</t>
  </si>
  <si>
    <t>세제변경</t>
  </si>
  <si>
    <t>노란우산공제 (이일근)</t>
  </si>
  <si>
    <t>2010.5.~</t>
  </si>
  <si>
    <t>월25</t>
  </si>
  <si>
    <t>(2015.9.)</t>
  </si>
  <si>
    <t>외환은행 변액연금 외(박미향)</t>
  </si>
  <si>
    <t>미래에셋주식형</t>
  </si>
  <si>
    <t>2007.4.</t>
  </si>
  <si>
    <t>(2016.3.)</t>
  </si>
  <si>
    <t>한화연금보험</t>
  </si>
  <si>
    <t>동부연금보험</t>
  </si>
  <si>
    <t>2010.12.15(10년)</t>
  </si>
  <si>
    <t>월18</t>
  </si>
  <si>
    <t>교보생명연금보험(박미향)</t>
  </si>
  <si>
    <t>2000.5.</t>
  </si>
  <si>
    <t>6.5%+</t>
  </si>
  <si>
    <t>월15</t>
  </si>
  <si>
    <t>KDB 연금보험(이일근)</t>
  </si>
  <si>
    <t>2015.9.~</t>
  </si>
  <si>
    <t>월50</t>
  </si>
  <si>
    <t>(2016.4.)</t>
  </si>
  <si>
    <t>사업자번호</t>
  </si>
  <si>
    <t>211-10-21870</t>
  </si>
  <si>
    <t>298-04-00449</t>
  </si>
  <si>
    <t>720-32-00051</t>
  </si>
  <si>
    <t>261-81-02257</t>
  </si>
  <si>
    <t>201-06-71129</t>
  </si>
  <si>
    <t>211-87-84329</t>
  </si>
  <si>
    <t>120-87-43696</t>
  </si>
  <si>
    <t>745-87-00012</t>
  </si>
  <si>
    <t>211-86-76652</t>
  </si>
  <si>
    <t>261-81-03770</t>
  </si>
  <si>
    <t>면적</t>
  </si>
  <si>
    <t>고객번호</t>
  </si>
  <si>
    <t>01-0312-1024</t>
  </si>
  <si>
    <t>검침일</t>
  </si>
  <si>
    <t>B101</t>
  </si>
  <si>
    <t>B102</t>
  </si>
  <si>
    <t>전기계량</t>
  </si>
  <si>
    <t>엘리베이터</t>
  </si>
  <si>
    <t>건물전체</t>
  </si>
  <si>
    <t>청구요금</t>
  </si>
  <si>
    <t>TV</t>
  </si>
  <si>
    <t>지침</t>
  </si>
  <si>
    <t>사용량(청구)</t>
  </si>
  <si>
    <t>홀수달3일</t>
  </si>
  <si>
    <t>수도지침</t>
  </si>
  <si>
    <t>사용량(톤)</t>
  </si>
  <si>
    <t>호수</t>
  </si>
  <si>
    <t>바비스토리</t>
  </si>
  <si>
    <t>롤리우드</t>
  </si>
  <si>
    <t>제이랩</t>
  </si>
  <si>
    <t>(주)디자인삼층</t>
  </si>
  <si>
    <t>B&amp;M커뮤니케이션</t>
  </si>
  <si>
    <t>서울브레인</t>
  </si>
  <si>
    <t>(주)세움아트</t>
  </si>
  <si>
    <t>매스21</t>
  </si>
  <si>
    <t>MKS</t>
  </si>
  <si>
    <t>대한전기</t>
  </si>
  <si>
    <t>테무</t>
  </si>
  <si>
    <t>올고톡</t>
  </si>
  <si>
    <t>매월11일</t>
  </si>
  <si>
    <t>번호2243</t>
  </si>
  <si>
    <t>업장.가중</t>
  </si>
  <si>
    <t>2016년9월분</t>
  </si>
  <si>
    <t>2016.9.2.</t>
  </si>
  <si>
    <t>SBNC</t>
  </si>
  <si>
    <t>임대료(일할계산)</t>
  </si>
  <si>
    <t>VAT</t>
  </si>
  <si>
    <t>2016.9.26.</t>
  </si>
  <si>
    <t>3개월 분</t>
  </si>
  <si>
    <t>합계</t>
  </si>
  <si>
    <t xml:space="preserve">11-12월분
</t>
  </si>
  <si>
    <t>롤리우드5개월</t>
  </si>
  <si>
    <t>롤리우드.정산</t>
  </si>
  <si>
    <t>부가세</t>
  </si>
  <si>
    <t>세금계산서</t>
  </si>
  <si>
    <t xml:space="preserve">ㅇㅇ
</t>
  </si>
  <si>
    <t>ㅇㅇ</t>
  </si>
  <si>
    <t>2017.1.3.</t>
  </si>
  <si>
    <t>상수계산</t>
  </si>
  <si>
    <t>월평균</t>
  </si>
  <si>
    <t>임대관리</t>
  </si>
  <si>
    <t>2017.3.2.</t>
  </si>
  <si>
    <t>3/1~17</t>
  </si>
  <si>
    <t>전기</t>
  </si>
  <si>
    <t>2016년10월분</t>
  </si>
  <si>
    <t>VAT별도</t>
  </si>
  <si>
    <t>2016.10.24.</t>
  </si>
  <si>
    <t>수도</t>
  </si>
  <si>
    <t>임대료총액</t>
  </si>
  <si>
    <t>2016.11.11.</t>
  </si>
  <si>
    <t>미납연체</t>
  </si>
  <si>
    <t>2016.12.</t>
  </si>
  <si>
    <t>전기요금총액(9,10월)</t>
  </si>
  <si>
    <t>VAT포함</t>
  </si>
  <si>
    <t>201호:</t>
  </si>
  <si>
    <t>6월1~22:</t>
  </si>
  <si>
    <t>임대+전기 총액</t>
  </si>
  <si>
    <t>501호</t>
  </si>
  <si>
    <t>임대료8</t>
  </si>
  <si>
    <t>관리비2</t>
  </si>
  <si>
    <t>층별</t>
  </si>
  <si>
    <t>9.13~10.11.</t>
  </si>
  <si>
    <t>호별</t>
  </si>
  <si>
    <t>9.26~10.11.(15)</t>
  </si>
  <si>
    <t>각 계산서</t>
  </si>
  <si>
    <t>임대료</t>
  </si>
  <si>
    <t>전기료</t>
  </si>
  <si>
    <t>9.13.~10.11.</t>
  </si>
  <si>
    <t>다음달190만원</t>
  </si>
  <si>
    <t>10.11~10.24.(13)</t>
  </si>
  <si>
    <t>2016년11월분</t>
  </si>
  <si>
    <t>10.11~10.24.</t>
  </si>
  <si>
    <t>1개월</t>
  </si>
  <si>
    <t>전기요금총액</t>
  </si>
  <si>
    <t>2개월</t>
  </si>
  <si>
    <t>감액40만</t>
  </si>
  <si>
    <t>elev.호당</t>
  </si>
  <si>
    <t>(elev.추가)</t>
  </si>
  <si>
    <t>수도료(3개월)</t>
  </si>
  <si>
    <t>임대+전기+수도 총액</t>
  </si>
  <si>
    <t>ㅇㅇㅇ</t>
  </si>
  <si>
    <t xml:space="preserve">ㅇㅇㅇ
</t>
  </si>
  <si>
    <t>ooo</t>
  </si>
  <si>
    <t>10.12~11.11</t>
  </si>
  <si>
    <t>3층250+B1.100</t>
  </si>
  <si>
    <t>전기료/수도료</t>
  </si>
  <si>
    <t xml:space="preserve">17.2월부터350만
</t>
  </si>
  <si>
    <t xml:space="preserve">다음달 238.일할
</t>
  </si>
  <si>
    <t>2016년12월분</t>
  </si>
  <si>
    <t>11.12.~12.12.</t>
  </si>
  <si>
    <t>oo</t>
  </si>
  <si>
    <t xml:space="preserve">oo
</t>
  </si>
  <si>
    <t>ㅇㅇ.12/31로..</t>
  </si>
  <si>
    <t>o</t>
  </si>
  <si>
    <t xml:space="preserve">부과액
</t>
  </si>
  <si>
    <t>2017년1월분</t>
  </si>
  <si>
    <t>2017.1.12.</t>
  </si>
  <si>
    <t>*1만추가</t>
  </si>
  <si>
    <t>12.12~2017.1.12</t>
  </si>
  <si>
    <t>수도료(2개월 12,1)</t>
  </si>
  <si>
    <t>부과액</t>
  </si>
  <si>
    <t xml:space="preserve">o
</t>
  </si>
  <si>
    <t xml:space="preserve">2017.2.10.
</t>
  </si>
  <si>
    <t>2017년2월분</t>
  </si>
  <si>
    <t xml:space="preserve">층별
</t>
  </si>
  <si>
    <t>임대료+전기료</t>
  </si>
  <si>
    <t>2017.3.10.</t>
  </si>
  <si>
    <t>부가세합계</t>
  </si>
  <si>
    <t>x</t>
  </si>
  <si>
    <t>랍스터바</t>
  </si>
  <si>
    <t>2017년3월분</t>
  </si>
  <si>
    <t>2017.3.17.저녁</t>
  </si>
  <si>
    <t>사용 360</t>
  </si>
  <si>
    <t>(x177.4)</t>
  </si>
  <si>
    <t>(일할)</t>
  </si>
  <si>
    <t>수도요금(2개월 2,3)</t>
  </si>
  <si>
    <t>총 부과액</t>
  </si>
  <si>
    <t>임대+전기+수도</t>
  </si>
  <si>
    <t>2017.4.12.</t>
  </si>
  <si>
    <t>임대+전기</t>
  </si>
  <si>
    <t>임대전기부가세</t>
  </si>
  <si>
    <t>(유틸리티.이월)</t>
  </si>
  <si>
    <t>"120*11/30"</t>
  </si>
  <si>
    <t>2017년4월분</t>
  </si>
  <si>
    <t>(합산)</t>
  </si>
  <si>
    <t>(x14/31)</t>
  </si>
  <si>
    <t>2017.5.11.</t>
  </si>
  <si>
    <t>2017.6.12.</t>
  </si>
  <si>
    <t>2017년5월분</t>
  </si>
  <si>
    <t>수도요금(2개월 4,5)</t>
  </si>
  <si>
    <t>(공용50/1층)</t>
  </si>
  <si>
    <t>x-2,3,4,5월</t>
  </si>
  <si>
    <t>7월부터 134만</t>
  </si>
  <si>
    <t>2017년6월분</t>
  </si>
  <si>
    <t>2017.8.11.</t>
  </si>
  <si>
    <t>2017.9.11.</t>
  </si>
  <si>
    <t>201호.수도요금</t>
  </si>
  <si>
    <t>8/10~227만원</t>
  </si>
  <si>
    <t>8/5~181만원</t>
  </si>
  <si>
    <t>2017년7월분</t>
  </si>
  <si>
    <t>2017.10.11.</t>
  </si>
  <si>
    <t>o.140만원납부</t>
  </si>
  <si>
    <t>일할계산</t>
  </si>
  <si>
    <t>2017년8월분</t>
  </si>
  <si>
    <t>o.상계.1391260</t>
  </si>
  <si>
    <t>일할(9/12~)</t>
  </si>
  <si>
    <t>2017년9월분</t>
  </si>
  <si>
    <t>수도요금(2개월 8,9)</t>
  </si>
  <si>
    <t>2017년10월분</t>
  </si>
  <si>
    <t>버터밀크비스킷</t>
  </si>
  <si>
    <t>아티스.ARTIS</t>
  </si>
  <si>
    <t>B&amp;M comm</t>
  </si>
  <si>
    <t>201호.디자인삼층</t>
  </si>
  <si>
    <t>임대관리총액</t>
  </si>
  <si>
    <t>임대료(22/30)</t>
  </si>
  <si>
    <t>원계약.주차1대</t>
  </si>
  <si>
    <t>Sum</t>
  </si>
  <si>
    <t>상호</t>
  </si>
  <si>
    <t xml:space="preserve">SBNC
</t>
  </si>
  <si>
    <t>메종드에이치</t>
  </si>
  <si>
    <t>메디컬코리아서비스</t>
  </si>
  <si>
    <t>대한전기이엔지</t>
  </si>
  <si>
    <t>올고톡 (orgotalk)</t>
  </si>
  <si>
    <t>644-15-00560</t>
  </si>
  <si>
    <t>605-36-36525</t>
  </si>
  <si>
    <t>205-35-43760</t>
  </si>
  <si>
    <t>사업자명</t>
  </si>
  <si>
    <t>정소라</t>
  </si>
  <si>
    <t>권용기</t>
  </si>
  <si>
    <t>전서연</t>
  </si>
  <si>
    <t>박준형</t>
  </si>
  <si>
    <t>배혜숙</t>
  </si>
  <si>
    <t>신현규</t>
  </si>
  <si>
    <t>박보원</t>
  </si>
  <si>
    <t>김재중</t>
  </si>
  <si>
    <t>이성남</t>
  </si>
  <si>
    <t>김근진</t>
  </si>
  <si>
    <t>이찬호(Mickey Lee)</t>
  </si>
  <si>
    <t>이메일</t>
  </si>
  <si>
    <t>Bomb--007@hanmail.net</t>
  </si>
  <si>
    <t>Ykwon01@yahoo.com</t>
  </si>
  <si>
    <t>wjstjdus422@naver.com</t>
  </si>
  <si>
    <t>junhp2005@naver.com</t>
  </si>
  <si>
    <t>green430@naver.com</t>
  </si>
  <si>
    <t>boyeon906@naver.com</t>
  </si>
  <si>
    <t>kang.sangyoung@gmail.com</t>
  </si>
  <si>
    <t>james@globalmks.com</t>
  </si>
  <si>
    <t>daehan-70@daum.net</t>
  </si>
  <si>
    <t>info@temuic.com</t>
  </si>
  <si>
    <t>ugiwhahak@naver.com</t>
  </si>
  <si>
    <t>전화</t>
  </si>
  <si>
    <t>010-5201-8357</t>
  </si>
  <si>
    <t>010-9603-3964</t>
  </si>
  <si>
    <t>010-3573-0422</t>
  </si>
  <si>
    <t>010-3665-7543</t>
  </si>
  <si>
    <t>010-2590-2141</t>
  </si>
  <si>
    <t>010-4874-8402</t>
  </si>
  <si>
    <t>010-9101-1300</t>
  </si>
  <si>
    <t>010-6730-0394</t>
  </si>
  <si>
    <t>010-5223-4431</t>
  </si>
  <si>
    <t>010-7531-1053</t>
  </si>
  <si>
    <t>010-4224-4008</t>
  </si>
  <si>
    <t>계약기간</t>
  </si>
  <si>
    <t>2017.2월부터</t>
  </si>
  <si>
    <t>2016.9.12.~17.9.11.</t>
  </si>
  <si>
    <t>2017.3.18.~18.3.17.</t>
  </si>
  <si>
    <t>2016.9.12.~18.2.23.</t>
  </si>
  <si>
    <t>2017.7.1.~2018.6.30.</t>
  </si>
  <si>
    <t>2016.11.30.~17.11.29.</t>
  </si>
  <si>
    <t>2017.8.10.~18.8.9.</t>
  </si>
  <si>
    <t>2017.1.4.~18.1.3.</t>
  </si>
  <si>
    <t>2017.8.5.~18.8.4.</t>
  </si>
  <si>
    <t>2016.9.12.~18.3.29.</t>
  </si>
  <si>
    <t>2017.6.25.~18.6.24.</t>
  </si>
  <si>
    <t>2017.4.20.~18.4.19.</t>
  </si>
  <si>
    <t>보증금</t>
  </si>
  <si>
    <t>65억</t>
  </si>
  <si>
    <t>70억</t>
  </si>
  <si>
    <t>월임대료</t>
  </si>
  <si>
    <t>(2016.10.10. 1개월 임대료 80만원 제외 920만원 반환합의)</t>
  </si>
  <si>
    <t>2017.8.18. 월168만원 재계약 동의</t>
  </si>
  <si>
    <t>2016.10.10. 11/30부터 190만원으로 인상 동의 -&gt; 재계약 -&gt; 2017, 196만원 제안</t>
  </si>
  <si>
    <t xml:space="preserve">실측21평.69.3m (/81.7m) 전용률 84.8%
</t>
  </si>
  <si>
    <t>2017.6.14. 월227만원 재계약 동의</t>
  </si>
  <si>
    <t>2016.11.26. 다음 계약 1/4부터 238만원으로 인상 합의-&gt;재계약</t>
  </si>
  <si>
    <t>2017.6.20. 2017.8.5. 부터 월181만원 인상 합의</t>
  </si>
  <si>
    <t>2017.12.부터 후속 임차인 물색</t>
  </si>
  <si>
    <t>2017.4.27. 차기 계약. 6/25부터 134만원 인상 합의</t>
  </si>
  <si>
    <t>층별면적(m2)</t>
  </si>
  <si>
    <t>1월</t>
  </si>
  <si>
    <t>401.매스21</t>
  </si>
  <si>
    <t>(평)</t>
  </si>
  <si>
    <t>2월</t>
  </si>
  <si>
    <t>102.제이랩</t>
  </si>
  <si>
    <t>계약서면적</t>
  </si>
  <si>
    <t>301.SBNC</t>
  </si>
  <si>
    <t>각층 합계</t>
  </si>
  <si>
    <t>B101.SBNC</t>
  </si>
  <si>
    <t>요약서면적(m2)</t>
  </si>
  <si>
    <t>3월</t>
  </si>
  <si>
    <t>101.버터밀크</t>
  </si>
  <si>
    <t>501.대한전기</t>
  </si>
  <si>
    <t>요약서면적(평)</t>
  </si>
  <si>
    <t>4월</t>
  </si>
  <si>
    <t>503.올고톡</t>
  </si>
  <si>
    <t xml:space="preserve">전용률85%
</t>
  </si>
  <si>
    <t>6월</t>
  </si>
  <si>
    <t>201.메종드에이치. 아티스</t>
  </si>
  <si>
    <t>502.테무</t>
  </si>
  <si>
    <t>8월</t>
  </si>
  <si>
    <t>302.세움아트</t>
  </si>
  <si>
    <t>402.MKS</t>
  </si>
  <si>
    <t>9월</t>
  </si>
  <si>
    <t>B102.바비</t>
  </si>
  <si>
    <t>11월</t>
  </si>
  <si>
    <t>202.B&amp;M</t>
  </si>
  <si>
    <t>유태욱</t>
  </si>
  <si>
    <t>강선녀</t>
  </si>
  <si>
    <t>ytu0574@naver.com</t>
  </si>
  <si>
    <t>design3f@naver.com</t>
  </si>
  <si>
    <t>010-6420-2611</t>
  </si>
  <si>
    <t>010-8953-0234</t>
  </si>
  <si>
    <t>2016.9.12.~17.8.31.</t>
  </si>
  <si>
    <t>2016.9.12.~17.7.15.</t>
  </si>
  <si>
    <t>소요액</t>
  </si>
  <si>
    <t>준비액</t>
  </si>
  <si>
    <t>&lt;3%&gt;</t>
  </si>
  <si>
    <t>평</t>
  </si>
  <si>
    <t>층</t>
  </si>
  <si>
    <t>월세</t>
  </si>
  <si>
    <t>평당(70%전용?)</t>
  </si>
  <si>
    <t>계약평(100%)</t>
  </si>
  <si>
    <t>대출액</t>
  </si>
  <si>
    <t>이자율</t>
  </si>
  <si>
    <t>자기자본</t>
  </si>
  <si>
    <t>이자비용</t>
  </si>
  <si>
    <t>세전수익</t>
  </si>
  <si>
    <t>세후수익(35%)</t>
  </si>
  <si>
    <t>비교익1.5%</t>
  </si>
  <si>
    <t>실익(yr)</t>
  </si>
  <si>
    <t>비교익5%</t>
  </si>
  <si>
    <t>비교익3%</t>
  </si>
  <si>
    <t>자본수익률(세후)</t>
  </si>
  <si>
    <t>자본수익률(세전)</t>
  </si>
  <si>
    <t>매매가</t>
  </si>
  <si>
    <t>담보신용대출</t>
  </si>
  <si>
    <t>68(195)</t>
  </si>
  <si>
    <t>다방</t>
  </si>
  <si>
    <t>B1</t>
  </si>
  <si>
    <t>바비</t>
  </si>
  <si>
    <t>2016.3.1.재계약예정. 3000/230</t>
  </si>
  <si>
    <t>전세보증금1</t>
  </si>
  <si>
    <t>15(54.4)</t>
  </si>
  <si>
    <t>골프</t>
  </si>
  <si>
    <t>전세보증금2</t>
  </si>
  <si>
    <t>21(81.2)</t>
  </si>
  <si>
    <t>점포</t>
  </si>
  <si>
    <t>1층</t>
  </si>
  <si>
    <t>BLVD</t>
  </si>
  <si>
    <t>제세금(4.6%)</t>
  </si>
  <si>
    <t>KB</t>
  </si>
  <si>
    <t>복비(0.45%)</t>
  </si>
  <si>
    <t>신한</t>
  </si>
  <si>
    <t>37(107.2)</t>
  </si>
  <si>
    <t>2층</t>
  </si>
  <si>
    <t>B&amp;M</t>
  </si>
  <si>
    <t>2015.11.30.월세30인상</t>
  </si>
  <si>
    <t>대신</t>
  </si>
  <si>
    <t>26(74.5)</t>
  </si>
  <si>
    <t>키움</t>
  </si>
  <si>
    <t>의원</t>
  </si>
  <si>
    <t>3층</t>
  </si>
  <si>
    <t>SEUM.ART</t>
  </si>
  <si>
    <t>29(81.7)</t>
  </si>
  <si>
    <t>라이프엔진</t>
  </si>
  <si>
    <t>미향현금보관</t>
  </si>
  <si>
    <t>20(73.9)</t>
  </si>
  <si>
    <t>사무실</t>
  </si>
  <si>
    <t>4층</t>
  </si>
  <si>
    <t>와이즈커머스</t>
  </si>
  <si>
    <t>미향대용</t>
  </si>
  <si>
    <t>미향40000</t>
  </si>
  <si>
    <t>26(99)</t>
  </si>
  <si>
    <t>주.원장님</t>
  </si>
  <si>
    <t>2016.11.5.경</t>
  </si>
  <si>
    <t>17(50.49)</t>
  </si>
  <si>
    <t>5층</t>
  </si>
  <si>
    <t>현황</t>
  </si>
  <si>
    <t>15(44.4)</t>
  </si>
  <si>
    <t>위니크</t>
  </si>
  <si>
    <t>20(58.1)</t>
  </si>
  <si>
    <t>#사무실119창고34</t>
  </si>
  <si>
    <t>지불액</t>
  </si>
  <si>
    <t>대출</t>
  </si>
  <si>
    <t>제비용</t>
  </si>
  <si>
    <t>계약금</t>
  </si>
  <si>
    <t>잔금85000</t>
  </si>
  <si>
    <t>1층약국임대료</t>
  </si>
  <si>
    <t>확보</t>
  </si>
  <si>
    <t>메디팜.15/평</t>
  </si>
  <si>
    <t>잔고</t>
  </si>
  <si>
    <t>맞은편.38/평</t>
  </si>
  <si>
    <t>x1.05</t>
  </si>
  <si>
    <t>미소.18/평(계약)</t>
  </si>
  <si>
    <t>박미연.</t>
  </si>
  <si>
    <t>m2</t>
  </si>
  <si>
    <t>총연면적</t>
  </si>
  <si>
    <t>복비0.495%</t>
  </si>
  <si>
    <t>건폐율49.32</t>
  </si>
  <si>
    <t>건축면적</t>
  </si>
  <si>
    <t>용적률222.92</t>
  </si>
  <si>
    <t>지상면적</t>
  </si>
  <si>
    <t>관리비용10%</t>
  </si>
  <si>
    <t>주차 자주식7대</t>
  </si>
  <si>
    <t>재산세등.년0.25%(65억x0.7x0.0025=11,375,000)</t>
  </si>
  <si>
    <t>승용.엘리.1대</t>
  </si>
  <si>
    <t>준공1990.12.21</t>
  </si>
  <si>
    <t>철근콘크리트조</t>
  </si>
  <si>
    <t>한전.계약용량.62kw</t>
  </si>
  <si>
    <t>개별냉난방</t>
  </si>
  <si>
    <t xml:space="preserve">계약용량 * 15시간/일 * 30일 =  </t>
  </si>
  <si>
    <t>대지</t>
  </si>
  <si>
    <t xml:space="preserve">계약용량 *450 = </t>
  </si>
  <si>
    <t>62*450 = 27900 kw/mo</t>
  </si>
  <si>
    <t>네오스</t>
  </si>
  <si>
    <t>계약면적</t>
  </si>
  <si>
    <t>실사용</t>
  </si>
  <si>
    <t>최소필요(2/3)</t>
  </si>
  <si>
    <t>x1.1</t>
  </si>
  <si>
    <t>삼화</t>
  </si>
  <si>
    <t>총연면적(평)</t>
  </si>
  <si>
    <t>상층임대료.평</t>
  </si>
  <si>
    <t>실평당</t>
  </si>
  <si>
    <t>250억</t>
  </si>
  <si>
    <t>추정가</t>
  </si>
  <si>
    <t>대지평당지가</t>
  </si>
  <si>
    <t>x1.2</t>
  </si>
  <si>
    <t>년임대료</t>
  </si>
  <si>
    <t>보증금21500</t>
  </si>
  <si>
    <t>2012.8.10.기준</t>
  </si>
  <si>
    <t>박미향 1900</t>
  </si>
  <si>
    <t>씨티은행</t>
  </si>
  <si>
    <t>대신증권</t>
  </si>
  <si>
    <t>동양증권(김두용)</t>
  </si>
  <si>
    <t>박미향 87900</t>
  </si>
  <si>
    <t>대우증권(박+이)</t>
  </si>
  <si>
    <t>박미향 275</t>
  </si>
  <si>
    <t>004 이일근 고객님 정산</t>
  </si>
  <si>
    <t>005 이종현 고객님 정산</t>
  </si>
  <si>
    <t>006 이종민 고객님 정산</t>
  </si>
  <si>
    <t>(*)정산일자 : 2010.04.26</t>
  </si>
  <si>
    <t>(*)성과수수료 및 선취수수료 : 별도입금</t>
  </si>
  <si>
    <t>일임재산 1</t>
  </si>
  <si>
    <t>일임재산 2</t>
  </si>
  <si>
    <t>계약일자</t>
  </si>
  <si>
    <t>정산일자</t>
  </si>
  <si>
    <t>운용일자</t>
  </si>
  <si>
    <t>365일</t>
  </si>
  <si>
    <t>92일</t>
  </si>
  <si>
    <t>계약금액</t>
  </si>
  <si>
    <t>132,116,547원</t>
  </si>
  <si>
    <t>100,000,000원</t>
  </si>
  <si>
    <t>82,224,368원</t>
  </si>
  <si>
    <t>68,775,466원</t>
  </si>
  <si>
    <t>평가금액</t>
  </si>
  <si>
    <t>229,078,517원</t>
  </si>
  <si>
    <t>114,536,248원</t>
  </si>
  <si>
    <t>139,992,845원</t>
  </si>
  <si>
    <t>116,892,376원</t>
  </si>
  <si>
    <t>총수익률</t>
  </si>
  <si>
    <t>수익금</t>
  </si>
  <si>
    <t>96,961,970원</t>
  </si>
  <si>
    <t>14,536,248원</t>
  </si>
  <si>
    <t>57,768,477원</t>
  </si>
  <si>
    <t>48,116,910원</t>
  </si>
  <si>
    <t>기준수익률</t>
  </si>
  <si>
    <t>기준수익금</t>
  </si>
  <si>
    <t>6,605,827원</t>
  </si>
  <si>
    <t>1,260,274원</t>
  </si>
  <si>
    <t>4,111,218원</t>
  </si>
  <si>
    <t>3,438,773원</t>
  </si>
  <si>
    <t>초과수익금</t>
  </si>
  <si>
    <t>90,356,143원</t>
  </si>
  <si>
    <t>13,275,974원</t>
  </si>
  <si>
    <t>53,657,259원</t>
  </si>
  <si>
    <t>44,678,137원</t>
  </si>
  <si>
    <t>성과수수료</t>
  </si>
  <si>
    <t>18,071,229원</t>
  </si>
  <si>
    <t>2,655,195원</t>
  </si>
  <si>
    <t>10,731,452원</t>
  </si>
  <si>
    <t>8,935,627원</t>
  </si>
  <si>
    <t>총수익금</t>
  </si>
  <si>
    <t>111,498,218원</t>
  </si>
  <si>
    <t>고객 순수익금</t>
  </si>
  <si>
    <t>90,771,795원</t>
  </si>
  <si>
    <t>47,037,025원</t>
  </si>
  <si>
    <t>39,181,283원</t>
  </si>
  <si>
    <t>(*) 별도입금</t>
  </si>
  <si>
    <t>(2) 선취수수료 지급방법에 따른  계약금액</t>
  </si>
  <si>
    <t>계약금액(2010.04.27)</t>
  </si>
  <si>
    <t>343,614,765원</t>
  </si>
  <si>
    <t>선취수수료</t>
  </si>
  <si>
    <t>N년후</t>
  </si>
  <si>
    <t>4% 정기 세전</t>
  </si>
  <si>
    <t>세후</t>
  </si>
  <si>
    <t>5년 납입</t>
  </si>
  <si>
    <t>7년납입</t>
  </si>
  <si>
    <t>4% 연금보험(사업비20%)</t>
  </si>
  <si>
    <t>4.7% 연금보험(사업비20%)</t>
  </si>
  <si>
    <t>##보험유지수수료?</t>
  </si>
  <si>
    <t>총액(만원)</t>
  </si>
  <si>
    <t>피검자수</t>
  </si>
  <si>
    <t>6000명</t>
  </si>
  <si>
    <t>1년 기본 검진비</t>
  </si>
  <si>
    <t>100000(*6000)</t>
  </si>
  <si>
    <t>1년 평균 내원 수</t>
  </si>
  <si>
    <t>방문 당 진료비</t>
  </si>
  <si>
    <t>초기투자비</t>
  </si>
  <si>
    <t>이율(%)</t>
  </si>
  <si>
    <t>경상비/소모품/약품</t>
  </si>
  <si>
    <t>의사 수</t>
  </si>
  <si>
    <t>연봉</t>
  </si>
  <si>
    <t xml:space="preserve">직원 수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</si>
</sst>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월"/>
    <numFmt numFmtId="165" formatCode="d,m월"/>
  </numFmts>
  <fonts count="10">
    <font>
      <sz val="10.0"/>
      <color rgb="FF000000"/>
      <name val="Arial"/>
    </font>
    <font/>
    <font>
      <u/>
      <color rgb="FF0000FF"/>
    </font>
    <font>
      <u/>
      <color rgb="FF0000FF"/>
    </font>
    <font>
      <color rgb="FF000000"/>
      <name val="Verdana"/>
    </font>
    <font>
      <color rgb="FF000000"/>
      <name val="'Arial'"/>
    </font>
    <font>
      <color rgb="FFFF0000"/>
    </font>
    <font>
      <color rgb="FFFF00FF"/>
    </font>
    <font>
      <color rgb="FF222222"/>
      <name val="Gulim"/>
    </font>
    <font>
      <sz val="10.0"/>
      <color rgb="FF000000"/>
    </font>
  </fonts>
  <fills count="12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9" fillId="0" fontId="1" numFmtId="0" xfId="0" applyAlignment="1" applyBorder="1" applyFont="1">
      <alignment shrinkToFit="0" wrapText="1"/>
    </xf>
    <xf borderId="7" fillId="0" fontId="1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10" fillId="0" fontId="1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2" fontId="1" numFmtId="0" xfId="0" applyAlignment="1" applyFill="1" applyFont="1">
      <alignment readingOrder="0" shrinkToFit="0" wrapText="1"/>
    </xf>
    <xf borderId="7" fillId="2" fontId="1" numFmtId="0" xfId="0" applyAlignment="1" applyBorder="1" applyFont="1">
      <alignment shrinkToFit="0" wrapText="1"/>
    </xf>
    <xf borderId="7" fillId="3" fontId="1" numFmtId="0" xfId="0" applyAlignment="1" applyBorder="1" applyFill="1" applyFont="1">
      <alignment shrinkToFit="0" wrapText="1"/>
    </xf>
    <xf borderId="11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wrapText="1"/>
    </xf>
    <xf borderId="7" fillId="3" fontId="1" numFmtId="0" xfId="0" applyAlignment="1" applyBorder="1" applyFont="1">
      <alignment readingOrder="0" shrinkToFit="0" wrapText="1"/>
    </xf>
    <xf borderId="12" fillId="0" fontId="1" numFmtId="0" xfId="0" applyAlignment="1" applyBorder="1" applyFont="1">
      <alignment shrinkToFit="0" wrapText="1"/>
    </xf>
    <xf borderId="13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readingOrder="0" shrinkToFit="0" wrapText="1"/>
    </xf>
    <xf borderId="14" fillId="0" fontId="1" numFmtId="0" xfId="0" applyAlignment="1" applyBorder="1" applyFont="1">
      <alignment readingOrder="0" shrinkToFit="0" wrapText="1"/>
    </xf>
    <xf borderId="15" fillId="0" fontId="1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1" numFmtId="9" xfId="0" applyAlignment="1" applyFont="1" applyNumberFormat="1">
      <alignment readingOrder="0" shrinkToFit="0" wrapText="1"/>
    </xf>
    <xf borderId="0" fillId="0" fontId="1" numFmtId="10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7" fillId="0" fontId="1" numFmtId="3" xfId="0" applyAlignment="1" applyBorder="1" applyFont="1" applyNumberFormat="1">
      <alignment readingOrder="0" shrinkToFit="0" wrapText="1"/>
    </xf>
    <xf borderId="0" fillId="3" fontId="1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5" fontId="1" numFmtId="0" xfId="0" applyAlignment="1" applyFill="1" applyFont="1">
      <alignment shrinkToFit="0" wrapText="1"/>
    </xf>
    <xf borderId="13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shrinkToFit="0" wrapText="1"/>
    </xf>
    <xf borderId="0" fillId="0" fontId="1" numFmtId="165" xfId="0" applyAlignment="1" applyFont="1" applyNumberFormat="1">
      <alignment readingOrder="0" shrinkToFit="0" wrapText="1"/>
    </xf>
    <xf borderId="12" fillId="0" fontId="1" numFmtId="0" xfId="0" applyAlignment="1" applyBorder="1" applyFont="1">
      <alignment readingOrder="0" shrinkToFit="0" wrapText="1"/>
    </xf>
    <xf borderId="12" fillId="0" fontId="1" numFmtId="0" xfId="0" applyAlignment="1" applyBorder="1" applyFont="1">
      <alignment shrinkToFit="0" wrapText="1"/>
    </xf>
    <xf borderId="0" fillId="0" fontId="1" numFmtId="3" xfId="0" applyAlignment="1" applyFont="1" applyNumberFormat="1">
      <alignment readingOrder="0" shrinkToFit="0" wrapText="1"/>
    </xf>
    <xf borderId="7" fillId="0" fontId="1" numFmtId="0" xfId="0" applyAlignment="1" applyBorder="1" applyFont="1">
      <alignment shrinkToFit="0" wrapText="1"/>
    </xf>
    <xf borderId="7" fillId="5" fontId="1" numFmtId="0" xfId="0" applyAlignment="1" applyBorder="1" applyFont="1">
      <alignment shrinkToFit="0" wrapText="1"/>
    </xf>
    <xf borderId="7" fillId="4" fontId="1" numFmtId="0" xfId="0" applyAlignment="1" applyBorder="1" applyFont="1">
      <alignment shrinkToFit="0" wrapText="1"/>
    </xf>
    <xf borderId="7" fillId="6" fontId="1" numFmtId="0" xfId="0" applyAlignment="1" applyBorder="1" applyFill="1" applyFont="1">
      <alignment shrinkToFit="0" wrapText="1"/>
    </xf>
    <xf borderId="12" fillId="4" fontId="1" numFmtId="0" xfId="0" applyAlignment="1" applyBorder="1" applyFont="1">
      <alignment shrinkToFit="0" wrapText="1"/>
    </xf>
    <xf borderId="0" fillId="7" fontId="1" numFmtId="0" xfId="0" applyAlignment="1" applyFill="1" applyFont="1">
      <alignment shrinkToFit="0" wrapText="1"/>
    </xf>
    <xf borderId="7" fillId="8" fontId="1" numFmtId="0" xfId="0" applyAlignment="1" applyBorder="1" applyFill="1" applyFont="1">
      <alignment shrinkToFit="0" wrapText="1"/>
    </xf>
    <xf borderId="0" fillId="4" fontId="8" numFmtId="0" xfId="0" applyAlignment="1" applyFont="1">
      <alignment readingOrder="0" shrinkToFit="0" wrapText="1"/>
    </xf>
    <xf borderId="0" fillId="9" fontId="1" numFmtId="0" xfId="0" applyAlignment="1" applyFill="1" applyFont="1">
      <alignment readingOrder="0" shrinkToFit="0" wrapText="1"/>
    </xf>
    <xf borderId="0" fillId="4" fontId="1" numFmtId="0" xfId="0" applyAlignment="1" applyFont="1">
      <alignment readingOrder="0" shrinkToFit="0" wrapText="1"/>
    </xf>
    <xf borderId="0" fillId="10" fontId="1" numFmtId="0" xfId="0" applyAlignment="1" applyFill="1" applyFont="1">
      <alignment readingOrder="0" shrinkToFit="0" wrapText="1"/>
    </xf>
    <xf borderId="7" fillId="11" fontId="1" numFmtId="0" xfId="0" applyAlignment="1" applyBorder="1" applyFill="1" applyFont="1">
      <alignment readingOrder="0" shrinkToFit="0" wrapText="1"/>
    </xf>
    <xf borderId="7" fillId="11" fontId="1" numFmtId="0" xfId="0" applyAlignment="1" applyBorder="1" applyFont="1">
      <alignment shrinkToFit="0" wrapText="1"/>
    </xf>
    <xf borderId="15" fillId="9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11" fillId="0" fontId="1" numFmtId="0" xfId="0" applyAlignment="1" applyBorder="1" applyFont="1">
      <alignment readingOrder="0" shrinkToFit="0" wrapText="1"/>
    </xf>
    <xf borderId="9" fillId="0" fontId="1" numFmtId="0" xfId="0" applyAlignment="1" applyBorder="1" applyFont="1">
      <alignment readingOrder="0" shrinkToFit="0" wrapText="1"/>
    </xf>
    <xf borderId="0" fillId="0" fontId="1" numFmtId="14" xfId="0" applyAlignment="1" applyFont="1" applyNumberFormat="1">
      <alignment readingOrder="0" shrinkToFit="0" wrapText="1"/>
    </xf>
    <xf borderId="0" fillId="0" fontId="1" numFmtId="10" xfId="0" applyAlignment="1" applyFont="1" applyNumberFormat="1">
      <alignment readingOrder="0" shrinkToFit="0" wrapText="1"/>
    </xf>
    <xf borderId="0" fillId="3" fontId="1" numFmtId="0" xfId="0" applyAlignment="1" applyFont="1">
      <alignment shrinkToFit="0" wrapText="1"/>
    </xf>
    <xf borderId="0" fillId="11" fontId="9" numFmtId="0" xfId="0" applyAlignment="1" applyFont="1">
      <alignment shrinkToFit="0" wrapText="1"/>
    </xf>
    <xf borderId="11" fillId="2" fontId="1" numFmtId="0" xfId="0" applyAlignment="1" applyBorder="1" applyFont="1">
      <alignment shrinkToFit="0" wrapText="1"/>
    </xf>
    <xf borderId="6" fillId="3" fontId="1" numFmtId="0" xfId="0" applyAlignment="1" applyBorder="1" applyFont="1">
      <alignment shrinkToFit="0" wrapText="1"/>
    </xf>
    <xf borderId="0" fillId="11" fontId="1" numFmtId="0" xfId="0" applyAlignment="1" applyFont="1">
      <alignment shrinkToFit="0" wrapText="1"/>
    </xf>
    <xf borderId="0" fillId="2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hop.co.kr" TargetMode="External"/><Relationship Id="rId2" Type="http://schemas.openxmlformats.org/officeDocument/2006/relationships/hyperlink" Target="http://shop.co.kr" TargetMode="External"/><Relationship Id="rId3" Type="http://schemas.openxmlformats.org/officeDocument/2006/relationships/hyperlink" Target="http://shop.co.kr" TargetMode="External"/><Relationship Id="rId4" Type="http://schemas.openxmlformats.org/officeDocument/2006/relationships/hyperlink" Target="http://shop.co.kr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://homplus.co.kr" TargetMode="External"/><Relationship Id="rId6" Type="http://schemas.openxmlformats.org/officeDocument/2006/relationships/hyperlink" Target="http://shop.co.kr" TargetMode="External"/><Relationship Id="rId7" Type="http://schemas.openxmlformats.org/officeDocument/2006/relationships/hyperlink" Target="http://www.shop.co.kr" TargetMode="External"/><Relationship Id="rId8" Type="http://schemas.openxmlformats.org/officeDocument/2006/relationships/hyperlink" Target="http://shop.co.kr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2.75"/>
  <cols>
    <col customWidth="1" min="1" max="1" width="15.63"/>
    <col customWidth="1" min="2" max="2" width="30.13"/>
    <col customWidth="1" min="3" max="3" width="11.63"/>
    <col customWidth="1" min="4" max="4" width="18.0"/>
    <col customWidth="1" min="5" max="5" width="37.88"/>
    <col customWidth="1" min="6" max="6" width="34.38"/>
    <col customWidth="1" min="7" max="7" width="14.38"/>
    <col customWidth="1" min="8" max="8" width="13.25"/>
    <col customWidth="1" min="9" max="21" width="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>
        <v>1.2336301E7</v>
      </c>
    </row>
    <row r="2">
      <c r="B2" s="1" t="s">
        <v>6</v>
      </c>
      <c r="C2" s="1" t="s">
        <v>7</v>
      </c>
      <c r="E2" s="1" t="s">
        <v>8</v>
      </c>
      <c r="F2" s="2" t="s">
        <v>9</v>
      </c>
      <c r="G2" s="2" t="s">
        <v>10</v>
      </c>
    </row>
    <row r="3">
      <c r="A3" s="1" t="s">
        <v>11</v>
      </c>
      <c r="B3" s="1" t="s">
        <v>12</v>
      </c>
      <c r="C3" s="1">
        <v>8000000.0</v>
      </c>
      <c r="D3" s="1">
        <v>8000000.0</v>
      </c>
      <c r="J3" s="1" t="s">
        <v>13</v>
      </c>
      <c r="K3" s="1">
        <v>1543530.0</v>
      </c>
    </row>
    <row r="4">
      <c r="B4" s="1" t="s">
        <v>14</v>
      </c>
      <c r="D4" s="1">
        <v>4000000.0</v>
      </c>
      <c r="E4" s="1" t="s">
        <v>15</v>
      </c>
      <c r="F4" s="2" t="s">
        <v>16</v>
      </c>
      <c r="J4" s="1" t="s">
        <v>17</v>
      </c>
      <c r="K4" s="1">
        <v>154350.0</v>
      </c>
    </row>
    <row r="5">
      <c r="A5" s="1" t="s">
        <v>18</v>
      </c>
      <c r="B5" s="1" t="s">
        <v>19</v>
      </c>
      <c r="F5" s="2" t="s">
        <v>20</v>
      </c>
      <c r="J5" s="1" t="s">
        <v>13</v>
      </c>
      <c r="K5" s="1">
        <v>71490.0</v>
      </c>
    </row>
    <row r="6">
      <c r="B6" s="1" t="s">
        <v>21</v>
      </c>
      <c r="C6" s="1">
        <v>3.2E7</v>
      </c>
      <c r="D6" s="1">
        <v>3.2E7</v>
      </c>
      <c r="J6" s="1" t="s">
        <v>17</v>
      </c>
      <c r="K6" s="1">
        <v>7130.0</v>
      </c>
    </row>
    <row r="7">
      <c r="B7" s="1" t="s">
        <v>22</v>
      </c>
      <c r="D7" s="1">
        <v>125000.0</v>
      </c>
      <c r="I7" s="1" t="s">
        <v>23</v>
      </c>
      <c r="K7">
        <f>Sum(K3:K6)</f>
        <v>1776500</v>
      </c>
    </row>
    <row r="8">
      <c r="A8" s="1" t="s">
        <v>24</v>
      </c>
      <c r="B8" s="1" t="s">
        <v>25</v>
      </c>
      <c r="D8" s="1">
        <v>600000.0</v>
      </c>
    </row>
    <row r="9">
      <c r="A9" s="1" t="s">
        <v>26</v>
      </c>
      <c r="B9" s="1" t="s">
        <v>27</v>
      </c>
      <c r="D9" s="1">
        <v>300000.0</v>
      </c>
    </row>
    <row r="10">
      <c r="A10" s="1" t="s">
        <v>28</v>
      </c>
      <c r="B10" s="1" t="s">
        <v>22</v>
      </c>
      <c r="D10" s="1">
        <v>60000.0</v>
      </c>
    </row>
    <row r="11">
      <c r="B11" s="1" t="s">
        <v>29</v>
      </c>
      <c r="D11" s="1">
        <v>500000.0</v>
      </c>
    </row>
    <row r="12">
      <c r="A12" s="1" t="s">
        <v>30</v>
      </c>
      <c r="B12" s="1" t="s">
        <v>31</v>
      </c>
      <c r="D12" s="1">
        <v>200000.0</v>
      </c>
    </row>
    <row r="13">
      <c r="A13" s="1" t="s">
        <v>32</v>
      </c>
      <c r="B13" s="1" t="s">
        <v>33</v>
      </c>
      <c r="C13" s="1">
        <v>8.0E7</v>
      </c>
      <c r="D13" s="1">
        <v>8.0E7</v>
      </c>
    </row>
    <row r="14">
      <c r="A14" s="1" t="s">
        <v>34</v>
      </c>
      <c r="B14" s="1" t="s">
        <v>35</v>
      </c>
      <c r="D14" s="1">
        <v>1579726.0</v>
      </c>
    </row>
    <row r="15">
      <c r="A15" s="1" t="s">
        <v>36</v>
      </c>
      <c r="B15" s="1" t="s">
        <v>37</v>
      </c>
      <c r="D15" s="1">
        <v>5400000.0</v>
      </c>
      <c r="E15" s="1" t="s">
        <v>38</v>
      </c>
    </row>
    <row r="16">
      <c r="A16" s="1" t="s">
        <v>39</v>
      </c>
      <c r="B16" s="1" t="s">
        <v>40</v>
      </c>
      <c r="D16" s="1">
        <v>1450000.0</v>
      </c>
    </row>
    <row r="17">
      <c r="A17" s="1" t="s">
        <v>41</v>
      </c>
      <c r="B17" s="1" t="s">
        <v>25</v>
      </c>
      <c r="D17" s="1">
        <v>600000.0</v>
      </c>
    </row>
    <row r="18">
      <c r="A18" s="1" t="s">
        <v>42</v>
      </c>
      <c r="B18" s="1" t="s">
        <v>22</v>
      </c>
      <c r="D18" s="1">
        <v>60000.0</v>
      </c>
    </row>
    <row r="19">
      <c r="A19" s="1" t="s">
        <v>43</v>
      </c>
      <c r="B19" s="1" t="s">
        <v>44</v>
      </c>
      <c r="D19" s="1">
        <v>6250000.0</v>
      </c>
      <c r="G19" s="1" t="s">
        <v>45</v>
      </c>
    </row>
    <row r="20">
      <c r="B20" s="1" t="s">
        <v>46</v>
      </c>
      <c r="D20" s="1">
        <v>4.0E7</v>
      </c>
      <c r="E20" s="1" t="s">
        <v>47</v>
      </c>
    </row>
    <row r="21">
      <c r="B21" s="1" t="s">
        <v>48</v>
      </c>
      <c r="D21" s="1">
        <v>95480.0</v>
      </c>
    </row>
    <row r="22">
      <c r="A22" s="1" t="s">
        <v>49</v>
      </c>
      <c r="B22" s="1" t="s">
        <v>31</v>
      </c>
      <c r="D22" s="1">
        <v>200000.0</v>
      </c>
    </row>
    <row r="23">
      <c r="A23" s="1" t="s">
        <v>50</v>
      </c>
      <c r="B23" s="1" t="s">
        <v>51</v>
      </c>
      <c r="D23" s="1">
        <v>3.0E7</v>
      </c>
      <c r="E23" s="1" t="s">
        <v>47</v>
      </c>
    </row>
    <row r="24">
      <c r="B24" s="1" t="s">
        <v>52</v>
      </c>
      <c r="F24" s="1" t="s">
        <v>53</v>
      </c>
      <c r="G24" s="1" t="s">
        <v>45</v>
      </c>
    </row>
    <row r="25">
      <c r="A25" s="1" t="s">
        <v>54</v>
      </c>
      <c r="B25" s="1" t="s">
        <v>55</v>
      </c>
      <c r="D25" s="1">
        <v>5650000.0</v>
      </c>
      <c r="E25" s="1" t="s">
        <v>47</v>
      </c>
    </row>
    <row r="26">
      <c r="B26" s="1" t="s">
        <v>56</v>
      </c>
      <c r="D26" s="1">
        <v>2500000.0</v>
      </c>
    </row>
    <row r="27">
      <c r="B27" s="1" t="s">
        <v>57</v>
      </c>
      <c r="D27" s="1">
        <v>1500000.0</v>
      </c>
      <c r="E27" s="1" t="s">
        <v>58</v>
      </c>
      <c r="G27" s="1" t="s">
        <v>45</v>
      </c>
    </row>
    <row r="28">
      <c r="A28" s="1" t="s">
        <v>59</v>
      </c>
      <c r="B28" s="1" t="s">
        <v>60</v>
      </c>
      <c r="D28" s="1">
        <v>1250000.0</v>
      </c>
    </row>
    <row r="29">
      <c r="A29" s="1" t="s">
        <v>61</v>
      </c>
      <c r="B29" s="1" t="s">
        <v>62</v>
      </c>
      <c r="D29" s="1">
        <v>600000.0</v>
      </c>
      <c r="G29" s="1" t="s">
        <v>45</v>
      </c>
    </row>
    <row r="30">
      <c r="A30" s="1" t="s">
        <v>63</v>
      </c>
      <c r="B30" s="1" t="s">
        <v>64</v>
      </c>
      <c r="D30" s="1">
        <v>2000000.0</v>
      </c>
    </row>
    <row r="31">
      <c r="A31" s="1" t="s">
        <v>65</v>
      </c>
      <c r="B31" s="1" t="s">
        <v>66</v>
      </c>
      <c r="D31" s="1">
        <v>1400000.0</v>
      </c>
      <c r="E31" s="1" t="s">
        <v>67</v>
      </c>
      <c r="G31" s="1" t="s">
        <v>45</v>
      </c>
    </row>
    <row r="32">
      <c r="B32" s="1" t="s">
        <v>68</v>
      </c>
      <c r="D32" s="1">
        <v>4000000.0</v>
      </c>
      <c r="E32" s="1" t="s">
        <v>69</v>
      </c>
      <c r="F32" s="1" t="s">
        <v>70</v>
      </c>
      <c r="G32" s="1" t="s">
        <v>45</v>
      </c>
    </row>
    <row r="33">
      <c r="A33" s="1" t="s">
        <v>71</v>
      </c>
      <c r="B33" s="1" t="s">
        <v>72</v>
      </c>
      <c r="D33" s="1">
        <v>872000.0</v>
      </c>
    </row>
    <row r="34">
      <c r="B34" s="1" t="s">
        <v>73</v>
      </c>
      <c r="D34" s="1">
        <v>4355750.0</v>
      </c>
    </row>
    <row r="35">
      <c r="A35" s="1" t="s">
        <v>74</v>
      </c>
      <c r="B35" s="1" t="s">
        <v>75</v>
      </c>
      <c r="D35" s="1">
        <v>150000.0</v>
      </c>
    </row>
    <row r="36">
      <c r="A36" s="1" t="s">
        <v>76</v>
      </c>
      <c r="B36" s="1" t="s">
        <v>77</v>
      </c>
      <c r="D36" s="1">
        <v>6500000.0</v>
      </c>
      <c r="E36" s="1" t="s">
        <v>78</v>
      </c>
    </row>
    <row r="37">
      <c r="B37" s="1" t="s">
        <v>79</v>
      </c>
      <c r="D37" s="1">
        <v>2.95E7</v>
      </c>
      <c r="E37" s="1" t="s">
        <v>80</v>
      </c>
    </row>
    <row r="38">
      <c r="B38" s="1" t="s">
        <v>81</v>
      </c>
      <c r="D38" s="1">
        <v>500000.0</v>
      </c>
      <c r="E38" s="1" t="s">
        <v>82</v>
      </c>
    </row>
    <row r="39">
      <c r="B39" s="1" t="s">
        <v>83</v>
      </c>
      <c r="D39" s="1">
        <v>113000.0</v>
      </c>
    </row>
    <row r="40">
      <c r="B40" s="1" t="s">
        <v>84</v>
      </c>
      <c r="D40" s="1">
        <v>6250000.0</v>
      </c>
      <c r="E40" s="1" t="s">
        <v>85</v>
      </c>
      <c r="F40" s="1" t="s">
        <v>86</v>
      </c>
      <c r="G40" s="1" t="s">
        <v>45</v>
      </c>
    </row>
    <row r="41">
      <c r="B41" s="1" t="s">
        <v>87</v>
      </c>
      <c r="D41" s="1">
        <v>4850000.0</v>
      </c>
      <c r="E41" s="1" t="s">
        <v>88</v>
      </c>
    </row>
    <row r="42">
      <c r="A42" s="1" t="s">
        <v>89</v>
      </c>
      <c r="B42" s="1" t="s">
        <v>90</v>
      </c>
      <c r="D42" s="1">
        <v>120000.0</v>
      </c>
      <c r="E42" s="1" t="s">
        <v>91</v>
      </c>
    </row>
    <row r="43">
      <c r="A43" s="1" t="s">
        <v>92</v>
      </c>
      <c r="B43" s="1" t="s">
        <v>93</v>
      </c>
      <c r="D43" s="1">
        <v>5226400.0</v>
      </c>
      <c r="E43" s="1" t="s">
        <v>94</v>
      </c>
      <c r="F43" s="1" t="s">
        <v>95</v>
      </c>
    </row>
    <row r="44">
      <c r="B44" s="1" t="s">
        <v>96</v>
      </c>
      <c r="D44" s="1">
        <v>5000000.0</v>
      </c>
      <c r="E44" s="1" t="s">
        <v>97</v>
      </c>
    </row>
    <row r="45">
      <c r="B45" s="1" t="s">
        <v>98</v>
      </c>
      <c r="D45" s="1">
        <v>450000.0</v>
      </c>
      <c r="E45" s="1" t="s">
        <v>91</v>
      </c>
    </row>
    <row r="46">
      <c r="B46" s="1" t="s">
        <v>99</v>
      </c>
      <c r="D46" s="1">
        <v>3.78E7</v>
      </c>
      <c r="E46" s="1" t="s">
        <v>38</v>
      </c>
    </row>
    <row r="47">
      <c r="B47" s="1" t="s">
        <v>100</v>
      </c>
      <c r="D47" s="1">
        <v>100000.0</v>
      </c>
    </row>
    <row r="48">
      <c r="A48" s="1" t="s">
        <v>101</v>
      </c>
      <c r="B48" s="1" t="s">
        <v>102</v>
      </c>
      <c r="D48" s="1">
        <v>2500000.0</v>
      </c>
      <c r="E48" s="1" t="s">
        <v>69</v>
      </c>
      <c r="F48" s="1" t="s">
        <v>103</v>
      </c>
    </row>
    <row r="49">
      <c r="B49" s="1" t="s">
        <v>104</v>
      </c>
      <c r="D49" s="1">
        <v>300000.0</v>
      </c>
    </row>
    <row r="50">
      <c r="B50" s="1" t="s">
        <v>105</v>
      </c>
      <c r="D50" s="1">
        <v>1500000.0</v>
      </c>
      <c r="E50" s="1" t="s">
        <v>106</v>
      </c>
    </row>
    <row r="51">
      <c r="B51" s="1" t="s">
        <v>107</v>
      </c>
      <c r="D51" s="1">
        <v>300000.0</v>
      </c>
      <c r="E51" s="1" t="s">
        <v>67</v>
      </c>
    </row>
    <row r="52">
      <c r="A52" s="1" t="s">
        <v>108</v>
      </c>
      <c r="B52" s="1" t="s">
        <v>109</v>
      </c>
      <c r="D52" s="1">
        <v>100000.0</v>
      </c>
    </row>
    <row r="53">
      <c r="B53" s="1" t="s">
        <v>110</v>
      </c>
      <c r="D53" s="1">
        <v>4642300.0</v>
      </c>
      <c r="E53" s="1" t="s">
        <v>111</v>
      </c>
    </row>
    <row r="54">
      <c r="B54" s="1" t="s">
        <v>51</v>
      </c>
      <c r="D54" s="1">
        <v>3.0E7</v>
      </c>
      <c r="E54" s="1" t="s">
        <v>47</v>
      </c>
    </row>
    <row r="55">
      <c r="B55" s="1" t="s">
        <v>112</v>
      </c>
      <c r="D55" s="1">
        <v>300000.0</v>
      </c>
      <c r="E55" s="1" t="s">
        <v>113</v>
      </c>
    </row>
    <row r="56">
      <c r="A56" s="1" t="s">
        <v>114</v>
      </c>
      <c r="B56" s="1" t="s">
        <v>115</v>
      </c>
      <c r="D56" s="1">
        <v>253000.0</v>
      </c>
      <c r="E56" s="1" t="s">
        <v>116</v>
      </c>
    </row>
    <row r="57">
      <c r="B57" s="1" t="s">
        <v>117</v>
      </c>
      <c r="D57" s="1">
        <v>900900.0</v>
      </c>
      <c r="E57" s="1" t="s">
        <v>118</v>
      </c>
    </row>
    <row r="58">
      <c r="A58" s="1" t="s">
        <v>119</v>
      </c>
      <c r="B58" s="1" t="s">
        <v>120</v>
      </c>
      <c r="D58" s="1">
        <v>400000.0</v>
      </c>
    </row>
    <row r="59">
      <c r="A59" s="1" t="s">
        <v>121</v>
      </c>
      <c r="B59" s="1" t="s">
        <v>122</v>
      </c>
      <c r="D59" s="1">
        <v>35420.0</v>
      </c>
    </row>
    <row r="60">
      <c r="B60" s="1" t="s">
        <v>123</v>
      </c>
      <c r="D60" s="1">
        <v>32000.0</v>
      </c>
      <c r="E60" s="1" t="s">
        <v>124</v>
      </c>
    </row>
    <row r="61">
      <c r="B61" s="1" t="s">
        <v>125</v>
      </c>
      <c r="D61" s="1">
        <v>148500.0</v>
      </c>
    </row>
    <row r="62">
      <c r="B62" s="1" t="s">
        <v>126</v>
      </c>
      <c r="D62" s="1">
        <v>825000.0</v>
      </c>
    </row>
    <row r="63">
      <c r="B63" s="1" t="s">
        <v>127</v>
      </c>
      <c r="D63" s="1">
        <v>2.998E7</v>
      </c>
      <c r="E63" s="1" t="s">
        <v>47</v>
      </c>
    </row>
    <row r="64">
      <c r="B64" s="1" t="s">
        <v>128</v>
      </c>
    </row>
    <row r="65">
      <c r="B65" s="1" t="s">
        <v>129</v>
      </c>
      <c r="D65" s="1">
        <v>12400.0</v>
      </c>
    </row>
    <row r="66">
      <c r="B66" s="1" t="s">
        <v>130</v>
      </c>
      <c r="D66" s="1">
        <v>52800.0</v>
      </c>
    </row>
    <row r="67">
      <c r="A67" s="1" t="s">
        <v>131</v>
      </c>
      <c r="B67" s="1" t="s">
        <v>132</v>
      </c>
      <c r="D67" s="1">
        <v>1200000.0</v>
      </c>
    </row>
    <row r="68">
      <c r="B68" s="1" t="s">
        <v>133</v>
      </c>
      <c r="D68" s="1">
        <v>150000.0</v>
      </c>
    </row>
    <row r="69">
      <c r="B69" s="1" t="s">
        <v>134</v>
      </c>
      <c r="D69" s="1">
        <v>110000.0</v>
      </c>
    </row>
    <row r="70">
      <c r="B70" s="1" t="s">
        <v>135</v>
      </c>
      <c r="D70" s="1">
        <v>69300.0</v>
      </c>
    </row>
    <row r="71">
      <c r="A71" s="1" t="s">
        <v>136</v>
      </c>
      <c r="B71" s="1" t="s">
        <v>137</v>
      </c>
      <c r="D71" s="1">
        <v>60000.0</v>
      </c>
    </row>
    <row r="72">
      <c r="B72" s="1" t="s">
        <v>138</v>
      </c>
      <c r="D72" s="1">
        <v>165000.0</v>
      </c>
      <c r="E72" s="1" t="s">
        <v>91</v>
      </c>
    </row>
    <row r="73">
      <c r="B73" s="1" t="s">
        <v>139</v>
      </c>
      <c r="D73" s="1">
        <v>209000.0</v>
      </c>
      <c r="E73" s="1" t="s">
        <v>140</v>
      </c>
    </row>
    <row r="74">
      <c r="B74" s="1" t="s">
        <v>141</v>
      </c>
      <c r="D74" s="1">
        <v>2420000.0</v>
      </c>
      <c r="E74" s="1" t="s">
        <v>142</v>
      </c>
    </row>
    <row r="75">
      <c r="A75" s="1" t="s">
        <v>143</v>
      </c>
      <c r="B75" s="1" t="s">
        <v>144</v>
      </c>
      <c r="D75" s="1">
        <v>690000.0</v>
      </c>
      <c r="E75" s="1" t="s">
        <v>145</v>
      </c>
      <c r="F75" s="1">
        <v>1610000.0</v>
      </c>
    </row>
    <row r="76">
      <c r="B76" s="1" t="s">
        <v>146</v>
      </c>
      <c r="D76" s="1">
        <v>500000.0</v>
      </c>
      <c r="E76" s="1" t="s">
        <v>147</v>
      </c>
      <c r="G76" s="1" t="s">
        <v>45</v>
      </c>
    </row>
    <row r="77">
      <c r="A77" s="1" t="s">
        <v>148</v>
      </c>
      <c r="B77" s="1" t="s">
        <v>149</v>
      </c>
      <c r="D77" s="1">
        <v>100000.0</v>
      </c>
      <c r="E77" s="1" t="s">
        <v>150</v>
      </c>
    </row>
    <row r="78">
      <c r="B78" s="1" t="s">
        <v>151</v>
      </c>
      <c r="D78" s="1">
        <v>40000.0</v>
      </c>
      <c r="E78" s="1" t="s">
        <v>152</v>
      </c>
    </row>
    <row r="79">
      <c r="B79" s="1" t="s">
        <v>153</v>
      </c>
      <c r="D79" s="1">
        <v>30000.0</v>
      </c>
    </row>
    <row r="80">
      <c r="B80" s="1" t="s">
        <v>154</v>
      </c>
      <c r="D80" s="1">
        <v>2465000.0</v>
      </c>
      <c r="E80" s="1" t="s">
        <v>155</v>
      </c>
    </row>
    <row r="81">
      <c r="B81" s="1" t="s">
        <v>156</v>
      </c>
      <c r="D81" s="1">
        <v>6969000.0</v>
      </c>
      <c r="E81" s="1" t="s">
        <v>157</v>
      </c>
    </row>
    <row r="82">
      <c r="B82" s="1" t="s">
        <v>158</v>
      </c>
      <c r="D82" s="1">
        <v>1610000.0</v>
      </c>
      <c r="E82" s="1" t="s">
        <v>97</v>
      </c>
    </row>
    <row r="83">
      <c r="B83" s="1" t="s">
        <v>159</v>
      </c>
      <c r="D83" s="1">
        <v>150000.0</v>
      </c>
    </row>
    <row r="84">
      <c r="A84" s="1" t="s">
        <v>160</v>
      </c>
      <c r="B84" s="1" t="s">
        <v>161</v>
      </c>
      <c r="D84" s="1">
        <v>1540000.0</v>
      </c>
      <c r="E84" s="1" t="s">
        <v>78</v>
      </c>
    </row>
    <row r="85">
      <c r="B85" s="1" t="s">
        <v>153</v>
      </c>
      <c r="D85" s="1">
        <v>100000.0</v>
      </c>
    </row>
    <row r="86">
      <c r="B86" s="1" t="s">
        <v>162</v>
      </c>
      <c r="D86" s="1">
        <v>583000.0</v>
      </c>
      <c r="E86" s="1" t="s">
        <v>91</v>
      </c>
      <c r="F86" s="1" t="s">
        <v>163</v>
      </c>
    </row>
    <row r="87">
      <c r="A87" s="1" t="s">
        <v>164</v>
      </c>
      <c r="B87" s="1" t="s">
        <v>165</v>
      </c>
      <c r="D87" s="1">
        <v>300000.0</v>
      </c>
      <c r="E87" s="1" t="s">
        <v>166</v>
      </c>
    </row>
    <row r="88">
      <c r="B88" s="1" t="s">
        <v>167</v>
      </c>
      <c r="D88" s="1">
        <v>660000.0</v>
      </c>
      <c r="E88" s="1" t="s">
        <v>168</v>
      </c>
      <c r="F88" s="1" t="s">
        <v>169</v>
      </c>
      <c r="G88" s="1" t="s">
        <v>45</v>
      </c>
    </row>
    <row r="89">
      <c r="A89" s="1" t="s">
        <v>170</v>
      </c>
      <c r="B89" s="1" t="s">
        <v>171</v>
      </c>
      <c r="D89" s="1">
        <v>551100.0</v>
      </c>
      <c r="E89" s="1" t="s">
        <v>172</v>
      </c>
      <c r="G89" s="1" t="s">
        <v>45</v>
      </c>
    </row>
    <row r="90">
      <c r="A90" s="1" t="s">
        <v>173</v>
      </c>
      <c r="B90" s="1" t="s">
        <v>174</v>
      </c>
      <c r="D90" s="1">
        <v>3410000.0</v>
      </c>
      <c r="E90" s="1" t="s">
        <v>47</v>
      </c>
    </row>
    <row r="91">
      <c r="B91" s="1" t="s">
        <v>175</v>
      </c>
      <c r="D91" s="1">
        <v>800000.0</v>
      </c>
      <c r="E91" s="1" t="s">
        <v>113</v>
      </c>
      <c r="F91" s="1" t="s">
        <v>176</v>
      </c>
    </row>
    <row r="92">
      <c r="B92" s="1" t="s">
        <v>177</v>
      </c>
      <c r="D92" s="1">
        <v>87000.0</v>
      </c>
      <c r="E92" s="1" t="s">
        <v>178</v>
      </c>
    </row>
    <row r="93">
      <c r="B93" s="1" t="s">
        <v>179</v>
      </c>
      <c r="D93" s="1">
        <v>200000.0</v>
      </c>
    </row>
    <row r="94">
      <c r="A94" s="1" t="s">
        <v>180</v>
      </c>
      <c r="B94" s="1" t="s">
        <v>181</v>
      </c>
      <c r="D94" s="1">
        <v>17900.0</v>
      </c>
    </row>
    <row r="95">
      <c r="A95" s="1" t="s">
        <v>182</v>
      </c>
      <c r="B95" s="1" t="s">
        <v>183</v>
      </c>
      <c r="D95" s="1">
        <v>12000.0</v>
      </c>
    </row>
    <row r="96">
      <c r="B96" s="1" t="s">
        <v>184</v>
      </c>
      <c r="D96" s="1">
        <v>1.5E7</v>
      </c>
      <c r="E96" s="1" t="s">
        <v>80</v>
      </c>
    </row>
    <row r="97">
      <c r="A97" s="1" t="s">
        <v>185</v>
      </c>
      <c r="B97" s="1" t="s">
        <v>186</v>
      </c>
      <c r="D97" s="1">
        <v>1728570.0</v>
      </c>
    </row>
    <row r="98">
      <c r="B98" s="1" t="s">
        <v>187</v>
      </c>
      <c r="D98" s="1">
        <v>1383880.0</v>
      </c>
    </row>
    <row r="99">
      <c r="B99" s="1" t="s">
        <v>188</v>
      </c>
      <c r="D99" s="1">
        <v>1376840.0</v>
      </c>
    </row>
    <row r="100">
      <c r="B100" s="1" t="s">
        <v>189</v>
      </c>
      <c r="D100" s="1">
        <v>2250000.0</v>
      </c>
      <c r="E100" s="1" t="s">
        <v>82</v>
      </c>
      <c r="F100" s="1" t="s">
        <v>190</v>
      </c>
    </row>
    <row r="101">
      <c r="A101" s="1" t="s">
        <v>191</v>
      </c>
      <c r="B101" s="1" t="s">
        <v>192</v>
      </c>
      <c r="D101" s="1">
        <v>989630.0</v>
      </c>
    </row>
    <row r="102">
      <c r="B102" s="1" t="s">
        <v>193</v>
      </c>
      <c r="D102" s="1">
        <v>5154200.0</v>
      </c>
      <c r="E102" s="1" t="s">
        <v>145</v>
      </c>
    </row>
    <row r="103">
      <c r="A103" s="1" t="s">
        <v>194</v>
      </c>
      <c r="B103" s="1" t="s">
        <v>195</v>
      </c>
      <c r="D103" s="1">
        <v>115500.0</v>
      </c>
      <c r="E103" s="1" t="s">
        <v>196</v>
      </c>
    </row>
    <row r="104">
      <c r="A104" s="1" t="s">
        <v>197</v>
      </c>
      <c r="B104" s="1" t="s">
        <v>198</v>
      </c>
      <c r="D104" s="1">
        <v>656000.0</v>
      </c>
      <c r="E104" s="1" t="s">
        <v>91</v>
      </c>
      <c r="F104" s="1" t="s">
        <v>199</v>
      </c>
    </row>
    <row r="105">
      <c r="B105" s="1" t="s">
        <v>200</v>
      </c>
      <c r="D105" s="1">
        <v>293990.0</v>
      </c>
      <c r="E105" s="1" t="s">
        <v>201</v>
      </c>
      <c r="F105" s="1">
        <v>293990.0</v>
      </c>
    </row>
    <row r="106">
      <c r="A106" s="1" t="s">
        <v>202</v>
      </c>
      <c r="B106" s="1" t="s">
        <v>203</v>
      </c>
      <c r="D106" s="1">
        <v>1.08E7</v>
      </c>
      <c r="E106" s="1" t="s">
        <v>38</v>
      </c>
      <c r="F106" s="1" t="s">
        <v>204</v>
      </c>
    </row>
    <row r="107">
      <c r="A107" s="1" t="s">
        <v>205</v>
      </c>
      <c r="B107" s="1" t="s">
        <v>206</v>
      </c>
      <c r="D107" s="1">
        <v>65600.0</v>
      </c>
      <c r="E107" s="1" t="s">
        <v>91</v>
      </c>
    </row>
    <row r="108">
      <c r="A108" s="1" t="s">
        <v>207</v>
      </c>
      <c r="B108" s="1" t="s">
        <v>208</v>
      </c>
      <c r="D108" s="1">
        <v>750000.0</v>
      </c>
      <c r="E108" s="1" t="s">
        <v>209</v>
      </c>
      <c r="F108" s="1" t="s">
        <v>210</v>
      </c>
    </row>
    <row r="109">
      <c r="B109" s="1" t="s">
        <v>211</v>
      </c>
      <c r="D109" s="1">
        <v>1980000.0</v>
      </c>
      <c r="E109" s="1" t="s">
        <v>212</v>
      </c>
      <c r="F109" s="1" t="s">
        <v>213</v>
      </c>
    </row>
    <row r="110">
      <c r="A110" s="1" t="s">
        <v>214</v>
      </c>
      <c r="B110" s="1" t="s">
        <v>215</v>
      </c>
      <c r="D110" s="1">
        <v>520680.0</v>
      </c>
      <c r="E110" s="1" t="s">
        <v>216</v>
      </c>
    </row>
    <row r="111">
      <c r="B111" s="1" t="s">
        <v>217</v>
      </c>
      <c r="D111" s="1">
        <v>42790.0</v>
      </c>
      <c r="E111" s="1" t="s">
        <v>216</v>
      </c>
    </row>
    <row r="112">
      <c r="B112" s="1" t="s">
        <v>218</v>
      </c>
      <c r="D112" s="1">
        <v>7193000.0</v>
      </c>
      <c r="E112" s="1" t="s">
        <v>155</v>
      </c>
    </row>
    <row r="113">
      <c r="A113" s="1" t="s">
        <v>219</v>
      </c>
      <c r="B113" s="1" t="s">
        <v>220</v>
      </c>
      <c r="D113" s="1">
        <v>706370.0</v>
      </c>
    </row>
    <row r="114">
      <c r="B114" s="1" t="s">
        <v>221</v>
      </c>
      <c r="D114" s="1">
        <v>1294460.0</v>
      </c>
    </row>
    <row r="115">
      <c r="A115" s="1" t="s">
        <v>222</v>
      </c>
      <c r="B115" s="1" t="s">
        <v>184</v>
      </c>
      <c r="D115" s="1">
        <v>1.5E7</v>
      </c>
      <c r="E115" s="1" t="s">
        <v>80</v>
      </c>
      <c r="F115" s="1" t="s">
        <v>223</v>
      </c>
    </row>
    <row r="116">
      <c r="A116" s="1" t="s">
        <v>224</v>
      </c>
      <c r="B116" s="1" t="s">
        <v>225</v>
      </c>
      <c r="D116" s="1">
        <v>190956.0</v>
      </c>
      <c r="E116" s="1" t="s">
        <v>226</v>
      </c>
    </row>
    <row r="117">
      <c r="A117" s="1" t="s">
        <v>227</v>
      </c>
      <c r="B117" s="1" t="s">
        <v>228</v>
      </c>
      <c r="D117" s="1">
        <v>764670.0</v>
      </c>
      <c r="E117" s="1" t="s">
        <v>216</v>
      </c>
    </row>
    <row r="118">
      <c r="A118" s="1" t="s">
        <v>229</v>
      </c>
      <c r="B118" s="1" t="s">
        <v>186</v>
      </c>
      <c r="D118" s="1">
        <v>1821040.0</v>
      </c>
    </row>
    <row r="119">
      <c r="B119" s="1" t="s">
        <v>187</v>
      </c>
      <c r="D119" s="1">
        <v>1827740.0</v>
      </c>
    </row>
    <row r="120">
      <c r="B120" s="1" t="s">
        <v>188</v>
      </c>
      <c r="D120" s="1">
        <v>1473220.0</v>
      </c>
    </row>
    <row r="121">
      <c r="A121" s="1" t="s">
        <v>230</v>
      </c>
      <c r="B121" s="1" t="s">
        <v>192</v>
      </c>
      <c r="D121" s="1">
        <v>1068180.0</v>
      </c>
    </row>
    <row r="122">
      <c r="A122" s="1" t="s">
        <v>231</v>
      </c>
      <c r="B122" s="1" t="s">
        <v>232</v>
      </c>
      <c r="D122" s="1">
        <v>1320000.0</v>
      </c>
      <c r="E122" s="1" t="s">
        <v>233</v>
      </c>
      <c r="F122" s="1" t="s">
        <v>234</v>
      </c>
      <c r="G122" s="1" t="s">
        <v>45</v>
      </c>
    </row>
    <row r="123">
      <c r="B123" s="1" t="s">
        <v>235</v>
      </c>
      <c r="D123" s="1">
        <v>3000000.0</v>
      </c>
      <c r="E123" s="1" t="s">
        <v>236</v>
      </c>
      <c r="F123" s="1" t="s">
        <v>237</v>
      </c>
      <c r="G123" s="1" t="s">
        <v>238</v>
      </c>
    </row>
    <row r="124">
      <c r="B124" s="1" t="s">
        <v>239</v>
      </c>
      <c r="D124" s="1">
        <v>1839200.0</v>
      </c>
      <c r="E124" s="1" t="s">
        <v>47</v>
      </c>
    </row>
    <row r="125">
      <c r="B125" s="1" t="s">
        <v>240</v>
      </c>
      <c r="D125" s="1">
        <v>5500000.0</v>
      </c>
      <c r="E125" s="1" t="s">
        <v>241</v>
      </c>
    </row>
    <row r="126">
      <c r="A126" s="1" t="s">
        <v>242</v>
      </c>
      <c r="B126" s="1" t="s">
        <v>243</v>
      </c>
      <c r="D126" s="1">
        <v>154000.0</v>
      </c>
      <c r="E126" s="1" t="s">
        <v>244</v>
      </c>
    </row>
    <row r="127">
      <c r="A127" s="1" t="s">
        <v>245</v>
      </c>
      <c r="B127" s="1" t="s">
        <v>246</v>
      </c>
      <c r="D127" s="1">
        <v>350000.0</v>
      </c>
      <c r="E127" s="1" t="s">
        <v>247</v>
      </c>
      <c r="F127" s="1" t="s">
        <v>248</v>
      </c>
    </row>
    <row r="128">
      <c r="A128" s="1" t="s">
        <v>249</v>
      </c>
      <c r="B128" s="1" t="s">
        <v>250</v>
      </c>
      <c r="D128" s="1">
        <v>516600.0</v>
      </c>
      <c r="E128" s="1" t="s">
        <v>216</v>
      </c>
    </row>
    <row r="129">
      <c r="B129" s="1" t="s">
        <v>251</v>
      </c>
      <c r="D129" s="1">
        <v>323430.0</v>
      </c>
      <c r="E129" s="1" t="s">
        <v>216</v>
      </c>
    </row>
    <row r="130">
      <c r="A130" s="1" t="s">
        <v>252</v>
      </c>
      <c r="B130" s="1" t="s">
        <v>253</v>
      </c>
      <c r="D130" s="1">
        <v>132000.0</v>
      </c>
      <c r="E130" s="1" t="s">
        <v>254</v>
      </c>
    </row>
    <row r="131">
      <c r="A131" s="1" t="s">
        <v>255</v>
      </c>
      <c r="B131" s="1" t="s">
        <v>256</v>
      </c>
      <c r="D131" s="1">
        <v>742400.0</v>
      </c>
      <c r="E131" s="1" t="s">
        <v>216</v>
      </c>
    </row>
    <row r="132">
      <c r="B132" s="1" t="s">
        <v>215</v>
      </c>
      <c r="D132" s="1">
        <v>520680.0</v>
      </c>
      <c r="E132" s="1" t="s">
        <v>216</v>
      </c>
    </row>
    <row r="133">
      <c r="A133" s="1" t="s">
        <v>257</v>
      </c>
      <c r="B133" s="1" t="s">
        <v>258</v>
      </c>
      <c r="D133" s="1">
        <v>7049000.0</v>
      </c>
      <c r="E133" s="1" t="s">
        <v>155</v>
      </c>
    </row>
    <row r="134">
      <c r="B134" s="1" t="s">
        <v>208</v>
      </c>
      <c r="D134" s="1">
        <v>600000.0</v>
      </c>
      <c r="E134" s="1" t="s">
        <v>259</v>
      </c>
      <c r="F134" s="1" t="s">
        <v>260</v>
      </c>
    </row>
    <row r="135">
      <c r="A135" s="1" t="s">
        <v>261</v>
      </c>
      <c r="B135" s="1" t="s">
        <v>262</v>
      </c>
      <c r="D135" s="1">
        <v>135500.0</v>
      </c>
      <c r="E135" s="1" t="s">
        <v>263</v>
      </c>
    </row>
    <row r="136">
      <c r="B136" s="1" t="s">
        <v>264</v>
      </c>
      <c r="D136" s="1">
        <v>3000000.0</v>
      </c>
      <c r="E136" s="1" t="s">
        <v>265</v>
      </c>
    </row>
    <row r="137">
      <c r="A137" s="1" t="s">
        <v>266</v>
      </c>
      <c r="B137" s="1" t="s">
        <v>221</v>
      </c>
      <c r="D137" s="1">
        <v>1294460.0</v>
      </c>
    </row>
    <row r="138">
      <c r="B138" s="1" t="s">
        <v>267</v>
      </c>
      <c r="D138" s="1">
        <v>30000.0</v>
      </c>
    </row>
    <row r="139">
      <c r="A139" s="1" t="s">
        <v>268</v>
      </c>
      <c r="B139" s="1" t="s">
        <v>269</v>
      </c>
      <c r="D139" s="1">
        <v>1000000.0</v>
      </c>
    </row>
    <row r="140">
      <c r="A140" s="1" t="s">
        <v>270</v>
      </c>
      <c r="B140" s="1" t="s">
        <v>186</v>
      </c>
      <c r="D140" s="1">
        <v>1821040.0</v>
      </c>
    </row>
    <row r="141">
      <c r="B141" s="1" t="s">
        <v>187</v>
      </c>
      <c r="D141" s="1">
        <v>1827740.0</v>
      </c>
    </row>
    <row r="142">
      <c r="B142" s="1" t="s">
        <v>188</v>
      </c>
      <c r="D142" s="1">
        <v>1473220.0</v>
      </c>
    </row>
    <row r="143">
      <c r="A143" s="1" t="s">
        <v>271</v>
      </c>
      <c r="B143" s="1" t="s">
        <v>192</v>
      </c>
      <c r="D143" s="1">
        <v>1068180.0</v>
      </c>
    </row>
    <row r="144">
      <c r="B144" s="1" t="s">
        <v>272</v>
      </c>
      <c r="D144" s="1">
        <v>375000.0</v>
      </c>
    </row>
    <row r="145">
      <c r="B145" s="1" t="s">
        <v>225</v>
      </c>
      <c r="D145" s="1">
        <v>109260.0</v>
      </c>
      <c r="E145" s="1" t="s">
        <v>226</v>
      </c>
    </row>
    <row r="146">
      <c r="B146" s="1" t="s">
        <v>273</v>
      </c>
      <c r="D146" s="1">
        <v>254160.0</v>
      </c>
    </row>
    <row r="147">
      <c r="A147" s="1" t="s">
        <v>274</v>
      </c>
      <c r="B147" s="1" t="s">
        <v>275</v>
      </c>
      <c r="D147" s="1">
        <v>96500.0</v>
      </c>
      <c r="E147" s="1" t="s">
        <v>276</v>
      </c>
      <c r="G147">
        <f>SUM(D3:D147)</f>
        <v>538567662</v>
      </c>
      <c r="H147" s="1" t="s">
        <v>277</v>
      </c>
    </row>
    <row r="148">
      <c r="A148" s="1" t="s">
        <v>23</v>
      </c>
      <c r="B148" s="1" t="s">
        <v>13</v>
      </c>
      <c r="D148" s="1">
        <v>71490.0</v>
      </c>
      <c r="E148" s="1">
        <v>1543530.0</v>
      </c>
      <c r="F148" s="1" t="s">
        <v>278</v>
      </c>
    </row>
    <row r="149">
      <c r="B149" s="1" t="s">
        <v>17</v>
      </c>
      <c r="D149" s="1">
        <v>7130.0</v>
      </c>
      <c r="E149" s="1">
        <v>154350.0</v>
      </c>
    </row>
    <row r="150">
      <c r="A150" s="1" t="s">
        <v>279</v>
      </c>
      <c r="B150" s="1" t="s">
        <v>232</v>
      </c>
      <c r="D150" s="1">
        <v>2200000.0</v>
      </c>
      <c r="E150" s="1" t="s">
        <v>280</v>
      </c>
    </row>
    <row r="151">
      <c r="B151" s="1" t="s">
        <v>281</v>
      </c>
      <c r="D151" s="1">
        <v>115500.0</v>
      </c>
      <c r="E151" s="1" t="s">
        <v>38</v>
      </c>
    </row>
    <row r="152">
      <c r="B152" s="1" t="s">
        <v>282</v>
      </c>
      <c r="D152" s="1">
        <v>144000.0</v>
      </c>
      <c r="E152" s="1" t="s">
        <v>216</v>
      </c>
    </row>
    <row r="153">
      <c r="A153" s="1" t="s">
        <v>283</v>
      </c>
      <c r="B153" s="1" t="s">
        <v>284</v>
      </c>
      <c r="D153" s="1">
        <v>41000.0</v>
      </c>
    </row>
    <row r="154">
      <c r="B154" s="1" t="s">
        <v>263</v>
      </c>
      <c r="D154" s="1">
        <v>157000.0</v>
      </c>
    </row>
    <row r="155">
      <c r="A155" s="1" t="s">
        <v>285</v>
      </c>
      <c r="B155" s="1" t="s">
        <v>286</v>
      </c>
      <c r="D155" s="1">
        <v>7006000.0</v>
      </c>
      <c r="E155" s="1" t="s">
        <v>157</v>
      </c>
    </row>
    <row r="156">
      <c r="B156" s="1" t="s">
        <v>287</v>
      </c>
      <c r="D156" s="1">
        <v>742400.0</v>
      </c>
      <c r="E156" s="1" t="s">
        <v>216</v>
      </c>
    </row>
    <row r="157">
      <c r="B157" s="1" t="s">
        <v>288</v>
      </c>
      <c r="D157" s="1">
        <v>520680.0</v>
      </c>
      <c r="E157" s="1" t="s">
        <v>216</v>
      </c>
    </row>
    <row r="158">
      <c r="A158" s="1" t="s">
        <v>289</v>
      </c>
      <c r="B158" s="1" t="s">
        <v>208</v>
      </c>
      <c r="D158" s="1">
        <v>400000.0</v>
      </c>
      <c r="E158" s="1" t="s">
        <v>290</v>
      </c>
      <c r="F158" s="1" t="s">
        <v>291</v>
      </c>
    </row>
    <row r="159">
      <c r="A159" s="1" t="s">
        <v>292</v>
      </c>
      <c r="B159" s="1" t="s">
        <v>293</v>
      </c>
      <c r="D159" s="1">
        <v>500000.0</v>
      </c>
    </row>
    <row r="160">
      <c r="B160" s="1" t="s">
        <v>294</v>
      </c>
      <c r="D160" s="1">
        <v>3600000.0</v>
      </c>
      <c r="E160" s="1" t="s">
        <v>295</v>
      </c>
    </row>
    <row r="161">
      <c r="B161" s="1" t="s">
        <v>296</v>
      </c>
      <c r="D161" s="1">
        <v>6000000.0</v>
      </c>
      <c r="E161" s="1" t="s">
        <v>297</v>
      </c>
    </row>
    <row r="162">
      <c r="A162" s="1" t="s">
        <v>298</v>
      </c>
      <c r="B162" s="1" t="s">
        <v>221</v>
      </c>
      <c r="D162" s="1">
        <v>1294460.0</v>
      </c>
    </row>
    <row r="163">
      <c r="A163" s="1" t="s">
        <v>299</v>
      </c>
      <c r="B163" s="1" t="s">
        <v>186</v>
      </c>
      <c r="D163" s="1">
        <v>1821040.0</v>
      </c>
    </row>
    <row r="164">
      <c r="B164" s="1" t="s">
        <v>187</v>
      </c>
      <c r="D164" s="1">
        <v>1827740.0</v>
      </c>
    </row>
    <row r="165">
      <c r="B165" s="1" t="s">
        <v>188</v>
      </c>
      <c r="D165" s="1">
        <v>1473220.0</v>
      </c>
    </row>
    <row r="166">
      <c r="B166" s="1" t="s">
        <v>263</v>
      </c>
      <c r="D166" s="1">
        <v>210000.0</v>
      </c>
    </row>
    <row r="167">
      <c r="B167" s="1" t="s">
        <v>300</v>
      </c>
      <c r="D167" s="1">
        <v>3000000.0</v>
      </c>
      <c r="F167" s="1" t="s">
        <v>301</v>
      </c>
    </row>
    <row r="168">
      <c r="A168" s="1" t="s">
        <v>302</v>
      </c>
      <c r="B168" s="1" t="s">
        <v>303</v>
      </c>
      <c r="D168" s="1">
        <v>1473220.0</v>
      </c>
    </row>
    <row r="169">
      <c r="A169" s="1" t="s">
        <v>304</v>
      </c>
      <c r="B169" s="1" t="s">
        <v>192</v>
      </c>
      <c r="D169" s="1">
        <v>1068180.0</v>
      </c>
    </row>
    <row r="170">
      <c r="B170" s="1" t="s">
        <v>305</v>
      </c>
      <c r="D170" s="1">
        <v>70000.0</v>
      </c>
      <c r="E170" s="1" t="s">
        <v>147</v>
      </c>
    </row>
    <row r="171">
      <c r="A171" s="1" t="s">
        <v>306</v>
      </c>
      <c r="B171" s="1" t="s">
        <v>307</v>
      </c>
      <c r="D171" s="1">
        <v>200000.0</v>
      </c>
    </row>
    <row r="172">
      <c r="A172" s="1" t="s">
        <v>308</v>
      </c>
      <c r="B172" s="1" t="s">
        <v>235</v>
      </c>
      <c r="D172" s="1">
        <v>2000000.0</v>
      </c>
      <c r="E172" s="1" t="s">
        <v>236</v>
      </c>
    </row>
    <row r="173">
      <c r="B173" s="1" t="s">
        <v>309</v>
      </c>
      <c r="D173" s="1">
        <v>225312.0</v>
      </c>
      <c r="E173" s="1" t="s">
        <v>226</v>
      </c>
    </row>
    <row r="174">
      <c r="B174" s="1" t="s">
        <v>310</v>
      </c>
      <c r="D174" s="1">
        <v>6600.0</v>
      </c>
      <c r="E174" s="1" t="s">
        <v>38</v>
      </c>
    </row>
    <row r="175">
      <c r="B175" s="1" t="s">
        <v>311</v>
      </c>
      <c r="D175" s="1">
        <v>781410.0</v>
      </c>
      <c r="E175" s="1" t="s">
        <v>312</v>
      </c>
    </row>
    <row r="176">
      <c r="A176" s="1" t="s">
        <v>313</v>
      </c>
      <c r="B176" s="1" t="s">
        <v>314</v>
      </c>
      <c r="D176" s="1">
        <v>180000.0</v>
      </c>
      <c r="E176" s="1" t="s">
        <v>263</v>
      </c>
    </row>
    <row r="177">
      <c r="A177" s="1" t="s">
        <v>315</v>
      </c>
      <c r="B177" s="1" t="s">
        <v>17</v>
      </c>
      <c r="D177" s="1">
        <v>92600.0</v>
      </c>
    </row>
    <row r="178">
      <c r="B178" s="1" t="s">
        <v>316</v>
      </c>
      <c r="D178" s="1">
        <v>596880.0</v>
      </c>
    </row>
    <row r="179">
      <c r="B179" s="1" t="s">
        <v>287</v>
      </c>
      <c r="D179" s="1">
        <v>877400.0</v>
      </c>
    </row>
    <row r="180">
      <c r="B180" s="1" t="s">
        <v>286</v>
      </c>
      <c r="D180" s="1">
        <v>7075000.0</v>
      </c>
      <c r="E180" s="1" t="s">
        <v>157</v>
      </c>
    </row>
    <row r="181">
      <c r="A181" s="1" t="s">
        <v>317</v>
      </c>
      <c r="B181" s="1" t="s">
        <v>318</v>
      </c>
      <c r="D181" s="1">
        <v>100000.0</v>
      </c>
    </row>
    <row r="182">
      <c r="A182" s="1" t="s">
        <v>319</v>
      </c>
      <c r="B182" s="1" t="s">
        <v>221</v>
      </c>
      <c r="D182" s="1">
        <v>1949260.0</v>
      </c>
    </row>
    <row r="183">
      <c r="A183" s="1" t="s">
        <v>320</v>
      </c>
      <c r="B183" s="1" t="s">
        <v>186</v>
      </c>
      <c r="D183" s="1">
        <v>2727950.0</v>
      </c>
    </row>
    <row r="184">
      <c r="B184" s="1" t="s">
        <v>188</v>
      </c>
      <c r="D184" s="1">
        <v>2230090.0</v>
      </c>
    </row>
    <row r="185">
      <c r="B185" s="1" t="s">
        <v>187</v>
      </c>
      <c r="D185" s="1">
        <v>1827740.0</v>
      </c>
    </row>
    <row r="186">
      <c r="A186" s="1" t="s">
        <v>321</v>
      </c>
      <c r="B186" s="1" t="s">
        <v>303</v>
      </c>
      <c r="D186" s="1">
        <v>1860520.0</v>
      </c>
    </row>
    <row r="187">
      <c r="A187" s="1" t="s">
        <v>322</v>
      </c>
      <c r="B187" s="1" t="s">
        <v>192</v>
      </c>
      <c r="D187" s="1">
        <v>1068180.0</v>
      </c>
    </row>
    <row r="188">
      <c r="A188" s="1" t="s">
        <v>323</v>
      </c>
      <c r="B188" s="1" t="s">
        <v>324</v>
      </c>
      <c r="D188" s="1">
        <v>500000.0</v>
      </c>
    </row>
    <row r="189">
      <c r="A189" s="1" t="s">
        <v>325</v>
      </c>
      <c r="B189" s="1" t="s">
        <v>326</v>
      </c>
      <c r="D189" s="1">
        <v>198000.0</v>
      </c>
    </row>
    <row r="190">
      <c r="A190" s="1" t="s">
        <v>327</v>
      </c>
      <c r="B190" s="1" t="s">
        <v>307</v>
      </c>
      <c r="D190" s="1">
        <v>200000.0</v>
      </c>
    </row>
    <row r="191">
      <c r="A191" s="1" t="s">
        <v>328</v>
      </c>
      <c r="B191" s="1" t="s">
        <v>329</v>
      </c>
      <c r="D191" s="1">
        <v>233920.0</v>
      </c>
    </row>
    <row r="192">
      <c r="B192" s="1" t="s">
        <v>330</v>
      </c>
      <c r="D192" s="1">
        <v>235320.0</v>
      </c>
    </row>
    <row r="193">
      <c r="A193" s="1" t="s">
        <v>331</v>
      </c>
      <c r="B193" s="1" t="s">
        <v>332</v>
      </c>
      <c r="D193" s="1">
        <v>395964.0</v>
      </c>
      <c r="E193" s="1" t="s">
        <v>226</v>
      </c>
    </row>
    <row r="194">
      <c r="A194" s="1" t="s">
        <v>333</v>
      </c>
      <c r="B194" s="1" t="s">
        <v>287</v>
      </c>
      <c r="D194" s="1">
        <v>877400.0</v>
      </c>
      <c r="E194" s="1" t="s">
        <v>334</v>
      </c>
    </row>
    <row r="195">
      <c r="B195" s="1" t="s">
        <v>286</v>
      </c>
      <c r="D195" s="1">
        <v>7225000.0</v>
      </c>
      <c r="E195" s="1" t="s">
        <v>157</v>
      </c>
    </row>
    <row r="196">
      <c r="A196" s="1" t="s">
        <v>335</v>
      </c>
      <c r="B196" s="1" t="s">
        <v>288</v>
      </c>
      <c r="D196" s="1">
        <v>621020.0</v>
      </c>
      <c r="E196" s="1" t="s">
        <v>216</v>
      </c>
    </row>
    <row r="197">
      <c r="A197" s="1" t="s">
        <v>336</v>
      </c>
      <c r="B197" s="1" t="s">
        <v>221</v>
      </c>
      <c r="D197" s="1">
        <v>1293130.0</v>
      </c>
    </row>
    <row r="198">
      <c r="B198" s="1" t="s">
        <v>337</v>
      </c>
      <c r="D198" s="1">
        <v>374190.0</v>
      </c>
    </row>
    <row r="199">
      <c r="B199" s="1" t="s">
        <v>338</v>
      </c>
      <c r="D199" s="1">
        <v>234280.0</v>
      </c>
    </row>
    <row r="200">
      <c r="A200" s="1" t="s">
        <v>339</v>
      </c>
      <c r="B200" s="1" t="s">
        <v>340</v>
      </c>
      <c r="E200" s="1" t="s">
        <v>341</v>
      </c>
      <c r="F200" s="1" t="s">
        <v>342</v>
      </c>
    </row>
    <row r="201">
      <c r="A201" s="1" t="s">
        <v>339</v>
      </c>
      <c r="B201" s="1" t="s">
        <v>343</v>
      </c>
      <c r="D201" s="1">
        <v>620000.0</v>
      </c>
      <c r="E201" s="1" t="s">
        <v>344</v>
      </c>
      <c r="F201" s="1" t="s">
        <v>345</v>
      </c>
    </row>
    <row r="202">
      <c r="A202" s="1" t="s">
        <v>346</v>
      </c>
      <c r="B202" s="1" t="s">
        <v>186</v>
      </c>
      <c r="D202" s="1">
        <v>1819190.0</v>
      </c>
    </row>
    <row r="203">
      <c r="B203" s="1" t="s">
        <v>187</v>
      </c>
      <c r="D203" s="1">
        <v>1825790.0</v>
      </c>
    </row>
    <row r="204">
      <c r="B204" s="1" t="s">
        <v>188</v>
      </c>
      <c r="D204" s="1">
        <v>1471680.0</v>
      </c>
    </row>
    <row r="205">
      <c r="A205" s="1" t="s">
        <v>347</v>
      </c>
      <c r="B205" s="1" t="s">
        <v>303</v>
      </c>
      <c r="D205" s="1">
        <v>1471680.0</v>
      </c>
    </row>
    <row r="206">
      <c r="A206" s="1" t="s">
        <v>348</v>
      </c>
      <c r="B206" s="1" t="s">
        <v>192</v>
      </c>
      <c r="D206" s="1">
        <v>1067100.0</v>
      </c>
    </row>
    <row r="207">
      <c r="B207" s="1" t="s">
        <v>232</v>
      </c>
      <c r="D207" s="1">
        <v>880000.0</v>
      </c>
      <c r="E207" s="1" t="s">
        <v>280</v>
      </c>
    </row>
    <row r="208">
      <c r="B208" s="1" t="s">
        <v>235</v>
      </c>
      <c r="D208" s="1">
        <v>2000000.0</v>
      </c>
      <c r="E208" s="1" t="s">
        <v>236</v>
      </c>
      <c r="F208" s="1" t="s">
        <v>349</v>
      </c>
    </row>
    <row r="209">
      <c r="B209" s="1" t="s">
        <v>350</v>
      </c>
      <c r="D209" s="1">
        <v>713180.0</v>
      </c>
      <c r="E209" s="1" t="s">
        <v>226</v>
      </c>
    </row>
    <row r="210">
      <c r="B210" s="1" t="s">
        <v>311</v>
      </c>
      <c r="D210" s="1">
        <v>490050.0</v>
      </c>
      <c r="E210" s="1" t="s">
        <v>312</v>
      </c>
    </row>
    <row r="211">
      <c r="A211" s="1" t="s">
        <v>351</v>
      </c>
      <c r="B211" s="1" t="s">
        <v>352</v>
      </c>
      <c r="D211" s="1">
        <v>278150.0</v>
      </c>
    </row>
    <row r="212">
      <c r="A212" s="1" t="s">
        <v>353</v>
      </c>
      <c r="B212" s="1" t="s">
        <v>307</v>
      </c>
      <c r="D212" s="1">
        <v>200000.0</v>
      </c>
    </row>
    <row r="213">
      <c r="B213" s="1" t="s">
        <v>354</v>
      </c>
      <c r="D213" s="1">
        <v>6000000.0</v>
      </c>
      <c r="E213" s="1" t="s">
        <v>355</v>
      </c>
    </row>
    <row r="214">
      <c r="A214" s="1" t="s">
        <v>356</v>
      </c>
      <c r="B214" s="1" t="s">
        <v>357</v>
      </c>
      <c r="D214" s="1">
        <v>264000.0</v>
      </c>
      <c r="E214" s="1" t="s">
        <v>358</v>
      </c>
    </row>
    <row r="215">
      <c r="A215" s="1" t="s">
        <v>359</v>
      </c>
      <c r="B215" s="1" t="s">
        <v>360</v>
      </c>
      <c r="D215" s="1">
        <v>1500000.0</v>
      </c>
      <c r="E215" s="1" t="s">
        <v>361</v>
      </c>
    </row>
    <row r="216">
      <c r="A216" s="1" t="s">
        <v>362</v>
      </c>
      <c r="B216" s="1" t="s">
        <v>363</v>
      </c>
      <c r="D216" s="1">
        <v>621020.0</v>
      </c>
    </row>
    <row r="217">
      <c r="B217" s="1" t="s">
        <v>364</v>
      </c>
      <c r="D217" s="1">
        <v>877400.0</v>
      </c>
    </row>
    <row r="218">
      <c r="B218" s="1" t="s">
        <v>365</v>
      </c>
      <c r="D218" s="1">
        <v>140000.0</v>
      </c>
    </row>
    <row r="219">
      <c r="A219" s="1" t="s">
        <v>366</v>
      </c>
      <c r="B219" s="1" t="s">
        <v>286</v>
      </c>
      <c r="D219" s="1">
        <v>7243000.0</v>
      </c>
      <c r="E219" s="1" t="s">
        <v>157</v>
      </c>
    </row>
    <row r="220">
      <c r="B220" s="1" t="s">
        <v>343</v>
      </c>
      <c r="D220" s="1">
        <v>650000.0</v>
      </c>
      <c r="E220" s="1" t="s">
        <v>367</v>
      </c>
      <c r="F220" s="1" t="s">
        <v>368</v>
      </c>
    </row>
    <row r="221">
      <c r="A221" s="1" t="s">
        <v>369</v>
      </c>
      <c r="B221" s="1" t="s">
        <v>370</v>
      </c>
      <c r="D221" s="1">
        <v>48400.0</v>
      </c>
    </row>
    <row r="222">
      <c r="A222" s="1" t="s">
        <v>371</v>
      </c>
      <c r="B222" s="1" t="s">
        <v>221</v>
      </c>
      <c r="D222" s="1">
        <v>1920280.0</v>
      </c>
    </row>
    <row r="223">
      <c r="A223" s="1" t="s">
        <v>372</v>
      </c>
      <c r="B223" s="1" t="s">
        <v>186</v>
      </c>
      <c r="D223" s="1">
        <v>2671890.0</v>
      </c>
    </row>
    <row r="224">
      <c r="B224" s="1" t="s">
        <v>188</v>
      </c>
      <c r="D224" s="1">
        <v>2190150.0</v>
      </c>
    </row>
    <row r="225">
      <c r="B225" s="1" t="s">
        <v>187</v>
      </c>
      <c r="D225" s="1">
        <v>1825790.0</v>
      </c>
    </row>
    <row r="226">
      <c r="A226" s="1" t="s">
        <v>373</v>
      </c>
      <c r="B226" s="1" t="s">
        <v>303</v>
      </c>
      <c r="D226" s="1">
        <v>1833890.0</v>
      </c>
    </row>
    <row r="227">
      <c r="A227" s="1" t="s">
        <v>374</v>
      </c>
      <c r="B227" s="1" t="s">
        <v>192</v>
      </c>
      <c r="D227" s="1">
        <v>1067100.0</v>
      </c>
    </row>
    <row r="228">
      <c r="A228" s="1" t="s">
        <v>375</v>
      </c>
      <c r="B228" s="1" t="s">
        <v>376</v>
      </c>
      <c r="D228" s="1">
        <v>14190.0</v>
      </c>
      <c r="E228" s="1" t="s">
        <v>377</v>
      </c>
    </row>
    <row r="229">
      <c r="B229" s="1" t="s">
        <v>378</v>
      </c>
      <c r="D229" s="1">
        <v>239780.0</v>
      </c>
      <c r="E229" s="1" t="s">
        <v>377</v>
      </c>
    </row>
    <row r="230">
      <c r="B230" s="1" t="s">
        <v>379</v>
      </c>
      <c r="D230" s="1">
        <v>197100.0</v>
      </c>
      <c r="E230" s="1" t="s">
        <v>377</v>
      </c>
    </row>
    <row r="231">
      <c r="B231" s="1" t="s">
        <v>380</v>
      </c>
      <c r="D231" s="1">
        <v>2047310.0</v>
      </c>
      <c r="E231" s="1" t="s">
        <v>377</v>
      </c>
    </row>
    <row r="232">
      <c r="A232" s="1" t="s">
        <v>381</v>
      </c>
      <c r="B232" s="1" t="s">
        <v>382</v>
      </c>
      <c r="D232" s="1">
        <v>200000.0</v>
      </c>
    </row>
    <row r="233">
      <c r="A233" s="1" t="s">
        <v>383</v>
      </c>
      <c r="B233" s="1" t="s">
        <v>384</v>
      </c>
      <c r="D233" s="1">
        <v>132000.0</v>
      </c>
      <c r="E233" s="1" t="s">
        <v>358</v>
      </c>
    </row>
    <row r="234">
      <c r="B234" s="1" t="s">
        <v>311</v>
      </c>
      <c r="D234" s="1">
        <v>379300.0</v>
      </c>
      <c r="E234" s="1" t="s">
        <v>312</v>
      </c>
    </row>
    <row r="235">
      <c r="B235" s="1" t="s">
        <v>385</v>
      </c>
      <c r="D235" s="1">
        <v>184800.0</v>
      </c>
      <c r="E235" s="1" t="s">
        <v>386</v>
      </c>
    </row>
    <row r="236">
      <c r="B236" s="1" t="s">
        <v>387</v>
      </c>
      <c r="D236" s="1">
        <v>660000.0</v>
      </c>
      <c r="E236" s="1" t="s">
        <v>38</v>
      </c>
    </row>
    <row r="237">
      <c r="B237" s="1" t="s">
        <v>388</v>
      </c>
      <c r="D237" s="1">
        <v>796508.0</v>
      </c>
      <c r="E237" s="1" t="s">
        <v>389</v>
      </c>
    </row>
    <row r="238">
      <c r="A238" s="1" t="s">
        <v>390</v>
      </c>
      <c r="B238" s="1" t="s">
        <v>17</v>
      </c>
      <c r="D238" s="1">
        <v>195050.0</v>
      </c>
      <c r="E238" s="1" t="s">
        <v>391</v>
      </c>
    </row>
    <row r="239">
      <c r="B239" s="1" t="s">
        <v>287</v>
      </c>
      <c r="D239" s="1">
        <v>877400.0</v>
      </c>
      <c r="E239" s="1" t="s">
        <v>216</v>
      </c>
    </row>
    <row r="240">
      <c r="B240" s="1" t="s">
        <v>288</v>
      </c>
      <c r="D240" s="1">
        <v>621020.0</v>
      </c>
      <c r="E240" s="1" t="s">
        <v>216</v>
      </c>
    </row>
    <row r="241">
      <c r="B241" s="1" t="s">
        <v>392</v>
      </c>
      <c r="D241" s="1">
        <v>15000.0</v>
      </c>
      <c r="E241" s="1" t="s">
        <v>216</v>
      </c>
    </row>
    <row r="242">
      <c r="B242" s="1" t="s">
        <v>393</v>
      </c>
      <c r="D242" s="1">
        <v>15000.0</v>
      </c>
      <c r="E242" s="1" t="s">
        <v>216</v>
      </c>
    </row>
    <row r="243">
      <c r="A243" s="1" t="s">
        <v>394</v>
      </c>
      <c r="B243" s="1" t="s">
        <v>286</v>
      </c>
      <c r="D243" s="1">
        <v>7657000.0</v>
      </c>
      <c r="E243" s="1" t="s">
        <v>157</v>
      </c>
    </row>
    <row r="244">
      <c r="A244" s="1" t="s">
        <v>395</v>
      </c>
      <c r="B244" s="1" t="s">
        <v>208</v>
      </c>
      <c r="D244" s="1">
        <v>320000.0</v>
      </c>
      <c r="E244" s="1" t="s">
        <v>396</v>
      </c>
      <c r="F244" s="1" t="s">
        <v>397</v>
      </c>
    </row>
    <row r="245">
      <c r="A245" s="1" t="s">
        <v>398</v>
      </c>
      <c r="B245" s="1" t="s">
        <v>221</v>
      </c>
      <c r="D245" s="1">
        <v>1293130.0</v>
      </c>
    </row>
    <row r="246">
      <c r="A246" s="1" t="s">
        <v>399</v>
      </c>
      <c r="B246" s="1" t="s">
        <v>186</v>
      </c>
      <c r="D246" s="1">
        <v>1819190.0</v>
      </c>
    </row>
    <row r="247">
      <c r="B247" s="1" t="s">
        <v>188</v>
      </c>
      <c r="D247" s="1">
        <v>1471680.0</v>
      </c>
    </row>
    <row r="248">
      <c r="B248" s="1" t="s">
        <v>187</v>
      </c>
      <c r="D248" s="1">
        <v>1825790.0</v>
      </c>
    </row>
    <row r="249">
      <c r="A249" s="1" t="s">
        <v>400</v>
      </c>
      <c r="B249" s="1" t="s">
        <v>303</v>
      </c>
      <c r="D249" s="1">
        <v>1471680.0</v>
      </c>
    </row>
    <row r="250">
      <c r="A250" s="1" t="s">
        <v>401</v>
      </c>
      <c r="B250" s="1" t="s">
        <v>192</v>
      </c>
      <c r="D250" s="1">
        <v>1067100.0</v>
      </c>
    </row>
    <row r="251">
      <c r="A251" s="1" t="s">
        <v>402</v>
      </c>
      <c r="B251" s="1" t="s">
        <v>378</v>
      </c>
      <c r="D251" s="1">
        <v>222250.0</v>
      </c>
      <c r="E251" s="1" t="s">
        <v>377</v>
      </c>
    </row>
    <row r="252">
      <c r="A252" s="1" t="s">
        <v>403</v>
      </c>
      <c r="B252" s="1" t="s">
        <v>404</v>
      </c>
      <c r="D252" s="1">
        <v>130000.0</v>
      </c>
    </row>
    <row r="253">
      <c r="A253" s="1" t="s">
        <v>405</v>
      </c>
      <c r="B253" s="1" t="s">
        <v>235</v>
      </c>
      <c r="D253" s="1">
        <v>2000000.0</v>
      </c>
      <c r="E253" s="1" t="s">
        <v>236</v>
      </c>
      <c r="F253" s="1" t="s">
        <v>406</v>
      </c>
    </row>
    <row r="254">
      <c r="B254" s="1" t="s">
        <v>311</v>
      </c>
      <c r="D254" s="1">
        <v>220320.0</v>
      </c>
      <c r="E254" s="1" t="s">
        <v>312</v>
      </c>
    </row>
    <row r="255">
      <c r="B255" s="1" t="s">
        <v>407</v>
      </c>
      <c r="D255" s="1">
        <v>132000.0</v>
      </c>
      <c r="E255" s="1" t="s">
        <v>358</v>
      </c>
    </row>
    <row r="256">
      <c r="B256" s="1" t="s">
        <v>240</v>
      </c>
      <c r="D256" s="1">
        <v>33000.0</v>
      </c>
      <c r="E256" s="1" t="s">
        <v>408</v>
      </c>
    </row>
    <row r="257">
      <c r="B257" s="1" t="s">
        <v>409</v>
      </c>
      <c r="D257" s="1">
        <v>246996.0</v>
      </c>
      <c r="E257" s="1" t="s">
        <v>389</v>
      </c>
    </row>
    <row r="258">
      <c r="A258" s="1" t="s">
        <v>410</v>
      </c>
      <c r="B258" s="1" t="s">
        <v>411</v>
      </c>
      <c r="D258" s="1">
        <v>600000.0</v>
      </c>
      <c r="E258" s="1" t="s">
        <v>69</v>
      </c>
    </row>
    <row r="259">
      <c r="B259" s="1" t="s">
        <v>412</v>
      </c>
      <c r="D259" s="1">
        <v>40000.0</v>
      </c>
    </row>
    <row r="260">
      <c r="A260" s="1" t="s">
        <v>413</v>
      </c>
      <c r="B260" s="1" t="s">
        <v>414</v>
      </c>
      <c r="D260" s="1">
        <v>200000.0</v>
      </c>
      <c r="E260" s="1" t="s">
        <v>415</v>
      </c>
      <c r="F260" s="1" t="s">
        <v>416</v>
      </c>
    </row>
    <row r="261">
      <c r="A261" s="1" t="s">
        <v>417</v>
      </c>
      <c r="B261" s="1" t="s">
        <v>287</v>
      </c>
      <c r="D261" s="1">
        <v>877400.0</v>
      </c>
      <c r="E261" s="1" t="s">
        <v>216</v>
      </c>
    </row>
    <row r="262">
      <c r="B262" s="1" t="s">
        <v>288</v>
      </c>
      <c r="D262" s="1">
        <v>621020.0</v>
      </c>
      <c r="E262" s="1" t="s">
        <v>216</v>
      </c>
    </row>
    <row r="263">
      <c r="A263" s="1" t="s">
        <v>418</v>
      </c>
      <c r="B263" s="1" t="s">
        <v>286</v>
      </c>
      <c r="D263" s="1">
        <v>7029000.0</v>
      </c>
      <c r="E263" s="1" t="s">
        <v>157</v>
      </c>
    </row>
    <row r="264">
      <c r="B264" s="1" t="s">
        <v>419</v>
      </c>
      <c r="D264" s="1">
        <v>3600000.0</v>
      </c>
      <c r="F264" s="1" t="s">
        <v>301</v>
      </c>
    </row>
    <row r="265">
      <c r="A265" s="1" t="s">
        <v>420</v>
      </c>
      <c r="B265" s="1" t="s">
        <v>421</v>
      </c>
      <c r="D265" s="1">
        <v>76500.0</v>
      </c>
    </row>
    <row r="266">
      <c r="B266" s="1" t="s">
        <v>208</v>
      </c>
      <c r="D266" s="1">
        <v>650000.0</v>
      </c>
      <c r="E266" s="1" t="s">
        <v>367</v>
      </c>
      <c r="F266" s="1" t="s">
        <v>422</v>
      </c>
    </row>
    <row r="267">
      <c r="A267" s="1" t="s">
        <v>423</v>
      </c>
      <c r="B267" s="1" t="s">
        <v>251</v>
      </c>
      <c r="D267" s="1">
        <v>234280.0</v>
      </c>
      <c r="E267" s="1" t="s">
        <v>216</v>
      </c>
    </row>
    <row r="268">
      <c r="B268" s="1" t="s">
        <v>250</v>
      </c>
      <c r="D268" s="1">
        <v>374190.0</v>
      </c>
      <c r="E268" s="1" t="s">
        <v>216</v>
      </c>
    </row>
    <row r="269">
      <c r="A269" s="1" t="s">
        <v>424</v>
      </c>
      <c r="B269" s="1" t="s">
        <v>221</v>
      </c>
      <c r="D269" s="1">
        <v>1293130.0</v>
      </c>
    </row>
    <row r="270">
      <c r="A270" s="1" t="s">
        <v>425</v>
      </c>
      <c r="B270" s="1" t="s">
        <v>186</v>
      </c>
      <c r="D270" s="1">
        <v>1819190.0</v>
      </c>
    </row>
    <row r="271">
      <c r="B271" s="1" t="s">
        <v>188</v>
      </c>
      <c r="D271" s="1">
        <v>1471680.0</v>
      </c>
    </row>
    <row r="272">
      <c r="B272" s="1" t="s">
        <v>187</v>
      </c>
      <c r="D272" s="1">
        <v>1731050.0</v>
      </c>
    </row>
    <row r="273">
      <c r="A273" s="1" t="s">
        <v>426</v>
      </c>
      <c r="B273" s="1" t="s">
        <v>303</v>
      </c>
      <c r="D273" s="1">
        <v>1471680.0</v>
      </c>
    </row>
    <row r="274">
      <c r="A274" s="1" t="s">
        <v>427</v>
      </c>
      <c r="B274" s="1" t="s">
        <v>192</v>
      </c>
      <c r="D274" s="1">
        <v>1067100.0</v>
      </c>
    </row>
    <row r="275">
      <c r="A275" s="1" t="s">
        <v>428</v>
      </c>
      <c r="B275" s="1" t="s">
        <v>378</v>
      </c>
      <c r="D275" s="1">
        <v>231160.0</v>
      </c>
      <c r="E275" s="1" t="s">
        <v>377</v>
      </c>
    </row>
    <row r="276">
      <c r="B276" s="1" t="s">
        <v>393</v>
      </c>
      <c r="D276" s="1">
        <v>15000.0</v>
      </c>
      <c r="E276" s="1" t="s">
        <v>216</v>
      </c>
    </row>
    <row r="277">
      <c r="B277" s="1" t="s">
        <v>429</v>
      </c>
      <c r="D277" s="1">
        <v>563200.0</v>
      </c>
      <c r="E277" s="1" t="s">
        <v>216</v>
      </c>
    </row>
    <row r="278">
      <c r="A278" s="1" t="s">
        <v>425</v>
      </c>
      <c r="B278" s="1" t="s">
        <v>430</v>
      </c>
      <c r="D278" s="1">
        <v>165000.0</v>
      </c>
      <c r="E278" s="1" t="s">
        <v>91</v>
      </c>
    </row>
    <row r="279">
      <c r="B279" s="1" t="s">
        <v>431</v>
      </c>
      <c r="D279" s="1">
        <v>132000.0</v>
      </c>
      <c r="E279" s="1" t="s">
        <v>358</v>
      </c>
    </row>
    <row r="280">
      <c r="B280" s="1" t="s">
        <v>432</v>
      </c>
      <c r="D280" s="1">
        <v>393428.0</v>
      </c>
      <c r="E280" s="1" t="s">
        <v>389</v>
      </c>
    </row>
    <row r="281">
      <c r="A281" s="1" t="s">
        <v>433</v>
      </c>
      <c r="B281" s="1" t="s">
        <v>434</v>
      </c>
      <c r="D281" s="1">
        <v>200000.0</v>
      </c>
      <c r="E281" s="1" t="s">
        <v>435</v>
      </c>
    </row>
    <row r="282">
      <c r="B282" s="1" t="s">
        <v>436</v>
      </c>
      <c r="D282" s="1">
        <v>220000.0</v>
      </c>
    </row>
    <row r="283">
      <c r="B283" s="1" t="s">
        <v>437</v>
      </c>
      <c r="D283" s="1">
        <v>4756139.0</v>
      </c>
      <c r="E283" s="1" t="s">
        <v>438</v>
      </c>
    </row>
    <row r="284">
      <c r="B284" s="1" t="s">
        <v>439</v>
      </c>
      <c r="D284" s="1">
        <v>1.7E7</v>
      </c>
      <c r="E284" s="1" t="s">
        <v>440</v>
      </c>
    </row>
    <row r="285">
      <c r="A285" s="1" t="s">
        <v>441</v>
      </c>
      <c r="B285" s="1" t="s">
        <v>442</v>
      </c>
      <c r="D285" s="1">
        <v>462000.0</v>
      </c>
      <c r="E285" s="1" t="s">
        <v>443</v>
      </c>
    </row>
    <row r="286">
      <c r="A286" s="1" t="s">
        <v>444</v>
      </c>
      <c r="B286" s="1" t="s">
        <v>445</v>
      </c>
      <c r="D286" s="1">
        <v>1.0E7</v>
      </c>
      <c r="E286" s="1" t="s">
        <v>446</v>
      </c>
    </row>
    <row r="287">
      <c r="B287" s="1" t="s">
        <v>447</v>
      </c>
      <c r="D287" s="1">
        <v>87800.0</v>
      </c>
    </row>
    <row r="288">
      <c r="A288" s="1" t="s">
        <v>448</v>
      </c>
      <c r="B288" s="1" t="s">
        <v>286</v>
      </c>
      <c r="D288" s="1">
        <v>7031000.0</v>
      </c>
      <c r="E288" s="1" t="s">
        <v>157</v>
      </c>
    </row>
    <row r="289">
      <c r="A289" s="1" t="s">
        <v>449</v>
      </c>
      <c r="B289" s="1" t="s">
        <v>208</v>
      </c>
      <c r="D289" s="1">
        <v>550000.0</v>
      </c>
      <c r="E289" s="1" t="s">
        <v>450</v>
      </c>
      <c r="F289" s="1" t="s">
        <v>451</v>
      </c>
    </row>
    <row r="290">
      <c r="A290" s="1" t="s">
        <v>452</v>
      </c>
      <c r="B290" s="1" t="s">
        <v>221</v>
      </c>
      <c r="D290" s="1">
        <v>1920510.0</v>
      </c>
    </row>
    <row r="291">
      <c r="A291" s="1" t="s">
        <v>453</v>
      </c>
      <c r="B291" s="1" t="s">
        <v>186</v>
      </c>
      <c r="D291" s="1">
        <v>2671880.0</v>
      </c>
    </row>
    <row r="292">
      <c r="B292" s="1" t="s">
        <v>188</v>
      </c>
      <c r="D292" s="1">
        <v>2193370.0</v>
      </c>
    </row>
    <row r="293">
      <c r="B293" s="1" t="s">
        <v>187</v>
      </c>
      <c r="D293" s="1">
        <v>1731050.0</v>
      </c>
    </row>
    <row r="294">
      <c r="A294" s="1" t="s">
        <v>454</v>
      </c>
      <c r="B294" s="1" t="s">
        <v>303</v>
      </c>
      <c r="D294" s="1">
        <v>2193370.0</v>
      </c>
    </row>
    <row r="295">
      <c r="A295" s="1" t="s">
        <v>455</v>
      </c>
      <c r="B295" s="1" t="s">
        <v>192</v>
      </c>
      <c r="D295" s="1">
        <v>1067100.0</v>
      </c>
    </row>
    <row r="296">
      <c r="A296" s="1" t="s">
        <v>456</v>
      </c>
      <c r="B296" s="1" t="s">
        <v>378</v>
      </c>
      <c r="D296" s="1">
        <v>233150.0</v>
      </c>
      <c r="E296" s="1" t="s">
        <v>377</v>
      </c>
    </row>
    <row r="297">
      <c r="A297" s="1" t="s">
        <v>455</v>
      </c>
      <c r="B297" s="1" t="s">
        <v>457</v>
      </c>
      <c r="D297" s="1">
        <v>79870.0</v>
      </c>
    </row>
    <row r="298">
      <c r="A298" s="1" t="s">
        <v>458</v>
      </c>
      <c r="B298" s="1" t="s">
        <v>459</v>
      </c>
      <c r="D298" s="1">
        <v>4610468.0</v>
      </c>
    </row>
    <row r="299">
      <c r="A299" s="1" t="s">
        <v>460</v>
      </c>
      <c r="B299" s="1" t="s">
        <v>461</v>
      </c>
      <c r="D299" s="1">
        <v>903720.0</v>
      </c>
    </row>
    <row r="300">
      <c r="B300" s="1" t="s">
        <v>462</v>
      </c>
      <c r="D300" s="1">
        <v>132000.0</v>
      </c>
      <c r="E300" s="1" t="s">
        <v>358</v>
      </c>
    </row>
    <row r="301">
      <c r="B301" s="1" t="s">
        <v>463</v>
      </c>
      <c r="D301" s="1">
        <v>198088.0</v>
      </c>
      <c r="E301" s="1" t="s">
        <v>389</v>
      </c>
    </row>
    <row r="302">
      <c r="A302" s="1" t="s">
        <v>464</v>
      </c>
      <c r="B302" s="1" t="s">
        <v>434</v>
      </c>
      <c r="D302" s="1">
        <v>200000.0</v>
      </c>
      <c r="E302" s="1" t="s">
        <v>435</v>
      </c>
    </row>
    <row r="303">
      <c r="A303" s="1" t="s">
        <v>465</v>
      </c>
      <c r="B303" s="1" t="s">
        <v>466</v>
      </c>
      <c r="D303" s="1">
        <v>877400.0</v>
      </c>
      <c r="E303" s="1" t="s">
        <v>216</v>
      </c>
    </row>
    <row r="304">
      <c r="B304" s="1" t="s">
        <v>467</v>
      </c>
      <c r="D304" s="1">
        <v>621020.0</v>
      </c>
      <c r="E304" s="1" t="s">
        <v>216</v>
      </c>
    </row>
    <row r="305">
      <c r="B305" s="1" t="s">
        <v>468</v>
      </c>
      <c r="D305" s="1">
        <v>903720.0</v>
      </c>
      <c r="E305" s="1" t="s">
        <v>216</v>
      </c>
    </row>
    <row r="306">
      <c r="B306" s="1" t="s">
        <v>447</v>
      </c>
      <c r="D306" s="1">
        <v>202700.0</v>
      </c>
    </row>
    <row r="307">
      <c r="A307" s="1" t="s">
        <v>469</v>
      </c>
      <c r="B307" s="1" t="s">
        <v>286</v>
      </c>
      <c r="D307" s="1">
        <v>7077000.0</v>
      </c>
      <c r="E307" s="1" t="s">
        <v>157</v>
      </c>
    </row>
    <row r="308">
      <c r="A308" s="1" t="s">
        <v>470</v>
      </c>
      <c r="B308" s="1" t="s">
        <v>471</v>
      </c>
      <c r="D308" s="1">
        <v>100000.0</v>
      </c>
    </row>
    <row r="309">
      <c r="B309" s="1" t="s">
        <v>472</v>
      </c>
      <c r="D309" s="1">
        <v>350000.0</v>
      </c>
    </row>
    <row r="310">
      <c r="A310" s="1" t="s">
        <v>473</v>
      </c>
      <c r="B310" s="1" t="s">
        <v>474</v>
      </c>
      <c r="D310" s="1">
        <v>100000.0</v>
      </c>
      <c r="E310" s="1" t="s">
        <v>147</v>
      </c>
    </row>
    <row r="311">
      <c r="B311" s="1" t="s">
        <v>208</v>
      </c>
      <c r="D311" s="1">
        <v>450000.0</v>
      </c>
      <c r="E311" s="1" t="s">
        <v>475</v>
      </c>
      <c r="F311" s="1" t="s">
        <v>476</v>
      </c>
    </row>
    <row r="312">
      <c r="A312" s="1" t="s">
        <v>473</v>
      </c>
      <c r="B312" s="1" t="s">
        <v>221</v>
      </c>
      <c r="D312" s="1">
        <v>1916020.0</v>
      </c>
    </row>
    <row r="313">
      <c r="A313" s="1" t="s">
        <v>477</v>
      </c>
      <c r="B313" s="1" t="s">
        <v>186</v>
      </c>
      <c r="D313" s="1">
        <v>2641700.0</v>
      </c>
    </row>
    <row r="314">
      <c r="B314" s="1" t="s">
        <v>188</v>
      </c>
      <c r="D314" s="1">
        <v>2185970.0</v>
      </c>
    </row>
    <row r="315">
      <c r="B315" s="1" t="s">
        <v>187</v>
      </c>
      <c r="D315" s="1">
        <v>1731050.0</v>
      </c>
    </row>
    <row r="316">
      <c r="A316" s="1" t="s">
        <v>478</v>
      </c>
      <c r="B316" s="1" t="s">
        <v>303</v>
      </c>
      <c r="D316" s="1">
        <v>2185970.0</v>
      </c>
    </row>
    <row r="317">
      <c r="A317" s="1" t="s">
        <v>477</v>
      </c>
      <c r="B317" s="1" t="s">
        <v>192</v>
      </c>
      <c r="D317" s="1">
        <v>1067100.0</v>
      </c>
    </row>
    <row r="318">
      <c r="A318" s="1" t="s">
        <v>479</v>
      </c>
      <c r="B318" s="1" t="s">
        <v>459</v>
      </c>
      <c r="D318" s="1">
        <v>4645610.0</v>
      </c>
    </row>
    <row r="319">
      <c r="A319" s="1" t="s">
        <v>480</v>
      </c>
      <c r="B319" s="1" t="s">
        <v>378</v>
      </c>
      <c r="D319" s="1">
        <v>235930.0</v>
      </c>
    </row>
    <row r="320">
      <c r="A320" s="1" t="s">
        <v>481</v>
      </c>
      <c r="B320" s="1" t="s">
        <v>482</v>
      </c>
      <c r="D320" s="1">
        <v>132000.0</v>
      </c>
      <c r="E320" s="1" t="s">
        <v>358</v>
      </c>
    </row>
    <row r="321">
      <c r="B321" s="1" t="s">
        <v>483</v>
      </c>
      <c r="D321" s="1">
        <v>270972.0</v>
      </c>
      <c r="E321" s="1" t="s">
        <v>389</v>
      </c>
    </row>
    <row r="322">
      <c r="B322" s="1" t="s">
        <v>434</v>
      </c>
      <c r="D322" s="1">
        <v>200000.0</v>
      </c>
      <c r="E322" s="1" t="s">
        <v>435</v>
      </c>
    </row>
    <row r="323">
      <c r="B323" s="1" t="s">
        <v>311</v>
      </c>
      <c r="D323" s="1">
        <v>488030.0</v>
      </c>
      <c r="E323" s="1" t="s">
        <v>312</v>
      </c>
    </row>
    <row r="324">
      <c r="A324" s="1" t="s">
        <v>484</v>
      </c>
      <c r="B324" s="1" t="s">
        <v>485</v>
      </c>
      <c r="D324" s="1">
        <v>76090.0</v>
      </c>
      <c r="E324" s="1" t="s">
        <v>486</v>
      </c>
    </row>
    <row r="325">
      <c r="A325" s="1" t="s">
        <v>487</v>
      </c>
      <c r="B325" s="1" t="s">
        <v>488</v>
      </c>
      <c r="D325" s="1">
        <v>877400.0</v>
      </c>
      <c r="E325" s="1" t="s">
        <v>216</v>
      </c>
    </row>
    <row r="326">
      <c r="B326" s="1" t="s">
        <v>489</v>
      </c>
      <c r="D326" s="1">
        <v>625340.0</v>
      </c>
      <c r="E326" s="1" t="s">
        <v>216</v>
      </c>
    </row>
    <row r="327">
      <c r="B327" s="1" t="s">
        <v>490</v>
      </c>
      <c r="D327" s="1">
        <v>247500.0</v>
      </c>
      <c r="E327" s="1" t="s">
        <v>491</v>
      </c>
    </row>
    <row r="328">
      <c r="B328" s="1" t="s">
        <v>447</v>
      </c>
      <c r="D328" s="1">
        <v>250000.0</v>
      </c>
    </row>
    <row r="329">
      <c r="A329" s="1" t="s">
        <v>492</v>
      </c>
      <c r="B329" s="1" t="s">
        <v>286</v>
      </c>
      <c r="D329" s="1">
        <v>7082000.0</v>
      </c>
      <c r="E329" s="1" t="s">
        <v>157</v>
      </c>
    </row>
    <row r="330">
      <c r="A330" s="1" t="s">
        <v>493</v>
      </c>
      <c r="B330" s="1" t="s">
        <v>442</v>
      </c>
      <c r="D330" s="1">
        <v>281600.0</v>
      </c>
      <c r="E330" s="1" t="s">
        <v>443</v>
      </c>
    </row>
    <row r="331">
      <c r="A331" s="1" t="s">
        <v>494</v>
      </c>
      <c r="B331" s="1" t="s">
        <v>208</v>
      </c>
      <c r="D331" s="1">
        <v>550000.0</v>
      </c>
      <c r="E331" s="1" t="s">
        <v>450</v>
      </c>
      <c r="F331" s="1" t="s">
        <v>495</v>
      </c>
    </row>
    <row r="332">
      <c r="A332" s="1" t="s">
        <v>496</v>
      </c>
      <c r="B332" s="1" t="s">
        <v>378</v>
      </c>
      <c r="D332" s="1">
        <v>236300.0</v>
      </c>
      <c r="E332" s="1" t="s">
        <v>377</v>
      </c>
    </row>
    <row r="333">
      <c r="B333" s="1" t="s">
        <v>497</v>
      </c>
      <c r="D333" s="1">
        <v>30000.0</v>
      </c>
    </row>
    <row r="334">
      <c r="A334" s="1" t="s">
        <v>498</v>
      </c>
      <c r="B334" s="1" t="s">
        <v>221</v>
      </c>
      <c r="D334" s="1">
        <v>1293590.0</v>
      </c>
    </row>
    <row r="335">
      <c r="A335" s="1" t="s">
        <v>499</v>
      </c>
      <c r="B335" s="1" t="s">
        <v>186</v>
      </c>
      <c r="D335" s="1">
        <v>1824890.0</v>
      </c>
    </row>
    <row r="336">
      <c r="B336" s="1" t="s">
        <v>188</v>
      </c>
      <c r="D336" s="1">
        <v>954456.0</v>
      </c>
      <c r="E336" s="1" t="s">
        <v>500</v>
      </c>
    </row>
    <row r="337">
      <c r="B337" s="1" t="s">
        <v>187</v>
      </c>
      <c r="D337" s="1">
        <v>1730700.0</v>
      </c>
    </row>
    <row r="338">
      <c r="A338" s="1" t="s">
        <v>501</v>
      </c>
      <c r="B338" s="1" t="s">
        <v>303</v>
      </c>
      <c r="D338" s="1">
        <v>1473670.0</v>
      </c>
    </row>
    <row r="339">
      <c r="A339" s="1" t="s">
        <v>502</v>
      </c>
      <c r="B339" s="1" t="s">
        <v>192</v>
      </c>
      <c r="D339" s="1">
        <v>1066910.0</v>
      </c>
    </row>
    <row r="340">
      <c r="A340" s="1" t="s">
        <v>503</v>
      </c>
      <c r="B340" s="1" t="s">
        <v>504</v>
      </c>
      <c r="D340" s="1">
        <v>132000.0</v>
      </c>
      <c r="E340" s="1" t="s">
        <v>358</v>
      </c>
    </row>
    <row r="341">
      <c r="B341" s="1" t="s">
        <v>505</v>
      </c>
      <c r="D341" s="1">
        <v>127484.0</v>
      </c>
      <c r="E341" s="1" t="s">
        <v>389</v>
      </c>
    </row>
    <row r="342">
      <c r="B342" s="1" t="s">
        <v>434</v>
      </c>
      <c r="D342" s="1">
        <v>200000.0</v>
      </c>
      <c r="E342" s="1" t="s">
        <v>435</v>
      </c>
    </row>
    <row r="343">
      <c r="A343" s="1" t="s">
        <v>506</v>
      </c>
      <c r="B343" s="1" t="s">
        <v>507</v>
      </c>
      <c r="D343" s="1">
        <v>2043570.0</v>
      </c>
    </row>
    <row r="344">
      <c r="B344" s="1" t="s">
        <v>508</v>
      </c>
      <c r="D344" s="1">
        <v>1786583.0</v>
      </c>
    </row>
    <row r="345">
      <c r="B345" s="1" t="s">
        <v>509</v>
      </c>
      <c r="D345" s="1">
        <v>1481416.0</v>
      </c>
    </row>
    <row r="346">
      <c r="B346" s="1" t="s">
        <v>510</v>
      </c>
      <c r="D346" s="1">
        <v>1031750.0</v>
      </c>
    </row>
    <row r="347">
      <c r="B347" s="1" t="s">
        <v>235</v>
      </c>
      <c r="D347" s="1">
        <v>1000000.0</v>
      </c>
      <c r="E347" s="1" t="s">
        <v>236</v>
      </c>
      <c r="F347" s="1" t="s">
        <v>511</v>
      </c>
    </row>
    <row r="348">
      <c r="A348" s="1" t="s">
        <v>512</v>
      </c>
      <c r="B348" s="1" t="s">
        <v>286</v>
      </c>
      <c r="D348" s="1">
        <v>7184000.0</v>
      </c>
      <c r="E348" s="1" t="s">
        <v>157</v>
      </c>
    </row>
    <row r="349">
      <c r="A349" s="1" t="s">
        <v>513</v>
      </c>
      <c r="B349" s="1" t="s">
        <v>514</v>
      </c>
      <c r="D349" s="1">
        <v>593740.0</v>
      </c>
    </row>
    <row r="350">
      <c r="B350" s="1" t="s">
        <v>256</v>
      </c>
      <c r="D350" s="1">
        <v>877400.0</v>
      </c>
    </row>
    <row r="351">
      <c r="A351" s="1" t="s">
        <v>515</v>
      </c>
      <c r="B351" s="1" t="s">
        <v>208</v>
      </c>
      <c r="D351" s="1">
        <v>550000.0</v>
      </c>
      <c r="E351" s="1" t="s">
        <v>450</v>
      </c>
      <c r="F351" s="1" t="s">
        <v>516</v>
      </c>
    </row>
    <row r="352">
      <c r="A352" s="1" t="s">
        <v>517</v>
      </c>
      <c r="B352" s="1" t="s">
        <v>518</v>
      </c>
      <c r="D352" s="1">
        <v>319000.0</v>
      </c>
      <c r="E352" s="1" t="s">
        <v>91</v>
      </c>
    </row>
    <row r="353">
      <c r="B353" s="1" t="s">
        <v>519</v>
      </c>
      <c r="D353" s="1">
        <v>20000.0</v>
      </c>
    </row>
    <row r="354">
      <c r="A354" s="1" t="s">
        <v>520</v>
      </c>
      <c r="B354" s="1" t="s">
        <v>221</v>
      </c>
      <c r="D354" s="1">
        <v>1369520.0</v>
      </c>
    </row>
    <row r="355">
      <c r="A355" s="1" t="s">
        <v>521</v>
      </c>
      <c r="B355" s="1" t="s">
        <v>186</v>
      </c>
      <c r="D355" s="1">
        <v>1857430.0</v>
      </c>
    </row>
    <row r="356">
      <c r="B356" s="1" t="s">
        <v>187</v>
      </c>
      <c r="D356" s="1">
        <v>1985430.0</v>
      </c>
    </row>
    <row r="357">
      <c r="A357" s="1" t="s">
        <v>522</v>
      </c>
      <c r="B357" s="1" t="s">
        <v>303</v>
      </c>
      <c r="D357" s="1">
        <v>1355090.0</v>
      </c>
    </row>
    <row r="358">
      <c r="A358" s="1" t="s">
        <v>523</v>
      </c>
      <c r="B358" s="1" t="s">
        <v>192</v>
      </c>
      <c r="D358" s="1">
        <v>1086690.0</v>
      </c>
    </row>
    <row r="359">
      <c r="A359" s="1" t="s">
        <v>524</v>
      </c>
      <c r="B359" s="1" t="s">
        <v>525</v>
      </c>
      <c r="D359" s="1">
        <v>157280.0</v>
      </c>
    </row>
    <row r="360">
      <c r="B360" s="1" t="s">
        <v>526</v>
      </c>
      <c r="D360" s="1">
        <v>103430.0</v>
      </c>
    </row>
    <row r="361">
      <c r="A361" s="1" t="s">
        <v>527</v>
      </c>
      <c r="B361" s="1" t="s">
        <v>528</v>
      </c>
      <c r="D361" s="1">
        <v>132000.0</v>
      </c>
      <c r="E361" s="1" t="s">
        <v>358</v>
      </c>
    </row>
    <row r="362">
      <c r="B362" s="1" t="s">
        <v>529</v>
      </c>
      <c r="D362" s="1">
        <v>183880.0</v>
      </c>
      <c r="E362" s="1" t="s">
        <v>389</v>
      </c>
    </row>
    <row r="363">
      <c r="B363" s="1" t="s">
        <v>434</v>
      </c>
      <c r="D363" s="1">
        <v>200000.0</v>
      </c>
      <c r="E363" s="1" t="s">
        <v>435</v>
      </c>
    </row>
    <row r="364">
      <c r="B364" s="1" t="s">
        <v>311</v>
      </c>
      <c r="D364" s="1">
        <v>644590.0</v>
      </c>
      <c r="E364" s="1" t="s">
        <v>312</v>
      </c>
    </row>
    <row r="365">
      <c r="B365" s="1" t="s">
        <v>378</v>
      </c>
      <c r="D365" s="1">
        <v>234320.0</v>
      </c>
    </row>
    <row r="366">
      <c r="B366" s="1" t="s">
        <v>530</v>
      </c>
      <c r="D366" s="1">
        <v>15000.0</v>
      </c>
    </row>
    <row r="367">
      <c r="A367" s="1" t="s">
        <v>531</v>
      </c>
      <c r="B367" s="1" t="s">
        <v>532</v>
      </c>
      <c r="D367" s="1">
        <v>1603550.0</v>
      </c>
      <c r="E367" s="1" t="s">
        <v>533</v>
      </c>
    </row>
    <row r="368">
      <c r="A368" s="1" t="s">
        <v>534</v>
      </c>
      <c r="B368" s="1" t="s">
        <v>535</v>
      </c>
      <c r="D368" s="1">
        <v>7354000.0</v>
      </c>
    </row>
    <row r="369">
      <c r="B369" s="1" t="s">
        <v>536</v>
      </c>
      <c r="D369" s="1">
        <v>200000.0</v>
      </c>
    </row>
    <row r="370">
      <c r="A370" s="1" t="s">
        <v>537</v>
      </c>
      <c r="B370" s="1" t="s">
        <v>538</v>
      </c>
      <c r="D370" s="1">
        <v>719900.0</v>
      </c>
    </row>
    <row r="371">
      <c r="B371" s="1" t="s">
        <v>288</v>
      </c>
      <c r="D371" s="1">
        <v>532200.0</v>
      </c>
    </row>
    <row r="372">
      <c r="A372" s="1" t="s">
        <v>539</v>
      </c>
      <c r="B372" s="1" t="s">
        <v>540</v>
      </c>
      <c r="D372" s="1">
        <v>66000.0</v>
      </c>
      <c r="E372" s="1" t="s">
        <v>541</v>
      </c>
    </row>
    <row r="373">
      <c r="B373" s="1" t="s">
        <v>542</v>
      </c>
      <c r="D373" s="1">
        <v>547800.0</v>
      </c>
      <c r="E373" s="1" t="s">
        <v>543</v>
      </c>
    </row>
    <row r="374">
      <c r="A374" s="1" t="s">
        <v>544</v>
      </c>
      <c r="B374" s="1" t="s">
        <v>208</v>
      </c>
      <c r="D374" s="1">
        <v>600000.0</v>
      </c>
      <c r="E374" s="1" t="s">
        <v>259</v>
      </c>
      <c r="F374" s="1" t="s">
        <v>210</v>
      </c>
    </row>
    <row r="375">
      <c r="A375" s="1" t="s">
        <v>545</v>
      </c>
      <c r="B375" s="1" t="s">
        <v>188</v>
      </c>
      <c r="D375" s="1">
        <v>540000.0</v>
      </c>
      <c r="E375" s="1" t="s">
        <v>546</v>
      </c>
    </row>
    <row r="376">
      <c r="A376" s="1" t="s">
        <v>545</v>
      </c>
      <c r="B376" s="1" t="s">
        <v>221</v>
      </c>
      <c r="D376" s="1">
        <v>1293590.0</v>
      </c>
    </row>
    <row r="377">
      <c r="A377" s="1" t="s">
        <v>547</v>
      </c>
      <c r="B377" s="1" t="s">
        <v>186</v>
      </c>
      <c r="D377" s="1">
        <v>1824890.0</v>
      </c>
    </row>
    <row r="378">
      <c r="B378" s="1" t="s">
        <v>187</v>
      </c>
      <c r="D378" s="1">
        <v>1833760.0</v>
      </c>
    </row>
    <row r="379">
      <c r="A379" s="1" t="s">
        <v>548</v>
      </c>
      <c r="B379" s="1" t="s">
        <v>303</v>
      </c>
      <c r="D379" s="1">
        <v>1473670.0</v>
      </c>
      <c r="E379" s="1" t="s">
        <v>549</v>
      </c>
    </row>
    <row r="380">
      <c r="B380" s="1" t="s">
        <v>550</v>
      </c>
      <c r="D380" s="1">
        <v>400000.0</v>
      </c>
      <c r="E380" s="1" t="s">
        <v>551</v>
      </c>
    </row>
    <row r="381">
      <c r="A381" s="1" t="s">
        <v>552</v>
      </c>
      <c r="B381" s="1" t="s">
        <v>192</v>
      </c>
      <c r="D381" s="1">
        <v>1066360.0</v>
      </c>
    </row>
    <row r="382">
      <c r="A382" s="1" t="s">
        <v>527</v>
      </c>
      <c r="B382" s="1" t="s">
        <v>553</v>
      </c>
      <c r="D382" s="1">
        <v>200000.0</v>
      </c>
      <c r="E382" s="1" t="s">
        <v>435</v>
      </c>
    </row>
    <row r="383">
      <c r="A383" s="1" t="s">
        <v>554</v>
      </c>
      <c r="B383" s="1" t="s">
        <v>555</v>
      </c>
      <c r="D383" s="1">
        <v>165000.0</v>
      </c>
      <c r="E383" s="1" t="s">
        <v>556</v>
      </c>
    </row>
    <row r="384">
      <c r="B384" s="1" t="s">
        <v>378</v>
      </c>
      <c r="D384" s="1">
        <v>221170.0</v>
      </c>
    </row>
    <row r="385">
      <c r="B385" s="1" t="s">
        <v>557</v>
      </c>
      <c r="D385" s="1">
        <v>15000.0</v>
      </c>
    </row>
    <row r="386">
      <c r="B386" s="1" t="s">
        <v>558</v>
      </c>
      <c r="D386" s="1">
        <v>91700.0</v>
      </c>
      <c r="E386" s="1" t="s">
        <v>559</v>
      </c>
    </row>
    <row r="387">
      <c r="A387" s="1" t="s">
        <v>547</v>
      </c>
      <c r="B387" s="1" t="s">
        <v>560</v>
      </c>
      <c r="D387" s="1">
        <v>41600.0</v>
      </c>
      <c r="E387" s="1" t="s">
        <v>561</v>
      </c>
    </row>
    <row r="388">
      <c r="A388" s="1" t="s">
        <v>552</v>
      </c>
      <c r="B388" s="1" t="s">
        <v>562</v>
      </c>
      <c r="D388" s="1">
        <v>30000.0</v>
      </c>
    </row>
    <row r="389">
      <c r="A389" s="1" t="s">
        <v>563</v>
      </c>
      <c r="B389" s="1" t="s">
        <v>564</v>
      </c>
      <c r="D389" s="1">
        <v>132000.0</v>
      </c>
      <c r="E389" s="1" t="s">
        <v>358</v>
      </c>
    </row>
    <row r="390">
      <c r="B390" s="1" t="s">
        <v>565</v>
      </c>
      <c r="D390" s="1">
        <v>253204.0</v>
      </c>
      <c r="E390" s="1" t="s">
        <v>389</v>
      </c>
    </row>
    <row r="391">
      <c r="A391" s="1" t="s">
        <v>566</v>
      </c>
      <c r="B391" s="1" t="s">
        <v>567</v>
      </c>
      <c r="D391" s="1">
        <v>50000.0</v>
      </c>
      <c r="E391" s="1" t="s">
        <v>568</v>
      </c>
    </row>
    <row r="392">
      <c r="A392" s="1" t="s">
        <v>569</v>
      </c>
      <c r="B392" s="1" t="s">
        <v>570</v>
      </c>
      <c r="D392" s="1">
        <v>90000.0</v>
      </c>
      <c r="E392" s="1" t="s">
        <v>571</v>
      </c>
    </row>
    <row r="393">
      <c r="A393" s="1" t="s">
        <v>572</v>
      </c>
      <c r="B393" s="1" t="s">
        <v>573</v>
      </c>
      <c r="D393" s="1">
        <v>300000.0</v>
      </c>
      <c r="E393" s="1" t="s">
        <v>574</v>
      </c>
    </row>
    <row r="394">
      <c r="A394" s="1" t="s">
        <v>575</v>
      </c>
      <c r="B394" s="1" t="s">
        <v>538</v>
      </c>
      <c r="D394" s="1">
        <v>719900.0</v>
      </c>
    </row>
    <row r="395">
      <c r="B395" s="1" t="s">
        <v>288</v>
      </c>
      <c r="D395" s="1">
        <v>201640.0</v>
      </c>
    </row>
    <row r="396">
      <c r="A396" s="1" t="s">
        <v>576</v>
      </c>
      <c r="B396" s="1" t="s">
        <v>535</v>
      </c>
      <c r="D396" s="1">
        <v>7140000.0</v>
      </c>
    </row>
    <row r="397">
      <c r="A397" s="1" t="s">
        <v>577</v>
      </c>
      <c r="B397" s="1" t="s">
        <v>485</v>
      </c>
      <c r="D397" s="1">
        <v>98330.0</v>
      </c>
      <c r="E397" s="1" t="s">
        <v>486</v>
      </c>
    </row>
    <row r="398">
      <c r="A398" s="1" t="s">
        <v>578</v>
      </c>
      <c r="B398" s="1" t="s">
        <v>525</v>
      </c>
      <c r="D398" s="1">
        <v>183030.0</v>
      </c>
    </row>
    <row r="399">
      <c r="B399" s="1" t="s">
        <v>526</v>
      </c>
      <c r="D399" s="1">
        <v>284440.0</v>
      </c>
    </row>
    <row r="400">
      <c r="A400" s="1" t="s">
        <v>578</v>
      </c>
      <c r="B400" s="1" t="s">
        <v>208</v>
      </c>
      <c r="D400" s="1">
        <v>550000.0</v>
      </c>
      <c r="E400" s="1" t="s">
        <v>450</v>
      </c>
      <c r="F400" s="1" t="s">
        <v>579</v>
      </c>
    </row>
    <row r="401">
      <c r="A401" s="1" t="s">
        <v>580</v>
      </c>
      <c r="B401" s="1" t="s">
        <v>221</v>
      </c>
      <c r="D401" s="1">
        <v>1335940.0</v>
      </c>
    </row>
    <row r="402">
      <c r="A402" s="1" t="s">
        <v>581</v>
      </c>
      <c r="B402" s="1" t="s">
        <v>186</v>
      </c>
      <c r="D402" s="1">
        <v>1856340.0</v>
      </c>
    </row>
    <row r="403">
      <c r="B403" s="1" t="s">
        <v>187</v>
      </c>
      <c r="D403" s="1">
        <v>1884480.0</v>
      </c>
    </row>
    <row r="404">
      <c r="A404" s="1" t="s">
        <v>582</v>
      </c>
      <c r="B404" s="1" t="s">
        <v>303</v>
      </c>
      <c r="D404" s="1">
        <v>2203620.0</v>
      </c>
      <c r="E404" s="1" t="s">
        <v>583</v>
      </c>
    </row>
    <row r="405">
      <c r="B405" s="1" t="s">
        <v>584</v>
      </c>
      <c r="D405" s="1">
        <v>-400000.0</v>
      </c>
    </row>
    <row r="406">
      <c r="B406" s="1" t="s">
        <v>585</v>
      </c>
      <c r="D406" s="1">
        <v>1706280.0</v>
      </c>
      <c r="E406">
        <f>SUM(D404:D406)</f>
        <v>3509900</v>
      </c>
    </row>
    <row r="407">
      <c r="A407" s="1" t="s">
        <v>586</v>
      </c>
      <c r="B407" s="1" t="s">
        <v>192</v>
      </c>
      <c r="D407" s="1">
        <v>1098110.0</v>
      </c>
    </row>
    <row r="408">
      <c r="A408" s="1" t="s">
        <v>582</v>
      </c>
      <c r="B408" s="1" t="s">
        <v>587</v>
      </c>
      <c r="D408" s="1">
        <v>42000.0</v>
      </c>
    </row>
    <row r="409">
      <c r="A409" s="1" t="s">
        <v>588</v>
      </c>
      <c r="B409" s="1" t="s">
        <v>281</v>
      </c>
      <c r="D409" s="1">
        <v>198000.0</v>
      </c>
      <c r="E409" s="1" t="s">
        <v>38</v>
      </c>
    </row>
    <row r="410">
      <c r="B410" s="1" t="s">
        <v>378</v>
      </c>
      <c r="D410" s="1">
        <v>234860.0</v>
      </c>
    </row>
    <row r="411">
      <c r="B411" s="1" t="s">
        <v>589</v>
      </c>
      <c r="D411" s="1">
        <v>132000.0</v>
      </c>
    </row>
    <row r="412">
      <c r="B412" s="1" t="s">
        <v>590</v>
      </c>
      <c r="D412" s="1">
        <v>15000.0</v>
      </c>
    </row>
    <row r="413">
      <c r="B413" s="1" t="s">
        <v>225</v>
      </c>
      <c r="D413" s="1">
        <v>196692.0</v>
      </c>
    </row>
    <row r="414">
      <c r="B414" s="1" t="s">
        <v>434</v>
      </c>
      <c r="D414" s="1">
        <v>200000.0</v>
      </c>
    </row>
    <row r="415">
      <c r="A415" s="1" t="s">
        <v>591</v>
      </c>
      <c r="B415" s="1" t="s">
        <v>592</v>
      </c>
      <c r="D415" s="1">
        <v>1210000.0</v>
      </c>
      <c r="E415" s="1" t="s">
        <v>593</v>
      </c>
    </row>
    <row r="416">
      <c r="A416" s="1" t="s">
        <v>594</v>
      </c>
      <c r="B416" s="1" t="s">
        <v>535</v>
      </c>
      <c r="D416" s="1">
        <v>7136000.0</v>
      </c>
    </row>
    <row r="417">
      <c r="A417" s="1" t="s">
        <v>595</v>
      </c>
      <c r="B417" s="1" t="s">
        <v>287</v>
      </c>
      <c r="D417" s="1">
        <v>719900.0</v>
      </c>
    </row>
    <row r="418">
      <c r="B418" s="1" t="s">
        <v>288</v>
      </c>
      <c r="D418" s="1">
        <v>501640.0</v>
      </c>
    </row>
    <row r="419">
      <c r="A419" s="1" t="s">
        <v>596</v>
      </c>
      <c r="B419" s="1" t="s">
        <v>208</v>
      </c>
      <c r="D419" s="1">
        <v>550000.0</v>
      </c>
      <c r="E419" s="1" t="s">
        <v>450</v>
      </c>
      <c r="F419" s="1" t="s">
        <v>597</v>
      </c>
    </row>
    <row r="420">
      <c r="A420" s="1" t="s">
        <v>598</v>
      </c>
      <c r="B420" s="1" t="s">
        <v>221</v>
      </c>
      <c r="D420" s="1">
        <v>1293590.0</v>
      </c>
    </row>
    <row r="421">
      <c r="A421" s="1" t="s">
        <v>599</v>
      </c>
      <c r="B421" s="1" t="s">
        <v>186</v>
      </c>
      <c r="D421" s="1">
        <v>1824890.0</v>
      </c>
    </row>
    <row r="422">
      <c r="B422" s="1" t="s">
        <v>187</v>
      </c>
      <c r="D422" s="1">
        <v>1833760.0</v>
      </c>
    </row>
    <row r="423">
      <c r="A423" s="1" t="s">
        <v>600</v>
      </c>
      <c r="B423" s="1" t="s">
        <v>303</v>
      </c>
      <c r="D423" s="1">
        <v>1716750.0</v>
      </c>
    </row>
    <row r="424">
      <c r="A424" s="1" t="s">
        <v>601</v>
      </c>
      <c r="B424" s="1" t="s">
        <v>192</v>
      </c>
      <c r="D424" s="1">
        <v>2128350.0</v>
      </c>
      <c r="E424" s="1" t="s">
        <v>602</v>
      </c>
    </row>
    <row r="425">
      <c r="A425" s="1" t="s">
        <v>603</v>
      </c>
      <c r="B425" s="1" t="s">
        <v>604</v>
      </c>
      <c r="D425" s="1">
        <v>100000.0</v>
      </c>
      <c r="E425" s="1" t="s">
        <v>605</v>
      </c>
    </row>
    <row r="426">
      <c r="A426" s="1" t="s">
        <v>606</v>
      </c>
      <c r="B426" s="1" t="s">
        <v>378</v>
      </c>
      <c r="D426" s="1">
        <v>226980.0</v>
      </c>
    </row>
    <row r="427">
      <c r="B427" s="1" t="s">
        <v>589</v>
      </c>
      <c r="D427" s="1">
        <v>132000.0</v>
      </c>
    </row>
    <row r="428">
      <c r="B428" s="1" t="s">
        <v>590</v>
      </c>
      <c r="D428" s="1">
        <v>15000.0</v>
      </c>
    </row>
    <row r="429">
      <c r="B429" s="1" t="s">
        <v>225</v>
      </c>
      <c r="D429" s="1">
        <v>423164.0</v>
      </c>
    </row>
    <row r="430">
      <c r="B430" s="1" t="s">
        <v>573</v>
      </c>
      <c r="D430" s="1">
        <v>200000.0</v>
      </c>
      <c r="E430" s="1" t="s">
        <v>607</v>
      </c>
    </row>
    <row r="431">
      <c r="A431" s="1" t="s">
        <v>608</v>
      </c>
      <c r="B431" s="1" t="s">
        <v>434</v>
      </c>
      <c r="D431" s="1">
        <v>200000.0</v>
      </c>
    </row>
    <row r="432">
      <c r="A432" s="1" t="s">
        <v>609</v>
      </c>
      <c r="B432" s="1" t="s">
        <v>535</v>
      </c>
      <c r="D432" s="1">
        <v>7169000.0</v>
      </c>
    </row>
    <row r="433">
      <c r="A433" s="1" t="s">
        <v>609</v>
      </c>
      <c r="B433" s="1" t="s">
        <v>287</v>
      </c>
      <c r="D433" s="1">
        <v>719900.0</v>
      </c>
    </row>
    <row r="434">
      <c r="B434" s="1" t="s">
        <v>288</v>
      </c>
      <c r="D434" s="1">
        <v>1675380.0</v>
      </c>
    </row>
    <row r="435">
      <c r="A435" s="1" t="s">
        <v>610</v>
      </c>
      <c r="B435" s="1" t="s">
        <v>208</v>
      </c>
      <c r="D435" s="1">
        <v>500000.0</v>
      </c>
      <c r="E435" s="1" t="s">
        <v>611</v>
      </c>
      <c r="F435" s="1" t="s">
        <v>612</v>
      </c>
    </row>
    <row r="436">
      <c r="A436" s="1" t="s">
        <v>613</v>
      </c>
      <c r="B436" s="1" t="s">
        <v>221</v>
      </c>
      <c r="D436" s="1">
        <v>1926080.0</v>
      </c>
    </row>
    <row r="437">
      <c r="A437" s="1" t="s">
        <v>614</v>
      </c>
      <c r="B437" s="1" t="s">
        <v>186</v>
      </c>
      <c r="D437" s="1">
        <v>2694900.0</v>
      </c>
    </row>
    <row r="438">
      <c r="B438" s="1" t="s">
        <v>187</v>
      </c>
      <c r="D438" s="1">
        <v>1736730.0</v>
      </c>
    </row>
    <row r="439">
      <c r="A439" s="1" t="s">
        <v>615</v>
      </c>
      <c r="B439" s="1" t="s">
        <v>303</v>
      </c>
      <c r="D439" s="1">
        <v>1716750.0</v>
      </c>
    </row>
    <row r="440">
      <c r="A440" s="1" t="s">
        <v>616</v>
      </c>
      <c r="B440" s="1" t="s">
        <v>617</v>
      </c>
      <c r="D440" s="1">
        <v>343000.0</v>
      </c>
      <c r="E440" s="1" t="s">
        <v>618</v>
      </c>
    </row>
    <row r="441">
      <c r="A441" s="1" t="s">
        <v>619</v>
      </c>
      <c r="B441" s="1" t="s">
        <v>620</v>
      </c>
      <c r="D441" s="1">
        <v>89000.0</v>
      </c>
      <c r="E441" s="1" t="s">
        <v>621</v>
      </c>
    </row>
    <row r="442">
      <c r="B442" s="1" t="s">
        <v>622</v>
      </c>
      <c r="D442" s="1">
        <v>225410.0</v>
      </c>
    </row>
    <row r="443">
      <c r="B443" s="1" t="s">
        <v>589</v>
      </c>
      <c r="D443" s="1">
        <v>132000.0</v>
      </c>
    </row>
    <row r="444">
      <c r="B444" s="1" t="s">
        <v>623</v>
      </c>
      <c r="D444" s="1">
        <v>681936.0</v>
      </c>
    </row>
    <row r="445">
      <c r="B445" s="1" t="s">
        <v>590</v>
      </c>
      <c r="D445" s="1">
        <v>15000.0</v>
      </c>
    </row>
    <row r="446">
      <c r="A446" s="1" t="s">
        <v>624</v>
      </c>
      <c r="B446" s="1" t="s">
        <v>434</v>
      </c>
      <c r="D446" s="1">
        <v>200000.0</v>
      </c>
    </row>
    <row r="447">
      <c r="A447" s="1" t="s">
        <v>625</v>
      </c>
      <c r="B447" s="1" t="s">
        <v>626</v>
      </c>
      <c r="D447" s="1">
        <v>220000.0</v>
      </c>
      <c r="E447" s="1" t="s">
        <v>627</v>
      </c>
    </row>
    <row r="448">
      <c r="B448" s="1" t="s">
        <v>13</v>
      </c>
      <c r="D448" s="1">
        <v>110280.0</v>
      </c>
    </row>
    <row r="449">
      <c r="A449" s="1" t="s">
        <v>628</v>
      </c>
      <c r="B449" s="1" t="s">
        <v>287</v>
      </c>
      <c r="D449" s="1">
        <v>758960.0</v>
      </c>
    </row>
    <row r="450">
      <c r="B450" s="1" t="s">
        <v>288</v>
      </c>
      <c r="D450" s="1">
        <v>619060.0</v>
      </c>
    </row>
    <row r="451">
      <c r="A451" s="1" t="s">
        <v>629</v>
      </c>
      <c r="B451" s="1" t="s">
        <v>535</v>
      </c>
      <c r="D451" s="1">
        <v>7279000.0</v>
      </c>
    </row>
    <row r="452">
      <c r="A452" s="1" t="s">
        <v>630</v>
      </c>
      <c r="B452" s="1" t="s">
        <v>208</v>
      </c>
      <c r="D452" s="1">
        <v>550000.0</v>
      </c>
      <c r="E452" s="1" t="s">
        <v>450</v>
      </c>
      <c r="F452" s="1" t="s">
        <v>631</v>
      </c>
    </row>
    <row r="453">
      <c r="B453" s="1" t="s">
        <v>90</v>
      </c>
      <c r="D453" s="1">
        <v>70000.0</v>
      </c>
      <c r="E453" s="1" t="s">
        <v>632</v>
      </c>
    </row>
    <row r="454">
      <c r="B454" s="1" t="s">
        <v>633</v>
      </c>
      <c r="D454" s="1">
        <v>30000.0</v>
      </c>
    </row>
    <row r="455">
      <c r="A455" s="1" t="s">
        <v>634</v>
      </c>
      <c r="B455" s="1" t="s">
        <v>251</v>
      </c>
      <c r="D455" s="1">
        <v>183030.0</v>
      </c>
    </row>
    <row r="456">
      <c r="B456" s="1" t="s">
        <v>250</v>
      </c>
      <c r="D456" s="1">
        <v>284440.0</v>
      </c>
    </row>
    <row r="457">
      <c r="A457" s="1" t="s">
        <v>635</v>
      </c>
      <c r="B457" s="1" t="s">
        <v>221</v>
      </c>
      <c r="D457" s="1">
        <v>1270140.0</v>
      </c>
    </row>
    <row r="458">
      <c r="A458" s="1" t="s">
        <v>636</v>
      </c>
      <c r="B458" s="1" t="s">
        <v>186</v>
      </c>
      <c r="D458" s="1">
        <v>1794900.0</v>
      </c>
    </row>
    <row r="459">
      <c r="B459" s="1" t="s">
        <v>187</v>
      </c>
      <c r="D459" s="1">
        <v>1742810.0</v>
      </c>
    </row>
    <row r="460">
      <c r="A460" s="1" t="s">
        <v>637</v>
      </c>
      <c r="B460" s="1" t="s">
        <v>303</v>
      </c>
      <c r="D460" s="1">
        <v>1710630.0</v>
      </c>
    </row>
    <row r="461">
      <c r="A461" s="1" t="s">
        <v>638</v>
      </c>
      <c r="B461" s="1" t="s">
        <v>639</v>
      </c>
      <c r="D461" s="1">
        <v>19500.0</v>
      </c>
    </row>
    <row r="462">
      <c r="A462" s="1" t="s">
        <v>635</v>
      </c>
      <c r="B462" s="1" t="s">
        <v>640</v>
      </c>
      <c r="D462" s="1">
        <v>30000.0</v>
      </c>
    </row>
    <row r="463">
      <c r="A463" s="1" t="s">
        <v>636</v>
      </c>
      <c r="B463" s="1" t="s">
        <v>641</v>
      </c>
      <c r="D463" s="1">
        <v>228250.0</v>
      </c>
    </row>
    <row r="464">
      <c r="B464" s="1" t="s">
        <v>17</v>
      </c>
      <c r="D464" s="1">
        <v>62500.0</v>
      </c>
    </row>
    <row r="465">
      <c r="B465" s="1" t="s">
        <v>590</v>
      </c>
      <c r="D465" s="1">
        <v>15000.0</v>
      </c>
    </row>
    <row r="466">
      <c r="A466" s="1" t="s">
        <v>642</v>
      </c>
      <c r="B466" s="1" t="s">
        <v>589</v>
      </c>
      <c r="D466" s="1">
        <v>132000.0</v>
      </c>
    </row>
    <row r="467">
      <c r="B467" s="1" t="s">
        <v>623</v>
      </c>
      <c r="D467" s="1">
        <v>1101848.0</v>
      </c>
    </row>
    <row r="468">
      <c r="B468" s="1" t="s">
        <v>434</v>
      </c>
      <c r="D468" s="1">
        <v>200000.0</v>
      </c>
    </row>
    <row r="469">
      <c r="B469" s="1" t="s">
        <v>643</v>
      </c>
      <c r="D469" s="1">
        <v>488900.0</v>
      </c>
      <c r="E469" s="1" t="s">
        <v>644</v>
      </c>
    </row>
    <row r="470">
      <c r="A470" s="1" t="s">
        <v>645</v>
      </c>
      <c r="B470" s="1" t="s">
        <v>646</v>
      </c>
      <c r="D470" s="1">
        <v>242000.0</v>
      </c>
      <c r="E470" s="1" t="s">
        <v>647</v>
      </c>
    </row>
    <row r="471">
      <c r="B471" s="1" t="s">
        <v>648</v>
      </c>
      <c r="D471" s="1">
        <v>75300.0</v>
      </c>
    </row>
    <row r="472">
      <c r="A472" s="1" t="s">
        <v>649</v>
      </c>
      <c r="B472" s="1" t="s">
        <v>287</v>
      </c>
      <c r="D472" s="1">
        <v>758960.0</v>
      </c>
    </row>
    <row r="473">
      <c r="B473" s="1" t="s">
        <v>288</v>
      </c>
      <c r="D473" s="1">
        <v>560560.0</v>
      </c>
    </row>
    <row r="474">
      <c r="A474" s="1" t="s">
        <v>650</v>
      </c>
      <c r="B474" s="1" t="s">
        <v>651</v>
      </c>
      <c r="D474" s="1">
        <v>660000.0</v>
      </c>
      <c r="E474" s="1" t="s">
        <v>652</v>
      </c>
    </row>
    <row r="475">
      <c r="B475" s="1" t="s">
        <v>653</v>
      </c>
      <c r="D475" s="1">
        <v>-220000.0</v>
      </c>
      <c r="E475" s="1" t="s">
        <v>654</v>
      </c>
    </row>
    <row r="476">
      <c r="B476" s="1" t="s">
        <v>653</v>
      </c>
      <c r="D476" s="1">
        <v>-220000.0</v>
      </c>
    </row>
    <row r="477">
      <c r="A477" s="1" t="s">
        <v>649</v>
      </c>
      <c r="B477" s="1" t="s">
        <v>535</v>
      </c>
      <c r="D477" s="1">
        <v>7343000.0</v>
      </c>
    </row>
    <row r="478">
      <c r="A478" s="1" t="s">
        <v>655</v>
      </c>
      <c r="B478" s="1" t="s">
        <v>208</v>
      </c>
      <c r="D478" s="1">
        <v>700000.0</v>
      </c>
      <c r="E478" s="1" t="s">
        <v>656</v>
      </c>
    </row>
    <row r="479">
      <c r="A479" s="1" t="s">
        <v>657</v>
      </c>
      <c r="B479" s="1" t="s">
        <v>658</v>
      </c>
      <c r="D479" s="1">
        <v>88460.0</v>
      </c>
    </row>
    <row r="480">
      <c r="B480" s="1" t="s">
        <v>659</v>
      </c>
      <c r="D480" s="1">
        <v>65300.0</v>
      </c>
      <c r="E480" s="1" t="s">
        <v>660</v>
      </c>
    </row>
    <row r="481">
      <c r="A481" s="1" t="s">
        <v>661</v>
      </c>
      <c r="B481" s="1" t="s">
        <v>221</v>
      </c>
      <c r="D481" s="1">
        <v>1917220.0</v>
      </c>
      <c r="E481" s="1" t="s">
        <v>662</v>
      </c>
    </row>
    <row r="482">
      <c r="A482" s="1" t="s">
        <v>663</v>
      </c>
      <c r="B482" s="1" t="s">
        <v>186</v>
      </c>
      <c r="D482" s="1">
        <v>2690850.0</v>
      </c>
      <c r="E482" s="1" t="s">
        <v>664</v>
      </c>
    </row>
    <row r="483">
      <c r="B483" s="1" t="s">
        <v>187</v>
      </c>
      <c r="D483" s="1">
        <v>1742810.0</v>
      </c>
    </row>
    <row r="484">
      <c r="A484" s="1" t="s">
        <v>663</v>
      </c>
      <c r="B484" s="1" t="s">
        <v>303</v>
      </c>
      <c r="D484" s="1">
        <v>1710630.0</v>
      </c>
    </row>
    <row r="485">
      <c r="A485" s="1" t="s">
        <v>665</v>
      </c>
      <c r="B485" s="1" t="s">
        <v>666</v>
      </c>
      <c r="D485" s="1">
        <v>1210000.0</v>
      </c>
      <c r="E485" s="1" t="s">
        <v>652</v>
      </c>
    </row>
    <row r="486">
      <c r="A486" s="1" t="s">
        <v>667</v>
      </c>
      <c r="B486" s="1" t="s">
        <v>668</v>
      </c>
      <c r="D486" s="1">
        <v>939624.0</v>
      </c>
    </row>
    <row r="487">
      <c r="B487" s="1" t="s">
        <v>589</v>
      </c>
      <c r="D487" s="1">
        <v>132000.0</v>
      </c>
    </row>
    <row r="488">
      <c r="B488" s="1" t="s">
        <v>434</v>
      </c>
      <c r="D488" s="1">
        <v>200000.0</v>
      </c>
    </row>
    <row r="489">
      <c r="A489" s="1" t="s">
        <v>669</v>
      </c>
      <c r="B489" s="1" t="s">
        <v>378</v>
      </c>
      <c r="D489" s="1">
        <v>244040.0</v>
      </c>
    </row>
    <row r="490">
      <c r="B490" s="1" t="s">
        <v>670</v>
      </c>
      <c r="D490" s="1">
        <v>15000.0</v>
      </c>
    </row>
    <row r="491">
      <c r="A491" s="1" t="s">
        <v>671</v>
      </c>
      <c r="B491" s="1" t="s">
        <v>672</v>
      </c>
      <c r="D491" s="1">
        <v>42100.0</v>
      </c>
      <c r="E491" s="1" t="s">
        <v>673</v>
      </c>
    </row>
    <row r="492">
      <c r="A492" s="1" t="s">
        <v>674</v>
      </c>
      <c r="B492" s="1" t="s">
        <v>573</v>
      </c>
      <c r="D492" s="1">
        <v>1661000.0</v>
      </c>
    </row>
    <row r="493">
      <c r="A493" s="1" t="s">
        <v>667</v>
      </c>
      <c r="B493" s="1" t="s">
        <v>434</v>
      </c>
      <c r="D493" s="1">
        <v>200000.0</v>
      </c>
    </row>
    <row r="494">
      <c r="A494" s="1" t="s">
        <v>675</v>
      </c>
      <c r="B494" s="1" t="s">
        <v>676</v>
      </c>
      <c r="D494" s="1">
        <v>58180.0</v>
      </c>
    </row>
    <row r="495">
      <c r="B495" s="1" t="s">
        <v>535</v>
      </c>
      <c r="D495" s="1">
        <v>7811000.0</v>
      </c>
    </row>
    <row r="496">
      <c r="B496" s="1" t="s">
        <v>287</v>
      </c>
      <c r="D496" s="1">
        <v>758960.0</v>
      </c>
    </row>
    <row r="497">
      <c r="B497" s="1" t="s">
        <v>288</v>
      </c>
      <c r="D497" s="1">
        <v>560560.0</v>
      </c>
    </row>
    <row r="498">
      <c r="A498" s="1" t="s">
        <v>677</v>
      </c>
      <c r="B498" s="1" t="s">
        <v>678</v>
      </c>
      <c r="D498" s="1">
        <v>1095050.0</v>
      </c>
      <c r="E498" s="1" t="s">
        <v>679</v>
      </c>
    </row>
    <row r="499">
      <c r="A499" s="1" t="s">
        <v>680</v>
      </c>
      <c r="B499" s="1" t="s">
        <v>221</v>
      </c>
      <c r="D499" s="1">
        <v>1270140.0</v>
      </c>
    </row>
    <row r="500">
      <c r="A500" s="1" t="s">
        <v>681</v>
      </c>
      <c r="B500" s="1" t="s">
        <v>186</v>
      </c>
      <c r="D500" s="1">
        <v>1794900.0</v>
      </c>
    </row>
    <row r="501">
      <c r="B501" s="1" t="s">
        <v>187</v>
      </c>
      <c r="D501" s="1">
        <v>1742810.0</v>
      </c>
    </row>
    <row r="502">
      <c r="A502" s="1" t="s">
        <v>682</v>
      </c>
      <c r="B502" s="1" t="s">
        <v>303</v>
      </c>
      <c r="D502" s="1">
        <v>1710630.0</v>
      </c>
    </row>
    <row r="503">
      <c r="A503" s="1" t="s">
        <v>677</v>
      </c>
      <c r="B503" s="1" t="s">
        <v>208</v>
      </c>
      <c r="D503" s="1">
        <v>650000.0</v>
      </c>
      <c r="E503" s="1" t="s">
        <v>367</v>
      </c>
      <c r="F503" s="1" t="s">
        <v>683</v>
      </c>
    </row>
    <row r="504">
      <c r="A504" s="1" t="s">
        <v>682</v>
      </c>
      <c r="B504" s="1" t="s">
        <v>378</v>
      </c>
      <c r="D504" s="1">
        <v>227350.0</v>
      </c>
    </row>
    <row r="505">
      <c r="B505" s="1" t="s">
        <v>670</v>
      </c>
      <c r="D505" s="1">
        <v>15000.0</v>
      </c>
    </row>
    <row r="506">
      <c r="A506" s="1" t="s">
        <v>684</v>
      </c>
      <c r="B506" s="1" t="s">
        <v>668</v>
      </c>
      <c r="D506" s="1">
        <v>725388.0</v>
      </c>
    </row>
    <row r="507">
      <c r="B507" s="1" t="s">
        <v>589</v>
      </c>
      <c r="D507" s="1">
        <v>132000.0</v>
      </c>
    </row>
    <row r="508">
      <c r="B508" s="1" t="s">
        <v>685</v>
      </c>
      <c r="D508" s="1">
        <v>700000.0</v>
      </c>
      <c r="E508" s="1" t="s">
        <v>236</v>
      </c>
      <c r="F508" s="1" t="s">
        <v>686</v>
      </c>
    </row>
    <row r="509">
      <c r="B509" s="1" t="s">
        <v>434</v>
      </c>
      <c r="D509" s="1">
        <v>200000.0</v>
      </c>
    </row>
    <row r="510">
      <c r="A510" s="1" t="s">
        <v>687</v>
      </c>
      <c r="B510" s="1" t="s">
        <v>573</v>
      </c>
      <c r="D510" s="1">
        <v>1793000.0</v>
      </c>
    </row>
    <row r="511">
      <c r="A511" s="1" t="s">
        <v>688</v>
      </c>
      <c r="B511" s="1" t="s">
        <v>311</v>
      </c>
      <c r="D511" s="1">
        <v>803000.0</v>
      </c>
      <c r="E511" s="1" t="s">
        <v>312</v>
      </c>
    </row>
    <row r="512">
      <c r="A512" s="1" t="s">
        <v>688</v>
      </c>
      <c r="B512" s="1" t="s">
        <v>689</v>
      </c>
      <c r="D512" s="1">
        <v>42000.0</v>
      </c>
    </row>
    <row r="513">
      <c r="A513" s="1" t="s">
        <v>690</v>
      </c>
      <c r="B513" s="1" t="s">
        <v>535</v>
      </c>
      <c r="D513" s="1">
        <v>7119000.0</v>
      </c>
    </row>
    <row r="514">
      <c r="B514" s="1" t="s">
        <v>287</v>
      </c>
      <c r="D514" s="1">
        <v>758960.0</v>
      </c>
    </row>
    <row r="515">
      <c r="B515" s="1" t="s">
        <v>288</v>
      </c>
      <c r="D515" s="1">
        <v>560560.0</v>
      </c>
    </row>
    <row r="516">
      <c r="A516" s="1" t="s">
        <v>691</v>
      </c>
      <c r="B516" s="1" t="s">
        <v>208</v>
      </c>
      <c r="D516" s="1">
        <v>500000.0</v>
      </c>
      <c r="E516" s="1" t="s">
        <v>611</v>
      </c>
      <c r="F516" s="1" t="s">
        <v>692</v>
      </c>
    </row>
    <row r="517">
      <c r="A517" s="1" t="s">
        <v>693</v>
      </c>
      <c r="B517" s="1" t="s">
        <v>678</v>
      </c>
      <c r="D517" s="1">
        <v>1095150.0</v>
      </c>
    </row>
    <row r="518">
      <c r="A518" s="1" t="s">
        <v>694</v>
      </c>
      <c r="B518" s="1" t="s">
        <v>221</v>
      </c>
      <c r="D518" s="1">
        <v>1609660.0</v>
      </c>
    </row>
    <row r="519">
      <c r="A519" s="1" t="s">
        <v>695</v>
      </c>
      <c r="B519" s="1" t="s">
        <v>186</v>
      </c>
      <c r="D519" s="1">
        <v>1794900.0</v>
      </c>
    </row>
    <row r="520">
      <c r="B520" s="1" t="s">
        <v>187</v>
      </c>
      <c r="D520" s="1">
        <v>1742810.0</v>
      </c>
    </row>
    <row r="521">
      <c r="A521" s="1" t="s">
        <v>696</v>
      </c>
      <c r="B521" s="1" t="s">
        <v>303</v>
      </c>
      <c r="D521" s="1">
        <v>1710630.0</v>
      </c>
    </row>
    <row r="522">
      <c r="A522" s="1" t="s">
        <v>693</v>
      </c>
      <c r="B522" s="1" t="s">
        <v>697</v>
      </c>
      <c r="D522" s="1">
        <v>45000.0</v>
      </c>
    </row>
    <row r="523">
      <c r="A523" s="1" t="s">
        <v>698</v>
      </c>
      <c r="B523" s="1" t="s">
        <v>699</v>
      </c>
      <c r="D523" s="1">
        <v>30000.0</v>
      </c>
    </row>
    <row r="524">
      <c r="B524" s="1" t="s">
        <v>251</v>
      </c>
      <c r="D524" s="1">
        <v>183030.0</v>
      </c>
    </row>
    <row r="525">
      <c r="B525" s="1" t="s">
        <v>250</v>
      </c>
      <c r="D525" s="1">
        <v>284440.0</v>
      </c>
    </row>
    <row r="526">
      <c r="A526" s="1" t="s">
        <v>700</v>
      </c>
      <c r="B526" s="1" t="s">
        <v>701</v>
      </c>
      <c r="D526" s="1">
        <v>60700.0</v>
      </c>
      <c r="E526" s="1" t="s">
        <v>702</v>
      </c>
    </row>
    <row r="527">
      <c r="B527" s="1" t="s">
        <v>703</v>
      </c>
      <c r="D527" s="1">
        <v>760000.0</v>
      </c>
    </row>
    <row r="528">
      <c r="A528" s="1" t="s">
        <v>704</v>
      </c>
      <c r="B528" s="1" t="s">
        <v>668</v>
      </c>
      <c r="D528" s="1">
        <v>568556.0</v>
      </c>
    </row>
    <row r="529">
      <c r="B529" s="1" t="s">
        <v>589</v>
      </c>
      <c r="D529" s="1">
        <v>132000.0</v>
      </c>
    </row>
    <row r="530">
      <c r="A530" s="1" t="s">
        <v>705</v>
      </c>
      <c r="B530" s="1" t="s">
        <v>706</v>
      </c>
      <c r="D530" s="1">
        <v>33850.0</v>
      </c>
    </row>
    <row r="531">
      <c r="A531" s="1" t="s">
        <v>707</v>
      </c>
      <c r="B531" s="1" t="s">
        <v>708</v>
      </c>
      <c r="D531" s="1">
        <v>1375000.0</v>
      </c>
      <c r="E531" s="1" t="s">
        <v>709</v>
      </c>
    </row>
    <row r="532">
      <c r="B532" s="1" t="s">
        <v>710</v>
      </c>
      <c r="D532" s="1">
        <v>1394600.0</v>
      </c>
    </row>
    <row r="533">
      <c r="B533" s="1" t="s">
        <v>711</v>
      </c>
      <c r="D533" s="1">
        <v>225030.0</v>
      </c>
    </row>
    <row r="534">
      <c r="B534" s="1" t="s">
        <v>712</v>
      </c>
      <c r="D534" s="1">
        <v>297000.0</v>
      </c>
    </row>
    <row r="535">
      <c r="A535" s="1" t="s">
        <v>713</v>
      </c>
      <c r="B535" s="1" t="s">
        <v>434</v>
      </c>
      <c r="D535" s="1">
        <v>200000.0</v>
      </c>
    </row>
    <row r="536">
      <c r="A536" s="1" t="s">
        <v>714</v>
      </c>
      <c r="B536" s="1" t="s">
        <v>715</v>
      </c>
      <c r="D536" s="1">
        <v>95000.0</v>
      </c>
    </row>
    <row r="537">
      <c r="B537" s="1" t="s">
        <v>535</v>
      </c>
      <c r="D537" s="1">
        <v>7105000.0</v>
      </c>
    </row>
    <row r="538">
      <c r="B538" s="1" t="s">
        <v>287</v>
      </c>
      <c r="D538" s="1">
        <v>758960.0</v>
      </c>
    </row>
    <row r="539">
      <c r="B539" s="1" t="s">
        <v>288</v>
      </c>
      <c r="D539" s="1">
        <v>560560.0</v>
      </c>
    </row>
    <row r="540">
      <c r="A540" s="1" t="s">
        <v>716</v>
      </c>
      <c r="B540" s="1" t="s">
        <v>678</v>
      </c>
      <c r="D540" s="1">
        <v>2064050.0</v>
      </c>
    </row>
    <row r="541">
      <c r="A541" s="1" t="s">
        <v>717</v>
      </c>
      <c r="B541" s="1" t="s">
        <v>221</v>
      </c>
      <c r="D541" s="1">
        <v>1609660.0</v>
      </c>
    </row>
    <row r="542">
      <c r="A542" s="1" t="s">
        <v>718</v>
      </c>
      <c r="B542" s="1" t="s">
        <v>186</v>
      </c>
      <c r="D542" s="1">
        <v>2694900.0</v>
      </c>
    </row>
    <row r="543">
      <c r="B543" s="1" t="s">
        <v>187</v>
      </c>
      <c r="D543" s="1">
        <v>1742810.0</v>
      </c>
    </row>
    <row r="544">
      <c r="A544" s="1" t="s">
        <v>718</v>
      </c>
      <c r="B544" s="1" t="s">
        <v>303</v>
      </c>
      <c r="D544" s="1">
        <v>1710630.0</v>
      </c>
    </row>
    <row r="545">
      <c r="A545" s="1" t="s">
        <v>717</v>
      </c>
      <c r="B545" s="1" t="s">
        <v>208</v>
      </c>
      <c r="D545" s="1">
        <v>500000.0</v>
      </c>
      <c r="E545" s="1" t="s">
        <v>611</v>
      </c>
      <c r="F545" s="1" t="s">
        <v>719</v>
      </c>
    </row>
    <row r="546">
      <c r="A546" s="1" t="s">
        <v>720</v>
      </c>
      <c r="B546" s="1" t="s">
        <v>721</v>
      </c>
      <c r="C546" s="1">
        <v>1210000.0</v>
      </c>
      <c r="D546" s="1">
        <v>1210000.0</v>
      </c>
      <c r="E546" s="1" t="s">
        <v>722</v>
      </c>
    </row>
    <row r="547">
      <c r="A547" s="1" t="s">
        <v>718</v>
      </c>
      <c r="B547" s="1" t="s">
        <v>711</v>
      </c>
      <c r="D547" s="1">
        <v>227880.0</v>
      </c>
    </row>
    <row r="548">
      <c r="A548" s="1" t="s">
        <v>723</v>
      </c>
      <c r="B548" s="1" t="s">
        <v>670</v>
      </c>
      <c r="D548" s="1">
        <v>15000.0</v>
      </c>
    </row>
    <row r="549">
      <c r="A549" s="1" t="s">
        <v>724</v>
      </c>
      <c r="B549" s="1" t="s">
        <v>725</v>
      </c>
      <c r="D549" s="1">
        <v>2860000.0</v>
      </c>
      <c r="E549" s="1" t="s">
        <v>80</v>
      </c>
    </row>
    <row r="550">
      <c r="B550" s="1" t="s">
        <v>434</v>
      </c>
      <c r="D550" s="1">
        <v>200000.0</v>
      </c>
    </row>
    <row r="551">
      <c r="B551" s="1" t="s">
        <v>668</v>
      </c>
      <c r="D551" s="1">
        <v>657288.0</v>
      </c>
    </row>
    <row r="552">
      <c r="B552" s="1" t="s">
        <v>589</v>
      </c>
      <c r="D552" s="1">
        <v>132000.0</v>
      </c>
    </row>
    <row r="553">
      <c r="A553" s="1" t="s">
        <v>726</v>
      </c>
      <c r="B553" s="1" t="s">
        <v>535</v>
      </c>
      <c r="D553" s="1">
        <v>7167000.0</v>
      </c>
    </row>
    <row r="554">
      <c r="B554" s="1" t="s">
        <v>287</v>
      </c>
      <c r="D554" s="1">
        <v>905660.0</v>
      </c>
    </row>
    <row r="555">
      <c r="B555" s="1" t="s">
        <v>288</v>
      </c>
      <c r="D555" s="1">
        <v>647300.0</v>
      </c>
    </row>
    <row r="556">
      <c r="A556" s="1" t="s">
        <v>727</v>
      </c>
      <c r="B556" s="1" t="s">
        <v>715</v>
      </c>
    </row>
    <row r="557">
      <c r="B557" s="1" t="s">
        <v>474</v>
      </c>
      <c r="D557" s="1">
        <v>100000.0</v>
      </c>
      <c r="E557" s="1" t="s">
        <v>147</v>
      </c>
    </row>
    <row r="558">
      <c r="A558" s="1" t="s">
        <v>728</v>
      </c>
      <c r="B558" s="1" t="s">
        <v>678</v>
      </c>
      <c r="D558" s="1">
        <v>1364050.0</v>
      </c>
    </row>
    <row r="559">
      <c r="A559" s="1" t="s">
        <v>729</v>
      </c>
      <c r="B559" s="1" t="s">
        <v>221</v>
      </c>
      <c r="D559" s="1">
        <v>1609660.0</v>
      </c>
    </row>
    <row r="560">
      <c r="A560" s="1" t="s">
        <v>730</v>
      </c>
      <c r="B560" s="1" t="s">
        <v>186</v>
      </c>
      <c r="D560" s="1">
        <v>1794900.0</v>
      </c>
    </row>
    <row r="561">
      <c r="B561" s="1" t="s">
        <v>187</v>
      </c>
      <c r="D561" s="1">
        <v>1742810.0</v>
      </c>
    </row>
    <row r="562">
      <c r="A562" s="1" t="s">
        <v>731</v>
      </c>
      <c r="B562" s="1" t="s">
        <v>303</v>
      </c>
      <c r="D562" s="1">
        <v>1710630.0</v>
      </c>
    </row>
    <row r="563">
      <c r="A563" s="1" t="s">
        <v>729</v>
      </c>
      <c r="B563" s="1" t="s">
        <v>208</v>
      </c>
      <c r="D563" s="1">
        <v>500000.0</v>
      </c>
      <c r="E563" s="1" t="s">
        <v>611</v>
      </c>
      <c r="F563" s="1" t="s">
        <v>732</v>
      </c>
    </row>
    <row r="564">
      <c r="A564" s="1" t="s">
        <v>731</v>
      </c>
      <c r="B564" s="1" t="s">
        <v>711</v>
      </c>
      <c r="D564" s="1">
        <v>228210.0</v>
      </c>
    </row>
    <row r="565">
      <c r="A565" s="1" t="s">
        <v>733</v>
      </c>
      <c r="B565" s="1" t="s">
        <v>434</v>
      </c>
      <c r="D565" s="1">
        <v>200000.0</v>
      </c>
    </row>
    <row r="566">
      <c r="B566" s="1" t="s">
        <v>668</v>
      </c>
      <c r="D566" s="1">
        <v>482472.0</v>
      </c>
    </row>
    <row r="567">
      <c r="B567" s="1" t="s">
        <v>589</v>
      </c>
      <c r="D567" s="1">
        <v>132000.0</v>
      </c>
    </row>
    <row r="568">
      <c r="A568" s="1" t="s">
        <v>734</v>
      </c>
      <c r="B568" s="1" t="s">
        <v>535</v>
      </c>
      <c r="D568" s="1">
        <v>7183000.0</v>
      </c>
    </row>
    <row r="569">
      <c r="B569" s="1" t="s">
        <v>287</v>
      </c>
      <c r="D569" s="1">
        <v>905660.0</v>
      </c>
    </row>
    <row r="570">
      <c r="B570" s="1" t="s">
        <v>288</v>
      </c>
      <c r="D570" s="1">
        <v>690580.0</v>
      </c>
      <c r="E570" s="1" t="s">
        <v>735</v>
      </c>
    </row>
    <row r="571">
      <c r="A571" s="1" t="s">
        <v>736</v>
      </c>
      <c r="B571" s="1" t="s">
        <v>678</v>
      </c>
      <c r="D571">
        <f t="shared" ref="D571:D575" si="1">SUM(F571,E571)</f>
        <v>2057030</v>
      </c>
      <c r="E571" s="1">
        <v>9330.0</v>
      </c>
      <c r="F571" s="1">
        <v>2047700.0</v>
      </c>
    </row>
    <row r="572">
      <c r="A572" s="1" t="s">
        <v>737</v>
      </c>
      <c r="B572" s="1" t="s">
        <v>221</v>
      </c>
      <c r="D572">
        <f t="shared" si="1"/>
        <v>1792090</v>
      </c>
      <c r="E572" s="1">
        <v>182430.0</v>
      </c>
      <c r="F572" s="1">
        <v>1609660.0</v>
      </c>
    </row>
    <row r="573">
      <c r="A573" s="1" t="s">
        <v>738</v>
      </c>
      <c r="B573" s="1" t="s">
        <v>186</v>
      </c>
      <c r="D573">
        <f t="shared" si="1"/>
        <v>2797530</v>
      </c>
      <c r="E573" s="1">
        <v>81030.0</v>
      </c>
      <c r="F573" s="1">
        <v>2716500.0</v>
      </c>
    </row>
    <row r="574">
      <c r="B574" s="1" t="s">
        <v>187</v>
      </c>
      <c r="D574">
        <f t="shared" si="1"/>
        <v>1903850</v>
      </c>
      <c r="E574" s="1">
        <v>161040.0</v>
      </c>
      <c r="F574" s="1">
        <v>1742810.0</v>
      </c>
    </row>
    <row r="575">
      <c r="A575" s="1" t="s">
        <v>739</v>
      </c>
      <c r="B575" s="1" t="s">
        <v>303</v>
      </c>
      <c r="D575">
        <f t="shared" si="1"/>
        <v>1764840</v>
      </c>
      <c r="E575" s="1">
        <v>54210.0</v>
      </c>
      <c r="F575" s="1">
        <v>1710630.0</v>
      </c>
    </row>
    <row r="576">
      <c r="B576" s="1" t="s">
        <v>626</v>
      </c>
      <c r="D576" s="1">
        <v>550000.0</v>
      </c>
      <c r="E576" s="1" t="s">
        <v>627</v>
      </c>
    </row>
    <row r="577">
      <c r="B577" s="1" t="s">
        <v>208</v>
      </c>
      <c r="D577" s="1">
        <v>500000.0</v>
      </c>
      <c r="E577" s="1" t="s">
        <v>611</v>
      </c>
      <c r="F577" s="1" t="s">
        <v>740</v>
      </c>
    </row>
    <row r="578">
      <c r="A578" s="1" t="s">
        <v>741</v>
      </c>
      <c r="B578" s="1" t="s">
        <v>507</v>
      </c>
      <c r="D578" s="1">
        <v>2043570.0</v>
      </c>
    </row>
    <row r="579">
      <c r="B579" s="1" t="s">
        <v>508</v>
      </c>
      <c r="D579" s="1">
        <v>1786583.0</v>
      </c>
    </row>
    <row r="580">
      <c r="B580" s="1" t="s">
        <v>509</v>
      </c>
      <c r="D580" s="1">
        <v>1481416.0</v>
      </c>
    </row>
    <row r="581">
      <c r="A581" s="1" t="s">
        <v>742</v>
      </c>
      <c r="B581" s="1" t="s">
        <v>708</v>
      </c>
      <c r="D581" s="1">
        <v>600000.0</v>
      </c>
      <c r="E581" s="1" t="s">
        <v>709</v>
      </c>
    </row>
    <row r="582">
      <c r="A582" s="1" t="s">
        <v>739</v>
      </c>
      <c r="B582" s="1" t="s">
        <v>711</v>
      </c>
      <c r="D582" s="1">
        <v>226420.0</v>
      </c>
    </row>
    <row r="583">
      <c r="B583" s="1" t="s">
        <v>434</v>
      </c>
      <c r="D583" s="1">
        <v>200000.0</v>
      </c>
    </row>
    <row r="584">
      <c r="B584" s="1" t="s">
        <v>668</v>
      </c>
      <c r="D584" s="1">
        <v>433616.0</v>
      </c>
    </row>
    <row r="585">
      <c r="B585" s="1" t="s">
        <v>589</v>
      </c>
      <c r="D585" s="1">
        <v>132000.0</v>
      </c>
    </row>
    <row r="586">
      <c r="B586" s="1" t="s">
        <v>743</v>
      </c>
      <c r="D586" s="1">
        <v>594000.0</v>
      </c>
    </row>
    <row r="587">
      <c r="A587" s="1" t="s">
        <v>744</v>
      </c>
      <c r="B587" s="1" t="s">
        <v>535</v>
      </c>
      <c r="D587" s="1">
        <v>7184000.0</v>
      </c>
    </row>
    <row r="588">
      <c r="B588" s="1" t="s">
        <v>287</v>
      </c>
      <c r="D588" s="1">
        <v>905660.0</v>
      </c>
    </row>
    <row r="589">
      <c r="B589" s="1" t="s">
        <v>288</v>
      </c>
      <c r="D589" s="1">
        <v>690580.0</v>
      </c>
    </row>
    <row r="590">
      <c r="A590" s="1" t="s">
        <v>745</v>
      </c>
      <c r="B590" s="1" t="s">
        <v>208</v>
      </c>
      <c r="D590" s="1">
        <v>550000.0</v>
      </c>
      <c r="E590" s="1" t="s">
        <v>450</v>
      </c>
      <c r="F590" s="1" t="s">
        <v>746</v>
      </c>
    </row>
    <row r="591">
      <c r="A591" s="1" t="s">
        <v>747</v>
      </c>
      <c r="B591" s="1" t="s">
        <v>678</v>
      </c>
      <c r="D591" s="1">
        <v>1367200.0</v>
      </c>
    </row>
    <row r="592">
      <c r="A592" s="1" t="s">
        <v>748</v>
      </c>
      <c r="B592" s="1" t="s">
        <v>221</v>
      </c>
      <c r="D592" s="1">
        <v>1564170.0</v>
      </c>
    </row>
    <row r="593">
      <c r="A593" s="1" t="s">
        <v>749</v>
      </c>
      <c r="B593" s="1" t="s">
        <v>186</v>
      </c>
      <c r="D593" s="1">
        <v>1872700.0</v>
      </c>
    </row>
    <row r="594">
      <c r="B594" s="1" t="s">
        <v>187</v>
      </c>
      <c r="D594" s="1">
        <v>1895243.0</v>
      </c>
    </row>
    <row r="595">
      <c r="A595" s="1" t="s">
        <v>750</v>
      </c>
      <c r="B595" s="1" t="s">
        <v>303</v>
      </c>
      <c r="D595" s="1">
        <v>1710630.0</v>
      </c>
    </row>
    <row r="596">
      <c r="A596" s="1" t="s">
        <v>751</v>
      </c>
      <c r="B596" s="1" t="s">
        <v>752</v>
      </c>
      <c r="D596" s="1">
        <v>611840.0</v>
      </c>
    </row>
    <row r="597">
      <c r="B597" s="1" t="s">
        <v>177</v>
      </c>
      <c r="D597" s="1">
        <v>390600.0</v>
      </c>
      <c r="E597" s="1" t="s">
        <v>753</v>
      </c>
    </row>
    <row r="598">
      <c r="A598" s="1" t="s">
        <v>754</v>
      </c>
      <c r="B598" s="1" t="s">
        <v>755</v>
      </c>
      <c r="D598" s="1">
        <v>30000.0</v>
      </c>
    </row>
    <row r="599">
      <c r="B599" s="1" t="s">
        <v>756</v>
      </c>
      <c r="D599" s="1">
        <v>450000.0</v>
      </c>
      <c r="E599" s="1" t="s">
        <v>757</v>
      </c>
    </row>
    <row r="600">
      <c r="A600" s="1" t="s">
        <v>758</v>
      </c>
      <c r="B600" s="1" t="s">
        <v>711</v>
      </c>
      <c r="D600" s="1">
        <v>216190.0</v>
      </c>
    </row>
    <row r="601">
      <c r="A601" s="1" t="s">
        <v>749</v>
      </c>
      <c r="B601" s="1" t="s">
        <v>759</v>
      </c>
      <c r="D601" s="1">
        <v>30000.0</v>
      </c>
      <c r="E601" s="1" t="s">
        <v>147</v>
      </c>
    </row>
    <row r="602">
      <c r="A602" s="1" t="s">
        <v>760</v>
      </c>
      <c r="B602" s="1" t="s">
        <v>434</v>
      </c>
      <c r="D602" s="1">
        <v>250000.0</v>
      </c>
    </row>
    <row r="603">
      <c r="B603" s="1" t="s">
        <v>668</v>
      </c>
      <c r="D603" s="1">
        <v>386660.0</v>
      </c>
    </row>
    <row r="604">
      <c r="B604" s="1" t="s">
        <v>589</v>
      </c>
      <c r="D604" s="1">
        <v>132000.0</v>
      </c>
    </row>
    <row r="605">
      <c r="A605" s="1" t="s">
        <v>761</v>
      </c>
      <c r="B605" s="1" t="s">
        <v>311</v>
      </c>
      <c r="D605" s="1">
        <v>968590.0</v>
      </c>
      <c r="E605" s="1" t="s">
        <v>312</v>
      </c>
    </row>
    <row r="606">
      <c r="B606" s="1" t="s">
        <v>235</v>
      </c>
      <c r="D606" s="1">
        <v>900000.0</v>
      </c>
      <c r="E606" s="1" t="s">
        <v>762</v>
      </c>
      <c r="F606" s="1" t="s">
        <v>763</v>
      </c>
    </row>
    <row r="607">
      <c r="A607" s="1" t="s">
        <v>760</v>
      </c>
      <c r="B607" s="1" t="s">
        <v>708</v>
      </c>
      <c r="D607" s="1">
        <v>500000.0</v>
      </c>
      <c r="E607" s="1" t="s">
        <v>764</v>
      </c>
    </row>
    <row r="608">
      <c r="B608" s="1" t="s">
        <v>765</v>
      </c>
      <c r="D608" s="1">
        <v>170000.0</v>
      </c>
      <c r="E608" s="1" t="s">
        <v>91</v>
      </c>
    </row>
    <row r="609">
      <c r="A609" s="1" t="s">
        <v>766</v>
      </c>
      <c r="B609" s="1" t="s">
        <v>767</v>
      </c>
      <c r="D609" s="1">
        <v>633600.0</v>
      </c>
      <c r="E609" s="1" t="s">
        <v>768</v>
      </c>
    </row>
    <row r="610">
      <c r="A610" s="1" t="s">
        <v>769</v>
      </c>
      <c r="B610" s="1" t="s">
        <v>535</v>
      </c>
      <c r="D610" s="1">
        <v>7343000.0</v>
      </c>
    </row>
    <row r="611">
      <c r="B611" s="1" t="s">
        <v>287</v>
      </c>
      <c r="D611" s="1">
        <v>905660.0</v>
      </c>
    </row>
    <row r="612">
      <c r="B612" s="1" t="s">
        <v>288</v>
      </c>
      <c r="D612" s="1">
        <v>690580.0</v>
      </c>
    </row>
    <row r="613">
      <c r="A613" s="1" t="s">
        <v>770</v>
      </c>
      <c r="B613" s="1" t="s">
        <v>678</v>
      </c>
      <c r="D613" s="1">
        <v>1367200.0</v>
      </c>
    </row>
    <row r="614">
      <c r="A614" s="1" t="s">
        <v>771</v>
      </c>
      <c r="B614" s="1" t="s">
        <v>221</v>
      </c>
      <c r="D614" s="1">
        <v>1564170.0</v>
      </c>
    </row>
    <row r="615">
      <c r="A615" s="1" t="s">
        <v>772</v>
      </c>
      <c r="B615" s="1" t="s">
        <v>186</v>
      </c>
      <c r="D615" s="1">
        <v>1872700.0</v>
      </c>
    </row>
    <row r="616">
      <c r="B616" s="1" t="s">
        <v>187</v>
      </c>
      <c r="D616" s="1">
        <v>1895243.0</v>
      </c>
    </row>
    <row r="617">
      <c r="A617" s="1" t="s">
        <v>773</v>
      </c>
      <c r="B617" s="1" t="s">
        <v>303</v>
      </c>
      <c r="D617" s="1">
        <v>1710630.0</v>
      </c>
    </row>
    <row r="618">
      <c r="A618" s="1" t="s">
        <v>774</v>
      </c>
      <c r="B618" s="1" t="s">
        <v>208</v>
      </c>
      <c r="D618" s="1">
        <v>650000.0</v>
      </c>
      <c r="E618" s="1" t="s">
        <v>775</v>
      </c>
      <c r="F618" s="1" t="s">
        <v>776</v>
      </c>
    </row>
    <row r="619">
      <c r="B619" s="1" t="s">
        <v>777</v>
      </c>
      <c r="D619" s="1">
        <v>165000.0</v>
      </c>
      <c r="E619" s="1" t="s">
        <v>778</v>
      </c>
    </row>
    <row r="620">
      <c r="A620" s="1" t="s">
        <v>779</v>
      </c>
      <c r="B620" s="1" t="s">
        <v>780</v>
      </c>
      <c r="D620" s="1">
        <v>40000.0</v>
      </c>
    </row>
    <row r="621">
      <c r="A621" s="1" t="s">
        <v>781</v>
      </c>
      <c r="B621" s="1" t="s">
        <v>711</v>
      </c>
      <c r="D621" s="1">
        <v>208670.0</v>
      </c>
    </row>
    <row r="622">
      <c r="A622" s="1" t="s">
        <v>782</v>
      </c>
      <c r="B622" s="1" t="s">
        <v>434</v>
      </c>
      <c r="D622" s="1">
        <v>250000.0</v>
      </c>
    </row>
    <row r="623">
      <c r="B623" s="1" t="s">
        <v>668</v>
      </c>
      <c r="D623" s="1">
        <v>549020.0</v>
      </c>
    </row>
    <row r="624">
      <c r="B624" s="1" t="s">
        <v>589</v>
      </c>
      <c r="D624" s="1">
        <v>132000.0</v>
      </c>
    </row>
    <row r="625">
      <c r="A625" s="1" t="s">
        <v>783</v>
      </c>
      <c r="B625" s="1" t="s">
        <v>784</v>
      </c>
      <c r="D625" s="1">
        <v>100000.0</v>
      </c>
    </row>
    <row r="626">
      <c r="A626" s="1" t="s">
        <v>785</v>
      </c>
      <c r="B626" s="1" t="s">
        <v>311</v>
      </c>
      <c r="D626" s="1">
        <v>370170.0</v>
      </c>
      <c r="E626" s="1" t="s">
        <v>312</v>
      </c>
    </row>
    <row r="627">
      <c r="A627" s="1" t="s">
        <v>786</v>
      </c>
      <c r="B627" s="1" t="s">
        <v>535</v>
      </c>
      <c r="D627" s="1">
        <v>7163000.0</v>
      </c>
    </row>
    <row r="628">
      <c r="B628" s="1" t="s">
        <v>287</v>
      </c>
      <c r="D628" s="1">
        <v>1116260.0</v>
      </c>
    </row>
    <row r="629">
      <c r="B629" s="1" t="s">
        <v>288</v>
      </c>
      <c r="D629" s="1">
        <v>905660.0</v>
      </c>
    </row>
    <row r="630">
      <c r="A630" s="1" t="s">
        <v>787</v>
      </c>
      <c r="B630" s="1" t="s">
        <v>788</v>
      </c>
      <c r="D630" s="1">
        <v>39000.0</v>
      </c>
    </row>
    <row r="631">
      <c r="A631" s="1" t="s">
        <v>789</v>
      </c>
      <c r="B631" s="1" t="s">
        <v>208</v>
      </c>
      <c r="D631" s="1">
        <v>650000.0</v>
      </c>
      <c r="E631" s="1" t="s">
        <v>790</v>
      </c>
    </row>
    <row r="632">
      <c r="A632" s="1" t="s">
        <v>791</v>
      </c>
      <c r="B632" s="1" t="s">
        <v>678</v>
      </c>
      <c r="D632" s="1">
        <v>1404440.0</v>
      </c>
    </row>
    <row r="633">
      <c r="A633" s="1" t="s">
        <v>792</v>
      </c>
      <c r="B633" s="1" t="s">
        <v>221</v>
      </c>
      <c r="D633" s="1">
        <v>1516340.0</v>
      </c>
    </row>
    <row r="634">
      <c r="A634" s="1" t="s">
        <v>793</v>
      </c>
      <c r="B634" s="1" t="s">
        <v>186</v>
      </c>
      <c r="D634" s="1">
        <v>1799360.0</v>
      </c>
    </row>
    <row r="635">
      <c r="B635" s="1" t="s">
        <v>187</v>
      </c>
      <c r="D635" s="1">
        <v>1853943.0</v>
      </c>
    </row>
    <row r="636">
      <c r="A636" s="1" t="s">
        <v>794</v>
      </c>
      <c r="B636" s="1" t="s">
        <v>303</v>
      </c>
      <c r="D636" s="1">
        <v>1613990.0</v>
      </c>
    </row>
    <row r="637">
      <c r="A637" s="1" t="s">
        <v>795</v>
      </c>
      <c r="B637" s="1" t="s">
        <v>250</v>
      </c>
      <c r="D637" s="1">
        <v>300730.0</v>
      </c>
    </row>
    <row r="638">
      <c r="B638" s="1" t="s">
        <v>338</v>
      </c>
      <c r="D638" s="1">
        <v>183050.0</v>
      </c>
    </row>
    <row r="639">
      <c r="A639" s="1" t="s">
        <v>793</v>
      </c>
      <c r="B639" s="1" t="s">
        <v>573</v>
      </c>
      <c r="D639" s="1">
        <v>50000.0</v>
      </c>
    </row>
    <row r="640">
      <c r="A640" s="1" t="s">
        <v>796</v>
      </c>
      <c r="B640" s="1" t="s">
        <v>797</v>
      </c>
      <c r="D640" s="1">
        <v>1.679383E7</v>
      </c>
    </row>
    <row r="641">
      <c r="B641" s="1" t="s">
        <v>798</v>
      </c>
      <c r="D641" s="1">
        <v>3331750.0</v>
      </c>
    </row>
    <row r="642">
      <c r="A642" s="1" t="s">
        <v>799</v>
      </c>
      <c r="B642" s="1" t="s">
        <v>711</v>
      </c>
      <c r="D642" s="1">
        <v>228830.0</v>
      </c>
    </row>
    <row r="643">
      <c r="A643" s="1" t="s">
        <v>800</v>
      </c>
      <c r="B643" s="1" t="s">
        <v>434</v>
      </c>
      <c r="D643" s="1">
        <v>250000.0</v>
      </c>
    </row>
    <row r="644">
      <c r="B644" s="1" t="s">
        <v>668</v>
      </c>
      <c r="D644" s="1">
        <v>482308.0</v>
      </c>
    </row>
    <row r="645">
      <c r="B645" s="1" t="s">
        <v>589</v>
      </c>
      <c r="D645" s="1">
        <v>132000.0</v>
      </c>
    </row>
    <row r="646">
      <c r="B646" s="1" t="s">
        <v>801</v>
      </c>
      <c r="D646" s="1">
        <v>1650000.0</v>
      </c>
    </row>
    <row r="647">
      <c r="A647" s="1" t="s">
        <v>802</v>
      </c>
      <c r="B647" s="1" t="s">
        <v>535</v>
      </c>
      <c r="D647" s="1">
        <v>7107000.0</v>
      </c>
    </row>
    <row r="648">
      <c r="B648" s="1" t="s">
        <v>287</v>
      </c>
      <c r="D648" s="1">
        <v>905660.0</v>
      </c>
    </row>
    <row r="649">
      <c r="B649" s="1" t="s">
        <v>288</v>
      </c>
      <c r="D649" s="1">
        <v>696540.0</v>
      </c>
    </row>
    <row r="650">
      <c r="A650" s="1" t="s">
        <v>803</v>
      </c>
      <c r="B650" s="1" t="s">
        <v>208</v>
      </c>
      <c r="D650" s="1">
        <v>450000.0</v>
      </c>
      <c r="E650" s="1" t="s">
        <v>804</v>
      </c>
    </row>
    <row r="651">
      <c r="A651" s="1" t="s">
        <v>805</v>
      </c>
      <c r="B651" s="1" t="s">
        <v>678</v>
      </c>
      <c r="D651" s="1">
        <v>1385020.0</v>
      </c>
    </row>
    <row r="652">
      <c r="A652" s="1" t="s">
        <v>806</v>
      </c>
      <c r="B652" s="1" t="s">
        <v>221</v>
      </c>
      <c r="D652" s="1">
        <v>1556300.0</v>
      </c>
    </row>
    <row r="653">
      <c r="A653" s="1" t="s">
        <v>807</v>
      </c>
      <c r="B653" s="1" t="s">
        <v>186</v>
      </c>
      <c r="D653" s="1">
        <v>1861790.0</v>
      </c>
    </row>
    <row r="654">
      <c r="B654" s="1" t="s">
        <v>187</v>
      </c>
      <c r="D654" s="1">
        <v>1894623.0</v>
      </c>
    </row>
    <row r="655">
      <c r="A655" s="1" t="s">
        <v>807</v>
      </c>
      <c r="B655" s="1" t="s">
        <v>303</v>
      </c>
      <c r="D655" s="1">
        <v>1757193.0</v>
      </c>
    </row>
    <row r="656">
      <c r="A656" s="1" t="s">
        <v>808</v>
      </c>
      <c r="B656" s="1" t="s">
        <v>809</v>
      </c>
      <c r="D656" s="1">
        <v>40000.0</v>
      </c>
    </row>
    <row r="657">
      <c r="A657" s="1" t="s">
        <v>810</v>
      </c>
      <c r="B657" s="1" t="s">
        <v>811</v>
      </c>
      <c r="D657" s="1">
        <v>378760.0</v>
      </c>
    </row>
    <row r="658">
      <c r="B658" s="1" t="s">
        <v>711</v>
      </c>
      <c r="D658" s="1">
        <v>227970.0</v>
      </c>
    </row>
    <row r="659">
      <c r="A659" s="1" t="s">
        <v>807</v>
      </c>
      <c r="B659" s="1" t="s">
        <v>585</v>
      </c>
      <c r="D659" s="1">
        <v>1706280.0</v>
      </c>
    </row>
    <row r="660">
      <c r="B660" s="1" t="s">
        <v>812</v>
      </c>
      <c r="D660" s="1">
        <v>300000.0</v>
      </c>
    </row>
    <row r="661">
      <c r="A661" s="1" t="s">
        <v>813</v>
      </c>
      <c r="B661" s="1" t="s">
        <v>434</v>
      </c>
      <c r="D661" s="1">
        <v>250000.0</v>
      </c>
    </row>
    <row r="662">
      <c r="B662" s="1" t="s">
        <v>668</v>
      </c>
      <c r="D662" s="1">
        <v>369784.0</v>
      </c>
    </row>
    <row r="663">
      <c r="B663" s="1" t="s">
        <v>589</v>
      </c>
      <c r="D663" s="1">
        <v>132000.0</v>
      </c>
    </row>
    <row r="664">
      <c r="A664" s="1" t="s">
        <v>814</v>
      </c>
      <c r="B664" s="1" t="s">
        <v>815</v>
      </c>
      <c r="D664" s="1">
        <v>726000.0</v>
      </c>
    </row>
    <row r="665">
      <c r="A665" s="1" t="s">
        <v>816</v>
      </c>
      <c r="B665" s="1" t="s">
        <v>490</v>
      </c>
      <c r="D665" s="1">
        <v>198000.0</v>
      </c>
      <c r="E665" s="1" t="s">
        <v>817</v>
      </c>
    </row>
    <row r="666">
      <c r="B666" s="1" t="s">
        <v>818</v>
      </c>
      <c r="D666" s="1">
        <v>93000.0</v>
      </c>
    </row>
    <row r="667">
      <c r="A667" s="1" t="s">
        <v>819</v>
      </c>
      <c r="B667" s="1" t="s">
        <v>535</v>
      </c>
      <c r="D667" s="1">
        <v>7197000.0</v>
      </c>
    </row>
    <row r="668">
      <c r="A668" s="1" t="s">
        <v>820</v>
      </c>
      <c r="B668" s="1" t="s">
        <v>208</v>
      </c>
      <c r="D668" s="1">
        <v>600000.0</v>
      </c>
      <c r="E668" s="1" t="s">
        <v>821</v>
      </c>
    </row>
    <row r="669">
      <c r="A669" s="1" t="s">
        <v>822</v>
      </c>
      <c r="B669" s="1" t="s">
        <v>678</v>
      </c>
      <c r="D669">
        <f>696850+1385020</f>
        <v>2081870</v>
      </c>
    </row>
    <row r="670">
      <c r="A670" s="1" t="s">
        <v>823</v>
      </c>
      <c r="B670" s="1" t="s">
        <v>221</v>
      </c>
      <c r="D670" s="1">
        <v>1556300.0</v>
      </c>
    </row>
    <row r="671">
      <c r="A671" s="1" t="s">
        <v>824</v>
      </c>
      <c r="B671" s="1" t="s">
        <v>186</v>
      </c>
      <c r="D671">
        <f>920840+1861790</f>
        <v>2782630</v>
      </c>
    </row>
    <row r="672">
      <c r="B672" s="1" t="s">
        <v>187</v>
      </c>
      <c r="D672" s="1">
        <v>1894623.0</v>
      </c>
    </row>
    <row r="673">
      <c r="A673" s="1" t="s">
        <v>825</v>
      </c>
      <c r="B673" s="1" t="s">
        <v>303</v>
      </c>
      <c r="D673" s="1">
        <v>1757193.0</v>
      </c>
    </row>
    <row r="674">
      <c r="A674" s="1" t="s">
        <v>826</v>
      </c>
      <c r="B674" s="1" t="s">
        <v>485</v>
      </c>
      <c r="D674" s="1">
        <v>52740.0</v>
      </c>
      <c r="E674" s="1" t="s">
        <v>152</v>
      </c>
    </row>
    <row r="675">
      <c r="A675" s="1" t="s">
        <v>827</v>
      </c>
      <c r="B675" s="1" t="s">
        <v>287</v>
      </c>
      <c r="D675" s="1">
        <v>905660.0</v>
      </c>
    </row>
    <row r="676">
      <c r="B676" s="1" t="s">
        <v>288</v>
      </c>
      <c r="D676" s="1">
        <v>696540.0</v>
      </c>
    </row>
    <row r="677">
      <c r="A677" s="1" t="s">
        <v>828</v>
      </c>
      <c r="B677" s="1" t="s">
        <v>812</v>
      </c>
      <c r="D677" s="1">
        <v>300000.0</v>
      </c>
    </row>
    <row r="678">
      <c r="A678" s="1" t="s">
        <v>829</v>
      </c>
      <c r="B678" s="1" t="s">
        <v>830</v>
      </c>
      <c r="D678" s="1">
        <v>1.550652E7</v>
      </c>
    </row>
    <row r="679">
      <c r="B679" s="1" t="s">
        <v>711</v>
      </c>
      <c r="D679" s="1">
        <v>228290.0</v>
      </c>
    </row>
    <row r="680">
      <c r="A680" s="1" t="s">
        <v>831</v>
      </c>
      <c r="B680" s="1" t="s">
        <v>434</v>
      </c>
      <c r="D680" s="1">
        <v>250000.0</v>
      </c>
    </row>
    <row r="681">
      <c r="B681" s="1" t="s">
        <v>668</v>
      </c>
      <c r="D681" s="1">
        <v>398560.0</v>
      </c>
    </row>
    <row r="682">
      <c r="B682" s="1" t="s">
        <v>589</v>
      </c>
      <c r="D682" s="1">
        <v>132000.0</v>
      </c>
    </row>
    <row r="683">
      <c r="A683" s="1" t="s">
        <v>831</v>
      </c>
      <c r="B683" s="1" t="s">
        <v>311</v>
      </c>
      <c r="D683" s="1">
        <v>400000.0</v>
      </c>
      <c r="E683" s="1" t="s">
        <v>832</v>
      </c>
    </row>
    <row r="684">
      <c r="A684" s="1" t="s">
        <v>833</v>
      </c>
      <c r="B684" s="1" t="s">
        <v>535</v>
      </c>
      <c r="D684" s="1">
        <v>7307000.0</v>
      </c>
    </row>
    <row r="685">
      <c r="A685" s="1" t="s">
        <v>833</v>
      </c>
      <c r="B685" s="1" t="s">
        <v>287</v>
      </c>
      <c r="D685" s="1">
        <v>896480.0</v>
      </c>
    </row>
    <row r="686">
      <c r="B686" s="1" t="s">
        <v>288</v>
      </c>
      <c r="D686" s="1">
        <v>696540.0</v>
      </c>
    </row>
    <row r="687">
      <c r="B687" s="1" t="s">
        <v>620</v>
      </c>
      <c r="D687" s="1">
        <v>107010.0</v>
      </c>
      <c r="E687" s="1" t="s">
        <v>834</v>
      </c>
    </row>
    <row r="688">
      <c r="A688" s="1" t="s">
        <v>835</v>
      </c>
      <c r="B688" s="1" t="s">
        <v>678</v>
      </c>
      <c r="D688" s="1">
        <v>1399330.0</v>
      </c>
    </row>
    <row r="689">
      <c r="A689" s="1" t="s">
        <v>836</v>
      </c>
      <c r="B689" s="1" t="s">
        <v>221</v>
      </c>
      <c r="D689" s="1">
        <v>1547530.0</v>
      </c>
    </row>
    <row r="690">
      <c r="A690" s="1" t="s">
        <v>837</v>
      </c>
      <c r="B690" s="1" t="s">
        <v>186</v>
      </c>
      <c r="D690" s="1">
        <v>1861790.0</v>
      </c>
    </row>
    <row r="691">
      <c r="B691" s="1" t="s">
        <v>187</v>
      </c>
      <c r="D691" s="1">
        <v>1782317.0</v>
      </c>
    </row>
    <row r="692">
      <c r="A692" s="1" t="s">
        <v>838</v>
      </c>
      <c r="B692" s="1" t="s">
        <v>303</v>
      </c>
      <c r="D692" s="1">
        <v>1752243.0</v>
      </c>
    </row>
    <row r="693">
      <c r="A693" s="1" t="s">
        <v>839</v>
      </c>
      <c r="B693" s="1" t="s">
        <v>208</v>
      </c>
      <c r="D693" s="1">
        <v>700000.0</v>
      </c>
      <c r="E693" s="1" t="s">
        <v>840</v>
      </c>
    </row>
    <row r="694">
      <c r="A694" s="1" t="s">
        <v>841</v>
      </c>
      <c r="B694" s="1" t="s">
        <v>250</v>
      </c>
      <c r="D694" s="1">
        <v>300730.0</v>
      </c>
    </row>
    <row r="695">
      <c r="B695" s="1" t="s">
        <v>338</v>
      </c>
      <c r="D695" s="1">
        <v>193520.0</v>
      </c>
    </row>
    <row r="696">
      <c r="A696" s="1" t="s">
        <v>842</v>
      </c>
      <c r="B696" s="1" t="s">
        <v>485</v>
      </c>
      <c r="D696" s="1">
        <v>149040.0</v>
      </c>
    </row>
    <row r="697">
      <c r="A697" s="1" t="s">
        <v>837</v>
      </c>
      <c r="B697" s="1" t="s">
        <v>812</v>
      </c>
      <c r="D697" s="1">
        <v>300000.0</v>
      </c>
    </row>
    <row r="698">
      <c r="B698" s="1" t="s">
        <v>711</v>
      </c>
      <c r="D698" s="1">
        <v>245480.0</v>
      </c>
    </row>
    <row r="699">
      <c r="B699" s="1" t="s">
        <v>843</v>
      </c>
      <c r="D699" s="1">
        <v>62500.0</v>
      </c>
    </row>
    <row r="700">
      <c r="A700" s="1" t="s">
        <v>844</v>
      </c>
      <c r="B700" s="1" t="s">
        <v>434</v>
      </c>
      <c r="D700" s="1">
        <v>250000.0</v>
      </c>
    </row>
    <row r="701">
      <c r="B701" s="1" t="s">
        <v>668</v>
      </c>
      <c r="D701" s="1">
        <v>499148.0</v>
      </c>
    </row>
    <row r="702">
      <c r="B702" s="1" t="s">
        <v>589</v>
      </c>
      <c r="D702" s="1">
        <v>132000.0</v>
      </c>
    </row>
    <row r="703">
      <c r="A703" s="1" t="s">
        <v>845</v>
      </c>
      <c r="B703" s="1" t="s">
        <v>535</v>
      </c>
      <c r="D703" s="1">
        <v>7355000.0</v>
      </c>
      <c r="E703" s="1" t="s">
        <v>846</v>
      </c>
    </row>
    <row r="704">
      <c r="A704" s="1" t="s">
        <v>845</v>
      </c>
      <c r="B704" s="1" t="s">
        <v>287</v>
      </c>
      <c r="D704" s="1">
        <v>896480.0</v>
      </c>
    </row>
    <row r="705">
      <c r="B705" s="1" t="s">
        <v>288</v>
      </c>
      <c r="D705" s="1">
        <v>647740.0</v>
      </c>
    </row>
    <row r="706">
      <c r="A706" s="1" t="s">
        <v>847</v>
      </c>
      <c r="B706" s="1" t="s">
        <v>678</v>
      </c>
      <c r="D706" s="1">
        <v>2096180.0</v>
      </c>
    </row>
    <row r="707">
      <c r="A707" s="1" t="s">
        <v>848</v>
      </c>
      <c r="B707" s="1" t="s">
        <v>221</v>
      </c>
      <c r="D707" s="1">
        <v>1547530.0</v>
      </c>
    </row>
    <row r="708">
      <c r="A708" s="1" t="s">
        <v>849</v>
      </c>
      <c r="B708" s="1" t="s">
        <v>186</v>
      </c>
      <c r="D708" s="1">
        <v>2782630.0</v>
      </c>
    </row>
    <row r="709">
      <c r="B709" s="1" t="s">
        <v>187</v>
      </c>
      <c r="D709" s="1">
        <v>1782318.0</v>
      </c>
    </row>
    <row r="710">
      <c r="A710" s="1" t="s">
        <v>849</v>
      </c>
      <c r="B710" s="1" t="s">
        <v>303</v>
      </c>
      <c r="D710" s="1">
        <v>1752243.0</v>
      </c>
    </row>
    <row r="711">
      <c r="A711" s="1" t="s">
        <v>850</v>
      </c>
      <c r="B711" s="1" t="s">
        <v>208</v>
      </c>
      <c r="D711" s="1">
        <v>650000.0</v>
      </c>
      <c r="E711" s="1" t="s">
        <v>851</v>
      </c>
    </row>
    <row r="712">
      <c r="A712" s="1" t="s">
        <v>852</v>
      </c>
      <c r="B712" s="1" t="s">
        <v>711</v>
      </c>
      <c r="D712" s="1">
        <v>245260.0</v>
      </c>
    </row>
    <row r="713">
      <c r="A713" s="1" t="s">
        <v>853</v>
      </c>
      <c r="B713" s="1" t="s">
        <v>434</v>
      </c>
      <c r="D713" s="1">
        <v>250000.0</v>
      </c>
    </row>
    <row r="714">
      <c r="B714" s="1" t="s">
        <v>668</v>
      </c>
      <c r="D714" s="1">
        <v>599012.0</v>
      </c>
    </row>
    <row r="715">
      <c r="B715" s="1" t="s">
        <v>589</v>
      </c>
      <c r="D715" s="1">
        <v>132000.0</v>
      </c>
    </row>
    <row r="716">
      <c r="A716" s="1" t="s">
        <v>854</v>
      </c>
      <c r="B716" s="1" t="s">
        <v>812</v>
      </c>
      <c r="D716" s="1">
        <v>500000.0</v>
      </c>
    </row>
    <row r="717">
      <c r="A717" s="1" t="s">
        <v>855</v>
      </c>
      <c r="B717" s="1" t="s">
        <v>535</v>
      </c>
      <c r="D717" s="1">
        <v>7798000.0</v>
      </c>
      <c r="E717" s="1" t="s">
        <v>856</v>
      </c>
    </row>
    <row r="718">
      <c r="A718" s="1" t="s">
        <v>857</v>
      </c>
      <c r="B718" s="1" t="s">
        <v>287</v>
      </c>
      <c r="D718" s="1">
        <v>896480.0</v>
      </c>
    </row>
    <row r="719">
      <c r="B719" s="1" t="s">
        <v>288</v>
      </c>
      <c r="D719" s="1">
        <v>664620.0</v>
      </c>
    </row>
    <row r="720">
      <c r="A720" s="1" t="s">
        <v>858</v>
      </c>
      <c r="B720" s="1" t="s">
        <v>678</v>
      </c>
      <c r="D720" s="1">
        <v>1399330.0</v>
      </c>
    </row>
    <row r="721">
      <c r="A721" s="1" t="s">
        <v>859</v>
      </c>
      <c r="B721" s="1" t="s">
        <v>221</v>
      </c>
      <c r="D721" s="1">
        <v>1547530.0</v>
      </c>
    </row>
    <row r="722">
      <c r="A722" s="1" t="s">
        <v>860</v>
      </c>
      <c r="B722" s="1" t="s">
        <v>186</v>
      </c>
      <c r="D722" s="1">
        <v>1861790.0</v>
      </c>
    </row>
    <row r="723">
      <c r="B723" s="1" t="s">
        <v>187</v>
      </c>
      <c r="D723" s="1">
        <v>1782318.0</v>
      </c>
    </row>
    <row r="724">
      <c r="A724" s="1" t="s">
        <v>861</v>
      </c>
      <c r="B724" s="1" t="s">
        <v>303</v>
      </c>
      <c r="D724" s="1">
        <v>1752243.0</v>
      </c>
    </row>
    <row r="725">
      <c r="A725" s="1" t="s">
        <v>862</v>
      </c>
      <c r="B725" s="1" t="s">
        <v>235</v>
      </c>
      <c r="D725" s="1">
        <v>1000000.0</v>
      </c>
      <c r="E725" s="1" t="s">
        <v>762</v>
      </c>
      <c r="F725" s="1" t="s">
        <v>863</v>
      </c>
    </row>
    <row r="726">
      <c r="A726" s="1" t="s">
        <v>860</v>
      </c>
      <c r="B726" s="1" t="s">
        <v>812</v>
      </c>
      <c r="D726" s="1">
        <v>500000.0</v>
      </c>
    </row>
    <row r="727">
      <c r="B727" s="1" t="s">
        <v>864</v>
      </c>
      <c r="D727" s="1">
        <v>297000.0</v>
      </c>
      <c r="E727" s="1" t="s">
        <v>865</v>
      </c>
    </row>
    <row r="728">
      <c r="A728" s="1" t="s">
        <v>866</v>
      </c>
      <c r="B728" s="1" t="s">
        <v>434</v>
      </c>
      <c r="D728" s="1">
        <v>250000.0</v>
      </c>
    </row>
    <row r="729">
      <c r="B729" s="1" t="s">
        <v>668</v>
      </c>
      <c r="D729" s="1">
        <v>184592.0</v>
      </c>
    </row>
    <row r="730">
      <c r="B730" s="1" t="s">
        <v>589</v>
      </c>
      <c r="D730" s="1">
        <v>132000.0</v>
      </c>
    </row>
    <row r="731">
      <c r="A731" s="1" t="s">
        <v>860</v>
      </c>
      <c r="B731" s="1" t="s">
        <v>711</v>
      </c>
      <c r="D731" s="1">
        <v>229280.0</v>
      </c>
    </row>
    <row r="732">
      <c r="A732" s="1" t="s">
        <v>860</v>
      </c>
      <c r="B732" s="1" t="s">
        <v>208</v>
      </c>
      <c r="D732" s="1">
        <v>550000.0</v>
      </c>
      <c r="E732" s="1" t="s">
        <v>867</v>
      </c>
    </row>
    <row r="733">
      <c r="A733" s="1" t="s">
        <v>868</v>
      </c>
      <c r="B733" s="1" t="s">
        <v>287</v>
      </c>
      <c r="D733" s="1">
        <v>896480.0</v>
      </c>
    </row>
    <row r="734">
      <c r="B734" s="1" t="s">
        <v>316</v>
      </c>
      <c r="D734" s="1">
        <v>656640.0</v>
      </c>
    </row>
    <row r="735">
      <c r="B735" s="1" t="s">
        <v>535</v>
      </c>
      <c r="D735" s="1">
        <v>7117000.0</v>
      </c>
    </row>
    <row r="736">
      <c r="B736" s="1" t="s">
        <v>869</v>
      </c>
      <c r="D736" s="1">
        <v>15000.0</v>
      </c>
    </row>
    <row r="737">
      <c r="A737" s="1" t="s">
        <v>870</v>
      </c>
      <c r="B737" s="1" t="s">
        <v>678</v>
      </c>
      <c r="D737" s="1">
        <v>1399330.0</v>
      </c>
    </row>
    <row r="738">
      <c r="A738" s="1" t="s">
        <v>871</v>
      </c>
      <c r="B738" s="1" t="s">
        <v>221</v>
      </c>
      <c r="D738" s="1">
        <v>1547530.0</v>
      </c>
    </row>
    <row r="739">
      <c r="A739" s="1" t="s">
        <v>872</v>
      </c>
      <c r="B739" s="1" t="s">
        <v>186</v>
      </c>
      <c r="D739" s="1">
        <v>1861790.0</v>
      </c>
    </row>
    <row r="740">
      <c r="B740" s="1" t="s">
        <v>187</v>
      </c>
      <c r="D740" s="1">
        <v>1782318.0</v>
      </c>
    </row>
    <row r="741">
      <c r="A741" s="1" t="s">
        <v>873</v>
      </c>
      <c r="B741" s="1" t="s">
        <v>303</v>
      </c>
      <c r="D741" s="1">
        <v>1752243.0</v>
      </c>
    </row>
    <row r="742">
      <c r="A742" s="1" t="s">
        <v>874</v>
      </c>
      <c r="B742" s="1" t="s">
        <v>875</v>
      </c>
      <c r="D742" s="1">
        <v>1593843.0</v>
      </c>
    </row>
    <row r="743">
      <c r="A743" s="1" t="s">
        <v>876</v>
      </c>
      <c r="B743" s="1" t="s">
        <v>208</v>
      </c>
      <c r="D743" s="1">
        <v>500000.0</v>
      </c>
      <c r="E743" s="1" t="s">
        <v>877</v>
      </c>
    </row>
    <row r="744">
      <c r="B744" s="1" t="s">
        <v>250</v>
      </c>
      <c r="D744" s="1">
        <v>300730.0</v>
      </c>
    </row>
    <row r="745">
      <c r="B745" s="1" t="s">
        <v>338</v>
      </c>
      <c r="D745" s="1">
        <v>193520.0</v>
      </c>
    </row>
    <row r="746">
      <c r="A746" s="1" t="s">
        <v>878</v>
      </c>
      <c r="B746" s="1" t="s">
        <v>812</v>
      </c>
      <c r="D746" s="1">
        <v>500000.0</v>
      </c>
    </row>
    <row r="747">
      <c r="A747" s="1" t="s">
        <v>879</v>
      </c>
      <c r="B747" s="1" t="s">
        <v>421</v>
      </c>
      <c r="D747" s="1">
        <v>93900.0</v>
      </c>
      <c r="E747" s="1" t="s">
        <v>880</v>
      </c>
    </row>
    <row r="748">
      <c r="A748" s="1" t="s">
        <v>873</v>
      </c>
      <c r="B748" s="1" t="s">
        <v>711</v>
      </c>
      <c r="D748" s="1">
        <v>230800.0</v>
      </c>
    </row>
    <row r="749">
      <c r="B749" s="1" t="s">
        <v>869</v>
      </c>
      <c r="D749" s="1">
        <v>15000.0</v>
      </c>
    </row>
    <row r="750">
      <c r="A750" s="1" t="s">
        <v>881</v>
      </c>
      <c r="B750" s="1" t="s">
        <v>710</v>
      </c>
      <c r="D750" s="1">
        <v>1.665877E7</v>
      </c>
    </row>
    <row r="751">
      <c r="A751" s="1" t="s">
        <v>882</v>
      </c>
      <c r="B751" s="1" t="s">
        <v>434</v>
      </c>
      <c r="D751" s="1">
        <v>250000.0</v>
      </c>
    </row>
    <row r="752">
      <c r="B752" s="1" t="s">
        <v>668</v>
      </c>
      <c r="D752" s="1">
        <v>273196.0</v>
      </c>
    </row>
    <row r="753">
      <c r="B753" s="1" t="s">
        <v>589</v>
      </c>
      <c r="D753" s="1">
        <v>132000.0</v>
      </c>
    </row>
    <row r="754">
      <c r="A754" s="1" t="s">
        <v>883</v>
      </c>
      <c r="B754" s="1" t="s">
        <v>281</v>
      </c>
      <c r="D754" s="1">
        <v>198000.0</v>
      </c>
      <c r="E754" s="1" t="s">
        <v>884</v>
      </c>
    </row>
    <row r="755">
      <c r="B755" s="1" t="s">
        <v>885</v>
      </c>
      <c r="D755" s="1">
        <v>2394300.0</v>
      </c>
      <c r="E755" s="1" t="s">
        <v>886</v>
      </c>
    </row>
    <row r="756">
      <c r="A756" s="1" t="s">
        <v>887</v>
      </c>
      <c r="B756" s="1" t="s">
        <v>485</v>
      </c>
      <c r="D756" s="1">
        <v>52650.0</v>
      </c>
      <c r="E756" s="1" t="s">
        <v>673</v>
      </c>
    </row>
    <row r="757">
      <c r="A757" s="1" t="s">
        <v>888</v>
      </c>
      <c r="B757" s="1" t="s">
        <v>535</v>
      </c>
      <c r="D757" s="1">
        <v>7158000.0</v>
      </c>
      <c r="E757" s="1" t="s">
        <v>889</v>
      </c>
    </row>
    <row r="758">
      <c r="A758" s="1" t="s">
        <v>890</v>
      </c>
      <c r="B758" s="1" t="s">
        <v>287</v>
      </c>
      <c r="D758" s="1">
        <v>932480.0</v>
      </c>
    </row>
    <row r="759">
      <c r="B759" s="1" t="s">
        <v>316</v>
      </c>
      <c r="D759" s="1">
        <v>7656320.0</v>
      </c>
    </row>
    <row r="760">
      <c r="A760" s="1" t="s">
        <v>891</v>
      </c>
      <c r="B760" s="1" t="s">
        <v>892</v>
      </c>
      <c r="D760" s="1">
        <v>100000.0</v>
      </c>
      <c r="E760" s="1" t="s">
        <v>893</v>
      </c>
    </row>
    <row r="761">
      <c r="A761" s="1" t="s">
        <v>894</v>
      </c>
      <c r="B761" s="1" t="s">
        <v>208</v>
      </c>
      <c r="D761" s="1">
        <v>550000.0</v>
      </c>
      <c r="E761" s="1" t="s">
        <v>895</v>
      </c>
    </row>
    <row r="762">
      <c r="A762" s="1" t="s">
        <v>891</v>
      </c>
      <c r="B762" s="1" t="s">
        <v>678</v>
      </c>
      <c r="D762" s="1">
        <v>1609193.0</v>
      </c>
    </row>
    <row r="763">
      <c r="A763" s="1" t="s">
        <v>896</v>
      </c>
      <c r="B763" s="1" t="s">
        <v>221</v>
      </c>
      <c r="D763" s="1">
        <v>1547530.0</v>
      </c>
    </row>
    <row r="764">
      <c r="A764" s="1" t="s">
        <v>897</v>
      </c>
      <c r="B764" s="1" t="s">
        <v>186</v>
      </c>
      <c r="D764" s="1">
        <v>2751510.0</v>
      </c>
    </row>
    <row r="765">
      <c r="B765" s="1" t="s">
        <v>187</v>
      </c>
      <c r="D765" s="1">
        <v>1782318.0</v>
      </c>
    </row>
    <row r="766">
      <c r="A766" s="1" t="s">
        <v>897</v>
      </c>
      <c r="B766" s="1" t="s">
        <v>303</v>
      </c>
      <c r="D766" s="1">
        <v>1752243.0</v>
      </c>
    </row>
    <row r="767">
      <c r="A767" s="1" t="s">
        <v>898</v>
      </c>
      <c r="B767" s="1" t="s">
        <v>235</v>
      </c>
      <c r="D767" s="1">
        <v>500000.0</v>
      </c>
      <c r="E767" s="1" t="s">
        <v>899</v>
      </c>
    </row>
    <row r="768">
      <c r="A768" s="1" t="s">
        <v>900</v>
      </c>
      <c r="B768" s="1" t="s">
        <v>901</v>
      </c>
      <c r="D768" s="1">
        <v>2200000.0</v>
      </c>
      <c r="E768" s="1" t="s">
        <v>902</v>
      </c>
    </row>
    <row r="769">
      <c r="B769" s="1" t="s">
        <v>812</v>
      </c>
      <c r="D769" s="1">
        <v>425290.0</v>
      </c>
    </row>
    <row r="770">
      <c r="A770" s="1" t="s">
        <v>903</v>
      </c>
      <c r="B770" s="1" t="s">
        <v>311</v>
      </c>
      <c r="D770" s="1">
        <v>500000.0</v>
      </c>
      <c r="E770" s="1" t="s">
        <v>832</v>
      </c>
    </row>
    <row r="771">
      <c r="A771" s="1" t="s">
        <v>904</v>
      </c>
      <c r="B771" s="1" t="s">
        <v>434</v>
      </c>
      <c r="D771" s="1">
        <v>250000.0</v>
      </c>
    </row>
    <row r="772">
      <c r="B772" s="1" t="s">
        <v>668</v>
      </c>
      <c r="D772" s="1">
        <v>360152.0</v>
      </c>
    </row>
    <row r="773">
      <c r="B773" s="1" t="s">
        <v>589</v>
      </c>
      <c r="D773" s="1">
        <v>132000.0</v>
      </c>
    </row>
    <row r="774">
      <c r="A774" s="1" t="s">
        <v>905</v>
      </c>
      <c r="B774" s="1" t="s">
        <v>535</v>
      </c>
      <c r="D774" s="1">
        <v>7279000.0</v>
      </c>
      <c r="E774" s="1" t="s">
        <v>889</v>
      </c>
    </row>
    <row r="775">
      <c r="A775" s="1" t="s">
        <v>906</v>
      </c>
      <c r="B775" s="1" t="s">
        <v>316</v>
      </c>
      <c r="D775" s="1">
        <v>1265000.0</v>
      </c>
      <c r="E775" s="1" t="s">
        <v>907</v>
      </c>
    </row>
    <row r="776">
      <c r="A776" s="1" t="s">
        <v>908</v>
      </c>
      <c r="B776" s="1" t="s">
        <v>208</v>
      </c>
      <c r="D776" s="1">
        <v>550000.0</v>
      </c>
      <c r="E776" s="1" t="s">
        <v>909</v>
      </c>
    </row>
    <row r="777">
      <c r="A777" s="1" t="s">
        <v>910</v>
      </c>
      <c r="B777" s="1" t="s">
        <v>678</v>
      </c>
      <c r="D777" s="1">
        <v>1621793.0</v>
      </c>
    </row>
    <row r="778">
      <c r="A778" s="1" t="s">
        <v>911</v>
      </c>
      <c r="B778" s="1" t="s">
        <v>221</v>
      </c>
      <c r="D778" s="1">
        <v>1547530.0</v>
      </c>
    </row>
    <row r="779">
      <c r="A779" s="1" t="s">
        <v>912</v>
      </c>
      <c r="B779" s="1" t="s">
        <v>186</v>
      </c>
      <c r="D779" s="1">
        <v>1861790.0</v>
      </c>
    </row>
    <row r="780">
      <c r="B780" s="1" t="s">
        <v>187</v>
      </c>
      <c r="D780" s="1">
        <v>1782318.0</v>
      </c>
    </row>
    <row r="781">
      <c r="A781" s="1" t="s">
        <v>913</v>
      </c>
      <c r="B781" s="1" t="s">
        <v>303</v>
      </c>
      <c r="D781" s="1">
        <v>1752243.0</v>
      </c>
    </row>
    <row r="782">
      <c r="A782" s="1" t="s">
        <v>912</v>
      </c>
      <c r="B782" s="1" t="s">
        <v>914</v>
      </c>
      <c r="D782" s="1">
        <v>18000.0</v>
      </c>
    </row>
    <row r="783">
      <c r="B783" s="1" t="s">
        <v>711</v>
      </c>
      <c r="D783" s="1">
        <v>225450.0</v>
      </c>
    </row>
    <row r="784">
      <c r="B784" s="1" t="s">
        <v>869</v>
      </c>
      <c r="D784" s="1">
        <v>15000.0</v>
      </c>
    </row>
    <row r="785">
      <c r="A785" s="1" t="s">
        <v>915</v>
      </c>
      <c r="B785" s="1" t="s">
        <v>434</v>
      </c>
      <c r="D785" s="1">
        <v>250000.0</v>
      </c>
    </row>
    <row r="786">
      <c r="B786" s="1" t="s">
        <v>668</v>
      </c>
      <c r="D786" s="1">
        <v>286764.0</v>
      </c>
    </row>
    <row r="787">
      <c r="B787" s="1" t="s">
        <v>589</v>
      </c>
      <c r="D787" s="1">
        <v>132000.0</v>
      </c>
    </row>
    <row r="788">
      <c r="A788" s="1" t="s">
        <v>916</v>
      </c>
      <c r="B788" s="1" t="s">
        <v>316</v>
      </c>
      <c r="D788" s="1">
        <v>1299620.0</v>
      </c>
    </row>
    <row r="789">
      <c r="A789" s="1" t="s">
        <v>917</v>
      </c>
      <c r="B789" s="1" t="s">
        <v>287</v>
      </c>
      <c r="D789" s="1">
        <v>930790.0</v>
      </c>
    </row>
    <row r="790">
      <c r="B790" s="1" t="s">
        <v>287</v>
      </c>
      <c r="D790" s="1">
        <v>903680.0</v>
      </c>
    </row>
    <row r="791">
      <c r="A791" s="1" t="s">
        <v>916</v>
      </c>
      <c r="B791" s="1" t="s">
        <v>535</v>
      </c>
      <c r="D791" s="1">
        <v>7221000.0</v>
      </c>
      <c r="E791" s="1" t="s">
        <v>889</v>
      </c>
    </row>
    <row r="792">
      <c r="B792" s="1" t="s">
        <v>918</v>
      </c>
      <c r="D792" s="1">
        <v>77000.0</v>
      </c>
      <c r="E792" s="1" t="s">
        <v>919</v>
      </c>
    </row>
    <row r="793">
      <c r="A793" s="1" t="s">
        <v>920</v>
      </c>
      <c r="B793" s="1" t="s">
        <v>678</v>
      </c>
      <c r="D793" s="1">
        <v>1643213.0</v>
      </c>
    </row>
    <row r="794">
      <c r="A794" s="1" t="s">
        <v>921</v>
      </c>
      <c r="B794" s="1" t="s">
        <v>221</v>
      </c>
      <c r="D794" s="1">
        <v>1635900.0</v>
      </c>
    </row>
    <row r="795">
      <c r="A795" s="1" t="s">
        <v>922</v>
      </c>
      <c r="B795" s="1" t="s">
        <v>186</v>
      </c>
      <c r="D795" s="1">
        <v>2113520.0</v>
      </c>
    </row>
    <row r="796">
      <c r="B796" s="1" t="s">
        <v>187</v>
      </c>
      <c r="D796" s="1">
        <v>2029508.0</v>
      </c>
    </row>
    <row r="797">
      <c r="A797" s="1" t="s">
        <v>922</v>
      </c>
      <c r="B797" s="1" t="s">
        <v>303</v>
      </c>
      <c r="D797" s="1">
        <v>1801693.0</v>
      </c>
    </row>
    <row r="798">
      <c r="A798" s="1" t="s">
        <v>923</v>
      </c>
      <c r="B798" s="1" t="s">
        <v>208</v>
      </c>
      <c r="D798" s="1">
        <v>500000.0</v>
      </c>
      <c r="E798" s="1" t="s">
        <v>924</v>
      </c>
    </row>
    <row r="799">
      <c r="A799" s="1" t="s">
        <v>925</v>
      </c>
      <c r="B799" s="1" t="s">
        <v>926</v>
      </c>
      <c r="D799" s="1">
        <v>2188703.0</v>
      </c>
    </row>
    <row r="800">
      <c r="B800" s="1" t="s">
        <v>508</v>
      </c>
      <c r="D800" s="1">
        <v>1932596.0</v>
      </c>
    </row>
    <row r="801">
      <c r="B801" s="1" t="s">
        <v>509</v>
      </c>
      <c r="D801" s="1">
        <v>1628470.0</v>
      </c>
    </row>
    <row r="802">
      <c r="A802" s="1" t="s">
        <v>921</v>
      </c>
      <c r="B802" s="1" t="s">
        <v>927</v>
      </c>
      <c r="D802" s="1">
        <v>900000.0</v>
      </c>
      <c r="E802" s="1" t="s">
        <v>928</v>
      </c>
    </row>
    <row r="803">
      <c r="A803" s="1" t="s">
        <v>929</v>
      </c>
      <c r="B803" s="1" t="s">
        <v>812</v>
      </c>
      <c r="D803" s="1">
        <v>500000.0</v>
      </c>
    </row>
    <row r="804">
      <c r="A804" s="1" t="s">
        <v>925</v>
      </c>
      <c r="B804" s="1" t="s">
        <v>434</v>
      </c>
      <c r="D804" s="1">
        <v>250000.0</v>
      </c>
    </row>
    <row r="805">
      <c r="B805" s="1" t="s">
        <v>668</v>
      </c>
      <c r="D805" s="1">
        <v>361748.0</v>
      </c>
    </row>
    <row r="806">
      <c r="B806" s="1" t="s">
        <v>589</v>
      </c>
      <c r="D806" s="1">
        <v>132000.0</v>
      </c>
    </row>
    <row r="807">
      <c r="A807" s="1" t="s">
        <v>922</v>
      </c>
      <c r="B807" s="1" t="s">
        <v>711</v>
      </c>
      <c r="D807" s="1">
        <v>227680.0</v>
      </c>
    </row>
    <row r="808">
      <c r="A808" s="1" t="s">
        <v>930</v>
      </c>
      <c r="B808" s="1" t="s">
        <v>931</v>
      </c>
      <c r="D808" s="1">
        <v>300000.0</v>
      </c>
      <c r="E808" s="1" t="s">
        <v>932</v>
      </c>
    </row>
    <row r="809">
      <c r="B809" s="1" t="s">
        <v>933</v>
      </c>
      <c r="D809" s="1">
        <v>336600.0</v>
      </c>
      <c r="E809" s="1" t="s">
        <v>934</v>
      </c>
    </row>
    <row r="810">
      <c r="A810" s="1" t="s">
        <v>935</v>
      </c>
      <c r="B810" s="1" t="s">
        <v>535</v>
      </c>
      <c r="D810" s="1">
        <v>7954000.0</v>
      </c>
      <c r="E810" s="1" t="s">
        <v>889</v>
      </c>
    </row>
    <row r="811">
      <c r="A811" s="1" t="s">
        <v>936</v>
      </c>
      <c r="B811" s="1" t="s">
        <v>937</v>
      </c>
      <c r="D811" s="1">
        <v>2377920.0</v>
      </c>
    </row>
    <row r="812">
      <c r="B812" s="1" t="s">
        <v>938</v>
      </c>
      <c r="D812" s="1">
        <v>71410.0</v>
      </c>
    </row>
    <row r="813">
      <c r="B813" s="1" t="s">
        <v>939</v>
      </c>
      <c r="D813" s="1">
        <v>105290.0</v>
      </c>
    </row>
    <row r="814">
      <c r="A814" s="1" t="s">
        <v>940</v>
      </c>
      <c r="B814" s="1" t="s">
        <v>678</v>
      </c>
      <c r="D814" s="1">
        <v>1620244.0</v>
      </c>
    </row>
    <row r="815">
      <c r="A815" s="1" t="s">
        <v>941</v>
      </c>
      <c r="B815" s="1" t="s">
        <v>221</v>
      </c>
      <c r="D815" s="1">
        <v>1598254.0</v>
      </c>
    </row>
    <row r="816">
      <c r="A816" s="1" t="s">
        <v>942</v>
      </c>
      <c r="B816" s="1" t="s">
        <v>186</v>
      </c>
      <c r="D816" s="1">
        <v>2800030.0</v>
      </c>
    </row>
    <row r="817">
      <c r="B817" s="1" t="s">
        <v>187</v>
      </c>
      <c r="D817" s="1">
        <v>1881840.0</v>
      </c>
    </row>
    <row r="818">
      <c r="A818" s="1" t="s">
        <v>942</v>
      </c>
      <c r="B818" s="1" t="s">
        <v>303</v>
      </c>
      <c r="D818" s="1">
        <v>1749324.0</v>
      </c>
    </row>
    <row r="819">
      <c r="B819" s="1" t="s">
        <v>208</v>
      </c>
      <c r="D819" s="1">
        <v>550000.0</v>
      </c>
      <c r="E819" s="1" t="s">
        <v>943</v>
      </c>
    </row>
    <row r="820">
      <c r="A820" s="1" t="s">
        <v>944</v>
      </c>
      <c r="B820" s="1" t="s">
        <v>945</v>
      </c>
      <c r="D820" s="1">
        <v>107000.0</v>
      </c>
    </row>
    <row r="821">
      <c r="B821" s="1" t="s">
        <v>490</v>
      </c>
      <c r="D821" s="1">
        <v>198000.0</v>
      </c>
      <c r="E821" s="1" t="s">
        <v>946</v>
      </c>
    </row>
    <row r="822">
      <c r="A822" s="1" t="s">
        <v>947</v>
      </c>
      <c r="B822" s="1" t="s">
        <v>711</v>
      </c>
      <c r="D822" s="1">
        <v>223220.0</v>
      </c>
    </row>
    <row r="823">
      <c r="A823" s="1" t="s">
        <v>948</v>
      </c>
      <c r="B823" s="1" t="s">
        <v>434</v>
      </c>
      <c r="D823" s="1">
        <v>250000.0</v>
      </c>
    </row>
    <row r="824">
      <c r="B824" s="1" t="s">
        <v>668</v>
      </c>
      <c r="D824" s="1">
        <v>383472.0</v>
      </c>
    </row>
    <row r="825">
      <c r="B825" s="1" t="s">
        <v>589</v>
      </c>
      <c r="D825" s="1">
        <v>132000.0</v>
      </c>
    </row>
    <row r="826">
      <c r="B826" s="1" t="s">
        <v>949</v>
      </c>
      <c r="D826" s="1">
        <v>425334.0</v>
      </c>
      <c r="E826" s="1" t="s">
        <v>950</v>
      </c>
    </row>
    <row r="827">
      <c r="B827" s="1" t="s">
        <v>951</v>
      </c>
      <c r="D827" s="1">
        <v>1576403.0</v>
      </c>
      <c r="E827" s="1" t="s">
        <v>952</v>
      </c>
    </row>
    <row r="828">
      <c r="A828" s="1" t="s">
        <v>953</v>
      </c>
      <c r="B828" s="1" t="s">
        <v>535</v>
      </c>
      <c r="D828" s="1">
        <v>8077000.0</v>
      </c>
      <c r="E828" s="1" t="s">
        <v>954</v>
      </c>
    </row>
    <row r="829">
      <c r="A829" s="1" t="s">
        <v>955</v>
      </c>
      <c r="B829" s="1" t="s">
        <v>956</v>
      </c>
      <c r="D829" s="1">
        <v>125430.0</v>
      </c>
      <c r="E829" s="1" t="s">
        <v>957</v>
      </c>
    </row>
    <row r="830">
      <c r="A830" s="1" t="s">
        <v>958</v>
      </c>
      <c r="B830" s="1" t="s">
        <v>678</v>
      </c>
      <c r="D830" s="1">
        <v>1461064.0</v>
      </c>
    </row>
    <row r="831">
      <c r="A831" s="1" t="s">
        <v>959</v>
      </c>
      <c r="B831" s="1" t="s">
        <v>221</v>
      </c>
      <c r="D831" s="1">
        <v>1559264.0</v>
      </c>
    </row>
    <row r="832">
      <c r="A832" s="1" t="s">
        <v>960</v>
      </c>
      <c r="B832" s="1" t="s">
        <v>186</v>
      </c>
      <c r="D832" s="1">
        <v>1865420.0</v>
      </c>
    </row>
    <row r="833">
      <c r="B833" s="1" t="s">
        <v>187</v>
      </c>
      <c r="D833" s="1">
        <v>1847830.0</v>
      </c>
    </row>
    <row r="834">
      <c r="A834" s="1" t="s">
        <v>961</v>
      </c>
      <c r="B834" s="1" t="s">
        <v>962</v>
      </c>
      <c r="D834" s="1">
        <v>1094040.0</v>
      </c>
    </row>
    <row r="835">
      <c r="A835" s="1" t="s">
        <v>963</v>
      </c>
      <c r="B835" s="1" t="s">
        <v>964</v>
      </c>
      <c r="D835" s="1">
        <v>130000.0</v>
      </c>
    </row>
    <row r="836">
      <c r="A836" s="1" t="s">
        <v>965</v>
      </c>
      <c r="B836" s="1" t="s">
        <v>966</v>
      </c>
      <c r="D836" s="1">
        <v>2377920.0</v>
      </c>
      <c r="E836" s="1" t="s">
        <v>216</v>
      </c>
    </row>
    <row r="837">
      <c r="A837" s="1" t="s">
        <v>967</v>
      </c>
      <c r="B837" s="1" t="s">
        <v>968</v>
      </c>
      <c r="D837" s="1">
        <v>67000.0</v>
      </c>
    </row>
    <row r="838">
      <c r="B838" s="1" t="s">
        <v>208</v>
      </c>
      <c r="D838" s="1">
        <v>700000.0</v>
      </c>
      <c r="E838" s="1" t="s">
        <v>969</v>
      </c>
    </row>
    <row r="839">
      <c r="A839" s="1" t="s">
        <v>960</v>
      </c>
      <c r="B839" s="1" t="s">
        <v>812</v>
      </c>
      <c r="D839" s="1">
        <v>500000.0</v>
      </c>
    </row>
    <row r="840">
      <c r="B840" s="1" t="s">
        <v>485</v>
      </c>
      <c r="D840" s="1">
        <v>132810.0</v>
      </c>
      <c r="E840" s="1" t="s">
        <v>970</v>
      </c>
    </row>
    <row r="841">
      <c r="A841" s="1" t="s">
        <v>961</v>
      </c>
      <c r="B841" s="1" t="s">
        <v>668</v>
      </c>
      <c r="D841" s="1">
        <v>299808.0</v>
      </c>
    </row>
    <row r="842">
      <c r="B842" s="1" t="s">
        <v>589</v>
      </c>
      <c r="D842" s="1">
        <v>132000.0</v>
      </c>
    </row>
    <row r="843">
      <c r="B843" s="1" t="s">
        <v>434</v>
      </c>
      <c r="D843" s="1">
        <v>250000.0</v>
      </c>
    </row>
    <row r="844">
      <c r="B844" s="1" t="s">
        <v>971</v>
      </c>
      <c r="D844" s="1">
        <v>160000.0</v>
      </c>
      <c r="E844" s="1" t="s">
        <v>972</v>
      </c>
    </row>
    <row r="845">
      <c r="A845" s="1" t="s">
        <v>973</v>
      </c>
      <c r="B845" s="1" t="s">
        <v>535</v>
      </c>
      <c r="D845" s="1">
        <v>7916000.0</v>
      </c>
      <c r="E845" s="1" t="s">
        <v>889</v>
      </c>
    </row>
    <row r="846">
      <c r="A846" s="1" t="s">
        <v>973</v>
      </c>
      <c r="B846" s="1" t="s">
        <v>966</v>
      </c>
      <c r="D846" s="1">
        <v>3017320.0</v>
      </c>
      <c r="E846" s="1" t="s">
        <v>216</v>
      </c>
    </row>
    <row r="847">
      <c r="A847" s="1" t="s">
        <v>974</v>
      </c>
      <c r="B847" s="1" t="s">
        <v>678</v>
      </c>
      <c r="D847" s="1">
        <v>1602144.0</v>
      </c>
    </row>
    <row r="848">
      <c r="A848" s="1" t="s">
        <v>975</v>
      </c>
      <c r="B848" s="1" t="s">
        <v>221</v>
      </c>
      <c r="D848" s="1">
        <v>1594254.0</v>
      </c>
    </row>
    <row r="849">
      <c r="A849" s="1" t="s">
        <v>976</v>
      </c>
      <c r="B849" s="1" t="s">
        <v>186</v>
      </c>
      <c r="D849" s="1">
        <v>1899680.0</v>
      </c>
    </row>
    <row r="850">
      <c r="B850" s="1" t="s">
        <v>187</v>
      </c>
      <c r="D850" s="1">
        <v>1877770.0</v>
      </c>
    </row>
    <row r="851">
      <c r="A851" s="1" t="s">
        <v>977</v>
      </c>
      <c r="B851" s="1" t="s">
        <v>962</v>
      </c>
      <c r="D851" s="1">
        <v>1099780.0</v>
      </c>
    </row>
    <row r="852">
      <c r="A852" s="1" t="s">
        <v>978</v>
      </c>
      <c r="B852" s="1" t="s">
        <v>208</v>
      </c>
      <c r="D852" s="1">
        <v>700000.0</v>
      </c>
      <c r="E852" s="1" t="s">
        <v>979</v>
      </c>
    </row>
    <row r="853">
      <c r="A853" s="1" t="s">
        <v>980</v>
      </c>
      <c r="B853" s="1" t="s">
        <v>668</v>
      </c>
      <c r="D853" s="1">
        <v>207260.0</v>
      </c>
    </row>
    <row r="854">
      <c r="B854" s="1" t="s">
        <v>589</v>
      </c>
      <c r="D854" s="1">
        <v>132000.0</v>
      </c>
    </row>
    <row r="855">
      <c r="B855" s="1" t="s">
        <v>434</v>
      </c>
      <c r="D855" s="1">
        <v>250000.0</v>
      </c>
    </row>
    <row r="856">
      <c r="B856" s="1" t="s">
        <v>801</v>
      </c>
      <c r="D856" s="1">
        <v>1650000.0</v>
      </c>
    </row>
    <row r="857">
      <c r="A857" s="1" t="s">
        <v>981</v>
      </c>
      <c r="B857" s="1" t="s">
        <v>982</v>
      </c>
      <c r="D857" s="1">
        <v>1.152766E7</v>
      </c>
    </row>
    <row r="858">
      <c r="B858" s="1" t="s">
        <v>983</v>
      </c>
      <c r="D858" s="1">
        <v>137780.0</v>
      </c>
    </row>
    <row r="859">
      <c r="B859" s="1" t="s">
        <v>984</v>
      </c>
      <c r="D859" s="1">
        <v>2818640.0</v>
      </c>
    </row>
    <row r="860">
      <c r="A860" s="1" t="s">
        <v>985</v>
      </c>
      <c r="B860" s="1" t="s">
        <v>966</v>
      </c>
      <c r="D860" s="1">
        <v>1888220.0</v>
      </c>
    </row>
    <row r="861">
      <c r="A861" s="1" t="s">
        <v>986</v>
      </c>
      <c r="B861" s="1" t="s">
        <v>987</v>
      </c>
      <c r="D861" s="1">
        <v>8290400.0</v>
      </c>
      <c r="E861" s="1" t="s">
        <v>988</v>
      </c>
    </row>
    <row r="862">
      <c r="B862" s="1" t="s">
        <v>989</v>
      </c>
      <c r="D862" s="1">
        <v>223190.0</v>
      </c>
    </row>
    <row r="863">
      <c r="B863" s="1" t="s">
        <v>990</v>
      </c>
      <c r="D863" s="1">
        <v>224860.0</v>
      </c>
    </row>
    <row r="864">
      <c r="A864" s="1" t="s">
        <v>991</v>
      </c>
      <c r="B864" s="1" t="s">
        <v>678</v>
      </c>
      <c r="D864" s="1">
        <v>1601074.0</v>
      </c>
    </row>
    <row r="865">
      <c r="A865" s="1" t="s">
        <v>992</v>
      </c>
      <c r="B865" s="1" t="s">
        <v>221</v>
      </c>
      <c r="D865" s="1">
        <v>1594254.0</v>
      </c>
    </row>
    <row r="866">
      <c r="A866" s="1" t="s">
        <v>993</v>
      </c>
      <c r="B866" s="1" t="s">
        <v>186</v>
      </c>
      <c r="D866" s="1">
        <v>1899680.0</v>
      </c>
    </row>
    <row r="867">
      <c r="B867" s="1" t="s">
        <v>187</v>
      </c>
      <c r="D867" s="1">
        <v>1877770.0</v>
      </c>
    </row>
    <row r="868">
      <c r="A868" s="1" t="s">
        <v>994</v>
      </c>
      <c r="B868" s="1" t="s">
        <v>962</v>
      </c>
      <c r="D868" s="1">
        <v>1586543.0</v>
      </c>
    </row>
    <row r="869">
      <c r="A869" s="1" t="s">
        <v>995</v>
      </c>
      <c r="B869" s="1" t="s">
        <v>812</v>
      </c>
      <c r="D869" s="1">
        <v>60000.0</v>
      </c>
    </row>
    <row r="870">
      <c r="B870" s="1" t="s">
        <v>996</v>
      </c>
      <c r="D870" s="1">
        <v>440000.0</v>
      </c>
      <c r="E870" s="1" t="s">
        <v>997</v>
      </c>
    </row>
    <row r="871">
      <c r="A871" s="1" t="s">
        <v>998</v>
      </c>
      <c r="B871" s="1" t="s">
        <v>999</v>
      </c>
      <c r="D871" s="1">
        <v>223240.0</v>
      </c>
    </row>
    <row r="872">
      <c r="A872" s="1" t="s">
        <v>1000</v>
      </c>
      <c r="B872" s="1" t="s">
        <v>668</v>
      </c>
      <c r="D872" s="1">
        <v>110792.0</v>
      </c>
      <c r="E872" s="1" t="s">
        <v>1001</v>
      </c>
    </row>
    <row r="873">
      <c r="B873" s="1" t="s">
        <v>589</v>
      </c>
      <c r="D873" s="1">
        <v>132000.0</v>
      </c>
    </row>
    <row r="874">
      <c r="B874" s="1" t="s">
        <v>434</v>
      </c>
      <c r="D874" s="1">
        <v>250000.0</v>
      </c>
    </row>
    <row r="875">
      <c r="A875" s="1" t="s">
        <v>1002</v>
      </c>
      <c r="B875" s="1" t="s">
        <v>208</v>
      </c>
      <c r="D875" s="1">
        <v>150000.0</v>
      </c>
      <c r="E875" s="1" t="s">
        <v>1003</v>
      </c>
    </row>
    <row r="876">
      <c r="B876" s="1" t="s">
        <v>1004</v>
      </c>
      <c r="D876" s="1">
        <v>77000.0</v>
      </c>
      <c r="E876" s="1" t="s">
        <v>1005</v>
      </c>
    </row>
    <row r="877">
      <c r="A877" s="1" t="s">
        <v>1006</v>
      </c>
      <c r="B877" s="1" t="s">
        <v>966</v>
      </c>
      <c r="D877" s="1">
        <v>2160080.0</v>
      </c>
    </row>
    <row r="878">
      <c r="A878" s="1" t="s">
        <v>1007</v>
      </c>
      <c r="B878" s="1" t="s">
        <v>987</v>
      </c>
      <c r="D878" s="1">
        <v>7667000.0</v>
      </c>
      <c r="E878" s="1" t="s">
        <v>1008</v>
      </c>
    </row>
    <row r="879">
      <c r="A879" s="1" t="s">
        <v>1009</v>
      </c>
      <c r="B879" s="1" t="s">
        <v>678</v>
      </c>
      <c r="D879" s="1">
        <v>1601074.0</v>
      </c>
    </row>
    <row r="880">
      <c r="A880" s="1" t="s">
        <v>1007</v>
      </c>
      <c r="B880" s="1" t="s">
        <v>221</v>
      </c>
      <c r="D880" s="1">
        <v>1594254.0</v>
      </c>
    </row>
    <row r="881">
      <c r="A881" s="1" t="s">
        <v>1010</v>
      </c>
      <c r="B881" s="1" t="s">
        <v>186</v>
      </c>
      <c r="D881" s="1">
        <v>2821400.0</v>
      </c>
    </row>
    <row r="882">
      <c r="B882" s="1" t="s">
        <v>187</v>
      </c>
      <c r="D882" s="1">
        <v>1877770.0</v>
      </c>
    </row>
    <row r="883">
      <c r="A883" s="1" t="s">
        <v>1011</v>
      </c>
      <c r="B883" s="1" t="s">
        <v>962</v>
      </c>
      <c r="D883" s="1">
        <v>1586543.0</v>
      </c>
    </row>
    <row r="884">
      <c r="A884" s="1" t="s">
        <v>1012</v>
      </c>
      <c r="B884" s="1" t="s">
        <v>474</v>
      </c>
      <c r="D884" s="1">
        <v>100000.0</v>
      </c>
      <c r="E884" s="1" t="s">
        <v>1013</v>
      </c>
    </row>
    <row r="885">
      <c r="A885" s="1" t="s">
        <v>1010</v>
      </c>
      <c r="B885" s="1" t="s">
        <v>1014</v>
      </c>
      <c r="D885" s="1">
        <v>95000.0</v>
      </c>
      <c r="E885" s="1" t="s">
        <v>1015</v>
      </c>
    </row>
    <row r="886">
      <c r="A886" s="1" t="s">
        <v>1016</v>
      </c>
      <c r="B886" s="1" t="s">
        <v>1017</v>
      </c>
      <c r="D886" s="1">
        <v>8453794.0</v>
      </c>
      <c r="E886" s="1" t="s">
        <v>1018</v>
      </c>
    </row>
    <row r="887">
      <c r="B887" s="1" t="s">
        <v>668</v>
      </c>
      <c r="D887" s="1">
        <v>264796.0</v>
      </c>
    </row>
    <row r="888">
      <c r="B888" s="1" t="s">
        <v>589</v>
      </c>
      <c r="D888" s="1">
        <v>132000.0</v>
      </c>
    </row>
    <row r="889">
      <c r="B889" s="1" t="s">
        <v>434</v>
      </c>
      <c r="D889" s="1">
        <v>250000.0</v>
      </c>
    </row>
    <row r="890">
      <c r="A890" s="1" t="s">
        <v>1019</v>
      </c>
      <c r="B890" s="1" t="s">
        <v>1020</v>
      </c>
      <c r="D890" s="1">
        <v>232570.0</v>
      </c>
    </row>
    <row r="891">
      <c r="A891" s="1" t="s">
        <v>1021</v>
      </c>
      <c r="B891" s="1" t="s">
        <v>311</v>
      </c>
      <c r="D891" s="1">
        <v>1100000.0</v>
      </c>
      <c r="E891" s="1" t="s">
        <v>1022</v>
      </c>
    </row>
    <row r="892">
      <c r="B892" s="1" t="s">
        <v>485</v>
      </c>
      <c r="D892" s="1">
        <v>188320.0</v>
      </c>
      <c r="E892" s="1" t="s">
        <v>1023</v>
      </c>
    </row>
    <row r="893">
      <c r="D893" s="1">
        <v>51790.0</v>
      </c>
      <c r="E893" s="1" t="s">
        <v>1024</v>
      </c>
    </row>
    <row r="894">
      <c r="A894" s="1" t="s">
        <v>1025</v>
      </c>
      <c r="B894" s="1" t="s">
        <v>966</v>
      </c>
      <c r="D894" s="1">
        <v>2663620.0</v>
      </c>
    </row>
    <row r="895">
      <c r="A895" s="1" t="s">
        <v>1026</v>
      </c>
      <c r="B895" s="1" t="s">
        <v>715</v>
      </c>
      <c r="D895" s="1">
        <v>115000.0</v>
      </c>
    </row>
    <row r="896">
      <c r="A896" s="1" t="s">
        <v>1027</v>
      </c>
      <c r="B896" s="1" t="s">
        <v>678</v>
      </c>
      <c r="D896" s="1">
        <v>1601073.0</v>
      </c>
    </row>
    <row r="897">
      <c r="A897" s="1" t="s">
        <v>1028</v>
      </c>
      <c r="B897" s="1" t="s">
        <v>221</v>
      </c>
      <c r="D897" s="1">
        <v>1602753.0</v>
      </c>
    </row>
    <row r="898">
      <c r="A898" s="1" t="s">
        <v>1029</v>
      </c>
      <c r="B898" s="1" t="s">
        <v>186</v>
      </c>
      <c r="D898" s="1">
        <v>1903290.0</v>
      </c>
    </row>
    <row r="899">
      <c r="B899" s="1" t="s">
        <v>187</v>
      </c>
      <c r="D899" s="1">
        <v>1877770.0</v>
      </c>
    </row>
    <row r="900">
      <c r="A900" s="1" t="s">
        <v>1030</v>
      </c>
      <c r="B900" s="1" t="s">
        <v>962</v>
      </c>
      <c r="D900" s="1">
        <v>1586543.0</v>
      </c>
    </row>
    <row r="901">
      <c r="A901" s="1" t="s">
        <v>1031</v>
      </c>
      <c r="B901" s="1" t="s">
        <v>1032</v>
      </c>
      <c r="D901" s="1">
        <v>70000.0</v>
      </c>
      <c r="E901" s="1" t="s">
        <v>1033</v>
      </c>
    </row>
    <row r="902">
      <c r="A902" s="1" t="s">
        <v>1034</v>
      </c>
      <c r="B902" s="1" t="s">
        <v>668</v>
      </c>
      <c r="D902" s="1">
        <v>311588.0</v>
      </c>
    </row>
    <row r="903">
      <c r="B903" s="1" t="s">
        <v>589</v>
      </c>
      <c r="D903" s="1">
        <v>132000.0</v>
      </c>
    </row>
    <row r="904">
      <c r="B904" s="1" t="s">
        <v>434</v>
      </c>
      <c r="D904" s="1">
        <v>250000.0</v>
      </c>
    </row>
    <row r="905">
      <c r="A905" s="1" t="s">
        <v>1035</v>
      </c>
      <c r="B905" s="1" t="s">
        <v>1020</v>
      </c>
      <c r="D905" s="1">
        <v>235380.0</v>
      </c>
    </row>
    <row r="906">
      <c r="B906" s="1" t="s">
        <v>1036</v>
      </c>
      <c r="D906" s="1">
        <v>62500.0</v>
      </c>
    </row>
    <row r="907">
      <c r="B907" s="1" t="s">
        <v>1037</v>
      </c>
      <c r="D907" s="1">
        <v>15000.0</v>
      </c>
    </row>
    <row r="908">
      <c r="A908" s="1" t="s">
        <v>1038</v>
      </c>
      <c r="B908" s="1" t="s">
        <v>1017</v>
      </c>
      <c r="D908" s="1">
        <v>8626110.0</v>
      </c>
      <c r="E908" s="1" t="s">
        <v>1039</v>
      </c>
    </row>
    <row r="909">
      <c r="A909" s="1" t="s">
        <v>1040</v>
      </c>
      <c r="B909" s="1" t="s">
        <v>1041</v>
      </c>
      <c r="D909" s="1">
        <v>100000.0</v>
      </c>
      <c r="E909" s="1" t="s">
        <v>1033</v>
      </c>
    </row>
    <row r="910">
      <c r="A910" s="1" t="s">
        <v>1042</v>
      </c>
      <c r="B910" s="1" t="s">
        <v>678</v>
      </c>
      <c r="D910" s="1">
        <v>1601073.0</v>
      </c>
    </row>
    <row r="911">
      <c r="A911" s="1" t="s">
        <v>1043</v>
      </c>
      <c r="B911" s="1" t="s">
        <v>221</v>
      </c>
      <c r="D911" s="1">
        <v>1602753.0</v>
      </c>
    </row>
    <row r="912">
      <c r="A912" s="1" t="s">
        <v>1044</v>
      </c>
      <c r="B912" s="1" t="s">
        <v>186</v>
      </c>
      <c r="D912" s="1">
        <v>2804020.0</v>
      </c>
    </row>
    <row r="913">
      <c r="B913" s="1" t="s">
        <v>187</v>
      </c>
      <c r="D913" s="1">
        <v>1877770.0</v>
      </c>
    </row>
    <row r="914">
      <c r="A914" s="1" t="s">
        <v>1045</v>
      </c>
      <c r="B914" s="1" t="s">
        <v>962</v>
      </c>
      <c r="D914" s="1">
        <v>1586543.0</v>
      </c>
    </row>
    <row r="915">
      <c r="A915" s="1" t="s">
        <v>1046</v>
      </c>
      <c r="B915" s="1" t="s">
        <v>966</v>
      </c>
      <c r="D915" s="1">
        <v>1980880.0</v>
      </c>
    </row>
    <row r="916">
      <c r="A916" s="1" t="s">
        <v>1047</v>
      </c>
      <c r="B916" s="1" t="s">
        <v>485</v>
      </c>
      <c r="D916" s="1">
        <v>62520.0</v>
      </c>
      <c r="E916" s="1" t="s">
        <v>957</v>
      </c>
    </row>
    <row r="917">
      <c r="B917" s="1" t="s">
        <v>945</v>
      </c>
      <c r="D917" s="1">
        <v>88000.0</v>
      </c>
      <c r="E917" s="1" t="s">
        <v>1048</v>
      </c>
    </row>
    <row r="918">
      <c r="A918" s="1" t="s">
        <v>1043</v>
      </c>
      <c r="B918" s="1" t="s">
        <v>1049</v>
      </c>
      <c r="D918" s="1">
        <v>103170.0</v>
      </c>
      <c r="E918" s="1" t="s">
        <v>216</v>
      </c>
    </row>
    <row r="919">
      <c r="A919" s="1" t="s">
        <v>1050</v>
      </c>
      <c r="B919" s="1" t="s">
        <v>1020</v>
      </c>
      <c r="D919" s="1">
        <v>234810.0</v>
      </c>
    </row>
    <row r="920">
      <c r="A920" s="1" t="s">
        <v>1045</v>
      </c>
      <c r="B920" s="1" t="s">
        <v>668</v>
      </c>
      <c r="D920" s="1">
        <v>217392.0</v>
      </c>
    </row>
    <row r="921">
      <c r="B921" s="1" t="s">
        <v>589</v>
      </c>
      <c r="D921" s="1">
        <v>132000.0</v>
      </c>
    </row>
    <row r="922">
      <c r="B922" s="1" t="s">
        <v>434</v>
      </c>
      <c r="D922" s="1">
        <v>250000.0</v>
      </c>
    </row>
    <row r="923">
      <c r="B923" s="1" t="s">
        <v>1017</v>
      </c>
      <c r="D923" s="1">
        <v>8443196.0</v>
      </c>
    </row>
    <row r="924">
      <c r="A924" s="1" t="s">
        <v>1051</v>
      </c>
      <c r="B924" s="1" t="s">
        <v>235</v>
      </c>
      <c r="D924" s="1">
        <v>1500000.0</v>
      </c>
      <c r="E924" s="1" t="s">
        <v>1052</v>
      </c>
    </row>
    <row r="925">
      <c r="B925" s="1" t="s">
        <v>784</v>
      </c>
      <c r="D925" s="1">
        <v>200000.0</v>
      </c>
    </row>
    <row r="926">
      <c r="B926" s="1" t="s">
        <v>485</v>
      </c>
      <c r="D926" s="1">
        <v>178510.0</v>
      </c>
      <c r="E926" s="1" t="s">
        <v>1053</v>
      </c>
    </row>
    <row r="927">
      <c r="A927" s="1" t="s">
        <v>1054</v>
      </c>
      <c r="B927" s="1" t="s">
        <v>1037</v>
      </c>
      <c r="D927" s="1">
        <v>15000.0</v>
      </c>
    </row>
    <row r="928">
      <c r="B928" s="1" t="s">
        <v>311</v>
      </c>
      <c r="D928" s="1">
        <v>1000000.0</v>
      </c>
      <c r="E928" s="1" t="s">
        <v>1022</v>
      </c>
    </row>
    <row r="929">
      <c r="A929" s="1" t="s">
        <v>1055</v>
      </c>
      <c r="B929" s="1" t="s">
        <v>966</v>
      </c>
      <c r="D929" s="1">
        <v>1981900.0</v>
      </c>
    </row>
    <row r="930">
      <c r="A930" s="1" t="s">
        <v>1056</v>
      </c>
      <c r="B930" s="1" t="s">
        <v>678</v>
      </c>
      <c r="D930" s="1">
        <v>1601073.0</v>
      </c>
    </row>
    <row r="931">
      <c r="A931" s="1" t="s">
        <v>1057</v>
      </c>
      <c r="B931" s="1" t="s">
        <v>221</v>
      </c>
      <c r="D931" s="1">
        <v>1602753.0</v>
      </c>
    </row>
    <row r="932">
      <c r="A932" s="1" t="s">
        <v>1058</v>
      </c>
      <c r="B932" s="1" t="s">
        <v>186</v>
      </c>
      <c r="D932" s="1">
        <v>1854020.0</v>
      </c>
    </row>
    <row r="933">
      <c r="B933" s="1" t="s">
        <v>187</v>
      </c>
      <c r="D933" s="1">
        <v>1877770.0</v>
      </c>
    </row>
    <row r="934">
      <c r="A934" s="1" t="s">
        <v>1059</v>
      </c>
      <c r="B934" s="1" t="s">
        <v>962</v>
      </c>
      <c r="D934" s="1">
        <v>1586543.0</v>
      </c>
    </row>
    <row r="935">
      <c r="A935" s="1" t="s">
        <v>1060</v>
      </c>
      <c r="B935" s="1" t="s">
        <v>1061</v>
      </c>
      <c r="D935" s="1">
        <v>150000.0</v>
      </c>
    </row>
    <row r="936">
      <c r="A936" s="1" t="s">
        <v>1062</v>
      </c>
      <c r="B936" s="1" t="s">
        <v>784</v>
      </c>
      <c r="D936" s="1">
        <v>200000.0</v>
      </c>
    </row>
    <row r="937">
      <c r="A937" s="1" t="s">
        <v>1063</v>
      </c>
      <c r="B937" s="1" t="s">
        <v>668</v>
      </c>
      <c r="D937" s="1">
        <v>190272.0</v>
      </c>
    </row>
    <row r="938">
      <c r="B938" s="1" t="s">
        <v>589</v>
      </c>
      <c r="D938" s="1">
        <v>132000.0</v>
      </c>
    </row>
    <row r="939">
      <c r="B939" s="1" t="s">
        <v>434</v>
      </c>
      <c r="D939" s="1">
        <v>250000.0</v>
      </c>
    </row>
    <row r="940">
      <c r="B940" s="1" t="s">
        <v>1017</v>
      </c>
      <c r="D940" s="1">
        <v>8317294.0</v>
      </c>
    </row>
    <row r="941">
      <c r="A941" s="1" t="s">
        <v>1064</v>
      </c>
      <c r="B941" s="1" t="s">
        <v>711</v>
      </c>
      <c r="D941" s="1">
        <v>225480.0</v>
      </c>
    </row>
    <row r="942">
      <c r="A942" s="1" t="s">
        <v>1065</v>
      </c>
      <c r="B942" s="1" t="s">
        <v>703</v>
      </c>
      <c r="D942" s="1">
        <v>730000.0</v>
      </c>
    </row>
    <row r="943">
      <c r="A943" s="1" t="s">
        <v>1066</v>
      </c>
      <c r="B943" s="1" t="s">
        <v>966</v>
      </c>
      <c r="D943" s="1">
        <v>1981900.0</v>
      </c>
      <c r="E943" s="1" t="s">
        <v>1067</v>
      </c>
    </row>
    <row r="944">
      <c r="A944" s="1" t="s">
        <v>1068</v>
      </c>
      <c r="B944" s="1" t="s">
        <v>678</v>
      </c>
      <c r="D944" s="1">
        <v>1601073.0</v>
      </c>
    </row>
    <row r="945">
      <c r="B945" s="1" t="s">
        <v>1069</v>
      </c>
      <c r="D945" s="1">
        <v>1684493.0</v>
      </c>
    </row>
    <row r="946">
      <c r="A946" s="1" t="s">
        <v>1070</v>
      </c>
      <c r="B946" s="1" t="s">
        <v>221</v>
      </c>
      <c r="D946" s="1">
        <v>1602753.0</v>
      </c>
    </row>
    <row r="947">
      <c r="A947" s="1" t="s">
        <v>1071</v>
      </c>
      <c r="B947" s="1" t="s">
        <v>186</v>
      </c>
      <c r="D947" s="1">
        <v>1854020.0</v>
      </c>
    </row>
    <row r="948">
      <c r="B948" s="1" t="s">
        <v>187</v>
      </c>
      <c r="D948" s="1">
        <v>1877770.0</v>
      </c>
    </row>
    <row r="949">
      <c r="A949" s="1" t="s">
        <v>1072</v>
      </c>
      <c r="B949" s="1" t="s">
        <v>962</v>
      </c>
      <c r="D949" s="1">
        <v>1586543.0</v>
      </c>
    </row>
    <row r="950">
      <c r="A950" s="1" t="s">
        <v>1073</v>
      </c>
      <c r="B950" s="1" t="s">
        <v>784</v>
      </c>
      <c r="D950" s="1">
        <v>300000.0</v>
      </c>
    </row>
    <row r="951">
      <c r="A951" s="1" t="s">
        <v>1074</v>
      </c>
      <c r="B951" s="1" t="s">
        <v>1075</v>
      </c>
      <c r="D951" s="1">
        <v>1.409321E7</v>
      </c>
      <c r="E951" s="1" t="s">
        <v>1076</v>
      </c>
    </row>
    <row r="952">
      <c r="B952" s="1" t="s">
        <v>1077</v>
      </c>
      <c r="D952" s="1">
        <v>15000.0</v>
      </c>
    </row>
    <row r="953">
      <c r="D953" s="1">
        <v>15000.0</v>
      </c>
    </row>
    <row r="954">
      <c r="B954" s="1" t="s">
        <v>1078</v>
      </c>
      <c r="D954" s="1">
        <v>225620.0</v>
      </c>
    </row>
    <row r="955">
      <c r="B955" s="1" t="s">
        <v>1079</v>
      </c>
      <c r="D955" s="1">
        <v>968000.0</v>
      </c>
      <c r="E955" s="1" t="s">
        <v>1080</v>
      </c>
    </row>
    <row r="956">
      <c r="A956" s="1" t="s">
        <v>1081</v>
      </c>
      <c r="B956" s="1" t="s">
        <v>668</v>
      </c>
      <c r="D956" s="1">
        <v>355952.0</v>
      </c>
    </row>
    <row r="957">
      <c r="B957" s="1" t="s">
        <v>589</v>
      </c>
      <c r="D957" s="1">
        <v>132000.0</v>
      </c>
    </row>
    <row r="958">
      <c r="B958" s="1" t="s">
        <v>434</v>
      </c>
      <c r="D958" s="1">
        <v>250000.0</v>
      </c>
    </row>
    <row r="959">
      <c r="B959" s="1" t="s">
        <v>1017</v>
      </c>
      <c r="D959" s="1">
        <v>8606071.0</v>
      </c>
    </row>
    <row r="960">
      <c r="A960" s="1" t="s">
        <v>1082</v>
      </c>
      <c r="B960" s="1" t="s">
        <v>678</v>
      </c>
      <c r="D960" s="1">
        <v>1601073.0</v>
      </c>
    </row>
    <row r="961">
      <c r="A961" s="1" t="s">
        <v>1083</v>
      </c>
      <c r="B961" s="1" t="s">
        <v>221</v>
      </c>
      <c r="D961" s="1">
        <v>1602753.0</v>
      </c>
    </row>
    <row r="962">
      <c r="A962" s="1" t="s">
        <v>1084</v>
      </c>
      <c r="B962" s="1" t="s">
        <v>186</v>
      </c>
      <c r="D962" s="1">
        <v>2804020.0</v>
      </c>
    </row>
    <row r="963">
      <c r="B963" s="1" t="s">
        <v>187</v>
      </c>
      <c r="D963" s="1">
        <v>1877770.0</v>
      </c>
    </row>
    <row r="964">
      <c r="A964" s="1" t="s">
        <v>1085</v>
      </c>
      <c r="B964" s="1" t="s">
        <v>962</v>
      </c>
      <c r="D964" s="1">
        <v>1586543.0</v>
      </c>
    </row>
    <row r="965">
      <c r="A965" s="1" t="s">
        <v>1086</v>
      </c>
      <c r="B965" s="1" t="s">
        <v>966</v>
      </c>
      <c r="D965" s="1">
        <v>1981900.0</v>
      </c>
      <c r="E965" s="1" t="s">
        <v>1067</v>
      </c>
    </row>
    <row r="966">
      <c r="A966" s="1" t="s">
        <v>1087</v>
      </c>
      <c r="B966" s="1" t="s">
        <v>281</v>
      </c>
      <c r="D966" s="1">
        <v>77000.0</v>
      </c>
      <c r="E966" s="1" t="s">
        <v>1088</v>
      </c>
    </row>
    <row r="967">
      <c r="D967" s="1">
        <v>198000.0</v>
      </c>
    </row>
    <row r="968">
      <c r="A968" s="1" t="s">
        <v>1084</v>
      </c>
      <c r="B968" s="1" t="s">
        <v>1089</v>
      </c>
      <c r="D968" s="1">
        <v>1844175.0</v>
      </c>
    </row>
    <row r="969">
      <c r="A969" s="1" t="s">
        <v>1090</v>
      </c>
      <c r="B969" s="1" t="s">
        <v>1091</v>
      </c>
      <c r="D969">
        <f>1657690-1601073</f>
        <v>56617</v>
      </c>
      <c r="E969" s="1" t="s">
        <v>1092</v>
      </c>
    </row>
    <row r="970">
      <c r="B970" s="1" t="s">
        <v>1093</v>
      </c>
      <c r="D970" s="1">
        <v>77000.0</v>
      </c>
      <c r="E970" s="1" t="s">
        <v>1094</v>
      </c>
    </row>
    <row r="971">
      <c r="B971" s="1" t="s">
        <v>485</v>
      </c>
      <c r="D971" s="1">
        <v>100000.0</v>
      </c>
    </row>
    <row r="972">
      <c r="A972" s="1" t="s">
        <v>1095</v>
      </c>
      <c r="B972" s="1" t="s">
        <v>784</v>
      </c>
      <c r="D972" s="1">
        <v>300000.0</v>
      </c>
    </row>
    <row r="973">
      <c r="B973" s="1" t="s">
        <v>1078</v>
      </c>
      <c r="D973" s="1">
        <v>223360.0</v>
      </c>
    </row>
    <row r="974">
      <c r="A974" s="1" t="s">
        <v>1085</v>
      </c>
      <c r="B974" s="1" t="s">
        <v>668</v>
      </c>
      <c r="D974" s="1">
        <v>116656.0</v>
      </c>
    </row>
    <row r="975">
      <c r="B975" s="1" t="s">
        <v>589</v>
      </c>
      <c r="D975" s="1">
        <v>132000.0</v>
      </c>
    </row>
    <row r="976">
      <c r="B976" s="1" t="s">
        <v>434</v>
      </c>
      <c r="D976" s="1">
        <v>250000.0</v>
      </c>
    </row>
    <row r="977">
      <c r="B977" s="1" t="s">
        <v>1017</v>
      </c>
      <c r="D977" s="1">
        <v>8187434.0</v>
      </c>
    </row>
    <row r="978">
      <c r="A978" s="1" t="s">
        <v>1096</v>
      </c>
      <c r="B978" s="1" t="s">
        <v>311</v>
      </c>
      <c r="D978" s="1">
        <v>600000.0</v>
      </c>
      <c r="E978" s="1" t="s">
        <v>1022</v>
      </c>
    </row>
    <row r="979">
      <c r="A979" s="1" t="s">
        <v>1097</v>
      </c>
      <c r="B979" s="1" t="s">
        <v>966</v>
      </c>
      <c r="D979" s="1">
        <v>7845800.0</v>
      </c>
      <c r="E979" s="1" t="s">
        <v>1067</v>
      </c>
    </row>
    <row r="980">
      <c r="A980" s="1" t="s">
        <v>1098</v>
      </c>
      <c r="B980" s="1" t="s">
        <v>678</v>
      </c>
      <c r="D980" s="1">
        <v>1657690.0</v>
      </c>
    </row>
    <row r="981">
      <c r="A981" s="1" t="s">
        <v>1099</v>
      </c>
      <c r="B981" s="1" t="s">
        <v>221</v>
      </c>
      <c r="D981" s="1">
        <v>1602753.0</v>
      </c>
    </row>
    <row r="982">
      <c r="A982" s="1" t="s">
        <v>1100</v>
      </c>
      <c r="B982" s="1" t="s">
        <v>187</v>
      </c>
      <c r="D982" s="1">
        <v>1877770.0</v>
      </c>
    </row>
    <row r="983">
      <c r="A983" s="1" t="s">
        <v>1101</v>
      </c>
      <c r="B983" s="1" t="s">
        <v>962</v>
      </c>
      <c r="D983" s="1">
        <v>1586543.0</v>
      </c>
    </row>
    <row r="984">
      <c r="A984" s="1" t="s">
        <v>1102</v>
      </c>
      <c r="B984" s="1" t="s">
        <v>1103</v>
      </c>
      <c r="D984" s="1">
        <v>200000.0</v>
      </c>
    </row>
    <row r="985">
      <c r="A985" s="1" t="s">
        <v>1104</v>
      </c>
      <c r="B985" s="1" t="s">
        <v>668</v>
      </c>
      <c r="D985" s="1">
        <v>126308.0</v>
      </c>
    </row>
    <row r="986">
      <c r="B986" s="1" t="s">
        <v>589</v>
      </c>
      <c r="D986" s="1">
        <v>132000.0</v>
      </c>
    </row>
    <row r="987">
      <c r="B987" s="1" t="s">
        <v>434</v>
      </c>
      <c r="D987" s="1">
        <v>250000.0</v>
      </c>
    </row>
    <row r="988">
      <c r="B988" s="1" t="s">
        <v>1017</v>
      </c>
      <c r="D988" s="1">
        <v>8351504.0</v>
      </c>
    </row>
    <row r="989">
      <c r="A989" s="1" t="s">
        <v>1105</v>
      </c>
      <c r="B989" s="1" t="s">
        <v>784</v>
      </c>
      <c r="D989" s="1">
        <v>300000.0</v>
      </c>
    </row>
    <row r="990">
      <c r="A990" s="1" t="s">
        <v>1106</v>
      </c>
      <c r="B990" s="1" t="s">
        <v>1107</v>
      </c>
      <c r="D990" s="1">
        <v>18000.0</v>
      </c>
      <c r="E990" s="1" t="s">
        <v>216</v>
      </c>
    </row>
    <row r="991">
      <c r="B991" s="1" t="s">
        <v>1078</v>
      </c>
      <c r="D991" s="1">
        <v>229730.0</v>
      </c>
    </row>
    <row r="992">
      <c r="B992" s="1" t="s">
        <v>1077</v>
      </c>
      <c r="D992" s="1">
        <v>15000.0</v>
      </c>
    </row>
    <row r="993">
      <c r="A993" s="1" t="s">
        <v>1108</v>
      </c>
      <c r="B993" s="1" t="s">
        <v>1103</v>
      </c>
      <c r="D993" s="1">
        <v>150000.0</v>
      </c>
    </row>
    <row r="994">
      <c r="A994" s="1" t="s">
        <v>1104</v>
      </c>
      <c r="B994" s="1" t="s">
        <v>311</v>
      </c>
      <c r="D994" s="1">
        <v>400000.0</v>
      </c>
      <c r="E994" s="1" t="s">
        <v>1022</v>
      </c>
    </row>
    <row r="995">
      <c r="A995" s="1" t="s">
        <v>1109</v>
      </c>
      <c r="B995" s="1" t="s">
        <v>678</v>
      </c>
      <c r="D995" s="1">
        <v>1637320.0</v>
      </c>
    </row>
    <row r="996">
      <c r="A996" s="1" t="s">
        <v>1110</v>
      </c>
      <c r="B996" s="1" t="s">
        <v>221</v>
      </c>
      <c r="D996" s="1">
        <v>1585130.0</v>
      </c>
    </row>
    <row r="997">
      <c r="A997" s="1" t="s">
        <v>1111</v>
      </c>
      <c r="B997" s="1" t="s">
        <v>187</v>
      </c>
      <c r="D997" s="1">
        <v>1867740.0</v>
      </c>
    </row>
    <row r="998">
      <c r="A998" s="1" t="s">
        <v>1112</v>
      </c>
      <c r="B998" s="1" t="s">
        <v>962</v>
      </c>
      <c r="D998" s="1">
        <v>1585130.0</v>
      </c>
    </row>
    <row r="999">
      <c r="A999" s="1" t="s">
        <v>1113</v>
      </c>
      <c r="B999" s="1" t="s">
        <v>966</v>
      </c>
      <c r="D999" s="1">
        <v>2363030.0</v>
      </c>
      <c r="E999" s="1" t="s">
        <v>1067</v>
      </c>
    </row>
    <row r="1000">
      <c r="A1000" s="1" t="s">
        <v>1114</v>
      </c>
      <c r="B1000" s="1" t="s">
        <v>1103</v>
      </c>
      <c r="D1000" s="1">
        <v>150000.0</v>
      </c>
    </row>
    <row r="1001">
      <c r="A1001" s="1" t="s">
        <v>1110</v>
      </c>
      <c r="B1001" s="1" t="s">
        <v>1115</v>
      </c>
      <c r="D1001" s="1">
        <v>1747784.0</v>
      </c>
    </row>
    <row r="1002">
      <c r="A1002" s="1" t="s">
        <v>1111</v>
      </c>
      <c r="B1002" s="1" t="s">
        <v>1116</v>
      </c>
      <c r="D1002" s="1">
        <v>2062926.0</v>
      </c>
    </row>
    <row r="1003">
      <c r="A1003" s="1" t="s">
        <v>1117</v>
      </c>
      <c r="B1003" s="1" t="s">
        <v>784</v>
      </c>
      <c r="D1003" s="1">
        <v>300000.0</v>
      </c>
    </row>
    <row r="1004">
      <c r="A1004" s="1" t="s">
        <v>1112</v>
      </c>
      <c r="B1004" s="1" t="s">
        <v>668</v>
      </c>
      <c r="D1004" s="1">
        <v>278516.0</v>
      </c>
    </row>
    <row r="1005">
      <c r="B1005" s="1" t="s">
        <v>589</v>
      </c>
      <c r="D1005" s="1">
        <v>132000.0</v>
      </c>
    </row>
    <row r="1006">
      <c r="B1006" s="1" t="s">
        <v>434</v>
      </c>
      <c r="D1006" s="1">
        <v>250000.0</v>
      </c>
    </row>
    <row r="1007">
      <c r="B1007" s="1" t="s">
        <v>1017</v>
      </c>
      <c r="D1007" s="1">
        <v>8906240.0</v>
      </c>
    </row>
    <row r="1008">
      <c r="A1008" s="1" t="s">
        <v>1118</v>
      </c>
      <c r="B1008" s="1" t="s">
        <v>1078</v>
      </c>
      <c r="D1008" s="1">
        <v>224360.0</v>
      </c>
    </row>
    <row r="1009">
      <c r="B1009" s="1" t="s">
        <v>1077</v>
      </c>
      <c r="D1009" s="1">
        <v>15000.0</v>
      </c>
    </row>
    <row r="1010">
      <c r="B1010" s="1" t="s">
        <v>1119</v>
      </c>
      <c r="D1010" s="1">
        <v>522400.0</v>
      </c>
    </row>
    <row r="1011">
      <c r="A1011" s="1" t="s">
        <v>1120</v>
      </c>
      <c r="B1011" s="1" t="s">
        <v>1103</v>
      </c>
      <c r="D1011" s="1">
        <v>150000.0</v>
      </c>
    </row>
    <row r="1012">
      <c r="A1012" s="1" t="s">
        <v>1121</v>
      </c>
      <c r="B1012" s="1" t="s">
        <v>186</v>
      </c>
      <c r="D1012" s="1">
        <v>100000.0</v>
      </c>
    </row>
    <row r="1013">
      <c r="A1013" s="1" t="s">
        <v>1122</v>
      </c>
      <c r="B1013" s="1" t="s">
        <v>678</v>
      </c>
      <c r="D1013" s="1">
        <v>1843080.0</v>
      </c>
      <c r="E1013" s="1" t="s">
        <v>1123</v>
      </c>
    </row>
    <row r="1014">
      <c r="A1014" s="1" t="s">
        <v>1124</v>
      </c>
      <c r="B1014" s="1" t="s">
        <v>221</v>
      </c>
      <c r="D1014" s="1">
        <v>1935040.0</v>
      </c>
      <c r="E1014" s="1" t="s">
        <v>1125</v>
      </c>
    </row>
    <row r="1015">
      <c r="A1015" s="1" t="s">
        <v>1126</v>
      </c>
      <c r="B1015" s="1" t="s">
        <v>187</v>
      </c>
      <c r="D1015" s="1">
        <v>2145510.0</v>
      </c>
      <c r="E1015" s="1" t="s">
        <v>1127</v>
      </c>
    </row>
    <row r="1016">
      <c r="A1016" s="1" t="s">
        <v>1128</v>
      </c>
      <c r="B1016" s="1" t="s">
        <v>962</v>
      </c>
      <c r="D1016" s="1">
        <v>1668580.0</v>
      </c>
      <c r="E1016" s="1" t="s">
        <v>1129</v>
      </c>
    </row>
    <row r="1017">
      <c r="A1017" s="1" t="s">
        <v>1130</v>
      </c>
      <c r="B1017" s="1" t="s">
        <v>966</v>
      </c>
      <c r="D1017" s="1">
        <v>2316470.0</v>
      </c>
      <c r="E1017" s="1" t="s">
        <v>1067</v>
      </c>
    </row>
    <row r="1018">
      <c r="A1018" s="1" t="s">
        <v>1122</v>
      </c>
      <c r="B1018" s="1" t="s">
        <v>235</v>
      </c>
      <c r="D1018" s="1">
        <v>800000.0</v>
      </c>
      <c r="E1018" s="1" t="s">
        <v>1131</v>
      </c>
    </row>
    <row r="1019">
      <c r="A1019" s="1" t="s">
        <v>1126</v>
      </c>
      <c r="B1019" s="1" t="s">
        <v>1078</v>
      </c>
      <c r="D1019" s="1">
        <v>224990.0</v>
      </c>
    </row>
    <row r="1020">
      <c r="A1020" s="1" t="s">
        <v>1128</v>
      </c>
      <c r="B1020" s="1" t="s">
        <v>668</v>
      </c>
      <c r="D1020" s="1">
        <v>137528.0</v>
      </c>
    </row>
    <row r="1021">
      <c r="B1021" s="1" t="s">
        <v>589</v>
      </c>
      <c r="D1021" s="1">
        <v>132000.0</v>
      </c>
    </row>
    <row r="1022">
      <c r="B1022" s="1" t="s">
        <v>434</v>
      </c>
      <c r="D1022" s="1">
        <v>250000.0</v>
      </c>
    </row>
    <row r="1023">
      <c r="B1023" s="1" t="s">
        <v>1017</v>
      </c>
      <c r="D1023" s="1">
        <v>8849942.0</v>
      </c>
    </row>
    <row r="1024">
      <c r="A1024" s="1" t="s">
        <v>1132</v>
      </c>
      <c r="B1024" s="1" t="s">
        <v>1077</v>
      </c>
      <c r="D1024" s="1">
        <v>15000.0</v>
      </c>
    </row>
    <row r="1025">
      <c r="A1025" s="1" t="s">
        <v>1133</v>
      </c>
      <c r="B1025" s="1" t="s">
        <v>755</v>
      </c>
      <c r="D1025" s="1">
        <v>30000.0</v>
      </c>
    </row>
    <row r="1026">
      <c r="B1026" s="1" t="s">
        <v>1134</v>
      </c>
      <c r="D1026" s="1">
        <v>30000.0</v>
      </c>
    </row>
    <row r="1027">
      <c r="A1027" s="1" t="s">
        <v>1135</v>
      </c>
      <c r="B1027" s="1" t="s">
        <v>784</v>
      </c>
      <c r="D1027" s="1">
        <v>281000.0</v>
      </c>
    </row>
    <row r="1028">
      <c r="A1028" s="1" t="s">
        <v>1136</v>
      </c>
      <c r="B1028" s="1" t="s">
        <v>1103</v>
      </c>
      <c r="D1028" s="1">
        <v>150000.0</v>
      </c>
    </row>
    <row r="1029">
      <c r="A1029" s="1" t="s">
        <v>1137</v>
      </c>
      <c r="B1029" s="1" t="s">
        <v>966</v>
      </c>
      <c r="D1029" s="1">
        <v>2444390.0</v>
      </c>
      <c r="E1029" s="1" t="s">
        <v>1067</v>
      </c>
    </row>
    <row r="1030">
      <c r="A1030" s="1" t="s">
        <v>1138</v>
      </c>
      <c r="B1030" s="1" t="s">
        <v>1139</v>
      </c>
      <c r="D1030" s="1">
        <v>1091300.0</v>
      </c>
    </row>
    <row r="1031">
      <c r="A1031" s="1" t="s">
        <v>1140</v>
      </c>
      <c r="B1031" s="1" t="s">
        <v>678</v>
      </c>
      <c r="D1031" s="1">
        <v>1777300.0</v>
      </c>
    </row>
    <row r="1032">
      <c r="A1032" s="1" t="s">
        <v>1141</v>
      </c>
      <c r="B1032" s="1" t="s">
        <v>221</v>
      </c>
      <c r="D1032" s="1">
        <v>1768600.0</v>
      </c>
    </row>
    <row r="1033">
      <c r="A1033" s="1" t="s">
        <v>1142</v>
      </c>
      <c r="B1033" s="1" t="s">
        <v>187</v>
      </c>
      <c r="D1033" s="1">
        <v>1954630.0</v>
      </c>
    </row>
    <row r="1034">
      <c r="A1034" s="1" t="s">
        <v>1143</v>
      </c>
      <c r="B1034" s="1" t="s">
        <v>962</v>
      </c>
      <c r="D1034" s="1">
        <v>1585680.0</v>
      </c>
    </row>
    <row r="1035">
      <c r="A1035" s="1" t="s">
        <v>1144</v>
      </c>
      <c r="B1035" s="1" t="s">
        <v>311</v>
      </c>
      <c r="D1035" s="1">
        <v>300000.0</v>
      </c>
    </row>
    <row r="1036">
      <c r="A1036" s="1" t="s">
        <v>1145</v>
      </c>
      <c r="B1036" s="1" t="s">
        <v>1078</v>
      </c>
      <c r="D1036" s="1">
        <v>225080.0</v>
      </c>
    </row>
    <row r="1037">
      <c r="A1037" s="1" t="s">
        <v>1146</v>
      </c>
      <c r="B1037" s="1" t="s">
        <v>668</v>
      </c>
      <c r="D1037" s="1">
        <v>135132.0</v>
      </c>
    </row>
    <row r="1038">
      <c r="B1038" s="1" t="s">
        <v>589</v>
      </c>
      <c r="D1038" s="1">
        <v>132000.0</v>
      </c>
    </row>
    <row r="1039">
      <c r="B1039" s="1" t="s">
        <v>434</v>
      </c>
      <c r="D1039" s="1">
        <v>250000.0</v>
      </c>
    </row>
    <row r="1040">
      <c r="B1040" s="1" t="s">
        <v>1017</v>
      </c>
      <c r="D1040" s="1">
        <v>9012981.0</v>
      </c>
    </row>
    <row r="1041">
      <c r="A1041" s="1" t="s">
        <v>1147</v>
      </c>
      <c r="B1041" s="1" t="s">
        <v>1103</v>
      </c>
      <c r="D1041" s="1">
        <v>150000.0</v>
      </c>
    </row>
    <row r="1042">
      <c r="A1042" s="1" t="s">
        <v>1148</v>
      </c>
      <c r="B1042" s="1" t="s">
        <v>311</v>
      </c>
      <c r="D1042" s="1">
        <v>250000.0</v>
      </c>
    </row>
    <row r="1043">
      <c r="A1043" s="1" t="s">
        <v>1149</v>
      </c>
      <c r="B1043" s="1" t="s">
        <v>1103</v>
      </c>
      <c r="D1043" s="1">
        <v>100000.0</v>
      </c>
    </row>
    <row r="1044">
      <c r="A1044" s="1" t="s">
        <v>1150</v>
      </c>
      <c r="B1044" s="1" t="s">
        <v>966</v>
      </c>
      <c r="D1044" s="1">
        <v>2568050.0</v>
      </c>
      <c r="E1044" s="1" t="s">
        <v>1067</v>
      </c>
    </row>
    <row r="1045">
      <c r="A1045" s="1" t="s">
        <v>1151</v>
      </c>
      <c r="B1045" s="1" t="s">
        <v>678</v>
      </c>
      <c r="D1045" s="1">
        <v>1777300.0</v>
      </c>
    </row>
    <row r="1046">
      <c r="A1046" s="1" t="s">
        <v>1152</v>
      </c>
      <c r="B1046" s="1" t="s">
        <v>1153</v>
      </c>
      <c r="D1046" s="1">
        <v>1051140.0</v>
      </c>
    </row>
    <row r="1047">
      <c r="A1047" s="1" t="s">
        <v>1154</v>
      </c>
      <c r="B1047" s="1" t="s">
        <v>221</v>
      </c>
      <c r="D1047" s="1">
        <v>1768600.0</v>
      </c>
    </row>
    <row r="1048">
      <c r="A1048" s="1" t="s">
        <v>1155</v>
      </c>
      <c r="B1048" s="1" t="s">
        <v>187</v>
      </c>
      <c r="D1048" s="1">
        <v>1954630.0</v>
      </c>
    </row>
    <row r="1049">
      <c r="A1049" s="1" t="s">
        <v>1156</v>
      </c>
      <c r="B1049" s="1" t="s">
        <v>962</v>
      </c>
      <c r="D1049" s="1">
        <v>1585680.0</v>
      </c>
    </row>
    <row r="1050">
      <c r="A1050" s="1" t="s">
        <v>1157</v>
      </c>
      <c r="B1050" s="1" t="s">
        <v>1093</v>
      </c>
      <c r="D1050" s="1">
        <v>77000.0</v>
      </c>
      <c r="E1050" s="1" t="s">
        <v>1094</v>
      </c>
    </row>
    <row r="1051">
      <c r="A1051" s="1" t="s">
        <v>1158</v>
      </c>
      <c r="B1051" s="1" t="s">
        <v>1159</v>
      </c>
      <c r="D1051" s="1">
        <v>152800.0</v>
      </c>
    </row>
    <row r="1052">
      <c r="A1052" s="1" t="s">
        <v>1160</v>
      </c>
      <c r="B1052" s="1" t="s">
        <v>1078</v>
      </c>
      <c r="D1052" s="1">
        <v>213430.0</v>
      </c>
    </row>
    <row r="1053">
      <c r="B1053" s="1" t="s">
        <v>869</v>
      </c>
      <c r="D1053" s="1">
        <v>15000.0</v>
      </c>
    </row>
    <row r="1054">
      <c r="A1054" s="1" t="s">
        <v>1161</v>
      </c>
      <c r="B1054" s="1" t="s">
        <v>668</v>
      </c>
      <c r="D1054" s="1">
        <v>228468.0</v>
      </c>
    </row>
    <row r="1055">
      <c r="B1055" s="1" t="s">
        <v>589</v>
      </c>
      <c r="D1055" s="1">
        <v>132000.0</v>
      </c>
    </row>
    <row r="1056">
      <c r="B1056" s="1" t="s">
        <v>434</v>
      </c>
      <c r="D1056" s="1">
        <v>250000.0</v>
      </c>
    </row>
    <row r="1057">
      <c r="B1057" s="1" t="s">
        <v>1017</v>
      </c>
      <c r="D1057" s="1">
        <v>8891332.0</v>
      </c>
    </row>
    <row r="1058">
      <c r="A1058" s="1" t="s">
        <v>1162</v>
      </c>
      <c r="B1058" s="1" t="s">
        <v>311</v>
      </c>
      <c r="D1058" s="1">
        <v>200000.0</v>
      </c>
    </row>
    <row r="1059">
      <c r="A1059" s="1" t="s">
        <v>1161</v>
      </c>
      <c r="B1059" s="1" t="s">
        <v>235</v>
      </c>
      <c r="D1059" s="1">
        <v>300000.0</v>
      </c>
      <c r="E1059" s="1" t="s">
        <v>1163</v>
      </c>
    </row>
    <row r="1060">
      <c r="B1060" s="1" t="s">
        <v>1164</v>
      </c>
      <c r="D1060" s="1">
        <v>1542200.0</v>
      </c>
    </row>
    <row r="1061">
      <c r="B1061" s="1" t="s">
        <v>1165</v>
      </c>
      <c r="D1061" s="1">
        <v>1965660.0</v>
      </c>
    </row>
    <row r="1062">
      <c r="A1062" s="1" t="s">
        <v>1166</v>
      </c>
      <c r="B1062" s="1" t="s">
        <v>710</v>
      </c>
      <c r="D1062" s="1">
        <v>5561550.0</v>
      </c>
    </row>
    <row r="1063">
      <c r="A1063" s="1" t="s">
        <v>1167</v>
      </c>
      <c r="B1063" s="1" t="s">
        <v>1168</v>
      </c>
      <c r="D1063" s="1">
        <v>3784145.0</v>
      </c>
      <c r="E1063" s="1" t="s">
        <v>1169</v>
      </c>
    </row>
    <row r="1064">
      <c r="A1064" s="1" t="s">
        <v>1170</v>
      </c>
      <c r="B1064" s="1" t="s">
        <v>966</v>
      </c>
      <c r="D1064" s="1">
        <v>2335130.0</v>
      </c>
      <c r="E1064" s="1" t="s">
        <v>1067</v>
      </c>
    </row>
    <row r="1065">
      <c r="A1065" s="1" t="s">
        <v>1171</v>
      </c>
      <c r="B1065" s="1" t="s">
        <v>678</v>
      </c>
      <c r="D1065" s="1">
        <v>1777300.0</v>
      </c>
    </row>
    <row r="1066">
      <c r="A1066" s="1" t="s">
        <v>1172</v>
      </c>
      <c r="B1066" s="1" t="s">
        <v>1153</v>
      </c>
      <c r="D1066" s="1">
        <v>1287170.0</v>
      </c>
    </row>
    <row r="1067">
      <c r="A1067" s="1" t="s">
        <v>1173</v>
      </c>
      <c r="B1067" s="1" t="s">
        <v>221</v>
      </c>
      <c r="D1067" s="1">
        <v>1768600.0</v>
      </c>
    </row>
    <row r="1068">
      <c r="A1068" s="1" t="s">
        <v>1174</v>
      </c>
      <c r="B1068" s="1" t="s">
        <v>187</v>
      </c>
      <c r="D1068" s="1">
        <v>1954630.0</v>
      </c>
    </row>
    <row r="1069">
      <c r="A1069" s="1" t="s">
        <v>1175</v>
      </c>
      <c r="B1069" s="1" t="s">
        <v>962</v>
      </c>
      <c r="D1069" s="1">
        <v>1640507.0</v>
      </c>
    </row>
    <row r="1070">
      <c r="A1070" s="1" t="s">
        <v>1176</v>
      </c>
      <c r="B1070" s="1" t="s">
        <v>1078</v>
      </c>
      <c r="D1070" s="1">
        <v>217840.0</v>
      </c>
    </row>
    <row r="1071">
      <c r="B1071" s="1" t="s">
        <v>869</v>
      </c>
      <c r="D1071" s="1">
        <v>15000.0</v>
      </c>
    </row>
    <row r="1072">
      <c r="A1072" s="1" t="s">
        <v>1177</v>
      </c>
      <c r="B1072" s="1" t="s">
        <v>311</v>
      </c>
      <c r="D1072" s="1">
        <v>300000.0</v>
      </c>
    </row>
    <row r="1073">
      <c r="A1073" s="1" t="s">
        <v>1175</v>
      </c>
      <c r="B1073" s="1" t="s">
        <v>668</v>
      </c>
      <c r="D1073" s="1">
        <v>244940.0</v>
      </c>
    </row>
    <row r="1074">
      <c r="B1074" s="1" t="s">
        <v>589</v>
      </c>
      <c r="D1074" s="1">
        <v>132000.0</v>
      </c>
    </row>
    <row r="1075">
      <c r="B1075" s="1" t="s">
        <v>434</v>
      </c>
      <c r="D1075" s="1">
        <v>250000.0</v>
      </c>
    </row>
    <row r="1076">
      <c r="A1076" s="1" t="s">
        <v>1178</v>
      </c>
      <c r="B1076" s="1" t="s">
        <v>1017</v>
      </c>
      <c r="D1076" s="1">
        <v>8811260.0</v>
      </c>
    </row>
    <row r="1077">
      <c r="A1077" s="1" t="s">
        <v>1179</v>
      </c>
      <c r="B1077" s="1" t="s">
        <v>966</v>
      </c>
      <c r="D1077" s="1">
        <v>2799260.0</v>
      </c>
      <c r="E1077" s="1" t="s">
        <v>1067</v>
      </c>
    </row>
    <row r="1078">
      <c r="B1078" s="1" t="s">
        <v>1180</v>
      </c>
      <c r="D1078" s="1">
        <v>540000.0</v>
      </c>
      <c r="E1078" s="1" t="s">
        <v>1181</v>
      </c>
    </row>
    <row r="1079">
      <c r="A1079" s="1" t="s">
        <v>1182</v>
      </c>
      <c r="B1079" s="1" t="s">
        <v>1183</v>
      </c>
      <c r="D1079" s="1">
        <v>156200.0</v>
      </c>
    </row>
    <row r="1080">
      <c r="A1080" s="1" t="s">
        <v>1184</v>
      </c>
      <c r="B1080" s="1" t="s">
        <v>678</v>
      </c>
      <c r="D1080" s="1">
        <v>1777300.0</v>
      </c>
    </row>
    <row r="1081">
      <c r="A1081" s="1" t="s">
        <v>1185</v>
      </c>
      <c r="B1081" s="1" t="s">
        <v>1153</v>
      </c>
      <c r="D1081" s="1">
        <v>1287170.0</v>
      </c>
    </row>
    <row r="1082">
      <c r="A1082" s="1" t="s">
        <v>1186</v>
      </c>
      <c r="B1082" s="1" t="s">
        <v>221</v>
      </c>
      <c r="D1082" s="1">
        <v>1768600.0</v>
      </c>
    </row>
    <row r="1083">
      <c r="A1083" s="1" t="s">
        <v>1187</v>
      </c>
      <c r="B1083" s="1" t="s">
        <v>187</v>
      </c>
      <c r="D1083" s="1">
        <v>1954630.0</v>
      </c>
    </row>
    <row r="1084">
      <c r="A1084" s="1" t="s">
        <v>1188</v>
      </c>
      <c r="B1084" s="1" t="s">
        <v>962</v>
      </c>
      <c r="D1084" s="1">
        <v>1640507.0</v>
      </c>
    </row>
    <row r="1085">
      <c r="A1085" s="1" t="s">
        <v>1189</v>
      </c>
      <c r="B1085" s="1" t="s">
        <v>668</v>
      </c>
      <c r="D1085" s="1">
        <v>375220.0</v>
      </c>
    </row>
    <row r="1086">
      <c r="B1086" s="1" t="s">
        <v>589</v>
      </c>
      <c r="D1086" s="1">
        <v>132000.0</v>
      </c>
    </row>
    <row r="1087">
      <c r="B1087" s="1" t="s">
        <v>434</v>
      </c>
      <c r="D1087" s="1">
        <v>250000.0</v>
      </c>
    </row>
    <row r="1088">
      <c r="B1088" s="1" t="s">
        <v>1017</v>
      </c>
      <c r="D1088" s="1">
        <v>8841692.0</v>
      </c>
    </row>
    <row r="1089">
      <c r="A1089" s="1" t="s">
        <v>1190</v>
      </c>
      <c r="B1089" s="1" t="s">
        <v>1078</v>
      </c>
      <c r="D1089" s="1">
        <v>214150.0</v>
      </c>
    </row>
    <row r="1090">
      <c r="B1090" s="1" t="s">
        <v>869</v>
      </c>
      <c r="D1090" s="1">
        <v>15000.0</v>
      </c>
    </row>
    <row r="1091">
      <c r="A1091" s="1" t="s">
        <v>1191</v>
      </c>
      <c r="B1091" s="1" t="s">
        <v>966</v>
      </c>
      <c r="D1091" s="1">
        <v>3448860.0</v>
      </c>
      <c r="E1091" s="1" t="s">
        <v>1067</v>
      </c>
    </row>
    <row r="1092">
      <c r="A1092" s="1" t="s">
        <v>1192</v>
      </c>
      <c r="B1092" s="1" t="s">
        <v>1193</v>
      </c>
      <c r="D1092" s="1">
        <v>250000.0</v>
      </c>
      <c r="E1092" s="1" t="s">
        <v>1194</v>
      </c>
    </row>
    <row r="1093">
      <c r="A1093" s="1" t="s">
        <v>1195</v>
      </c>
      <c r="B1093" s="1" t="s">
        <v>1196</v>
      </c>
      <c r="D1093" s="1">
        <v>168500.0</v>
      </c>
      <c r="E1093" s="1" t="s">
        <v>1197</v>
      </c>
    </row>
    <row r="1094">
      <c r="A1094" s="1" t="s">
        <v>1198</v>
      </c>
      <c r="B1094" s="1" t="s">
        <v>678</v>
      </c>
      <c r="D1094" s="1">
        <v>1777300.0</v>
      </c>
    </row>
    <row r="1095">
      <c r="A1095" s="1" t="s">
        <v>1199</v>
      </c>
      <c r="B1095" s="1" t="s">
        <v>1153</v>
      </c>
      <c r="D1095" s="1">
        <v>1287170.0</v>
      </c>
    </row>
    <row r="1096">
      <c r="A1096" s="1" t="s">
        <v>1200</v>
      </c>
      <c r="B1096" s="1" t="s">
        <v>221</v>
      </c>
      <c r="D1096" s="1">
        <v>1768600.0</v>
      </c>
    </row>
    <row r="1097">
      <c r="A1097" s="1" t="s">
        <v>1201</v>
      </c>
      <c r="B1097" s="1" t="s">
        <v>187</v>
      </c>
      <c r="D1097" s="1">
        <v>1954630.0</v>
      </c>
    </row>
    <row r="1098">
      <c r="A1098" s="1" t="s">
        <v>1202</v>
      </c>
      <c r="B1098" s="1" t="s">
        <v>962</v>
      </c>
      <c r="D1098" s="1">
        <v>1640507.0</v>
      </c>
    </row>
    <row r="1099">
      <c r="B1099" s="1" t="s">
        <v>668</v>
      </c>
      <c r="D1099" s="1">
        <v>196772.0</v>
      </c>
    </row>
    <row r="1100">
      <c r="B1100" s="1" t="s">
        <v>589</v>
      </c>
      <c r="D1100" s="1">
        <v>132000.0</v>
      </c>
    </row>
    <row r="1101">
      <c r="B1101" s="1" t="s">
        <v>434</v>
      </c>
      <c r="D1101" s="1">
        <v>250000.0</v>
      </c>
    </row>
    <row r="1102">
      <c r="B1102" s="1" t="s">
        <v>1017</v>
      </c>
      <c r="D1102" s="1">
        <v>8881922.0</v>
      </c>
    </row>
    <row r="1103">
      <c r="B1103" s="1" t="s">
        <v>235</v>
      </c>
      <c r="D1103" s="1">
        <v>300000.0</v>
      </c>
    </row>
    <row r="1104">
      <c r="A1104" s="1" t="s">
        <v>1201</v>
      </c>
      <c r="B1104" s="1" t="s">
        <v>1078</v>
      </c>
      <c r="D1104" s="1">
        <v>218660.0</v>
      </c>
    </row>
    <row r="1105">
      <c r="B1105" s="1" t="s">
        <v>869</v>
      </c>
      <c r="D1105" s="1">
        <v>15000.0</v>
      </c>
    </row>
    <row r="1106">
      <c r="A1106" s="1" t="s">
        <v>1202</v>
      </c>
      <c r="B1106" s="1" t="s">
        <v>1203</v>
      </c>
      <c r="D1106" s="1">
        <v>297000.0</v>
      </c>
      <c r="E1106" s="1" t="s">
        <v>1204</v>
      </c>
    </row>
    <row r="1107">
      <c r="A1107" s="1" t="s">
        <v>1205</v>
      </c>
      <c r="B1107" s="1" t="s">
        <v>678</v>
      </c>
      <c r="D1107" s="1">
        <v>1777300.0</v>
      </c>
    </row>
    <row r="1108">
      <c r="A1108" s="1" t="s">
        <v>1205</v>
      </c>
      <c r="B1108" s="1" t="s">
        <v>1153</v>
      </c>
      <c r="D1108" s="1">
        <v>1287170.0</v>
      </c>
    </row>
    <row r="1109">
      <c r="A1109" s="1" t="s">
        <v>1206</v>
      </c>
      <c r="B1109" s="1" t="s">
        <v>221</v>
      </c>
      <c r="D1109" s="1">
        <v>1768600.0</v>
      </c>
    </row>
    <row r="1110">
      <c r="A1110" s="1" t="s">
        <v>1207</v>
      </c>
      <c r="B1110" s="1" t="s">
        <v>187</v>
      </c>
      <c r="D1110" s="1">
        <v>1954630.0</v>
      </c>
    </row>
    <row r="1111">
      <c r="A1111" s="1" t="s">
        <v>1208</v>
      </c>
      <c r="B1111" s="1" t="s">
        <v>962</v>
      </c>
      <c r="D1111" s="1">
        <v>1640507.0</v>
      </c>
    </row>
    <row r="1112">
      <c r="A1112" s="1" t="s">
        <v>1209</v>
      </c>
      <c r="B1112" s="1" t="s">
        <v>1168</v>
      </c>
      <c r="D1112" s="1">
        <v>1924369.0</v>
      </c>
      <c r="E1112" s="1" t="s">
        <v>1210</v>
      </c>
    </row>
    <row r="1113">
      <c r="A1113" s="1" t="s">
        <v>1211</v>
      </c>
      <c r="B1113" s="1" t="s">
        <v>966</v>
      </c>
      <c r="D1113" s="1">
        <v>2501320.0</v>
      </c>
      <c r="E1113" s="1" t="s">
        <v>1067</v>
      </c>
    </row>
    <row r="1114">
      <c r="A1114" s="1" t="s">
        <v>1208</v>
      </c>
      <c r="B1114" s="1" t="s">
        <v>668</v>
      </c>
      <c r="D1114" s="1">
        <v>148124.0</v>
      </c>
    </row>
    <row r="1115">
      <c r="B1115" s="1" t="s">
        <v>589</v>
      </c>
      <c r="D1115" s="1">
        <v>132000.0</v>
      </c>
    </row>
    <row r="1116">
      <c r="B1116" s="1" t="s">
        <v>434</v>
      </c>
      <c r="D1116" s="1">
        <v>250000.0</v>
      </c>
    </row>
    <row r="1117">
      <c r="B1117" s="1" t="s">
        <v>1017</v>
      </c>
      <c r="D1117" s="1">
        <v>8900217.0</v>
      </c>
    </row>
    <row r="1118">
      <c r="A1118" s="1" t="s">
        <v>1207</v>
      </c>
      <c r="B1118" s="1" t="s">
        <v>1078</v>
      </c>
      <c r="D1118" s="1">
        <v>216080.0</v>
      </c>
    </row>
    <row r="1119">
      <c r="B1119" s="1" t="s">
        <v>869</v>
      </c>
      <c r="D1119" s="1">
        <v>15000.0</v>
      </c>
    </row>
    <row r="1120">
      <c r="A1120" s="1" t="s">
        <v>1212</v>
      </c>
      <c r="B1120" s="1" t="s">
        <v>784</v>
      </c>
      <c r="D1120" s="1">
        <v>281000.0</v>
      </c>
    </row>
    <row r="1121">
      <c r="A1121" s="1" t="s">
        <v>1208</v>
      </c>
      <c r="B1121" s="1" t="s">
        <v>235</v>
      </c>
      <c r="D1121" s="1">
        <v>300000.0</v>
      </c>
      <c r="E1121" s="1" t="s">
        <v>1213</v>
      </c>
    </row>
    <row r="1122">
      <c r="A1122" s="1" t="s">
        <v>1214</v>
      </c>
      <c r="B1122" s="1" t="s">
        <v>678</v>
      </c>
      <c r="D1122" s="1">
        <v>1777300.0</v>
      </c>
    </row>
    <row r="1123">
      <c r="A1123" s="1" t="s">
        <v>1215</v>
      </c>
      <c r="B1123" s="1" t="s">
        <v>1153</v>
      </c>
      <c r="D1123" s="1">
        <v>1287170.0</v>
      </c>
    </row>
    <row r="1124">
      <c r="A1124" s="1" t="s">
        <v>1216</v>
      </c>
      <c r="B1124" s="1" t="s">
        <v>221</v>
      </c>
      <c r="D1124" s="1">
        <v>1768600.0</v>
      </c>
    </row>
    <row r="1125">
      <c r="A1125" s="1" t="s">
        <v>1217</v>
      </c>
      <c r="B1125" s="1" t="s">
        <v>187</v>
      </c>
      <c r="D1125" s="1">
        <v>1954630.0</v>
      </c>
    </row>
    <row r="1126">
      <c r="A1126" s="1" t="s">
        <v>1218</v>
      </c>
      <c r="B1126" s="1" t="s">
        <v>962</v>
      </c>
      <c r="D1126" s="1">
        <v>1640507.0</v>
      </c>
    </row>
    <row r="1127">
      <c r="A1127" s="1" t="s">
        <v>1219</v>
      </c>
      <c r="B1127" s="1" t="s">
        <v>966</v>
      </c>
      <c r="D1127" s="1">
        <v>2523520.0</v>
      </c>
      <c r="E1127" s="1" t="s">
        <v>1067</v>
      </c>
    </row>
    <row r="1128">
      <c r="A1128" s="1" t="s">
        <v>1220</v>
      </c>
      <c r="B1128" s="1" t="s">
        <v>311</v>
      </c>
      <c r="D1128" s="1">
        <v>483160.0</v>
      </c>
    </row>
    <row r="1129">
      <c r="B1129" s="1" t="s">
        <v>311</v>
      </c>
      <c r="D1129" s="1">
        <v>55840.0</v>
      </c>
    </row>
    <row r="1130">
      <c r="A1130" s="1" t="s">
        <v>1216</v>
      </c>
      <c r="B1130" s="1" t="s">
        <v>1221</v>
      </c>
      <c r="D1130" s="1">
        <v>180000.0</v>
      </c>
    </row>
    <row r="1131">
      <c r="A1131" s="1" t="s">
        <v>1222</v>
      </c>
      <c r="B1131" s="1" t="s">
        <v>1078</v>
      </c>
      <c r="D1131" s="1">
        <v>217660.0</v>
      </c>
    </row>
    <row r="1132">
      <c r="B1132" s="1" t="s">
        <v>869</v>
      </c>
      <c r="D1132" s="1">
        <v>15000.0</v>
      </c>
    </row>
    <row r="1133">
      <c r="A1133" s="1" t="s">
        <v>1223</v>
      </c>
      <c r="B1133" s="1" t="s">
        <v>668</v>
      </c>
      <c r="D1133" s="1">
        <v>141260.0</v>
      </c>
    </row>
    <row r="1134">
      <c r="B1134" s="1" t="s">
        <v>589</v>
      </c>
      <c r="D1134" s="1">
        <v>132000.0</v>
      </c>
    </row>
    <row r="1135">
      <c r="B1135" s="1" t="s">
        <v>434</v>
      </c>
      <c r="D1135" s="1">
        <v>250000.0</v>
      </c>
    </row>
    <row r="1136">
      <c r="B1136" s="1" t="s">
        <v>1017</v>
      </c>
      <c r="D1136" s="1">
        <v>9013316.0</v>
      </c>
    </row>
    <row r="1137">
      <c r="A1137" s="1" t="s">
        <v>1224</v>
      </c>
      <c r="B1137" s="1" t="s">
        <v>784</v>
      </c>
      <c r="D1137" s="1">
        <v>300000.0</v>
      </c>
    </row>
    <row r="1138">
      <c r="A1138" s="1" t="s">
        <v>1217</v>
      </c>
      <c r="B1138" s="1" t="s">
        <v>1225</v>
      </c>
      <c r="D1138" s="1">
        <v>423500.0</v>
      </c>
    </row>
    <row r="1139">
      <c r="B1139" s="1" t="s">
        <v>1226</v>
      </c>
      <c r="D1139" s="1">
        <v>205370.0</v>
      </c>
    </row>
    <row r="1140">
      <c r="A1140" s="1" t="s">
        <v>1227</v>
      </c>
      <c r="B1140" s="1" t="s">
        <v>678</v>
      </c>
      <c r="D1140" s="1">
        <v>1777300.0</v>
      </c>
    </row>
    <row r="1141">
      <c r="A1141" s="1" t="s">
        <v>1228</v>
      </c>
      <c r="B1141" s="1" t="s">
        <v>1153</v>
      </c>
      <c r="D1141" s="1">
        <v>1287170.0</v>
      </c>
    </row>
    <row r="1142">
      <c r="A1142" s="1" t="s">
        <v>1228</v>
      </c>
      <c r="B1142" s="1" t="s">
        <v>221</v>
      </c>
      <c r="D1142" s="1">
        <v>1768600.0</v>
      </c>
    </row>
    <row r="1143">
      <c r="A1143" s="1" t="s">
        <v>1229</v>
      </c>
      <c r="B1143" s="1" t="s">
        <v>187</v>
      </c>
      <c r="D1143" s="1">
        <v>1954630.0</v>
      </c>
    </row>
    <row r="1144">
      <c r="A1144" s="1" t="s">
        <v>1230</v>
      </c>
      <c r="B1144" s="1" t="s">
        <v>962</v>
      </c>
      <c r="D1144" s="1">
        <v>1640507.0</v>
      </c>
    </row>
    <row r="1145">
      <c r="A1145" s="1" t="s">
        <v>1231</v>
      </c>
      <c r="B1145" s="1" t="s">
        <v>1168</v>
      </c>
      <c r="D1145" s="1">
        <v>1929158.0</v>
      </c>
      <c r="E1145" s="1" t="s">
        <v>1232</v>
      </c>
    </row>
    <row r="1146">
      <c r="A1146" s="1" t="s">
        <v>1233</v>
      </c>
      <c r="B1146" s="1" t="s">
        <v>966</v>
      </c>
      <c r="D1146" s="1">
        <v>2500400.0</v>
      </c>
      <c r="E1146" s="1" t="s">
        <v>1067</v>
      </c>
    </row>
    <row r="1147">
      <c r="A1147" s="1" t="s">
        <v>1234</v>
      </c>
      <c r="B1147" s="1" t="s">
        <v>1235</v>
      </c>
      <c r="D1147" s="1">
        <v>9827380.0</v>
      </c>
    </row>
    <row r="1148">
      <c r="B1148" s="1" t="s">
        <v>1093</v>
      </c>
      <c r="D1148" s="1">
        <v>77000.0</v>
      </c>
      <c r="E1148" s="1" t="s">
        <v>1236</v>
      </c>
    </row>
    <row r="1149">
      <c r="A1149" s="1" t="s">
        <v>1237</v>
      </c>
      <c r="B1149" s="1" t="s">
        <v>1078</v>
      </c>
      <c r="D1149" s="1">
        <v>211190.0</v>
      </c>
    </row>
    <row r="1150">
      <c r="B1150" s="1" t="s">
        <v>869</v>
      </c>
      <c r="D1150" s="1">
        <v>15000.0</v>
      </c>
    </row>
    <row r="1151">
      <c r="A1151" s="1" t="s">
        <v>1230</v>
      </c>
      <c r="B1151" s="1" t="s">
        <v>668</v>
      </c>
      <c r="D1151" s="1">
        <v>171432.0</v>
      </c>
    </row>
    <row r="1152">
      <c r="B1152" s="1" t="s">
        <v>589</v>
      </c>
      <c r="D1152" s="1">
        <v>132000.0</v>
      </c>
    </row>
    <row r="1153">
      <c r="B1153" s="1" t="s">
        <v>434</v>
      </c>
      <c r="D1153" s="1">
        <v>250000.0</v>
      </c>
    </row>
    <row r="1154">
      <c r="B1154" s="1" t="s">
        <v>1017</v>
      </c>
      <c r="D1154" s="1">
        <v>9088788.0</v>
      </c>
    </row>
    <row r="1155">
      <c r="A1155" s="1" t="s">
        <v>1229</v>
      </c>
      <c r="B1155" s="1" t="s">
        <v>784</v>
      </c>
      <c r="D1155" s="1">
        <v>400000.0</v>
      </c>
    </row>
    <row r="1156">
      <c r="A1156" s="1" t="s">
        <v>1238</v>
      </c>
      <c r="B1156" s="1" t="s">
        <v>678</v>
      </c>
      <c r="D1156" s="1">
        <v>1767860.0</v>
      </c>
    </row>
    <row r="1157">
      <c r="A1157" s="1" t="s">
        <v>1238</v>
      </c>
      <c r="B1157" s="1" t="s">
        <v>1153</v>
      </c>
      <c r="D1157" s="1">
        <v>1287170.0</v>
      </c>
    </row>
    <row r="1158">
      <c r="A1158" s="1" t="s">
        <v>1239</v>
      </c>
      <c r="B1158" s="1" t="s">
        <v>221</v>
      </c>
      <c r="D1158" s="1">
        <v>1768600.0</v>
      </c>
    </row>
    <row r="1159">
      <c r="A1159" s="1" t="s">
        <v>1240</v>
      </c>
      <c r="B1159" s="1" t="s">
        <v>187</v>
      </c>
      <c r="D1159" s="1">
        <v>1954630.0</v>
      </c>
    </row>
    <row r="1160">
      <c r="A1160" s="1" t="s">
        <v>1241</v>
      </c>
      <c r="B1160" s="1" t="s">
        <v>962</v>
      </c>
      <c r="D1160" s="1">
        <v>1640507.0</v>
      </c>
    </row>
    <row r="1161">
      <c r="A1161" s="1" t="s">
        <v>1242</v>
      </c>
      <c r="B1161" s="1" t="s">
        <v>966</v>
      </c>
      <c r="D1161" s="1">
        <v>2501320.0</v>
      </c>
      <c r="E1161" s="1" t="s">
        <v>1067</v>
      </c>
    </row>
    <row r="1162">
      <c r="A1162" s="1" t="s">
        <v>1243</v>
      </c>
      <c r="B1162" s="1" t="s">
        <v>1244</v>
      </c>
      <c r="D1162" s="1">
        <v>868687.0</v>
      </c>
      <c r="E1162" s="1" t="s">
        <v>1245</v>
      </c>
    </row>
    <row r="1163">
      <c r="A1163" s="1" t="s">
        <v>1246</v>
      </c>
      <c r="B1163" s="1" t="s">
        <v>784</v>
      </c>
      <c r="D1163" s="1">
        <v>400000.0</v>
      </c>
    </row>
    <row r="1164">
      <c r="A1164" s="1" t="s">
        <v>1247</v>
      </c>
      <c r="B1164" s="1" t="s">
        <v>1078</v>
      </c>
      <c r="D1164" s="1">
        <v>217560.0</v>
      </c>
    </row>
    <row r="1165">
      <c r="A1165" s="1" t="s">
        <v>1248</v>
      </c>
      <c r="B1165" s="1" t="s">
        <v>869</v>
      </c>
      <c r="D1165" s="1">
        <v>15000.0</v>
      </c>
    </row>
    <row r="1166">
      <c r="A1166" s="1" t="s">
        <v>1241</v>
      </c>
      <c r="B1166" s="1" t="s">
        <v>668</v>
      </c>
      <c r="D1166" s="1">
        <v>224476.0</v>
      </c>
    </row>
    <row r="1167">
      <c r="B1167" s="1" t="s">
        <v>589</v>
      </c>
      <c r="D1167" s="1">
        <v>132000.0</v>
      </c>
    </row>
    <row r="1168">
      <c r="B1168" s="1" t="s">
        <v>434</v>
      </c>
      <c r="D1168" s="1">
        <v>250000.0</v>
      </c>
    </row>
    <row r="1169">
      <c r="B1169" s="1" t="s">
        <v>1017</v>
      </c>
      <c r="D1169" s="1">
        <v>8874295.0</v>
      </c>
    </row>
    <row r="1170">
      <c r="A1170" s="1" t="s">
        <v>1249</v>
      </c>
      <c r="B1170" s="1" t="s">
        <v>678</v>
      </c>
      <c r="D1170" s="1">
        <v>1767710.0</v>
      </c>
    </row>
    <row r="1171">
      <c r="A1171" s="1" t="s">
        <v>1250</v>
      </c>
      <c r="B1171" s="1" t="s">
        <v>1153</v>
      </c>
      <c r="D1171" s="1">
        <v>1286550.0</v>
      </c>
    </row>
    <row r="1172">
      <c r="A1172" s="1" t="s">
        <v>1251</v>
      </c>
      <c r="B1172" s="1" t="s">
        <v>221</v>
      </c>
      <c r="D1172" s="1">
        <v>1767710.0</v>
      </c>
    </row>
    <row r="1173">
      <c r="A1173" s="1" t="s">
        <v>1252</v>
      </c>
      <c r="B1173" s="1" t="s">
        <v>187</v>
      </c>
      <c r="D1173" s="1">
        <v>1953670.0</v>
      </c>
    </row>
    <row r="1174">
      <c r="A1174" s="1" t="s">
        <v>1253</v>
      </c>
      <c r="B1174" s="1" t="s">
        <v>962</v>
      </c>
      <c r="D1174" s="1">
        <v>1637067.0</v>
      </c>
    </row>
    <row r="1175">
      <c r="A1175" s="1" t="s">
        <v>1254</v>
      </c>
      <c r="B1175" s="1" t="s">
        <v>966</v>
      </c>
      <c r="D1175" s="1">
        <v>2501320.0</v>
      </c>
      <c r="E1175" s="1" t="s">
        <v>1067</v>
      </c>
    </row>
    <row r="1176">
      <c r="A1176" s="1" t="s">
        <v>1251</v>
      </c>
      <c r="B1176" s="1" t="s">
        <v>1255</v>
      </c>
      <c r="D1176" s="1">
        <v>166490.0</v>
      </c>
    </row>
    <row r="1177">
      <c r="A1177" s="1" t="s">
        <v>1256</v>
      </c>
      <c r="B1177" s="1" t="s">
        <v>1257</v>
      </c>
      <c r="D1177" s="1">
        <v>18000.0</v>
      </c>
    </row>
    <row r="1178">
      <c r="A1178" s="1" t="s">
        <v>1258</v>
      </c>
      <c r="B1178" s="1" t="s">
        <v>1078</v>
      </c>
      <c r="D1178" s="1">
        <v>210240.0</v>
      </c>
    </row>
    <row r="1179">
      <c r="B1179" s="1" t="s">
        <v>869</v>
      </c>
      <c r="D1179" s="1">
        <v>15000.0</v>
      </c>
    </row>
    <row r="1180">
      <c r="A1180" s="1" t="s">
        <v>1259</v>
      </c>
      <c r="B1180" s="1" t="s">
        <v>668</v>
      </c>
      <c r="D1180" s="1">
        <v>96300.0</v>
      </c>
    </row>
    <row r="1181">
      <c r="B1181" s="1" t="s">
        <v>589</v>
      </c>
      <c r="D1181" s="1">
        <v>132000.0</v>
      </c>
    </row>
    <row r="1182">
      <c r="B1182" s="1" t="s">
        <v>434</v>
      </c>
      <c r="D1182" s="1">
        <v>250000.0</v>
      </c>
    </row>
    <row r="1183">
      <c r="B1183" s="1" t="s">
        <v>1017</v>
      </c>
      <c r="D1183" s="1">
        <v>9069118.0</v>
      </c>
    </row>
    <row r="1184">
      <c r="A1184" s="1" t="s">
        <v>1260</v>
      </c>
      <c r="B1184" s="1" t="s">
        <v>784</v>
      </c>
      <c r="D1184" s="1">
        <v>400000.0</v>
      </c>
    </row>
    <row r="1185">
      <c r="A1185" s="1" t="s">
        <v>1261</v>
      </c>
      <c r="B1185" s="1" t="s">
        <v>1093</v>
      </c>
      <c r="D1185" s="1">
        <v>77000.0</v>
      </c>
      <c r="E1185" s="1" t="s">
        <v>1236</v>
      </c>
    </row>
    <row r="1186">
      <c r="A1186" s="1" t="s">
        <v>1262</v>
      </c>
      <c r="B1186" s="1" t="s">
        <v>678</v>
      </c>
      <c r="D1186" s="1">
        <v>1767710.0</v>
      </c>
    </row>
    <row r="1187">
      <c r="A1187" s="1" t="s">
        <v>1263</v>
      </c>
      <c r="B1187" s="1" t="s">
        <v>1153</v>
      </c>
      <c r="D1187" s="1">
        <v>1286550.0</v>
      </c>
    </row>
    <row r="1188">
      <c r="A1188" s="1" t="s">
        <v>1264</v>
      </c>
      <c r="B1188" s="1" t="s">
        <v>221</v>
      </c>
      <c r="D1188" s="1">
        <v>1767710.0</v>
      </c>
    </row>
    <row r="1189">
      <c r="A1189" s="1" t="s">
        <v>1265</v>
      </c>
      <c r="B1189" s="1" t="s">
        <v>187</v>
      </c>
      <c r="D1189" s="1">
        <v>1953670.0</v>
      </c>
    </row>
    <row r="1190">
      <c r="A1190" s="1" t="s">
        <v>1266</v>
      </c>
      <c r="B1190" s="1" t="s">
        <v>962</v>
      </c>
      <c r="D1190" s="1">
        <v>1637067.0</v>
      </c>
    </row>
    <row r="1191">
      <c r="A1191" s="1" t="s">
        <v>1267</v>
      </c>
      <c r="B1191" s="1" t="s">
        <v>966</v>
      </c>
      <c r="D1191" s="1">
        <v>2522480.0</v>
      </c>
      <c r="E1191" s="1" t="s">
        <v>1067</v>
      </c>
    </row>
    <row r="1192">
      <c r="A1192" s="1" t="s">
        <v>1268</v>
      </c>
      <c r="B1192" s="1" t="s">
        <v>784</v>
      </c>
      <c r="D1192" s="1">
        <v>400000.0</v>
      </c>
    </row>
    <row r="1193">
      <c r="A1193" s="1" t="s">
        <v>1269</v>
      </c>
      <c r="B1193" s="1" t="s">
        <v>1078</v>
      </c>
      <c r="D1193" s="1">
        <v>212080.0</v>
      </c>
    </row>
    <row r="1194">
      <c r="B1194" s="1" t="s">
        <v>869</v>
      </c>
      <c r="D1194" s="1">
        <v>15000.0</v>
      </c>
    </row>
    <row r="1195">
      <c r="A1195" s="1" t="s">
        <v>1270</v>
      </c>
      <c r="B1195" s="1" t="s">
        <v>668</v>
      </c>
      <c r="D1195" s="1">
        <v>204704.0</v>
      </c>
    </row>
    <row r="1196">
      <c r="B1196" s="1" t="s">
        <v>589</v>
      </c>
      <c r="D1196" s="1">
        <v>132000.0</v>
      </c>
    </row>
    <row r="1197">
      <c r="B1197" s="1" t="s">
        <v>434</v>
      </c>
      <c r="D1197" s="1">
        <v>250000.0</v>
      </c>
    </row>
    <row r="1198">
      <c r="B1198" s="1" t="s">
        <v>1017</v>
      </c>
      <c r="D1198" s="1">
        <v>9279183.0</v>
      </c>
    </row>
    <row r="1199">
      <c r="A1199" s="1" t="s">
        <v>1271</v>
      </c>
      <c r="B1199" s="1" t="s">
        <v>1272</v>
      </c>
      <c r="D1199" s="1">
        <v>350000.0</v>
      </c>
      <c r="E1199" s="1" t="s">
        <v>1273</v>
      </c>
      <c r="F1199" s="1" t="s">
        <v>1274</v>
      </c>
    </row>
    <row r="1200">
      <c r="A1200" s="1" t="s">
        <v>1275</v>
      </c>
      <c r="B1200" s="1" t="s">
        <v>678</v>
      </c>
      <c r="D1200" s="1">
        <v>1767710.0</v>
      </c>
      <c r="E1200" s="1">
        <v>1828000.0</v>
      </c>
      <c r="F1200">
        <f t="shared" ref="F1200:F1204" si="2">E1200-D1200</f>
        <v>60290</v>
      </c>
    </row>
    <row r="1201">
      <c r="A1201" s="1" t="s">
        <v>1276</v>
      </c>
      <c r="B1201" s="1" t="s">
        <v>1153</v>
      </c>
      <c r="D1201" s="1">
        <v>1286550.0</v>
      </c>
      <c r="E1201" s="1">
        <v>1338340.0</v>
      </c>
      <c r="F1201">
        <f t="shared" si="2"/>
        <v>51790</v>
      </c>
    </row>
    <row r="1202">
      <c r="A1202" s="1" t="s">
        <v>1277</v>
      </c>
      <c r="B1202" s="1" t="s">
        <v>221</v>
      </c>
      <c r="D1202" s="1">
        <v>1853630.0</v>
      </c>
      <c r="E1202" s="1">
        <v>1857460.0</v>
      </c>
      <c r="F1202">
        <f t="shared" si="2"/>
        <v>3830</v>
      </c>
    </row>
    <row r="1203">
      <c r="A1203" s="1" t="s">
        <v>1278</v>
      </c>
      <c r="B1203" s="1" t="s">
        <v>187</v>
      </c>
      <c r="D1203" s="1">
        <v>2013417.0</v>
      </c>
      <c r="E1203" s="1">
        <v>2284437.0</v>
      </c>
      <c r="F1203">
        <f t="shared" si="2"/>
        <v>271020</v>
      </c>
    </row>
    <row r="1204">
      <c r="A1204" s="1" t="s">
        <v>1279</v>
      </c>
      <c r="B1204" s="1" t="s">
        <v>962</v>
      </c>
      <c r="D1204" s="1">
        <v>1637067.0</v>
      </c>
      <c r="E1204" s="1">
        <v>1702527.0</v>
      </c>
      <c r="F1204">
        <f t="shared" si="2"/>
        <v>65460</v>
      </c>
    </row>
    <row r="1205">
      <c r="A1205" s="1" t="s">
        <v>1280</v>
      </c>
      <c r="B1205" s="1" t="s">
        <v>966</v>
      </c>
      <c r="D1205" s="1">
        <v>2522480.0</v>
      </c>
      <c r="E1205" s="1" t="s">
        <v>1067</v>
      </c>
    </row>
    <row r="1206">
      <c r="A1206" s="1" t="s">
        <v>1281</v>
      </c>
      <c r="B1206" s="1" t="s">
        <v>1282</v>
      </c>
      <c r="D1206" s="1">
        <v>100000.0</v>
      </c>
    </row>
    <row r="1207">
      <c r="A1207" s="1" t="s">
        <v>1283</v>
      </c>
      <c r="B1207" s="1" t="s">
        <v>542</v>
      </c>
      <c r="D1207" s="1">
        <v>354760.0</v>
      </c>
      <c r="E1207" s="1" t="s">
        <v>1284</v>
      </c>
    </row>
    <row r="1208">
      <c r="B1208" s="1" t="s">
        <v>542</v>
      </c>
      <c r="D1208" s="1">
        <v>393000.0</v>
      </c>
      <c r="E1208" s="1" t="s">
        <v>1285</v>
      </c>
    </row>
    <row r="1209">
      <c r="A1209" s="1" t="s">
        <v>1286</v>
      </c>
      <c r="B1209" s="1" t="s">
        <v>1078</v>
      </c>
      <c r="D1209" s="1">
        <v>210900.0</v>
      </c>
    </row>
    <row r="1210">
      <c r="B1210" s="1" t="s">
        <v>869</v>
      </c>
      <c r="D1210" s="1">
        <v>15000.0</v>
      </c>
    </row>
    <row r="1211">
      <c r="A1211" s="1" t="s">
        <v>1287</v>
      </c>
      <c r="B1211" s="1" t="s">
        <v>668</v>
      </c>
      <c r="D1211" s="1">
        <v>108904.0</v>
      </c>
    </row>
    <row r="1212">
      <c r="B1212" s="1" t="s">
        <v>589</v>
      </c>
      <c r="D1212" s="1">
        <v>132000.0</v>
      </c>
    </row>
    <row r="1213">
      <c r="B1213" s="1" t="s">
        <v>434</v>
      </c>
      <c r="D1213" s="1">
        <v>250000.0</v>
      </c>
    </row>
    <row r="1214">
      <c r="B1214" s="1" t="s">
        <v>1017</v>
      </c>
      <c r="D1214" s="1">
        <v>9345738.0</v>
      </c>
    </row>
    <row r="1215">
      <c r="A1215" s="1" t="s">
        <v>1288</v>
      </c>
      <c r="B1215" s="1" t="s">
        <v>1289</v>
      </c>
      <c r="D1215" s="1">
        <v>20000.0</v>
      </c>
    </row>
    <row r="1216">
      <c r="B1216" s="1" t="s">
        <v>1290</v>
      </c>
      <c r="D1216" s="1">
        <v>500000.0</v>
      </c>
      <c r="E1216" s="1" t="s">
        <v>1213</v>
      </c>
    </row>
    <row r="1217">
      <c r="A1217" s="1" t="s">
        <v>1278</v>
      </c>
      <c r="B1217" s="1" t="s">
        <v>784</v>
      </c>
      <c r="D1217" s="1">
        <v>263100.0</v>
      </c>
    </row>
    <row r="1218">
      <c r="A1218" s="1" t="s">
        <v>1291</v>
      </c>
      <c r="B1218" s="1" t="s">
        <v>1168</v>
      </c>
      <c r="D1218" s="1">
        <v>1679200.0</v>
      </c>
      <c r="E1218" s="1" t="s">
        <v>1245</v>
      </c>
    </row>
    <row r="1219">
      <c r="B1219" s="1" t="s">
        <v>1168</v>
      </c>
      <c r="D1219" s="1">
        <v>592771.0</v>
      </c>
      <c r="E1219" s="1" t="s">
        <v>1245</v>
      </c>
    </row>
    <row r="1220">
      <c r="A1220" s="1" t="s">
        <v>1292</v>
      </c>
      <c r="B1220" s="1" t="s">
        <v>1093</v>
      </c>
      <c r="D1220" s="1">
        <v>154000.0</v>
      </c>
    </row>
    <row r="1221">
      <c r="A1221" s="1" t="s">
        <v>1293</v>
      </c>
      <c r="B1221" s="1" t="s">
        <v>966</v>
      </c>
      <c r="D1221" s="1">
        <v>2532160.0</v>
      </c>
      <c r="E1221" s="1" t="s">
        <v>1067</v>
      </c>
    </row>
    <row r="1222">
      <c r="A1222" s="1" t="s">
        <v>1294</v>
      </c>
      <c r="B1222" s="1" t="s">
        <v>1295</v>
      </c>
      <c r="D1222" s="1">
        <v>139530.0</v>
      </c>
    </row>
    <row r="1223">
      <c r="A1223" s="1" t="s">
        <v>1296</v>
      </c>
      <c r="B1223" s="1" t="s">
        <v>1297</v>
      </c>
      <c r="D1223" s="1">
        <v>66000.0</v>
      </c>
      <c r="E1223" s="1" t="s">
        <v>1298</v>
      </c>
    </row>
    <row r="1224">
      <c r="A1224" s="1" t="s">
        <v>1296</v>
      </c>
      <c r="B1224" s="1" t="s">
        <v>678</v>
      </c>
      <c r="D1224" s="1">
        <v>1767710.0</v>
      </c>
    </row>
    <row r="1225">
      <c r="A1225" s="1" t="s">
        <v>1299</v>
      </c>
      <c r="B1225" s="1" t="s">
        <v>1153</v>
      </c>
      <c r="D1225" s="1">
        <v>1286550.0</v>
      </c>
    </row>
    <row r="1226">
      <c r="A1226" s="1" t="s">
        <v>1300</v>
      </c>
      <c r="B1226" s="1" t="s">
        <v>221</v>
      </c>
      <c r="D1226" s="1">
        <v>1853630.0</v>
      </c>
    </row>
    <row r="1227">
      <c r="A1227" s="1" t="s">
        <v>1301</v>
      </c>
      <c r="B1227" s="1" t="s">
        <v>187</v>
      </c>
      <c r="D1227" s="1">
        <v>2013417.0</v>
      </c>
    </row>
    <row r="1228">
      <c r="A1228" s="1" t="s">
        <v>1302</v>
      </c>
      <c r="B1228" s="1" t="s">
        <v>962</v>
      </c>
      <c r="D1228" s="1">
        <v>1637067.0</v>
      </c>
    </row>
    <row r="1229">
      <c r="B1229" s="1" t="s">
        <v>1078</v>
      </c>
      <c r="D1229" s="1">
        <v>196330.0</v>
      </c>
    </row>
    <row r="1230">
      <c r="B1230" s="1" t="s">
        <v>869</v>
      </c>
      <c r="D1230" s="1">
        <v>15000.0</v>
      </c>
    </row>
    <row r="1231">
      <c r="B1231" s="1" t="s">
        <v>668</v>
      </c>
      <c r="D1231" s="1">
        <v>141028.0</v>
      </c>
    </row>
    <row r="1232">
      <c r="B1232" s="1" t="s">
        <v>589</v>
      </c>
      <c r="D1232" s="1">
        <v>132000.0</v>
      </c>
    </row>
    <row r="1233">
      <c r="B1233" s="1" t="s">
        <v>434</v>
      </c>
      <c r="D1233" s="1">
        <v>250000.0</v>
      </c>
    </row>
    <row r="1234">
      <c r="B1234" s="1" t="s">
        <v>1017</v>
      </c>
      <c r="D1234" s="1">
        <v>9250264.0</v>
      </c>
    </row>
    <row r="1235">
      <c r="A1235" s="1" t="s">
        <v>1303</v>
      </c>
      <c r="B1235" s="1" t="s">
        <v>1272</v>
      </c>
      <c r="D1235" s="1">
        <v>300000.0</v>
      </c>
    </row>
    <row r="1236">
      <c r="A1236" s="1" t="s">
        <v>1304</v>
      </c>
      <c r="B1236" s="1" t="s">
        <v>1305</v>
      </c>
      <c r="D1236" s="1">
        <v>90730.0</v>
      </c>
      <c r="E1236" s="3" t="s">
        <v>1306</v>
      </c>
    </row>
    <row r="1237">
      <c r="A1237" s="1" t="s">
        <v>1307</v>
      </c>
      <c r="B1237" s="1" t="s">
        <v>1290</v>
      </c>
      <c r="D1237" s="1">
        <v>1209910.0</v>
      </c>
      <c r="E1237" s="1" t="s">
        <v>1213</v>
      </c>
    </row>
    <row r="1238">
      <c r="B1238" s="1" t="s">
        <v>1308</v>
      </c>
      <c r="D1238" s="1">
        <v>2000000.0</v>
      </c>
      <c r="E1238" s="1" t="s">
        <v>1309</v>
      </c>
    </row>
    <row r="1239">
      <c r="A1239" s="1" t="s">
        <v>1310</v>
      </c>
      <c r="B1239" s="1" t="s">
        <v>678</v>
      </c>
      <c r="D1239" s="1">
        <v>1767710.0</v>
      </c>
    </row>
    <row r="1240">
      <c r="A1240" s="1" t="s">
        <v>1311</v>
      </c>
      <c r="B1240" s="1" t="s">
        <v>1153</v>
      </c>
      <c r="D1240" s="1">
        <v>1286550.0</v>
      </c>
    </row>
    <row r="1241">
      <c r="A1241" s="1" t="s">
        <v>1311</v>
      </c>
      <c r="B1241" s="1" t="s">
        <v>221</v>
      </c>
      <c r="D1241" s="1">
        <v>1853630.0</v>
      </c>
    </row>
    <row r="1242">
      <c r="A1242" s="1" t="s">
        <v>1312</v>
      </c>
      <c r="B1242" s="1" t="s">
        <v>187</v>
      </c>
      <c r="D1242" s="1">
        <v>2013417.0</v>
      </c>
    </row>
    <row r="1243">
      <c r="A1243" s="1" t="s">
        <v>1313</v>
      </c>
      <c r="B1243" s="1" t="s">
        <v>962</v>
      </c>
      <c r="D1243" s="1">
        <v>1637067.0</v>
      </c>
    </row>
    <row r="1244">
      <c r="A1244" s="1" t="s">
        <v>1314</v>
      </c>
      <c r="B1244" s="1" t="s">
        <v>966</v>
      </c>
      <c r="D1244" s="1">
        <v>2893640.0</v>
      </c>
      <c r="E1244" s="1" t="s">
        <v>1067</v>
      </c>
    </row>
    <row r="1245">
      <c r="A1245" s="1" t="s">
        <v>1315</v>
      </c>
      <c r="B1245" s="1" t="s">
        <v>1316</v>
      </c>
      <c r="D1245" s="1">
        <v>8500000.0</v>
      </c>
      <c r="E1245" s="1" t="s">
        <v>1309</v>
      </c>
    </row>
    <row r="1246">
      <c r="A1246" s="1" t="s">
        <v>1312</v>
      </c>
      <c r="B1246" s="1" t="s">
        <v>1078</v>
      </c>
      <c r="D1246" s="1">
        <v>145300.0</v>
      </c>
    </row>
    <row r="1247">
      <c r="B1247" s="1" t="s">
        <v>869</v>
      </c>
      <c r="D1247" s="1">
        <v>15000.0</v>
      </c>
    </row>
    <row r="1248">
      <c r="A1248" s="1" t="s">
        <v>1313</v>
      </c>
      <c r="B1248" s="1" t="s">
        <v>668</v>
      </c>
      <c r="D1248" s="1">
        <v>82160.0</v>
      </c>
    </row>
    <row r="1249">
      <c r="B1249" s="1" t="s">
        <v>589</v>
      </c>
      <c r="D1249" s="1">
        <v>132000.0</v>
      </c>
    </row>
    <row r="1250">
      <c r="B1250" s="1" t="s">
        <v>434</v>
      </c>
      <c r="D1250" s="1">
        <v>250000.0</v>
      </c>
    </row>
    <row r="1251">
      <c r="B1251" s="1" t="s">
        <v>1017</v>
      </c>
      <c r="D1251" s="1">
        <v>9354829.0</v>
      </c>
    </row>
    <row r="1252">
      <c r="B1252" s="1" t="s">
        <v>1164</v>
      </c>
      <c r="D1252" s="1">
        <v>1441000.0</v>
      </c>
    </row>
    <row r="1253">
      <c r="A1253" s="1" t="s">
        <v>1317</v>
      </c>
      <c r="B1253" s="1" t="s">
        <v>710</v>
      </c>
      <c r="D1253" s="1">
        <v>6308450.0</v>
      </c>
    </row>
    <row r="1254">
      <c r="B1254" s="1" t="s">
        <v>1318</v>
      </c>
      <c r="D1254" s="1">
        <v>1613580.0</v>
      </c>
    </row>
    <row r="1255">
      <c r="A1255" s="1" t="s">
        <v>1319</v>
      </c>
      <c r="B1255" s="1" t="s">
        <v>1320</v>
      </c>
      <c r="D1255" s="1">
        <v>363000.0</v>
      </c>
    </row>
    <row r="1256">
      <c r="A1256" s="1" t="s">
        <v>1321</v>
      </c>
      <c r="B1256" s="1" t="s">
        <v>678</v>
      </c>
      <c r="D1256" s="1">
        <v>1767710.0</v>
      </c>
    </row>
    <row r="1257">
      <c r="A1257" s="1" t="s">
        <v>1321</v>
      </c>
      <c r="B1257" s="1" t="s">
        <v>1153</v>
      </c>
      <c r="D1257" s="1">
        <v>1522350.0</v>
      </c>
    </row>
    <row r="1258">
      <c r="A1258" s="1" t="s">
        <v>1322</v>
      </c>
      <c r="B1258" s="1" t="s">
        <v>221</v>
      </c>
      <c r="D1258" s="1">
        <v>1853630.0</v>
      </c>
    </row>
    <row r="1259">
      <c r="A1259" s="1" t="s">
        <v>1323</v>
      </c>
      <c r="B1259" s="1" t="s">
        <v>187</v>
      </c>
      <c r="D1259" s="1">
        <v>2013417.0</v>
      </c>
    </row>
    <row r="1260">
      <c r="A1260" s="1" t="s">
        <v>1324</v>
      </c>
      <c r="B1260" s="1" t="s">
        <v>962</v>
      </c>
      <c r="D1260" s="1">
        <v>1690620.0</v>
      </c>
    </row>
    <row r="1261">
      <c r="A1261" s="1" t="s">
        <v>1325</v>
      </c>
      <c r="B1261" s="1" t="s">
        <v>966</v>
      </c>
      <c r="D1261" s="1">
        <v>2555330.0</v>
      </c>
      <c r="E1261" s="1" t="s">
        <v>1067</v>
      </c>
    </row>
    <row r="1262">
      <c r="A1262" s="1" t="s">
        <v>1326</v>
      </c>
      <c r="B1262" s="1" t="s">
        <v>1327</v>
      </c>
      <c r="D1262" s="1">
        <v>8500000.0</v>
      </c>
      <c r="E1262" s="1" t="s">
        <v>1309</v>
      </c>
    </row>
    <row r="1263">
      <c r="A1263" s="1" t="s">
        <v>1328</v>
      </c>
      <c r="B1263" s="1" t="s">
        <v>1329</v>
      </c>
      <c r="D1263" s="1">
        <v>100000.0</v>
      </c>
      <c r="E1263" s="1" t="s">
        <v>1330</v>
      </c>
    </row>
    <row r="1264">
      <c r="A1264" s="1" t="s">
        <v>1331</v>
      </c>
      <c r="B1264" s="1" t="s">
        <v>1168</v>
      </c>
      <c r="D1264" s="1">
        <v>2209982.0</v>
      </c>
      <c r="E1264" s="1" t="s">
        <v>1245</v>
      </c>
    </row>
    <row r="1265">
      <c r="B1265" s="1" t="s">
        <v>1332</v>
      </c>
      <c r="D1265" s="1">
        <v>42913.0</v>
      </c>
    </row>
    <row r="1266">
      <c r="A1266" s="1" t="s">
        <v>1333</v>
      </c>
      <c r="B1266" s="1" t="s">
        <v>1272</v>
      </c>
      <c r="D1266" s="1">
        <v>54930.0</v>
      </c>
    </row>
    <row r="1267">
      <c r="A1267" s="1" t="s">
        <v>1334</v>
      </c>
      <c r="B1267" s="1" t="s">
        <v>1078</v>
      </c>
      <c r="D1267" s="1">
        <v>150610.0</v>
      </c>
    </row>
    <row r="1268">
      <c r="B1268" s="1" t="s">
        <v>869</v>
      </c>
      <c r="D1268" s="1">
        <v>15000.0</v>
      </c>
    </row>
    <row r="1269">
      <c r="B1269" s="1" t="s">
        <v>668</v>
      </c>
      <c r="D1269" s="1">
        <v>133736.0</v>
      </c>
    </row>
    <row r="1270">
      <c r="B1270" s="1" t="s">
        <v>589</v>
      </c>
      <c r="D1270" s="1">
        <v>132000.0</v>
      </c>
    </row>
    <row r="1271">
      <c r="B1271" s="1" t="s">
        <v>434</v>
      </c>
      <c r="D1271" s="1">
        <v>250000.0</v>
      </c>
    </row>
    <row r="1272">
      <c r="B1272" s="1" t="s">
        <v>1017</v>
      </c>
      <c r="D1272" s="1">
        <v>9373262.0</v>
      </c>
    </row>
    <row r="1273">
      <c r="A1273" s="1" t="s">
        <v>1335</v>
      </c>
      <c r="B1273" s="1" t="s">
        <v>678</v>
      </c>
      <c r="D1273" s="1">
        <v>1767710.0</v>
      </c>
    </row>
    <row r="1274">
      <c r="A1274" s="1" t="s">
        <v>1336</v>
      </c>
      <c r="B1274" s="1" t="s">
        <v>1153</v>
      </c>
      <c r="D1274" s="1">
        <v>1522350.0</v>
      </c>
    </row>
    <row r="1275">
      <c r="A1275" s="1" t="s">
        <v>1337</v>
      </c>
      <c r="B1275" s="1" t="s">
        <v>221</v>
      </c>
      <c r="D1275" s="1">
        <v>1853630.0</v>
      </c>
    </row>
    <row r="1276">
      <c r="A1276" s="1" t="s">
        <v>1338</v>
      </c>
      <c r="B1276" s="1" t="s">
        <v>187</v>
      </c>
      <c r="D1276" s="1">
        <v>2013417.0</v>
      </c>
    </row>
    <row r="1277">
      <c r="A1277" s="1" t="s">
        <v>1339</v>
      </c>
      <c r="B1277" s="1" t="s">
        <v>962</v>
      </c>
      <c r="D1277" s="1">
        <v>1690620.0</v>
      </c>
    </row>
    <row r="1278">
      <c r="A1278" s="1" t="s">
        <v>1340</v>
      </c>
      <c r="B1278" s="1" t="s">
        <v>966</v>
      </c>
      <c r="D1278" s="1">
        <v>1257051.0</v>
      </c>
      <c r="E1278" s="1" t="s">
        <v>1067</v>
      </c>
    </row>
    <row r="1279">
      <c r="A1279" s="1" t="s">
        <v>1341</v>
      </c>
      <c r="B1279" s="1" t="s">
        <v>1342</v>
      </c>
      <c r="D1279" s="1">
        <v>268400.0</v>
      </c>
    </row>
    <row r="1280">
      <c r="A1280" s="1" t="s">
        <v>1343</v>
      </c>
      <c r="B1280" s="1" t="s">
        <v>1344</v>
      </c>
      <c r="D1280" s="1">
        <v>149750.0</v>
      </c>
    </row>
    <row r="1281">
      <c r="A1281" s="1" t="s">
        <v>1335</v>
      </c>
      <c r="B1281" s="1" t="s">
        <v>1345</v>
      </c>
      <c r="D1281" s="1">
        <v>130000.0</v>
      </c>
      <c r="E1281" s="1" t="s">
        <v>1346</v>
      </c>
    </row>
    <row r="1282">
      <c r="A1282" s="1" t="s">
        <v>1347</v>
      </c>
      <c r="B1282" s="1" t="s">
        <v>1078</v>
      </c>
      <c r="D1282" s="1">
        <v>152140.0</v>
      </c>
    </row>
    <row r="1283">
      <c r="B1283" s="1" t="s">
        <v>869</v>
      </c>
      <c r="D1283" s="1">
        <v>15000.0</v>
      </c>
    </row>
    <row r="1284">
      <c r="A1284" s="1" t="s">
        <v>1348</v>
      </c>
      <c r="B1284" s="1" t="s">
        <v>668</v>
      </c>
      <c r="D1284" s="1">
        <v>167344.0</v>
      </c>
    </row>
    <row r="1285">
      <c r="B1285" s="1" t="s">
        <v>589</v>
      </c>
      <c r="D1285" s="1">
        <v>132000.0</v>
      </c>
    </row>
    <row r="1286">
      <c r="B1286" s="1" t="s">
        <v>434</v>
      </c>
      <c r="D1286" s="1">
        <v>250000.0</v>
      </c>
    </row>
    <row r="1287">
      <c r="B1287" s="1" t="s">
        <v>1017</v>
      </c>
      <c r="D1287" s="1">
        <v>9439055.0</v>
      </c>
    </row>
    <row r="1288">
      <c r="A1288" s="1" t="s">
        <v>1349</v>
      </c>
      <c r="B1288" s="1" t="s">
        <v>1350</v>
      </c>
      <c r="D1288" s="1">
        <v>1600000.0</v>
      </c>
      <c r="E1288" s="1" t="s">
        <v>1351</v>
      </c>
    </row>
    <row r="1289">
      <c r="B1289" s="1" t="s">
        <v>1352</v>
      </c>
      <c r="D1289" s="1">
        <v>89000.0</v>
      </c>
      <c r="E1289" s="1" t="s">
        <v>1353</v>
      </c>
    </row>
    <row r="1290">
      <c r="A1290" s="1" t="s">
        <v>1354</v>
      </c>
      <c r="B1290" s="1" t="s">
        <v>1093</v>
      </c>
      <c r="D1290" s="1">
        <v>154000.0</v>
      </c>
    </row>
    <row r="1291">
      <c r="A1291" s="1" t="s">
        <v>1355</v>
      </c>
      <c r="B1291" s="1" t="s">
        <v>678</v>
      </c>
      <c r="D1291" s="1">
        <v>1767710.0</v>
      </c>
    </row>
    <row r="1292">
      <c r="A1292" s="1" t="s">
        <v>1356</v>
      </c>
      <c r="B1292" s="1" t="s">
        <v>1153</v>
      </c>
      <c r="D1292" s="1">
        <v>1522350.0</v>
      </c>
    </row>
    <row r="1293">
      <c r="A1293" s="1" t="s">
        <v>1356</v>
      </c>
      <c r="B1293" s="1" t="s">
        <v>221</v>
      </c>
      <c r="D1293" s="1">
        <v>1853630.0</v>
      </c>
    </row>
    <row r="1294">
      <c r="A1294" s="1" t="s">
        <v>1357</v>
      </c>
      <c r="B1294" s="1" t="s">
        <v>187</v>
      </c>
      <c r="D1294" s="1">
        <v>2013417.0</v>
      </c>
    </row>
    <row r="1295">
      <c r="A1295" s="1" t="s">
        <v>1358</v>
      </c>
      <c r="B1295" s="1" t="s">
        <v>962</v>
      </c>
      <c r="D1295" s="1">
        <v>1690620.0</v>
      </c>
    </row>
    <row r="1296">
      <c r="A1296" s="1" t="s">
        <v>1357</v>
      </c>
      <c r="B1296" s="1" t="s">
        <v>1359</v>
      </c>
      <c r="D1296" s="1">
        <v>892560.0</v>
      </c>
    </row>
    <row r="1297">
      <c r="B1297" s="1" t="s">
        <v>1359</v>
      </c>
      <c r="D1297" s="1">
        <v>1143870.0</v>
      </c>
    </row>
    <row r="1298">
      <c r="B1298" s="1" t="s">
        <v>1359</v>
      </c>
      <c r="D1298" s="1">
        <v>134500.0</v>
      </c>
    </row>
    <row r="1299">
      <c r="B1299" s="1" t="s">
        <v>1359</v>
      </c>
      <c r="D1299" s="1">
        <v>67690.0</v>
      </c>
    </row>
    <row r="1300">
      <c r="B1300" s="1" t="s">
        <v>1078</v>
      </c>
      <c r="D1300" s="1">
        <v>150840.0</v>
      </c>
    </row>
    <row r="1301">
      <c r="B1301" s="1" t="s">
        <v>869</v>
      </c>
      <c r="D1301" s="1">
        <v>15000.0</v>
      </c>
    </row>
    <row r="1302">
      <c r="A1302" s="1" t="s">
        <v>1360</v>
      </c>
      <c r="B1302" s="1" t="s">
        <v>668</v>
      </c>
      <c r="D1302" s="1">
        <v>83069.0</v>
      </c>
    </row>
    <row r="1303">
      <c r="A1303" s="1" t="s">
        <v>1360</v>
      </c>
      <c r="B1303" s="1" t="s">
        <v>589</v>
      </c>
      <c r="D1303" s="1">
        <v>132000.0</v>
      </c>
    </row>
    <row r="1304">
      <c r="A1304" s="1" t="s">
        <v>1358</v>
      </c>
      <c r="B1304" s="1" t="s">
        <v>434</v>
      </c>
      <c r="D1304" s="1">
        <v>250000.0</v>
      </c>
    </row>
    <row r="1305">
      <c r="A1305" s="1" t="s">
        <v>1360</v>
      </c>
      <c r="B1305" s="1" t="s">
        <v>1017</v>
      </c>
      <c r="D1305" s="1">
        <v>9493115.0</v>
      </c>
    </row>
    <row r="1306">
      <c r="A1306" s="1" t="s">
        <v>1361</v>
      </c>
      <c r="B1306" s="1" t="s">
        <v>678</v>
      </c>
      <c r="D1306" s="1">
        <v>1767710.0</v>
      </c>
    </row>
    <row r="1307">
      <c r="A1307" s="1" t="s">
        <v>1362</v>
      </c>
      <c r="B1307" s="1" t="s">
        <v>1153</v>
      </c>
      <c r="D1307" s="1">
        <v>1522350.0</v>
      </c>
    </row>
    <row r="1308">
      <c r="A1308" s="1" t="s">
        <v>1363</v>
      </c>
      <c r="B1308" s="1" t="s">
        <v>221</v>
      </c>
      <c r="D1308" s="1">
        <v>1853630.0</v>
      </c>
    </row>
    <row r="1309">
      <c r="A1309" s="1" t="s">
        <v>1364</v>
      </c>
      <c r="B1309" s="1" t="s">
        <v>187</v>
      </c>
      <c r="D1309" s="1">
        <v>2013417.0</v>
      </c>
    </row>
    <row r="1310">
      <c r="A1310" s="1" t="s">
        <v>1365</v>
      </c>
      <c r="B1310" s="1" t="s">
        <v>962</v>
      </c>
      <c r="D1310" s="1">
        <v>1690620.0</v>
      </c>
    </row>
    <row r="1311">
      <c r="A1311" s="1" t="s">
        <v>1366</v>
      </c>
      <c r="B1311" s="1" t="s">
        <v>966</v>
      </c>
      <c r="D1311" s="1">
        <v>2547350.0</v>
      </c>
      <c r="E1311" s="1" t="s">
        <v>1067</v>
      </c>
    </row>
    <row r="1312">
      <c r="A1312" s="1" t="s">
        <v>1367</v>
      </c>
      <c r="B1312" s="1" t="s">
        <v>1168</v>
      </c>
      <c r="D1312" s="1">
        <v>2388479.0</v>
      </c>
      <c r="E1312" s="1" t="s">
        <v>1245</v>
      </c>
    </row>
    <row r="1313">
      <c r="A1313" s="1" t="s">
        <v>1368</v>
      </c>
      <c r="B1313" s="1" t="s">
        <v>1078</v>
      </c>
      <c r="D1313" s="1">
        <v>160660.0</v>
      </c>
    </row>
    <row r="1314">
      <c r="B1314" s="1" t="s">
        <v>869</v>
      </c>
      <c r="D1314" s="1">
        <v>15000.0</v>
      </c>
    </row>
    <row r="1315">
      <c r="A1315" s="1" t="s">
        <v>1369</v>
      </c>
      <c r="B1315" s="1" t="s">
        <v>668</v>
      </c>
      <c r="D1315" s="1">
        <v>105576.0</v>
      </c>
    </row>
    <row r="1316">
      <c r="B1316" s="1" t="s">
        <v>589</v>
      </c>
      <c r="D1316" s="1">
        <v>132000.0</v>
      </c>
    </row>
    <row r="1317">
      <c r="B1317" s="1" t="s">
        <v>434</v>
      </c>
      <c r="D1317" s="1">
        <v>250000.0</v>
      </c>
    </row>
    <row r="1318">
      <c r="B1318" s="1" t="s">
        <v>1017</v>
      </c>
      <c r="D1318" s="1">
        <v>9477509.0</v>
      </c>
    </row>
    <row r="1319">
      <c r="A1319" s="1" t="s">
        <v>1369</v>
      </c>
      <c r="B1319" s="1" t="s">
        <v>1272</v>
      </c>
      <c r="D1319" s="1">
        <v>335820.0</v>
      </c>
    </row>
    <row r="1320">
      <c r="A1320" s="1" t="s">
        <v>1365</v>
      </c>
      <c r="B1320" s="1" t="s">
        <v>966</v>
      </c>
      <c r="D1320" s="1">
        <v>2547350.0</v>
      </c>
      <c r="E1320" s="1" t="s">
        <v>1067</v>
      </c>
    </row>
    <row r="1321">
      <c r="A1321" s="1" t="s">
        <v>1370</v>
      </c>
      <c r="B1321" s="1" t="s">
        <v>678</v>
      </c>
      <c r="D1321" s="1">
        <v>1767710.0</v>
      </c>
    </row>
    <row r="1322">
      <c r="A1322" s="1" t="s">
        <v>1371</v>
      </c>
      <c r="B1322" s="1" t="s">
        <v>1153</v>
      </c>
      <c r="D1322" s="1">
        <v>1522350.0</v>
      </c>
    </row>
    <row r="1323">
      <c r="A1323" s="1" t="s">
        <v>1372</v>
      </c>
      <c r="B1323" s="1" t="s">
        <v>221</v>
      </c>
      <c r="D1323" s="1">
        <v>1853630.0</v>
      </c>
    </row>
    <row r="1324">
      <c r="A1324" s="1" t="s">
        <v>1373</v>
      </c>
      <c r="B1324" s="1" t="s">
        <v>187</v>
      </c>
      <c r="D1324" s="1">
        <v>2013417.0</v>
      </c>
    </row>
    <row r="1325">
      <c r="A1325" s="1" t="s">
        <v>1374</v>
      </c>
      <c r="B1325" s="1" t="s">
        <v>962</v>
      </c>
      <c r="D1325" s="1">
        <v>1690620.0</v>
      </c>
    </row>
    <row r="1326">
      <c r="A1326" s="1" t="s">
        <v>1375</v>
      </c>
      <c r="B1326" s="1" t="s">
        <v>1078</v>
      </c>
      <c r="D1326" s="1">
        <v>150280.0</v>
      </c>
    </row>
    <row r="1327">
      <c r="B1327" s="1" t="s">
        <v>869</v>
      </c>
      <c r="D1327" s="1">
        <v>15000.0</v>
      </c>
    </row>
    <row r="1328">
      <c r="A1328" s="1" t="s">
        <v>1376</v>
      </c>
      <c r="B1328" s="1" t="s">
        <v>668</v>
      </c>
      <c r="D1328" s="1">
        <v>139164.0</v>
      </c>
    </row>
    <row r="1329">
      <c r="B1329" s="1" t="s">
        <v>589</v>
      </c>
      <c r="D1329" s="1">
        <v>132000.0</v>
      </c>
    </row>
    <row r="1330">
      <c r="B1330" s="1" t="s">
        <v>434</v>
      </c>
      <c r="D1330" s="1">
        <v>250000.0</v>
      </c>
    </row>
    <row r="1331">
      <c r="B1331" s="1" t="s">
        <v>1017</v>
      </c>
      <c r="D1331" s="1">
        <v>9406841.0</v>
      </c>
    </row>
    <row r="1332">
      <c r="A1332" s="1" t="s">
        <v>1376</v>
      </c>
      <c r="B1332" s="1" t="s">
        <v>784</v>
      </c>
      <c r="D1332" s="1">
        <v>600000.0</v>
      </c>
    </row>
    <row r="1333">
      <c r="A1333" s="1" t="s">
        <v>1377</v>
      </c>
      <c r="B1333" s="1" t="s">
        <v>966</v>
      </c>
      <c r="D1333" s="1">
        <v>2547350.0</v>
      </c>
      <c r="E1333" s="1" t="s">
        <v>1067</v>
      </c>
    </row>
    <row r="1334">
      <c r="A1334" s="1" t="s">
        <v>1378</v>
      </c>
      <c r="B1334" s="1" t="s">
        <v>678</v>
      </c>
      <c r="D1334" s="1">
        <v>1767710.0</v>
      </c>
    </row>
    <row r="1335">
      <c r="A1335" s="1" t="s">
        <v>1379</v>
      </c>
      <c r="B1335" s="1" t="s">
        <v>1153</v>
      </c>
      <c r="D1335" s="1">
        <v>1522350.0</v>
      </c>
    </row>
    <row r="1336">
      <c r="A1336" s="1" t="s">
        <v>1380</v>
      </c>
      <c r="B1336" s="1" t="s">
        <v>221</v>
      </c>
      <c r="D1336" s="1">
        <v>1853630.0</v>
      </c>
    </row>
    <row r="1337">
      <c r="A1337" s="1" t="s">
        <v>1381</v>
      </c>
      <c r="B1337" s="1" t="s">
        <v>187</v>
      </c>
      <c r="D1337" s="1">
        <v>2013417.0</v>
      </c>
    </row>
    <row r="1338">
      <c r="A1338" s="1" t="s">
        <v>1382</v>
      </c>
      <c r="B1338" s="1" t="s">
        <v>962</v>
      </c>
      <c r="D1338" s="1">
        <v>1690620.0</v>
      </c>
    </row>
    <row r="1339">
      <c r="A1339" s="1" t="s">
        <v>1379</v>
      </c>
      <c r="B1339" s="1" t="s">
        <v>1305</v>
      </c>
      <c r="D1339" s="1">
        <v>113470.0</v>
      </c>
      <c r="E1339" s="3" t="s">
        <v>1306</v>
      </c>
    </row>
    <row r="1340">
      <c r="A1340" s="1" t="s">
        <v>1383</v>
      </c>
      <c r="B1340" s="1" t="s">
        <v>1235</v>
      </c>
      <c r="D1340" s="1">
        <v>8067000.0</v>
      </c>
    </row>
    <row r="1341">
      <c r="B1341" s="1" t="s">
        <v>1078</v>
      </c>
      <c r="D1341" s="1">
        <v>154980.0</v>
      </c>
    </row>
    <row r="1342">
      <c r="A1342" s="1" t="s">
        <v>1384</v>
      </c>
      <c r="B1342" s="1" t="s">
        <v>869</v>
      </c>
      <c r="D1342" s="1">
        <v>15000.0</v>
      </c>
    </row>
    <row r="1343">
      <c r="A1343" s="1" t="s">
        <v>1385</v>
      </c>
      <c r="B1343" s="1" t="s">
        <v>668</v>
      </c>
      <c r="D1343" s="1">
        <v>214032.0</v>
      </c>
    </row>
    <row r="1344">
      <c r="B1344" s="1" t="s">
        <v>589</v>
      </c>
      <c r="D1344" s="1">
        <v>132000.0</v>
      </c>
    </row>
    <row r="1345">
      <c r="B1345" s="1" t="s">
        <v>434</v>
      </c>
      <c r="D1345" s="1">
        <v>250000.0</v>
      </c>
    </row>
    <row r="1346">
      <c r="B1346" s="1" t="s">
        <v>1017</v>
      </c>
      <c r="D1346" s="1">
        <v>9574403.0</v>
      </c>
    </row>
    <row r="1347">
      <c r="A1347" s="1" t="s">
        <v>1386</v>
      </c>
      <c r="B1347" s="1" t="s">
        <v>784</v>
      </c>
      <c r="D1347" s="1">
        <v>300000.0</v>
      </c>
    </row>
    <row r="1348">
      <c r="A1348" s="1" t="s">
        <v>1387</v>
      </c>
      <c r="B1348" s="1" t="s">
        <v>966</v>
      </c>
      <c r="D1348" s="1">
        <v>2485160.0</v>
      </c>
      <c r="E1348" s="1" t="s">
        <v>1067</v>
      </c>
    </row>
    <row r="1349">
      <c r="A1349" s="1" t="s">
        <v>1388</v>
      </c>
      <c r="B1349" s="1" t="s">
        <v>678</v>
      </c>
      <c r="D1349" s="1">
        <v>1826120.0</v>
      </c>
    </row>
    <row r="1350">
      <c r="A1350" s="1" t="s">
        <v>1389</v>
      </c>
      <c r="B1350" s="1" t="s">
        <v>1153</v>
      </c>
      <c r="D1350" s="1">
        <v>1661940.0</v>
      </c>
    </row>
    <row r="1351">
      <c r="A1351" s="1" t="s">
        <v>1390</v>
      </c>
      <c r="B1351" s="1" t="s">
        <v>221</v>
      </c>
      <c r="D1351" s="1">
        <v>1858790.0</v>
      </c>
    </row>
    <row r="1352">
      <c r="A1352" s="1" t="s">
        <v>1391</v>
      </c>
      <c r="B1352" s="1" t="s">
        <v>187</v>
      </c>
      <c r="D1352" s="1">
        <v>2016357.0</v>
      </c>
    </row>
    <row r="1353">
      <c r="A1353" s="1" t="s">
        <v>1392</v>
      </c>
      <c r="B1353" s="1" t="s">
        <v>962</v>
      </c>
      <c r="D1353" s="1">
        <v>1694050.0</v>
      </c>
    </row>
    <row r="1354">
      <c r="A1354" s="1" t="s">
        <v>1392</v>
      </c>
      <c r="B1354" s="1" t="s">
        <v>668</v>
      </c>
      <c r="D1354" s="1">
        <v>32516.0</v>
      </c>
    </row>
    <row r="1355">
      <c r="B1355" s="1" t="s">
        <v>589</v>
      </c>
      <c r="D1355" s="1">
        <v>132000.0</v>
      </c>
    </row>
    <row r="1356">
      <c r="B1356" s="1" t="s">
        <v>434</v>
      </c>
      <c r="D1356" s="1">
        <v>280000.0</v>
      </c>
    </row>
    <row r="1357">
      <c r="B1357" s="1" t="s">
        <v>1017</v>
      </c>
      <c r="D1357" s="1">
        <v>9319725.0</v>
      </c>
    </row>
    <row r="1358">
      <c r="A1358" s="1" t="s">
        <v>1391</v>
      </c>
      <c r="B1358" s="1" t="s">
        <v>1078</v>
      </c>
      <c r="D1358" s="1">
        <v>150200.0</v>
      </c>
    </row>
    <row r="1359">
      <c r="B1359" s="1" t="s">
        <v>869</v>
      </c>
      <c r="D1359" s="1">
        <v>15000.0</v>
      </c>
    </row>
    <row r="1360">
      <c r="A1360" s="1" t="s">
        <v>1393</v>
      </c>
      <c r="B1360" s="1" t="s">
        <v>1168</v>
      </c>
      <c r="D1360" s="1">
        <v>2388480.0</v>
      </c>
      <c r="E1360" s="1" t="s">
        <v>1245</v>
      </c>
    </row>
    <row r="1361">
      <c r="A1361" s="1" t="s">
        <v>1394</v>
      </c>
      <c r="B1361" s="1" t="s">
        <v>784</v>
      </c>
      <c r="D1361" s="1">
        <v>300000.0</v>
      </c>
    </row>
    <row r="1362">
      <c r="B1362" s="1" t="s">
        <v>1272</v>
      </c>
      <c r="D1362" s="1">
        <v>300000.0</v>
      </c>
    </row>
    <row r="1363">
      <c r="A1363" s="1" t="s">
        <v>1395</v>
      </c>
      <c r="B1363" s="1" t="s">
        <v>966</v>
      </c>
      <c r="D1363" s="1">
        <v>2489880.0</v>
      </c>
      <c r="E1363" s="1" t="s">
        <v>1067</v>
      </c>
    </row>
    <row r="1364">
      <c r="A1364" s="1" t="s">
        <v>1396</v>
      </c>
      <c r="B1364" s="1" t="s">
        <v>678</v>
      </c>
      <c r="D1364" s="1">
        <v>1826120.0</v>
      </c>
    </row>
    <row r="1365">
      <c r="A1365" s="1" t="s">
        <v>1397</v>
      </c>
      <c r="B1365" s="1" t="s">
        <v>1153</v>
      </c>
      <c r="D1365" s="1">
        <v>1569850.0</v>
      </c>
    </row>
    <row r="1366">
      <c r="A1366" s="1" t="s">
        <v>1398</v>
      </c>
      <c r="B1366" s="1" t="s">
        <v>221</v>
      </c>
      <c r="D1366" s="1">
        <v>1858790.0</v>
      </c>
    </row>
    <row r="1367">
      <c r="A1367" s="1" t="s">
        <v>1399</v>
      </c>
      <c r="B1367" s="1" t="s">
        <v>187</v>
      </c>
      <c r="D1367" s="1">
        <v>2016357.0</v>
      </c>
    </row>
    <row r="1368">
      <c r="A1368" s="1" t="s">
        <v>1400</v>
      </c>
      <c r="B1368" s="1" t="s">
        <v>962</v>
      </c>
      <c r="D1368" s="1">
        <v>1694050.0</v>
      </c>
    </row>
    <row r="1369">
      <c r="A1369" s="1" t="s">
        <v>1401</v>
      </c>
      <c r="B1369" s="1" t="s">
        <v>1078</v>
      </c>
      <c r="D1369" s="1">
        <v>251510.0</v>
      </c>
    </row>
    <row r="1370">
      <c r="B1370" s="1" t="s">
        <v>869</v>
      </c>
      <c r="D1370" s="1">
        <v>15000.0</v>
      </c>
    </row>
    <row r="1371">
      <c r="B1371" s="1" t="s">
        <v>1107</v>
      </c>
      <c r="D1371" s="1">
        <v>27000.0</v>
      </c>
    </row>
    <row r="1372">
      <c r="B1372" s="1" t="s">
        <v>811</v>
      </c>
      <c r="D1372" s="1">
        <v>22720.0</v>
      </c>
    </row>
    <row r="1373">
      <c r="A1373" s="1" t="s">
        <v>1402</v>
      </c>
      <c r="B1373" s="1" t="s">
        <v>668</v>
      </c>
      <c r="D1373" s="1">
        <v>70972.0</v>
      </c>
    </row>
    <row r="1374">
      <c r="B1374" s="1" t="s">
        <v>589</v>
      </c>
      <c r="D1374" s="1">
        <v>132000.0</v>
      </c>
    </row>
    <row r="1375">
      <c r="B1375" s="1" t="s">
        <v>434</v>
      </c>
      <c r="D1375" s="1">
        <v>280000.0</v>
      </c>
    </row>
    <row r="1376">
      <c r="B1376" s="1" t="s">
        <v>1017</v>
      </c>
      <c r="D1376" s="1">
        <v>9361937.0</v>
      </c>
    </row>
    <row r="1377">
      <c r="A1377" s="1" t="s">
        <v>1403</v>
      </c>
      <c r="B1377" s="1" t="s">
        <v>784</v>
      </c>
      <c r="D1377" s="1">
        <v>100000.0</v>
      </c>
    </row>
    <row r="1378">
      <c r="A1378" s="1" t="s">
        <v>1404</v>
      </c>
      <c r="B1378" s="1" t="s">
        <v>1405</v>
      </c>
      <c r="D1378" s="1">
        <v>232000.0</v>
      </c>
      <c r="E1378" s="1" t="s">
        <v>1406</v>
      </c>
    </row>
    <row r="1379">
      <c r="A1379" s="1" t="s">
        <v>1407</v>
      </c>
      <c r="B1379" s="1" t="s">
        <v>1408</v>
      </c>
      <c r="D1379" s="1">
        <v>23200.0</v>
      </c>
    </row>
    <row r="1380">
      <c r="A1380" s="1" t="s">
        <v>1409</v>
      </c>
      <c r="B1380" s="1" t="s">
        <v>966</v>
      </c>
      <c r="D1380" s="1">
        <v>2511020.0</v>
      </c>
      <c r="E1380" s="1" t="s">
        <v>1067</v>
      </c>
    </row>
    <row r="1381">
      <c r="A1381" s="1" t="s">
        <v>1410</v>
      </c>
      <c r="B1381" s="1" t="s">
        <v>678</v>
      </c>
      <c r="D1381" s="1">
        <v>1825110.0</v>
      </c>
    </row>
    <row r="1382">
      <c r="A1382" s="1" t="s">
        <v>1410</v>
      </c>
      <c r="B1382" s="1" t="s">
        <v>1153</v>
      </c>
      <c r="D1382" s="1">
        <v>1569010.0</v>
      </c>
    </row>
    <row r="1383">
      <c r="A1383" s="1" t="s">
        <v>1411</v>
      </c>
      <c r="B1383" s="1" t="s">
        <v>221</v>
      </c>
      <c r="D1383" s="1">
        <v>1857760.0</v>
      </c>
    </row>
    <row r="1384">
      <c r="A1384" s="1" t="s">
        <v>1412</v>
      </c>
      <c r="B1384" s="1" t="s">
        <v>187</v>
      </c>
      <c r="D1384" s="1">
        <v>2015237.0</v>
      </c>
    </row>
    <row r="1385">
      <c r="A1385" s="1" t="s">
        <v>1413</v>
      </c>
      <c r="B1385" s="1" t="s">
        <v>962</v>
      </c>
      <c r="D1385" s="1">
        <v>1693110.0</v>
      </c>
    </row>
    <row r="1386">
      <c r="A1386" s="1" t="s">
        <v>1414</v>
      </c>
      <c r="B1386" s="1" t="s">
        <v>1078</v>
      </c>
      <c r="D1386" s="1">
        <v>163820.0</v>
      </c>
    </row>
    <row r="1387">
      <c r="B1387" s="1" t="s">
        <v>869</v>
      </c>
      <c r="D1387" s="1">
        <v>15000.0</v>
      </c>
    </row>
    <row r="1388">
      <c r="A1388" s="1" t="s">
        <v>1413</v>
      </c>
      <c r="B1388" s="1" t="s">
        <v>668</v>
      </c>
      <c r="D1388" s="1">
        <v>142408.0</v>
      </c>
    </row>
    <row r="1389">
      <c r="B1389" s="1" t="s">
        <v>589</v>
      </c>
      <c r="D1389" s="1">
        <v>132000.0</v>
      </c>
    </row>
    <row r="1390">
      <c r="B1390" s="1" t="s">
        <v>434</v>
      </c>
      <c r="D1390" s="1">
        <v>280000.0</v>
      </c>
    </row>
    <row r="1391">
      <c r="B1391" s="1" t="s">
        <v>1017</v>
      </c>
      <c r="D1391" s="1">
        <v>9575963.0</v>
      </c>
    </row>
    <row r="1392">
      <c r="A1392" s="1" t="s">
        <v>1412</v>
      </c>
      <c r="B1392" s="1" t="s">
        <v>1272</v>
      </c>
      <c r="D1392" s="1">
        <v>200000.0</v>
      </c>
    </row>
    <row r="1393">
      <c r="B1393" s="1" t="s">
        <v>784</v>
      </c>
      <c r="D1393" s="1">
        <v>203260.0</v>
      </c>
    </row>
    <row r="1394">
      <c r="A1394" s="1" t="s">
        <v>1415</v>
      </c>
      <c r="B1394" s="1" t="s">
        <v>966</v>
      </c>
      <c r="D1394" s="1">
        <v>2511020.0</v>
      </c>
      <c r="E1394" s="1" t="s">
        <v>1067</v>
      </c>
    </row>
    <row r="1395">
      <c r="A1395" s="1" t="s">
        <v>1416</v>
      </c>
      <c r="B1395" s="1" t="s">
        <v>678</v>
      </c>
      <c r="D1395" s="1">
        <v>1914300.0</v>
      </c>
    </row>
    <row r="1396">
      <c r="A1396" s="1" t="s">
        <v>1416</v>
      </c>
      <c r="B1396" s="1" t="s">
        <v>1153</v>
      </c>
      <c r="D1396" s="1">
        <v>1574040.0</v>
      </c>
    </row>
    <row r="1397">
      <c r="A1397" s="1" t="s">
        <v>1417</v>
      </c>
      <c r="B1397" s="1" t="s">
        <v>221</v>
      </c>
      <c r="D1397" s="1">
        <v>1937483.0</v>
      </c>
    </row>
    <row r="1398">
      <c r="A1398" s="1" t="s">
        <v>1418</v>
      </c>
      <c r="B1398" s="1" t="s">
        <v>187</v>
      </c>
      <c r="D1398" s="1">
        <v>2319780.0</v>
      </c>
    </row>
    <row r="1399">
      <c r="A1399" s="1" t="s">
        <v>1419</v>
      </c>
      <c r="B1399" s="1" t="s">
        <v>962</v>
      </c>
      <c r="D1399" s="1">
        <v>1765320.0</v>
      </c>
    </row>
    <row r="1400">
      <c r="A1400" s="1" t="s">
        <v>1420</v>
      </c>
      <c r="B1400" s="1" t="s">
        <v>1421</v>
      </c>
      <c r="D1400" s="1">
        <v>865830.0</v>
      </c>
      <c r="E1400" s="1" t="s">
        <v>1422</v>
      </c>
    </row>
    <row r="1401">
      <c r="A1401" s="1" t="s">
        <v>1423</v>
      </c>
      <c r="B1401" s="1" t="s">
        <v>1078</v>
      </c>
      <c r="D1401" s="1">
        <v>164430.0</v>
      </c>
    </row>
    <row r="1402">
      <c r="B1402" s="1" t="s">
        <v>869</v>
      </c>
      <c r="D1402" s="1">
        <v>15000.0</v>
      </c>
    </row>
    <row r="1403">
      <c r="A1403" s="1" t="s">
        <v>1424</v>
      </c>
      <c r="B1403" s="1" t="s">
        <v>668</v>
      </c>
      <c r="D1403" s="1">
        <v>135928.0</v>
      </c>
    </row>
    <row r="1404">
      <c r="B1404" s="1" t="s">
        <v>589</v>
      </c>
      <c r="D1404" s="1">
        <v>132000.0</v>
      </c>
    </row>
    <row r="1405">
      <c r="B1405" s="1" t="s">
        <v>434</v>
      </c>
      <c r="D1405" s="1">
        <v>280000.0</v>
      </c>
    </row>
    <row r="1406">
      <c r="B1406" s="1" t="s">
        <v>1017</v>
      </c>
      <c r="D1406" s="1">
        <v>9577719.0</v>
      </c>
    </row>
    <row r="1407">
      <c r="A1407" s="1" t="s">
        <v>1423</v>
      </c>
      <c r="B1407" s="1" t="s">
        <v>784</v>
      </c>
      <c r="D1407" s="1">
        <v>300000.0</v>
      </c>
    </row>
    <row r="1408">
      <c r="A1408" s="1" t="s">
        <v>1418</v>
      </c>
      <c r="B1408" s="1" t="s">
        <v>1168</v>
      </c>
      <c r="D1408" s="1">
        <v>2402872.0</v>
      </c>
      <c r="E1408" s="1" t="s">
        <v>1245</v>
      </c>
    </row>
    <row r="1409">
      <c r="A1409" s="1" t="s">
        <v>1425</v>
      </c>
      <c r="B1409" s="1" t="s">
        <v>966</v>
      </c>
      <c r="D1409" s="1">
        <v>2518820.0</v>
      </c>
      <c r="E1409" s="1" t="s">
        <v>1067</v>
      </c>
    </row>
    <row r="1410">
      <c r="A1410" s="1" t="s">
        <v>1426</v>
      </c>
      <c r="B1410" s="1" t="s">
        <v>678</v>
      </c>
      <c r="D1410" s="1">
        <v>1825110.0</v>
      </c>
    </row>
    <row r="1411">
      <c r="A1411" s="1" t="s">
        <v>1427</v>
      </c>
      <c r="B1411" s="1" t="s">
        <v>1153</v>
      </c>
      <c r="D1411" s="1">
        <v>1569010.0</v>
      </c>
    </row>
    <row r="1412">
      <c r="A1412" s="1" t="s">
        <v>1428</v>
      </c>
      <c r="B1412" s="1" t="s">
        <v>221</v>
      </c>
      <c r="D1412" s="1">
        <v>1912703.0</v>
      </c>
    </row>
    <row r="1413">
      <c r="A1413" s="1" t="s">
        <v>1429</v>
      </c>
      <c r="B1413" s="1" t="s">
        <v>187</v>
      </c>
      <c r="D1413" s="1">
        <v>2073640.0</v>
      </c>
    </row>
    <row r="1414">
      <c r="A1414" s="1" t="s">
        <v>1430</v>
      </c>
      <c r="B1414" s="1" t="s">
        <v>962</v>
      </c>
      <c r="D1414" s="1">
        <v>1693110.0</v>
      </c>
    </row>
    <row r="1415">
      <c r="A1415" s="1" t="s">
        <v>1431</v>
      </c>
      <c r="B1415" s="1" t="s">
        <v>1078</v>
      </c>
      <c r="D1415" s="1">
        <v>164120.0</v>
      </c>
    </row>
    <row r="1416">
      <c r="B1416" s="1" t="s">
        <v>869</v>
      </c>
      <c r="D1416" s="1">
        <v>15000.0</v>
      </c>
    </row>
    <row r="1417">
      <c r="A1417" s="1" t="s">
        <v>1432</v>
      </c>
      <c r="B1417" s="1" t="s">
        <v>668</v>
      </c>
      <c r="D1417" s="1">
        <v>206288.0</v>
      </c>
    </row>
    <row r="1418">
      <c r="B1418" s="1" t="s">
        <v>589</v>
      </c>
      <c r="D1418" s="1">
        <v>132000.0</v>
      </c>
    </row>
    <row r="1419">
      <c r="B1419" s="1" t="s">
        <v>434</v>
      </c>
      <c r="D1419" s="1">
        <v>280000.0</v>
      </c>
    </row>
    <row r="1420">
      <c r="B1420" s="1" t="s">
        <v>1017</v>
      </c>
      <c r="D1420" s="1">
        <v>9554647.0</v>
      </c>
    </row>
    <row r="1421">
      <c r="A1421" s="1" t="s">
        <v>1431</v>
      </c>
      <c r="B1421" s="1" t="s">
        <v>1433</v>
      </c>
      <c r="D1421" s="1">
        <v>150000.0</v>
      </c>
    </row>
    <row r="1422">
      <c r="B1422" s="1" t="s">
        <v>1434</v>
      </c>
      <c r="D1422" s="1">
        <v>30000.0</v>
      </c>
    </row>
    <row r="1423">
      <c r="A1423" s="1" t="s">
        <v>1435</v>
      </c>
      <c r="B1423" s="1" t="s">
        <v>784</v>
      </c>
      <c r="D1423" s="1">
        <v>200000.0</v>
      </c>
    </row>
    <row r="1424">
      <c r="A1424" s="1" t="s">
        <v>1432</v>
      </c>
      <c r="B1424" s="1" t="s">
        <v>1272</v>
      </c>
      <c r="D1424" s="1">
        <v>200000.0</v>
      </c>
    </row>
    <row r="1425">
      <c r="A1425" s="1" t="s">
        <v>1436</v>
      </c>
      <c r="B1425" s="1" t="s">
        <v>966</v>
      </c>
      <c r="D1425" s="1">
        <v>2788300.0</v>
      </c>
      <c r="E1425" s="1" t="s">
        <v>1067</v>
      </c>
    </row>
    <row r="1426">
      <c r="A1426" s="1" t="s">
        <v>1437</v>
      </c>
      <c r="B1426" s="1" t="s">
        <v>678</v>
      </c>
      <c r="D1426" s="1">
        <v>1826820.0</v>
      </c>
    </row>
    <row r="1427">
      <c r="A1427" s="1" t="s">
        <v>1438</v>
      </c>
      <c r="B1427" s="1" t="s">
        <v>1153</v>
      </c>
      <c r="D1427" s="1">
        <v>1572480.0</v>
      </c>
    </row>
    <row r="1428">
      <c r="A1428" s="1" t="s">
        <v>1438</v>
      </c>
      <c r="B1428" s="1" t="s">
        <v>221</v>
      </c>
      <c r="D1428" s="1">
        <v>1912703.0</v>
      </c>
    </row>
    <row r="1429">
      <c r="A1429" s="1" t="s">
        <v>1439</v>
      </c>
      <c r="B1429" s="1" t="s">
        <v>187</v>
      </c>
      <c r="D1429" s="1">
        <v>2073640.0</v>
      </c>
    </row>
    <row r="1430">
      <c r="A1430" s="1" t="s">
        <v>1440</v>
      </c>
      <c r="B1430" s="1" t="s">
        <v>962</v>
      </c>
      <c r="D1430" s="1">
        <v>1693890.0</v>
      </c>
    </row>
    <row r="1431">
      <c r="A1431" s="1" t="s">
        <v>1441</v>
      </c>
      <c r="B1431" s="1" t="s">
        <v>1442</v>
      </c>
      <c r="D1431" s="1">
        <v>792000.0</v>
      </c>
      <c r="E1431" s="1" t="s">
        <v>1088</v>
      </c>
    </row>
    <row r="1432">
      <c r="B1432" s="1" t="s">
        <v>1078</v>
      </c>
      <c r="D1432" s="1">
        <v>163240.0</v>
      </c>
    </row>
    <row r="1433">
      <c r="B1433" s="1" t="s">
        <v>869</v>
      </c>
      <c r="D1433" s="1">
        <v>15000.0</v>
      </c>
    </row>
    <row r="1434">
      <c r="A1434" s="1" t="s">
        <v>1440</v>
      </c>
      <c r="B1434" s="1" t="s">
        <v>668</v>
      </c>
      <c r="D1434" s="1">
        <v>171908.0</v>
      </c>
    </row>
    <row r="1435">
      <c r="B1435" s="1" t="s">
        <v>589</v>
      </c>
      <c r="D1435" s="1">
        <v>132000.0</v>
      </c>
    </row>
    <row r="1436">
      <c r="B1436" s="1" t="s">
        <v>434</v>
      </c>
      <c r="D1436" s="1">
        <v>280000.0</v>
      </c>
    </row>
    <row r="1437">
      <c r="B1437" s="1" t="s">
        <v>1017</v>
      </c>
      <c r="D1437" s="1">
        <v>9498348.0</v>
      </c>
    </row>
    <row r="1438">
      <c r="A1438" s="1" t="s">
        <v>1443</v>
      </c>
      <c r="B1438" s="1" t="s">
        <v>784</v>
      </c>
      <c r="D1438" s="1">
        <v>200000.0</v>
      </c>
    </row>
    <row r="1439">
      <c r="A1439" s="1" t="s">
        <v>1444</v>
      </c>
      <c r="B1439" s="1" t="s">
        <v>1164</v>
      </c>
      <c r="D1439" s="1">
        <v>1540000.0</v>
      </c>
    </row>
    <row r="1440">
      <c r="B1440" s="1" t="s">
        <v>710</v>
      </c>
      <c r="D1440" s="1">
        <v>1.456032E7</v>
      </c>
    </row>
    <row r="1441">
      <c r="B1441" s="1" t="s">
        <v>1165</v>
      </c>
      <c r="D1441" s="1">
        <v>2262730.0</v>
      </c>
    </row>
    <row r="1442">
      <c r="A1442" s="1" t="s">
        <v>1440</v>
      </c>
      <c r="B1442" s="1" t="s">
        <v>1305</v>
      </c>
      <c r="D1442" s="1">
        <v>99560.0</v>
      </c>
      <c r="E1442" s="3" t="s">
        <v>1306</v>
      </c>
    </row>
    <row r="1443">
      <c r="B1443" s="1" t="s">
        <v>485</v>
      </c>
      <c r="D1443" s="1">
        <v>172290.0</v>
      </c>
      <c r="E1443" s="1" t="s">
        <v>970</v>
      </c>
    </row>
    <row r="1444">
      <c r="A1444" s="1" t="s">
        <v>1445</v>
      </c>
      <c r="B1444" s="1" t="s">
        <v>966</v>
      </c>
      <c r="D1444" s="1">
        <v>2527240.0</v>
      </c>
      <c r="E1444" s="1" t="s">
        <v>1067</v>
      </c>
    </row>
    <row r="1445">
      <c r="A1445" s="1" t="s">
        <v>1446</v>
      </c>
      <c r="B1445" s="1" t="s">
        <v>678</v>
      </c>
      <c r="D1445" s="1">
        <v>1826820.0</v>
      </c>
    </row>
    <row r="1446">
      <c r="A1446" s="1" t="s">
        <v>1447</v>
      </c>
      <c r="B1446" s="1" t="s">
        <v>1153</v>
      </c>
      <c r="D1446" s="1">
        <v>1669880.0</v>
      </c>
    </row>
    <row r="1447">
      <c r="A1447" s="1" t="s">
        <v>1448</v>
      </c>
      <c r="B1447" s="1" t="s">
        <v>221</v>
      </c>
      <c r="D1447" s="1">
        <v>1912703.0</v>
      </c>
    </row>
    <row r="1448">
      <c r="A1448" s="1" t="s">
        <v>1449</v>
      </c>
      <c r="B1448" s="1" t="s">
        <v>187</v>
      </c>
      <c r="D1448" s="1">
        <v>2073640.0</v>
      </c>
    </row>
    <row r="1449">
      <c r="A1449" s="1" t="s">
        <v>1450</v>
      </c>
      <c r="B1449" s="1" t="s">
        <v>962</v>
      </c>
      <c r="D1449" s="1">
        <v>1752573.0</v>
      </c>
    </row>
    <row r="1450">
      <c r="A1450" s="1" t="s">
        <v>1451</v>
      </c>
      <c r="B1450" s="1" t="s">
        <v>1452</v>
      </c>
      <c r="D1450" s="1">
        <v>300000.0</v>
      </c>
    </row>
    <row r="1451">
      <c r="A1451" s="1" t="s">
        <v>1449</v>
      </c>
      <c r="B1451" s="1" t="s">
        <v>811</v>
      </c>
      <c r="D1451" s="1">
        <v>348540.0</v>
      </c>
    </row>
    <row r="1452">
      <c r="B1452" s="1" t="s">
        <v>1078</v>
      </c>
      <c r="D1452" s="1">
        <v>163030.0</v>
      </c>
    </row>
    <row r="1453">
      <c r="B1453" s="1" t="s">
        <v>869</v>
      </c>
      <c r="D1453" s="1">
        <v>15000.0</v>
      </c>
    </row>
    <row r="1454">
      <c r="A1454" s="1" t="s">
        <v>1453</v>
      </c>
      <c r="B1454" s="1" t="s">
        <v>668</v>
      </c>
      <c r="D1454" s="1">
        <v>48904.0</v>
      </c>
    </row>
    <row r="1455">
      <c r="B1455" s="1" t="s">
        <v>589</v>
      </c>
      <c r="D1455" s="1">
        <v>132000.0</v>
      </c>
    </row>
    <row r="1456">
      <c r="B1456" s="1" t="s">
        <v>434</v>
      </c>
      <c r="D1456" s="1">
        <v>280000.0</v>
      </c>
    </row>
    <row r="1457">
      <c r="B1457" s="1" t="s">
        <v>1017</v>
      </c>
      <c r="D1457" s="1">
        <v>9543962.0</v>
      </c>
      <c r="E1457" s="2" t="s">
        <v>1454</v>
      </c>
    </row>
    <row r="1458">
      <c r="A1458" s="1" t="s">
        <v>1455</v>
      </c>
      <c r="B1458" s="1" t="s">
        <v>966</v>
      </c>
      <c r="D1458" s="1">
        <v>3179020.0</v>
      </c>
      <c r="E1458" s="1" t="s">
        <v>1067</v>
      </c>
    </row>
    <row r="1459">
      <c r="A1459" s="1" t="s">
        <v>1456</v>
      </c>
      <c r="B1459" s="1" t="s">
        <v>678</v>
      </c>
      <c r="D1459" s="1">
        <v>1826820.0</v>
      </c>
    </row>
    <row r="1460">
      <c r="A1460" s="1" t="s">
        <v>1457</v>
      </c>
      <c r="B1460" s="1" t="s">
        <v>1153</v>
      </c>
      <c r="D1460" s="1">
        <v>1638270.0</v>
      </c>
    </row>
    <row r="1461">
      <c r="A1461" s="1" t="s">
        <v>1458</v>
      </c>
      <c r="B1461" s="1" t="s">
        <v>221</v>
      </c>
      <c r="D1461" s="1">
        <v>1912703.0</v>
      </c>
    </row>
    <row r="1462">
      <c r="A1462" s="1" t="s">
        <v>1459</v>
      </c>
      <c r="B1462" s="1" t="s">
        <v>187</v>
      </c>
      <c r="D1462" s="1">
        <v>2073640.0</v>
      </c>
    </row>
    <row r="1463">
      <c r="A1463" s="1" t="s">
        <v>1460</v>
      </c>
      <c r="B1463" s="1" t="s">
        <v>962</v>
      </c>
      <c r="D1463" s="1">
        <v>1752573.0</v>
      </c>
    </row>
    <row r="1464">
      <c r="A1464" s="1" t="s">
        <v>1461</v>
      </c>
      <c r="B1464" s="1" t="s">
        <v>1462</v>
      </c>
      <c r="D1464" s="1">
        <v>181500.0</v>
      </c>
      <c r="E1464" s="1" t="s">
        <v>1463</v>
      </c>
    </row>
    <row r="1465">
      <c r="A1465" s="1" t="s">
        <v>1464</v>
      </c>
      <c r="B1465" s="1" t="s">
        <v>1352</v>
      </c>
      <c r="D1465" s="1">
        <v>89000.0</v>
      </c>
      <c r="E1465" s="1" t="s">
        <v>1465</v>
      </c>
    </row>
    <row r="1466">
      <c r="B1466" s="1" t="s">
        <v>1078</v>
      </c>
      <c r="D1466" s="1">
        <v>164800.0</v>
      </c>
    </row>
    <row r="1467">
      <c r="B1467" s="1" t="s">
        <v>869</v>
      </c>
      <c r="D1467" s="1">
        <v>15000.0</v>
      </c>
    </row>
    <row r="1468">
      <c r="B1468" s="1" t="s">
        <v>668</v>
      </c>
      <c r="D1468" s="1">
        <v>102068.0</v>
      </c>
    </row>
    <row r="1469">
      <c r="B1469" s="1" t="s">
        <v>589</v>
      </c>
      <c r="D1469" s="1">
        <v>132000.0</v>
      </c>
    </row>
    <row r="1470">
      <c r="B1470" s="1" t="s">
        <v>434</v>
      </c>
      <c r="D1470" s="1">
        <v>280000.0</v>
      </c>
    </row>
    <row r="1471">
      <c r="B1471" s="1" t="s">
        <v>1017</v>
      </c>
      <c r="D1471" s="1">
        <v>9528778.0</v>
      </c>
      <c r="E1471" s="2" t="s">
        <v>1466</v>
      </c>
    </row>
    <row r="1472">
      <c r="A1472" s="1" t="s">
        <v>1467</v>
      </c>
      <c r="B1472" s="1" t="s">
        <v>1168</v>
      </c>
      <c r="D1472" s="1">
        <v>2432873.0</v>
      </c>
      <c r="E1472" s="1" t="s">
        <v>1245</v>
      </c>
    </row>
    <row r="1473">
      <c r="B1473" s="1" t="s">
        <v>1468</v>
      </c>
      <c r="D1473" s="1">
        <v>1089000.0</v>
      </c>
      <c r="E1473" s="1" t="s">
        <v>1088</v>
      </c>
    </row>
    <row r="1474">
      <c r="A1474" s="1" t="s">
        <v>1469</v>
      </c>
      <c r="B1474" s="1" t="s">
        <v>208</v>
      </c>
      <c r="D1474" s="1">
        <v>302000.0</v>
      </c>
      <c r="E1474" s="1" t="s">
        <v>1470</v>
      </c>
      <c r="F1474" s="2" t="s">
        <v>1471</v>
      </c>
    </row>
    <row r="1475">
      <c r="A1475" s="1" t="s">
        <v>1472</v>
      </c>
      <c r="B1475" s="1" t="s">
        <v>678</v>
      </c>
      <c r="D1475" s="1">
        <v>1825610.0</v>
      </c>
    </row>
    <row r="1476">
      <c r="A1476" s="1" t="s">
        <v>1472</v>
      </c>
      <c r="B1476" s="1" t="s">
        <v>1153</v>
      </c>
      <c r="D1476" s="1">
        <v>1626300.0</v>
      </c>
    </row>
    <row r="1477">
      <c r="A1477" s="1" t="s">
        <v>1473</v>
      </c>
      <c r="B1477" s="1" t="s">
        <v>221</v>
      </c>
      <c r="D1477" s="1">
        <v>1907523.0</v>
      </c>
    </row>
    <row r="1478">
      <c r="A1478" s="1" t="s">
        <v>1474</v>
      </c>
      <c r="B1478" s="1" t="s">
        <v>187</v>
      </c>
      <c r="D1478" s="1">
        <v>2070350.0</v>
      </c>
    </row>
    <row r="1479">
      <c r="A1479" s="1" t="s">
        <v>1475</v>
      </c>
      <c r="B1479" s="1" t="s">
        <v>962</v>
      </c>
      <c r="D1479" s="1">
        <v>1749553.0</v>
      </c>
    </row>
    <row r="1480">
      <c r="A1480" s="1" t="s">
        <v>1476</v>
      </c>
      <c r="B1480" s="1" t="s">
        <v>1168</v>
      </c>
      <c r="D1480" s="1">
        <v>96718.0</v>
      </c>
      <c r="E1480" s="1" t="s">
        <v>1477</v>
      </c>
    </row>
    <row r="1481">
      <c r="B1481" s="1" t="s">
        <v>966</v>
      </c>
      <c r="D1481" s="1">
        <v>2673300.0</v>
      </c>
      <c r="E1481" s="1" t="s">
        <v>1067</v>
      </c>
    </row>
    <row r="1482">
      <c r="A1482" s="1" t="s">
        <v>1478</v>
      </c>
      <c r="B1482" s="1" t="s">
        <v>1093</v>
      </c>
      <c r="D1482" s="1">
        <v>77000.0</v>
      </c>
      <c r="E1482" s="1" t="s">
        <v>1236</v>
      </c>
    </row>
    <row r="1483">
      <c r="A1483" s="1" t="s">
        <v>1474</v>
      </c>
      <c r="B1483" s="1" t="s">
        <v>1078</v>
      </c>
      <c r="D1483" s="1">
        <v>169380.0</v>
      </c>
    </row>
    <row r="1484">
      <c r="B1484" s="1" t="s">
        <v>869</v>
      </c>
      <c r="D1484" s="1">
        <v>15000.0</v>
      </c>
    </row>
    <row r="1485">
      <c r="A1485" s="1" t="s">
        <v>1479</v>
      </c>
      <c r="B1485" s="1" t="s">
        <v>668</v>
      </c>
      <c r="D1485" s="1">
        <v>138972.0</v>
      </c>
    </row>
    <row r="1486">
      <c r="B1486" s="1" t="s">
        <v>589</v>
      </c>
      <c r="D1486" s="1">
        <v>132000.0</v>
      </c>
    </row>
    <row r="1487">
      <c r="B1487" s="1" t="s">
        <v>434</v>
      </c>
      <c r="D1487" s="1">
        <v>280000.0</v>
      </c>
    </row>
    <row r="1488">
      <c r="B1488" s="2" t="s">
        <v>1480</v>
      </c>
      <c r="D1488" s="1">
        <v>9203505.0</v>
      </c>
    </row>
    <row r="1489">
      <c r="A1489" s="1" t="s">
        <v>1474</v>
      </c>
      <c r="B1489" s="1" t="s">
        <v>1272</v>
      </c>
      <c r="D1489" s="1">
        <v>300000.0</v>
      </c>
    </row>
    <row r="1490">
      <c r="A1490" s="1" t="s">
        <v>1481</v>
      </c>
      <c r="B1490" s="1" t="s">
        <v>1482</v>
      </c>
      <c r="D1490" s="1">
        <v>516000.0</v>
      </c>
      <c r="E1490" s="1" t="s">
        <v>1483</v>
      </c>
    </row>
    <row r="1491">
      <c r="A1491" s="1" t="s">
        <v>1484</v>
      </c>
      <c r="B1491" s="1" t="s">
        <v>678</v>
      </c>
      <c r="D1491" s="1">
        <v>725350.0</v>
      </c>
    </row>
    <row r="1492">
      <c r="A1492" s="1" t="s">
        <v>1485</v>
      </c>
      <c r="B1492" s="1" t="s">
        <v>1153</v>
      </c>
      <c r="D1492" s="1">
        <v>1626300.0</v>
      </c>
    </row>
    <row r="1493">
      <c r="A1493" s="1" t="s">
        <v>1486</v>
      </c>
      <c r="B1493" s="1" t="s">
        <v>221</v>
      </c>
      <c r="D1493" s="1">
        <v>1907523.0</v>
      </c>
    </row>
    <row r="1494">
      <c r="A1494" s="1" t="s">
        <v>1487</v>
      </c>
      <c r="B1494" s="1" t="s">
        <v>187</v>
      </c>
      <c r="D1494" s="1">
        <v>2070350.0</v>
      </c>
    </row>
    <row r="1495">
      <c r="A1495" s="1" t="s">
        <v>1488</v>
      </c>
      <c r="B1495" s="1" t="s">
        <v>962</v>
      </c>
      <c r="D1495" s="1">
        <v>1749553.0</v>
      </c>
    </row>
    <row r="1496">
      <c r="A1496" s="1" t="s">
        <v>1481</v>
      </c>
      <c r="B1496" s="1" t="s">
        <v>966</v>
      </c>
      <c r="D1496" s="1">
        <v>2725720.0</v>
      </c>
      <c r="E1496" s="1" t="s">
        <v>1067</v>
      </c>
    </row>
    <row r="1497">
      <c r="A1497" s="1" t="s">
        <v>1484</v>
      </c>
      <c r="B1497" s="1" t="s">
        <v>485</v>
      </c>
      <c r="D1497" s="1">
        <v>89480.0</v>
      </c>
      <c r="E1497" s="3" t="s">
        <v>1306</v>
      </c>
    </row>
    <row r="1498">
      <c r="D1498" s="1">
        <v>109500.0</v>
      </c>
      <c r="E1498" s="3" t="s">
        <v>1489</v>
      </c>
    </row>
    <row r="1499">
      <c r="A1499" s="1" t="s">
        <v>1490</v>
      </c>
      <c r="B1499" s="1" t="s">
        <v>281</v>
      </c>
      <c r="D1499" s="1">
        <v>330000.0</v>
      </c>
      <c r="E1499" s="1" t="s">
        <v>1088</v>
      </c>
    </row>
    <row r="1500">
      <c r="A1500" s="1" t="s">
        <v>1491</v>
      </c>
      <c r="B1500" s="1" t="s">
        <v>1492</v>
      </c>
      <c r="D1500" s="1">
        <v>650000.0</v>
      </c>
    </row>
    <row r="1501">
      <c r="B1501" s="1" t="s">
        <v>1493</v>
      </c>
      <c r="D1501" s="1">
        <v>625000.0</v>
      </c>
    </row>
    <row r="1502">
      <c r="A1502" s="1" t="s">
        <v>1494</v>
      </c>
      <c r="B1502" s="1" t="s">
        <v>1078</v>
      </c>
      <c r="D1502" s="1">
        <v>168520.0</v>
      </c>
    </row>
    <row r="1503">
      <c r="B1503" s="1" t="s">
        <v>869</v>
      </c>
      <c r="D1503" s="1">
        <v>15000.0</v>
      </c>
    </row>
    <row r="1504">
      <c r="A1504" s="1" t="s">
        <v>1495</v>
      </c>
      <c r="B1504" s="1" t="s">
        <v>668</v>
      </c>
      <c r="D1504" s="1">
        <v>131652.0</v>
      </c>
    </row>
    <row r="1505">
      <c r="B1505" s="1" t="s">
        <v>589</v>
      </c>
      <c r="D1505" s="1">
        <v>132000.0</v>
      </c>
    </row>
    <row r="1506">
      <c r="B1506" s="1" t="s">
        <v>434</v>
      </c>
      <c r="D1506" s="1">
        <v>280000.0</v>
      </c>
    </row>
    <row r="1507">
      <c r="B1507" s="2" t="s">
        <v>1480</v>
      </c>
      <c r="D1507" s="1">
        <v>9387365.0</v>
      </c>
    </row>
    <row r="1508">
      <c r="A1508" s="1" t="s">
        <v>1488</v>
      </c>
      <c r="B1508" s="1" t="s">
        <v>966</v>
      </c>
      <c r="D1508" s="1">
        <v>2398530.0</v>
      </c>
      <c r="E1508" s="1" t="s">
        <v>1067</v>
      </c>
    </row>
    <row r="1509">
      <c r="A1509" s="1" t="s">
        <v>1496</v>
      </c>
      <c r="B1509" s="1" t="s">
        <v>678</v>
      </c>
      <c r="D1509" s="1">
        <v>665340.0</v>
      </c>
    </row>
    <row r="1510">
      <c r="A1510" s="1" t="s">
        <v>1497</v>
      </c>
      <c r="B1510" s="1" t="s">
        <v>1153</v>
      </c>
      <c r="D1510" s="1">
        <v>1626300.0</v>
      </c>
    </row>
    <row r="1511">
      <c r="A1511" s="1" t="s">
        <v>1498</v>
      </c>
      <c r="B1511" s="1" t="s">
        <v>221</v>
      </c>
      <c r="D1511" s="1">
        <v>764613.0</v>
      </c>
    </row>
    <row r="1512">
      <c r="A1512" s="1" t="s">
        <v>1499</v>
      </c>
      <c r="B1512" s="1" t="s">
        <v>187</v>
      </c>
      <c r="D1512" s="1">
        <v>2070350.0</v>
      </c>
    </row>
    <row r="1513">
      <c r="A1513" s="1" t="s">
        <v>1500</v>
      </c>
      <c r="B1513" s="1" t="s">
        <v>962</v>
      </c>
      <c r="D1513" s="1">
        <v>1749553.0</v>
      </c>
    </row>
    <row r="1514">
      <c r="A1514" s="1" t="s">
        <v>1497</v>
      </c>
      <c r="B1514" s="1" t="s">
        <v>1482</v>
      </c>
      <c r="D1514" s="1">
        <v>368000.0</v>
      </c>
      <c r="E1514" s="1" t="s">
        <v>1483</v>
      </c>
    </row>
    <row r="1515">
      <c r="A1515" s="1" t="s">
        <v>1501</v>
      </c>
      <c r="B1515" s="1" t="s">
        <v>1502</v>
      </c>
      <c r="D1515" s="1">
        <v>546000.0</v>
      </c>
      <c r="E1515" s="1" t="s">
        <v>1503</v>
      </c>
    </row>
    <row r="1516">
      <c r="B1516" s="1" t="s">
        <v>1493</v>
      </c>
      <c r="D1516" s="1">
        <v>525000.0</v>
      </c>
      <c r="E1516" s="1" t="s">
        <v>1504</v>
      </c>
    </row>
    <row r="1517">
      <c r="B1517" s="1" t="s">
        <v>1505</v>
      </c>
      <c r="D1517" s="1">
        <v>567000.0</v>
      </c>
      <c r="E1517" s="1" t="s">
        <v>1506</v>
      </c>
    </row>
    <row r="1518">
      <c r="A1518" s="1"/>
      <c r="B1518" s="2" t="s">
        <v>1507</v>
      </c>
      <c r="D1518" s="2">
        <v>200000.0</v>
      </c>
      <c r="E1518" s="1"/>
    </row>
    <row r="1519">
      <c r="A1519" s="1"/>
      <c r="B1519" s="2" t="s">
        <v>1508</v>
      </c>
      <c r="D1519" s="2">
        <v>200000.0</v>
      </c>
      <c r="E1519" s="1"/>
    </row>
    <row r="1520">
      <c r="A1520" s="1" t="s">
        <v>1501</v>
      </c>
      <c r="B1520" s="1" t="s">
        <v>1168</v>
      </c>
      <c r="D1520" s="1">
        <v>2471914.0</v>
      </c>
      <c r="E1520" s="1" t="s">
        <v>1245</v>
      </c>
    </row>
    <row r="1521">
      <c r="B1521" s="1" t="s">
        <v>784</v>
      </c>
      <c r="D1521" s="1">
        <v>400000.0</v>
      </c>
    </row>
    <row r="1522">
      <c r="A1522" s="1" t="s">
        <v>1499</v>
      </c>
      <c r="B1522" s="1" t="s">
        <v>1078</v>
      </c>
      <c r="D1522" s="1">
        <v>166970.0</v>
      </c>
    </row>
    <row r="1523">
      <c r="B1523" s="1" t="s">
        <v>869</v>
      </c>
      <c r="D1523" s="1">
        <v>15000.0</v>
      </c>
    </row>
    <row r="1524">
      <c r="A1524" s="1" t="s">
        <v>1500</v>
      </c>
      <c r="B1524" s="1" t="s">
        <v>668</v>
      </c>
      <c r="D1524" s="1">
        <v>121440.0</v>
      </c>
    </row>
    <row r="1525">
      <c r="B1525" s="1" t="s">
        <v>589</v>
      </c>
      <c r="D1525" s="1">
        <v>132000.0</v>
      </c>
    </row>
    <row r="1526">
      <c r="B1526" s="1" t="s">
        <v>434</v>
      </c>
      <c r="D1526" s="1">
        <v>280000.0</v>
      </c>
      <c r="E1526" s="1" t="s">
        <v>1509</v>
      </c>
    </row>
    <row r="1527">
      <c r="B1527" s="2" t="s">
        <v>1480</v>
      </c>
      <c r="D1527" s="1">
        <v>9478991.0</v>
      </c>
    </row>
    <row r="1528">
      <c r="A1528" s="1" t="s">
        <v>1499</v>
      </c>
      <c r="B1528" s="1" t="s">
        <v>1272</v>
      </c>
      <c r="D1528" s="1">
        <v>200000.0</v>
      </c>
    </row>
    <row r="1529">
      <c r="A1529" s="1" t="s">
        <v>1510</v>
      </c>
      <c r="B1529" s="1" t="s">
        <v>208</v>
      </c>
      <c r="D1529" s="1">
        <v>358000.0</v>
      </c>
    </row>
    <row r="1530">
      <c r="A1530" s="1" t="s">
        <v>1511</v>
      </c>
      <c r="B1530" s="1" t="s">
        <v>678</v>
      </c>
      <c r="D1530" s="1">
        <v>37520.0</v>
      </c>
    </row>
    <row r="1531">
      <c r="A1531" s="1" t="s">
        <v>1511</v>
      </c>
      <c r="B1531" s="1" t="s">
        <v>1153</v>
      </c>
      <c r="D1531" s="1">
        <v>1626300.0</v>
      </c>
    </row>
    <row r="1532">
      <c r="A1532" s="1" t="s">
        <v>1512</v>
      </c>
      <c r="B1532" s="1" t="s">
        <v>221</v>
      </c>
      <c r="D1532" s="1">
        <v>755703.0</v>
      </c>
    </row>
    <row r="1533">
      <c r="A1533" s="1" t="s">
        <v>1513</v>
      </c>
      <c r="B1533" s="1" t="s">
        <v>187</v>
      </c>
      <c r="D1533" s="1">
        <v>2070350.0</v>
      </c>
    </row>
    <row r="1534">
      <c r="A1534" s="1" t="s">
        <v>1514</v>
      </c>
      <c r="B1534" s="1" t="s">
        <v>962</v>
      </c>
      <c r="D1534" s="1">
        <v>1749553.0</v>
      </c>
    </row>
    <row r="1535">
      <c r="A1535" s="1" t="s">
        <v>1510</v>
      </c>
      <c r="B1535" s="1" t="s">
        <v>966</v>
      </c>
      <c r="D1535" s="1">
        <v>2222080.0</v>
      </c>
      <c r="E1535" s="1" t="s">
        <v>1067</v>
      </c>
    </row>
    <row r="1536">
      <c r="A1536" s="1" t="s">
        <v>1515</v>
      </c>
      <c r="B1536" s="1" t="s">
        <v>1516</v>
      </c>
      <c r="D1536" s="1">
        <v>702000.0</v>
      </c>
      <c r="E1536" s="1" t="s">
        <v>1517</v>
      </c>
    </row>
    <row r="1537">
      <c r="B1537" s="1" t="s">
        <v>1493</v>
      </c>
      <c r="D1537" s="1">
        <v>675000.0</v>
      </c>
      <c r="E1537" s="1" t="s">
        <v>1518</v>
      </c>
    </row>
    <row r="1538">
      <c r="B1538" s="1" t="s">
        <v>1519</v>
      </c>
      <c r="D1538" s="1">
        <v>783000.0</v>
      </c>
      <c r="E1538" s="1" t="s">
        <v>1520</v>
      </c>
    </row>
    <row r="1539">
      <c r="A1539" s="1" t="s">
        <v>1521</v>
      </c>
      <c r="B1539" s="1" t="s">
        <v>1078</v>
      </c>
      <c r="D1539" s="1">
        <v>170170.0</v>
      </c>
    </row>
    <row r="1540">
      <c r="B1540" s="1" t="s">
        <v>869</v>
      </c>
      <c r="D1540" s="1">
        <v>15000.0</v>
      </c>
    </row>
    <row r="1541">
      <c r="B1541" s="1" t="s">
        <v>1235</v>
      </c>
      <c r="D1541" s="1">
        <v>1.1303E7</v>
      </c>
    </row>
    <row r="1542">
      <c r="A1542" s="1" t="s">
        <v>1522</v>
      </c>
      <c r="B1542" s="1" t="s">
        <v>668</v>
      </c>
      <c r="D1542" s="1">
        <v>139100.0</v>
      </c>
    </row>
    <row r="1543">
      <c r="B1543" s="1" t="s">
        <v>589</v>
      </c>
      <c r="D1543" s="1">
        <v>132000.0</v>
      </c>
    </row>
    <row r="1544">
      <c r="B1544" s="1" t="s">
        <v>434</v>
      </c>
      <c r="D1544" s="1">
        <v>280000.0</v>
      </c>
    </row>
    <row r="1545">
      <c r="B1545" s="2" t="s">
        <v>1480</v>
      </c>
      <c r="D1545" s="1">
        <v>9155269.0</v>
      </c>
    </row>
    <row r="1546">
      <c r="A1546" s="1" t="s">
        <v>1513</v>
      </c>
      <c r="B1546" s="1" t="s">
        <v>784</v>
      </c>
      <c r="D1546" s="1">
        <v>200000.0</v>
      </c>
    </row>
    <row r="1547">
      <c r="A1547" s="1" t="s">
        <v>1523</v>
      </c>
      <c r="B1547" s="1" t="s">
        <v>208</v>
      </c>
      <c r="D1547" s="1">
        <v>360000.0</v>
      </c>
    </row>
    <row r="1548">
      <c r="A1548" s="1" t="s">
        <v>1524</v>
      </c>
      <c r="B1548" s="1" t="s">
        <v>1093</v>
      </c>
      <c r="D1548" s="1">
        <v>77000.0</v>
      </c>
      <c r="E1548" s="1" t="s">
        <v>1236</v>
      </c>
    </row>
    <row r="1549">
      <c r="B1549" s="3" t="s">
        <v>1306</v>
      </c>
      <c r="D1549" s="1">
        <v>72310.0</v>
      </c>
    </row>
    <row r="1550">
      <c r="A1550" s="1" t="s">
        <v>1525</v>
      </c>
      <c r="B1550" s="1" t="s">
        <v>966</v>
      </c>
      <c r="D1550" s="1">
        <v>2392280.0</v>
      </c>
      <c r="E1550" s="1" t="s">
        <v>1067</v>
      </c>
    </row>
    <row r="1551">
      <c r="A1551" s="1" t="s">
        <v>1526</v>
      </c>
      <c r="B1551" s="1" t="s">
        <v>678</v>
      </c>
      <c r="D1551" s="1">
        <v>1697919.0</v>
      </c>
    </row>
    <row r="1552">
      <c r="A1552" s="1" t="s">
        <v>1527</v>
      </c>
      <c r="B1552" s="1" t="s">
        <v>1153</v>
      </c>
      <c r="D1552" s="1">
        <v>1626300.0</v>
      </c>
    </row>
    <row r="1553">
      <c r="A1553" s="1" t="s">
        <v>1528</v>
      </c>
      <c r="B1553" s="1" t="s">
        <v>221</v>
      </c>
      <c r="D1553" s="1">
        <v>34364.0</v>
      </c>
    </row>
    <row r="1554">
      <c r="A1554" s="1" t="s">
        <v>1529</v>
      </c>
      <c r="B1554" s="1" t="s">
        <v>187</v>
      </c>
      <c r="D1554" s="1">
        <v>2070350.0</v>
      </c>
    </row>
    <row r="1555">
      <c r="A1555" s="1" t="s">
        <v>1530</v>
      </c>
      <c r="B1555" s="1" t="s">
        <v>962</v>
      </c>
      <c r="D1555" s="1">
        <v>1749553.0</v>
      </c>
    </row>
    <row r="1556">
      <c r="A1556" s="1" t="s">
        <v>1531</v>
      </c>
      <c r="B1556" s="1" t="s">
        <v>784</v>
      </c>
      <c r="D1556" s="1">
        <v>200000.0</v>
      </c>
    </row>
    <row r="1557">
      <c r="A1557" s="1" t="s">
        <v>1532</v>
      </c>
      <c r="B1557" s="1" t="s">
        <v>1533</v>
      </c>
      <c r="D1557" s="1">
        <v>702000.0</v>
      </c>
      <c r="E1557" s="1" t="s">
        <v>1534</v>
      </c>
    </row>
    <row r="1558">
      <c r="B1558" s="1" t="s">
        <v>1168</v>
      </c>
      <c r="D1558" s="1">
        <v>2471912.0</v>
      </c>
      <c r="E1558" s="1" t="s">
        <v>1245</v>
      </c>
    </row>
    <row r="1559">
      <c r="A1559" s="1" t="s">
        <v>1535</v>
      </c>
      <c r="B1559" s="1" t="s">
        <v>1272</v>
      </c>
      <c r="D1559" s="1">
        <v>209630.0</v>
      </c>
      <c r="E1559" s="1" t="s">
        <v>1273</v>
      </c>
    </row>
    <row r="1560">
      <c r="A1560" s="1" t="s">
        <v>1530</v>
      </c>
      <c r="B1560" s="1" t="s">
        <v>668</v>
      </c>
      <c r="D1560" s="1">
        <v>122676.0</v>
      </c>
    </row>
    <row r="1561">
      <c r="B1561" s="1" t="s">
        <v>589</v>
      </c>
      <c r="D1561" s="1">
        <v>132000.0</v>
      </c>
    </row>
    <row r="1562">
      <c r="B1562" s="1" t="s">
        <v>434</v>
      </c>
      <c r="D1562" s="1">
        <v>280000.0</v>
      </c>
    </row>
    <row r="1563">
      <c r="B1563" s="2" t="s">
        <v>1480</v>
      </c>
      <c r="D1563" s="1">
        <v>9155884.0</v>
      </c>
    </row>
    <row r="1564">
      <c r="A1564" s="1" t="s">
        <v>1536</v>
      </c>
      <c r="B1564" s="1" t="s">
        <v>208</v>
      </c>
      <c r="D1564" s="1">
        <v>460000.0</v>
      </c>
    </row>
    <row r="1565">
      <c r="A1565" s="1" t="s">
        <v>1536</v>
      </c>
      <c r="B1565" s="1" t="s">
        <v>966</v>
      </c>
      <c r="D1565" s="1">
        <v>2555800.0</v>
      </c>
      <c r="E1565" s="1" t="s">
        <v>1067</v>
      </c>
    </row>
    <row r="1566">
      <c r="A1566" s="1" t="s">
        <v>1537</v>
      </c>
      <c r="B1566" s="1" t="s">
        <v>678</v>
      </c>
      <c r="D1566" s="1">
        <v>1882137.0</v>
      </c>
    </row>
    <row r="1567">
      <c r="A1567" s="1" t="s">
        <v>1538</v>
      </c>
      <c r="B1567" s="1" t="s">
        <v>1153</v>
      </c>
      <c r="D1567" s="1">
        <v>1626300.0</v>
      </c>
    </row>
    <row r="1568">
      <c r="A1568" s="1" t="s">
        <v>1538</v>
      </c>
      <c r="B1568" s="1" t="s">
        <v>221</v>
      </c>
      <c r="D1568" s="1">
        <v>1796246.0</v>
      </c>
    </row>
    <row r="1569">
      <c r="A1569" s="1" t="s">
        <v>1539</v>
      </c>
      <c r="B1569" s="1" t="s">
        <v>187</v>
      </c>
      <c r="D1569" s="1">
        <v>2070350.0</v>
      </c>
    </row>
    <row r="1570">
      <c r="A1570" s="1" t="s">
        <v>1540</v>
      </c>
      <c r="B1570" s="1" t="s">
        <v>962</v>
      </c>
      <c r="D1570" s="1">
        <v>1749553.0</v>
      </c>
    </row>
    <row r="1571">
      <c r="A1571" s="1" t="s">
        <v>1539</v>
      </c>
      <c r="B1571" s="1" t="s">
        <v>1541</v>
      </c>
      <c r="D1571" s="1">
        <v>164430.0</v>
      </c>
    </row>
    <row r="1572">
      <c r="B1572" s="1" t="s">
        <v>1078</v>
      </c>
      <c r="D1572" s="1">
        <v>170650.0</v>
      </c>
    </row>
    <row r="1573">
      <c r="B1573" s="1" t="s">
        <v>869</v>
      </c>
      <c r="D1573" s="1">
        <v>30000.0</v>
      </c>
    </row>
    <row r="1574">
      <c r="A1574" s="1" t="s">
        <v>1540</v>
      </c>
      <c r="B1574" s="1" t="s">
        <v>668</v>
      </c>
      <c r="D1574" s="1">
        <v>195440.0</v>
      </c>
    </row>
    <row r="1575">
      <c r="B1575" s="1" t="s">
        <v>589</v>
      </c>
      <c r="D1575" s="1">
        <v>132000.0</v>
      </c>
    </row>
    <row r="1576">
      <c r="B1576" s="1" t="s">
        <v>434</v>
      </c>
      <c r="D1576" s="1">
        <v>280000.0</v>
      </c>
    </row>
    <row r="1577">
      <c r="B1577" s="1" t="s">
        <v>1480</v>
      </c>
      <c r="D1577" s="1">
        <v>9199941.0</v>
      </c>
    </row>
    <row r="1578">
      <c r="A1578" s="1" t="s">
        <v>1542</v>
      </c>
      <c r="B1578" s="1" t="s">
        <v>281</v>
      </c>
      <c r="D1578" s="1">
        <v>200000.0</v>
      </c>
      <c r="E1578" s="1" t="s">
        <v>1088</v>
      </c>
    </row>
    <row r="1579">
      <c r="A1579" s="1" t="s">
        <v>1543</v>
      </c>
      <c r="B1579" s="1" t="s">
        <v>784</v>
      </c>
      <c r="D1579" s="1">
        <v>50000.0</v>
      </c>
    </row>
    <row r="1580">
      <c r="A1580" s="1" t="s">
        <v>1544</v>
      </c>
      <c r="B1580" s="1" t="s">
        <v>678</v>
      </c>
      <c r="D1580" s="1">
        <v>1881347.0</v>
      </c>
    </row>
    <row r="1581">
      <c r="A1581" s="1" t="s">
        <v>1545</v>
      </c>
      <c r="B1581" s="1" t="s">
        <v>1153</v>
      </c>
      <c r="D1581" s="1">
        <v>1625680.0</v>
      </c>
    </row>
    <row r="1582">
      <c r="A1582" s="1" t="s">
        <v>1546</v>
      </c>
      <c r="B1582" s="1" t="s">
        <v>221</v>
      </c>
      <c r="D1582" s="1">
        <v>1906683.0</v>
      </c>
    </row>
    <row r="1583">
      <c r="A1583" s="1" t="s">
        <v>1547</v>
      </c>
      <c r="B1583" s="1" t="s">
        <v>187</v>
      </c>
      <c r="D1583" s="1">
        <v>2069430.0</v>
      </c>
    </row>
    <row r="1584">
      <c r="A1584" s="1" t="s">
        <v>1548</v>
      </c>
      <c r="B1584" s="1" t="s">
        <v>962</v>
      </c>
      <c r="D1584" s="1">
        <v>1748813.0</v>
      </c>
    </row>
    <row r="1585">
      <c r="A1585" s="1" t="s">
        <v>1549</v>
      </c>
      <c r="B1585" s="1" t="s">
        <v>966</v>
      </c>
      <c r="D1585" s="1">
        <v>2743720.0</v>
      </c>
      <c r="E1585" s="1" t="s">
        <v>1067</v>
      </c>
    </row>
    <row r="1586">
      <c r="A1586" s="1" t="s">
        <v>1550</v>
      </c>
      <c r="B1586" s="1" t="s">
        <v>1482</v>
      </c>
      <c r="D1586" s="1">
        <v>428000.0</v>
      </c>
      <c r="E1586" s="1" t="s">
        <v>1483</v>
      </c>
    </row>
    <row r="1587">
      <c r="A1587" s="2" t="s">
        <v>1551</v>
      </c>
      <c r="B1587" s="1" t="s">
        <v>1078</v>
      </c>
      <c r="D1587" s="2">
        <v>165210.0</v>
      </c>
    </row>
    <row r="1588">
      <c r="B1588" s="1" t="s">
        <v>869</v>
      </c>
      <c r="D1588" s="1">
        <v>15000.0</v>
      </c>
    </row>
    <row r="1589">
      <c r="A1589" s="2" t="s">
        <v>1548</v>
      </c>
      <c r="B1589" s="1" t="s">
        <v>668</v>
      </c>
      <c r="D1589" s="2">
        <v>312512.0</v>
      </c>
    </row>
    <row r="1590">
      <c r="B1590" s="1" t="s">
        <v>589</v>
      </c>
      <c r="D1590" s="1">
        <v>132000.0</v>
      </c>
    </row>
    <row r="1591">
      <c r="B1591" s="1" t="s">
        <v>434</v>
      </c>
      <c r="D1591" s="1">
        <v>280000.0</v>
      </c>
    </row>
    <row r="1592">
      <c r="B1592" s="1" t="s">
        <v>1480</v>
      </c>
      <c r="D1592" s="2">
        <v>9450621.0</v>
      </c>
    </row>
    <row r="1593">
      <c r="A1593" s="2" t="s">
        <v>1552</v>
      </c>
      <c r="B1593" s="1" t="s">
        <v>784</v>
      </c>
      <c r="D1593" s="1">
        <v>50000.0</v>
      </c>
    </row>
    <row r="1594">
      <c r="A1594" s="2" t="s">
        <v>1548</v>
      </c>
      <c r="B1594" s="2" t="s">
        <v>1553</v>
      </c>
      <c r="D1594" s="2">
        <v>187000.0</v>
      </c>
      <c r="E1594" s="2" t="s">
        <v>1554</v>
      </c>
    </row>
    <row r="1595">
      <c r="A1595" s="2" t="s">
        <v>1555</v>
      </c>
      <c r="B1595" s="1" t="s">
        <v>966</v>
      </c>
      <c r="D1595" s="1">
        <v>2743720.0</v>
      </c>
      <c r="E1595" s="1" t="s">
        <v>1067</v>
      </c>
    </row>
    <row r="1596">
      <c r="B1596" s="1" t="s">
        <v>1482</v>
      </c>
      <c r="D1596" s="2">
        <v>430000.0</v>
      </c>
      <c r="E1596" s="1" t="s">
        <v>1483</v>
      </c>
    </row>
    <row r="1597">
      <c r="A1597" s="2" t="s">
        <v>1556</v>
      </c>
      <c r="B1597" s="1" t="s">
        <v>678</v>
      </c>
      <c r="D1597" s="1">
        <v>1881347.0</v>
      </c>
    </row>
    <row r="1598">
      <c r="A1598" s="2" t="s">
        <v>1557</v>
      </c>
      <c r="B1598" s="1" t="s">
        <v>1153</v>
      </c>
      <c r="D1598" s="1">
        <v>1625680.0</v>
      </c>
    </row>
    <row r="1599">
      <c r="A1599" s="2" t="s">
        <v>1558</v>
      </c>
      <c r="B1599" s="1" t="s">
        <v>221</v>
      </c>
      <c r="D1599" s="2">
        <v>1963156.0</v>
      </c>
    </row>
    <row r="1600">
      <c r="A1600" s="2" t="s">
        <v>1559</v>
      </c>
      <c r="B1600" s="1" t="s">
        <v>187</v>
      </c>
      <c r="D1600" s="2">
        <v>2107760.0</v>
      </c>
    </row>
    <row r="1601">
      <c r="A1601" s="2" t="s">
        <v>1560</v>
      </c>
      <c r="B1601" s="1" t="s">
        <v>962</v>
      </c>
      <c r="D1601" s="1">
        <v>1748813.0</v>
      </c>
    </row>
    <row r="1602">
      <c r="A1602" s="2" t="s">
        <v>1561</v>
      </c>
      <c r="B1602" s="1" t="s">
        <v>1421</v>
      </c>
      <c r="D1602" s="2">
        <v>710504.0</v>
      </c>
      <c r="E1602" s="1" t="s">
        <v>1422</v>
      </c>
    </row>
    <row r="1603">
      <c r="A1603" s="2" t="s">
        <v>1562</v>
      </c>
      <c r="B1603" s="2" t="s">
        <v>1563</v>
      </c>
      <c r="D1603" s="2">
        <v>249000.0</v>
      </c>
      <c r="E1603" s="2" t="s">
        <v>1564</v>
      </c>
    </row>
    <row r="1604">
      <c r="A1604" s="2" t="s">
        <v>1565</v>
      </c>
      <c r="B1604" s="1" t="s">
        <v>485</v>
      </c>
      <c r="D1604" s="2">
        <v>87580.0</v>
      </c>
      <c r="E1604" s="2" t="s">
        <v>1566</v>
      </c>
    </row>
    <row r="1605">
      <c r="A1605" s="2" t="s">
        <v>1567</v>
      </c>
      <c r="B1605" s="1" t="s">
        <v>1078</v>
      </c>
      <c r="D1605" s="2">
        <v>162700.0</v>
      </c>
    </row>
    <row r="1606">
      <c r="B1606" s="1" t="s">
        <v>869</v>
      </c>
      <c r="D1606" s="1">
        <v>15000.0</v>
      </c>
    </row>
    <row r="1607">
      <c r="A1607" s="2" t="s">
        <v>1568</v>
      </c>
      <c r="B1607" s="1" t="s">
        <v>668</v>
      </c>
      <c r="D1607" s="2">
        <v>167288.0</v>
      </c>
    </row>
    <row r="1608">
      <c r="B1608" s="1" t="s">
        <v>589</v>
      </c>
      <c r="D1608" s="1">
        <v>132000.0</v>
      </c>
    </row>
    <row r="1609">
      <c r="B1609" s="1" t="s">
        <v>434</v>
      </c>
      <c r="D1609" s="1">
        <v>280000.0</v>
      </c>
    </row>
    <row r="1610">
      <c r="B1610" s="1" t="s">
        <v>1480</v>
      </c>
      <c r="D1610" s="2">
        <v>9541931.0</v>
      </c>
    </row>
    <row r="1611">
      <c r="A1611" s="2" t="s">
        <v>1569</v>
      </c>
      <c r="B1611" s="1" t="s">
        <v>1168</v>
      </c>
      <c r="D1611" s="2">
        <v>2486291.0</v>
      </c>
      <c r="E1611" s="1" t="s">
        <v>1245</v>
      </c>
    </row>
    <row r="1612">
      <c r="B1612" s="1" t="s">
        <v>784</v>
      </c>
      <c r="D1612" s="2">
        <v>30000.0</v>
      </c>
      <c r="E1612" s="2" t="s">
        <v>1570</v>
      </c>
    </row>
    <row r="1613">
      <c r="A1613" s="2" t="s">
        <v>1571</v>
      </c>
      <c r="B1613" s="1" t="s">
        <v>1482</v>
      </c>
      <c r="D1613" s="2">
        <v>420000.0</v>
      </c>
      <c r="E1613" s="1" t="s">
        <v>1483</v>
      </c>
    </row>
    <row r="1614">
      <c r="B1614" s="2" t="s">
        <v>1572</v>
      </c>
      <c r="D1614" s="2">
        <v>100000.0</v>
      </c>
      <c r="E1614" s="2" t="s">
        <v>1573</v>
      </c>
    </row>
    <row r="1615">
      <c r="B1615" s="2" t="s">
        <v>1574</v>
      </c>
      <c r="D1615" s="2">
        <v>30000.0</v>
      </c>
      <c r="E1615" s="2" t="s">
        <v>1573</v>
      </c>
    </row>
    <row r="1616">
      <c r="A1616" s="2" t="s">
        <v>1575</v>
      </c>
      <c r="B1616" s="2" t="s">
        <v>1093</v>
      </c>
      <c r="D1616" s="2">
        <v>154000.0</v>
      </c>
      <c r="E1616" s="1" t="s">
        <v>1236</v>
      </c>
    </row>
    <row r="1617">
      <c r="B1617" s="1" t="s">
        <v>966</v>
      </c>
      <c r="D1617" s="1">
        <v>2743720.0</v>
      </c>
      <c r="E1617" s="1" t="s">
        <v>1067</v>
      </c>
    </row>
    <row r="1618">
      <c r="A1618" s="2" t="s">
        <v>1576</v>
      </c>
      <c r="B1618" s="1" t="s">
        <v>678</v>
      </c>
      <c r="D1618" s="2">
        <v>2033447.0</v>
      </c>
    </row>
    <row r="1619">
      <c r="A1619" s="2" t="s">
        <v>1577</v>
      </c>
      <c r="B1619" s="1" t="s">
        <v>1153</v>
      </c>
      <c r="D1619" s="2">
        <v>1672411.0</v>
      </c>
    </row>
    <row r="1620">
      <c r="A1620" s="2" t="s">
        <v>1578</v>
      </c>
      <c r="B1620" s="1" t="s">
        <v>221</v>
      </c>
      <c r="D1620" s="2">
        <v>2136196.0</v>
      </c>
    </row>
    <row r="1621">
      <c r="A1621" s="2" t="s">
        <v>1579</v>
      </c>
      <c r="B1621" s="1" t="s">
        <v>187</v>
      </c>
      <c r="D1621" s="2">
        <v>2409520.0</v>
      </c>
    </row>
    <row r="1622">
      <c r="A1622" s="2" t="s">
        <v>1580</v>
      </c>
      <c r="B1622" s="1" t="s">
        <v>962</v>
      </c>
      <c r="D1622" s="2">
        <v>1937023.0</v>
      </c>
    </row>
    <row r="1623">
      <c r="A1623" s="2" t="s">
        <v>1581</v>
      </c>
      <c r="B1623" s="1" t="s">
        <v>1078</v>
      </c>
      <c r="D1623" s="2">
        <v>164660.0</v>
      </c>
    </row>
    <row r="1624">
      <c r="B1624" s="1" t="s">
        <v>869</v>
      </c>
      <c r="D1624" s="1">
        <v>15000.0</v>
      </c>
    </row>
    <row r="1625">
      <c r="A1625" s="2" t="s">
        <v>1582</v>
      </c>
      <c r="B1625" s="1" t="s">
        <v>668</v>
      </c>
      <c r="D1625" s="2">
        <v>134708.0</v>
      </c>
    </row>
    <row r="1626">
      <c r="B1626" s="1" t="s">
        <v>589</v>
      </c>
      <c r="D1626" s="1">
        <v>132000.0</v>
      </c>
    </row>
    <row r="1627">
      <c r="B1627" s="1" t="s">
        <v>434</v>
      </c>
      <c r="D1627" s="1">
        <v>280000.0</v>
      </c>
    </row>
    <row r="1628">
      <c r="B1628" s="1" t="s">
        <v>1480</v>
      </c>
      <c r="D1628" s="2">
        <v>9371794.0</v>
      </c>
    </row>
    <row r="1629">
      <c r="A1629" s="2" t="s">
        <v>1583</v>
      </c>
      <c r="B1629" s="2" t="s">
        <v>1584</v>
      </c>
      <c r="D1629" s="2">
        <v>20000.0</v>
      </c>
      <c r="E1629" s="2" t="s">
        <v>1570</v>
      </c>
    </row>
    <row r="1630">
      <c r="A1630" s="2" t="s">
        <v>1585</v>
      </c>
      <c r="B1630" s="1" t="s">
        <v>1482</v>
      </c>
      <c r="D1630" s="2">
        <v>300000.0</v>
      </c>
      <c r="E1630" s="1" t="s">
        <v>1483</v>
      </c>
    </row>
    <row r="1631">
      <c r="A1631" s="2" t="s">
        <v>1586</v>
      </c>
      <c r="B1631" s="1" t="s">
        <v>966</v>
      </c>
      <c r="D1631" s="2">
        <v>2252350.0</v>
      </c>
      <c r="E1631" s="1" t="s">
        <v>1067</v>
      </c>
    </row>
    <row r="1632">
      <c r="A1632" s="2" t="s">
        <v>1587</v>
      </c>
      <c r="B1632" s="1" t="s">
        <v>678</v>
      </c>
      <c r="D1632" s="2">
        <v>2019607.0</v>
      </c>
    </row>
    <row r="1633">
      <c r="A1633" s="2" t="s">
        <v>1588</v>
      </c>
      <c r="B1633" s="1" t="s">
        <v>1153</v>
      </c>
      <c r="D1633" s="2">
        <v>1566860.0</v>
      </c>
    </row>
    <row r="1634">
      <c r="A1634" s="2" t="s">
        <v>1589</v>
      </c>
      <c r="B1634" s="1" t="s">
        <v>221</v>
      </c>
      <c r="D1634" s="2">
        <v>2116096.0</v>
      </c>
    </row>
    <row r="1635">
      <c r="A1635" s="2" t="s">
        <v>1590</v>
      </c>
      <c r="B1635" s="1" t="s">
        <v>187</v>
      </c>
      <c r="D1635" s="2">
        <v>2108000.0</v>
      </c>
    </row>
    <row r="1636">
      <c r="A1636" s="2" t="s">
        <v>1591</v>
      </c>
      <c r="B1636" s="1" t="s">
        <v>962</v>
      </c>
      <c r="D1636" s="2">
        <v>1726953.0</v>
      </c>
    </row>
    <row r="1637">
      <c r="A1637" s="2" t="s">
        <v>1587</v>
      </c>
      <c r="B1637" s="1" t="s">
        <v>1078</v>
      </c>
      <c r="D1637" s="2">
        <v>163050.0</v>
      </c>
    </row>
    <row r="1638">
      <c r="B1638" s="1" t="s">
        <v>869</v>
      </c>
      <c r="D1638" s="1">
        <v>15000.0</v>
      </c>
    </row>
    <row r="1639">
      <c r="A1639" s="2" t="s">
        <v>1592</v>
      </c>
      <c r="B1639" s="1" t="s">
        <v>668</v>
      </c>
      <c r="D1639" s="2">
        <v>90756.0</v>
      </c>
    </row>
    <row r="1640">
      <c r="B1640" s="1" t="s">
        <v>589</v>
      </c>
      <c r="D1640" s="1">
        <v>132000.0</v>
      </c>
    </row>
    <row r="1641">
      <c r="B1641" s="1" t="s">
        <v>434</v>
      </c>
      <c r="D1641" s="1">
        <v>280000.0</v>
      </c>
    </row>
    <row r="1642">
      <c r="B1642" s="1" t="s">
        <v>1480</v>
      </c>
      <c r="D1642" s="2">
        <v>9359738.0</v>
      </c>
    </row>
    <row r="1643">
      <c r="A1643" s="2" t="s">
        <v>1593</v>
      </c>
      <c r="B1643" s="1" t="s">
        <v>1272</v>
      </c>
      <c r="D1643" s="2">
        <v>209990.0</v>
      </c>
      <c r="E1643" s="2" t="s">
        <v>1273</v>
      </c>
    </row>
    <row r="1644">
      <c r="A1644" s="2" t="s">
        <v>1594</v>
      </c>
      <c r="B1644" s="2" t="s">
        <v>1595</v>
      </c>
      <c r="D1644" s="2">
        <v>1550000.0</v>
      </c>
      <c r="E1644" s="2" t="s">
        <v>1596</v>
      </c>
    </row>
    <row r="1645">
      <c r="A1645" s="2" t="s">
        <v>1597</v>
      </c>
      <c r="B1645" s="1" t="s">
        <v>966</v>
      </c>
      <c r="D1645" s="2">
        <v>2831930.0</v>
      </c>
      <c r="E1645" s="1" t="s">
        <v>1067</v>
      </c>
    </row>
    <row r="1646">
      <c r="A1646" s="2" t="s">
        <v>1598</v>
      </c>
      <c r="B1646" s="1" t="s">
        <v>678</v>
      </c>
      <c r="D1646" s="2">
        <v>1863757.0</v>
      </c>
    </row>
    <row r="1647">
      <c r="A1647" s="2" t="s">
        <v>1599</v>
      </c>
      <c r="B1647" s="1" t="s">
        <v>1153</v>
      </c>
      <c r="D1647" s="2">
        <v>1685423.0</v>
      </c>
    </row>
    <row r="1648">
      <c r="A1648" s="2" t="s">
        <v>1600</v>
      </c>
      <c r="B1648" s="1" t="s">
        <v>221</v>
      </c>
      <c r="D1648" s="2">
        <v>1947196.0</v>
      </c>
    </row>
    <row r="1649">
      <c r="A1649" s="2" t="s">
        <v>1601</v>
      </c>
      <c r="B1649" s="1" t="s">
        <v>187</v>
      </c>
      <c r="D1649" s="2">
        <v>2104840.0</v>
      </c>
    </row>
    <row r="1650">
      <c r="A1650" s="2" t="s">
        <v>1602</v>
      </c>
      <c r="B1650" s="1" t="s">
        <v>962</v>
      </c>
      <c r="D1650" s="2">
        <v>1801937.0</v>
      </c>
      <c r="E1650" s="2" t="s">
        <v>1603</v>
      </c>
    </row>
    <row r="1651">
      <c r="A1651" s="2" t="s">
        <v>1604</v>
      </c>
      <c r="B1651" s="1" t="s">
        <v>1482</v>
      </c>
      <c r="D1651" s="2">
        <v>340000.0</v>
      </c>
      <c r="E1651" s="1" t="s">
        <v>1483</v>
      </c>
    </row>
    <row r="1652">
      <c r="A1652" s="2" t="s">
        <v>1605</v>
      </c>
      <c r="B1652" s="1" t="s">
        <v>1093</v>
      </c>
      <c r="D1652" s="1">
        <v>77000.0</v>
      </c>
      <c r="E1652" s="1" t="s">
        <v>1236</v>
      </c>
    </row>
    <row r="1653">
      <c r="A1653" s="2" t="s">
        <v>1606</v>
      </c>
      <c r="B1653" s="1" t="s">
        <v>1078</v>
      </c>
      <c r="D1653" s="2">
        <v>169280.0</v>
      </c>
    </row>
    <row r="1654">
      <c r="B1654" s="1" t="s">
        <v>869</v>
      </c>
      <c r="D1654" s="1">
        <v>15000.0</v>
      </c>
    </row>
    <row r="1655">
      <c r="A1655" s="2" t="s">
        <v>1607</v>
      </c>
      <c r="B1655" s="1" t="s">
        <v>668</v>
      </c>
      <c r="D1655" s="2">
        <v>117880.0</v>
      </c>
    </row>
    <row r="1656">
      <c r="B1656" s="1" t="s">
        <v>589</v>
      </c>
      <c r="D1656" s="1">
        <v>132000.0</v>
      </c>
    </row>
    <row r="1657">
      <c r="B1657" s="1" t="s">
        <v>434</v>
      </c>
      <c r="D1657" s="1">
        <v>280000.0</v>
      </c>
    </row>
    <row r="1658">
      <c r="B1658" s="1" t="s">
        <v>1480</v>
      </c>
      <c r="D1658" s="2">
        <v>9346488.0</v>
      </c>
    </row>
    <row r="1659">
      <c r="A1659" s="2" t="s">
        <v>1608</v>
      </c>
      <c r="B1659" s="1" t="s">
        <v>1168</v>
      </c>
      <c r="D1659" s="2">
        <v>2510523.0</v>
      </c>
      <c r="E1659" s="1" t="s">
        <v>1245</v>
      </c>
    </row>
    <row r="1660">
      <c r="A1660" s="2" t="s">
        <v>1607</v>
      </c>
      <c r="B1660" s="2" t="s">
        <v>1609</v>
      </c>
      <c r="D1660" s="2">
        <v>1485000.0</v>
      </c>
    </row>
    <row r="1661">
      <c r="B1661" s="2" t="s">
        <v>1610</v>
      </c>
      <c r="D1661" s="2">
        <v>1760000.0</v>
      </c>
    </row>
    <row r="1662">
      <c r="A1662" s="2" t="s">
        <v>1608</v>
      </c>
      <c r="B1662" s="2" t="s">
        <v>1611</v>
      </c>
      <c r="D1662" s="2">
        <v>1.174278E7</v>
      </c>
    </row>
    <row r="1663">
      <c r="A1663" s="2"/>
      <c r="B1663" s="2" t="s">
        <v>1612</v>
      </c>
      <c r="D1663" s="2">
        <v>3479860.0</v>
      </c>
    </row>
    <row r="1664">
      <c r="A1664" s="2" t="s">
        <v>1613</v>
      </c>
      <c r="B1664" s="1" t="s">
        <v>1482</v>
      </c>
      <c r="D1664" s="2">
        <v>350000.0</v>
      </c>
      <c r="E1664" s="1" t="s">
        <v>1483</v>
      </c>
    </row>
    <row r="1665">
      <c r="A1665" s="2"/>
      <c r="B1665" s="1" t="s">
        <v>966</v>
      </c>
      <c r="D1665" s="2">
        <v>2795020.0</v>
      </c>
      <c r="E1665" s="1" t="s">
        <v>1067</v>
      </c>
    </row>
    <row r="1666">
      <c r="A1666" s="2" t="s">
        <v>1614</v>
      </c>
      <c r="B1666" s="1" t="s">
        <v>678</v>
      </c>
      <c r="D1666" s="2">
        <v>554657.0</v>
      </c>
    </row>
    <row r="1667">
      <c r="A1667" s="2" t="s">
        <v>1615</v>
      </c>
      <c r="B1667" s="1" t="s">
        <v>1153</v>
      </c>
      <c r="D1667" s="2">
        <v>1673883.0</v>
      </c>
    </row>
    <row r="1668">
      <c r="A1668" s="2" t="s">
        <v>1616</v>
      </c>
      <c r="B1668" s="1" t="s">
        <v>221</v>
      </c>
      <c r="D1668" s="2">
        <v>1961276.0</v>
      </c>
    </row>
    <row r="1669">
      <c r="A1669" s="2" t="s">
        <v>1617</v>
      </c>
      <c r="B1669" s="1" t="s">
        <v>187</v>
      </c>
      <c r="D1669" s="2">
        <v>2106470.0</v>
      </c>
    </row>
    <row r="1670">
      <c r="A1670" s="2" t="s">
        <v>1618</v>
      </c>
      <c r="B1670" s="1" t="s">
        <v>962</v>
      </c>
      <c r="D1670" s="2">
        <v>1802727.0</v>
      </c>
    </row>
    <row r="1671">
      <c r="A1671" s="2" t="s">
        <v>1619</v>
      </c>
      <c r="B1671" s="2" t="s">
        <v>1620</v>
      </c>
      <c r="D1671" s="2">
        <v>728000.0</v>
      </c>
      <c r="E1671" s="2" t="s">
        <v>1621</v>
      </c>
    </row>
    <row r="1672">
      <c r="A1672" s="2"/>
      <c r="B1672" s="1" t="s">
        <v>1493</v>
      </c>
      <c r="D1672" s="2">
        <v>700000.0</v>
      </c>
      <c r="E1672" s="2" t="s">
        <v>1622</v>
      </c>
    </row>
    <row r="1673">
      <c r="A1673" s="2" t="s">
        <v>1617</v>
      </c>
      <c r="B1673" s="1" t="s">
        <v>1078</v>
      </c>
      <c r="D1673" s="2">
        <v>165190.0</v>
      </c>
    </row>
    <row r="1674">
      <c r="A1674" s="2"/>
      <c r="B1674" s="1" t="s">
        <v>869</v>
      </c>
      <c r="D1674" s="1">
        <v>15000.0</v>
      </c>
    </row>
    <row r="1675">
      <c r="A1675" s="2" t="s">
        <v>1618</v>
      </c>
      <c r="B1675" s="1" t="s">
        <v>668</v>
      </c>
      <c r="D1675" s="2">
        <v>174796.0</v>
      </c>
    </row>
    <row r="1676">
      <c r="B1676" s="1" t="s">
        <v>589</v>
      </c>
      <c r="D1676" s="1">
        <v>132000.0</v>
      </c>
    </row>
    <row r="1677">
      <c r="B1677" s="1" t="s">
        <v>434</v>
      </c>
      <c r="D1677" s="1">
        <v>280000.0</v>
      </c>
    </row>
    <row r="1678">
      <c r="B1678" s="1" t="s">
        <v>1480</v>
      </c>
      <c r="D1678" s="2">
        <v>9464073.0</v>
      </c>
    </row>
    <row r="1679">
      <c r="A1679" s="2" t="s">
        <v>1623</v>
      </c>
      <c r="B1679" s="1" t="s">
        <v>1482</v>
      </c>
      <c r="D1679" s="2">
        <v>470000.0</v>
      </c>
      <c r="E1679" s="1" t="s">
        <v>1483</v>
      </c>
    </row>
    <row r="1680">
      <c r="A1680" s="2" t="s">
        <v>1624</v>
      </c>
      <c r="B1680" s="1" t="s">
        <v>966</v>
      </c>
      <c r="D1680" s="2">
        <v>5677320.0</v>
      </c>
      <c r="E1680" s="1" t="s">
        <v>1067</v>
      </c>
    </row>
    <row r="1681">
      <c r="A1681" s="2" t="s">
        <v>1625</v>
      </c>
      <c r="B1681" s="1" t="s">
        <v>678</v>
      </c>
      <c r="D1681" s="2">
        <v>718177.0</v>
      </c>
    </row>
    <row r="1682">
      <c r="A1682" s="2" t="s">
        <v>1625</v>
      </c>
      <c r="B1682" s="1" t="s">
        <v>1153</v>
      </c>
      <c r="D1682" s="2">
        <v>1666453.0</v>
      </c>
    </row>
    <row r="1683">
      <c r="A1683" s="2" t="s">
        <v>1626</v>
      </c>
      <c r="B1683" s="1" t="s">
        <v>221</v>
      </c>
      <c r="D1683" s="2">
        <v>1961276.0</v>
      </c>
    </row>
    <row r="1684">
      <c r="A1684" s="2" t="s">
        <v>1627</v>
      </c>
      <c r="B1684" s="1" t="s">
        <v>187</v>
      </c>
      <c r="D1684" s="2">
        <v>2103680.0</v>
      </c>
    </row>
    <row r="1685">
      <c r="A1685" s="2" t="s">
        <v>1628</v>
      </c>
      <c r="B1685" s="1" t="s">
        <v>962</v>
      </c>
      <c r="D1685" s="2">
        <v>1800167.0</v>
      </c>
    </row>
    <row r="1686">
      <c r="A1686" s="2" t="s">
        <v>1629</v>
      </c>
      <c r="B1686" s="2" t="s">
        <v>1630</v>
      </c>
      <c r="D1686" s="2">
        <v>728000.0</v>
      </c>
      <c r="E1686" s="2" t="s">
        <v>1621</v>
      </c>
    </row>
    <row r="1687">
      <c r="A1687" s="2"/>
      <c r="B1687" s="1" t="s">
        <v>1493</v>
      </c>
      <c r="D1687" s="2">
        <v>700000.0</v>
      </c>
      <c r="E1687" s="2" t="s">
        <v>1622</v>
      </c>
    </row>
    <row r="1688">
      <c r="A1688" s="2"/>
      <c r="B1688" s="2" t="s">
        <v>1631</v>
      </c>
      <c r="D1688" s="2">
        <v>100000.0</v>
      </c>
    </row>
    <row r="1689">
      <c r="A1689" s="2" t="s">
        <v>1626</v>
      </c>
      <c r="B1689" s="1" t="s">
        <v>1352</v>
      </c>
      <c r="D1689" s="2">
        <v>98380.0</v>
      </c>
      <c r="E1689" s="2" t="s">
        <v>1632</v>
      </c>
    </row>
    <row r="1690">
      <c r="A1690" s="2" t="s">
        <v>1627</v>
      </c>
      <c r="B1690" s="2" t="s">
        <v>1633</v>
      </c>
      <c r="D1690" s="2">
        <v>1.174278E7</v>
      </c>
    </row>
    <row r="1691">
      <c r="A1691" s="2"/>
      <c r="B1691" s="1" t="s">
        <v>1078</v>
      </c>
      <c r="D1691" s="2">
        <v>187250.0</v>
      </c>
    </row>
    <row r="1692">
      <c r="A1692" s="2"/>
      <c r="B1692" s="1" t="s">
        <v>869</v>
      </c>
      <c r="D1692" s="1">
        <v>15000.0</v>
      </c>
    </row>
    <row r="1693">
      <c r="A1693" s="2" t="s">
        <v>1634</v>
      </c>
      <c r="B1693" s="1" t="s">
        <v>1272</v>
      </c>
      <c r="D1693" s="2">
        <v>300000.0</v>
      </c>
      <c r="E1693" s="2" t="s">
        <v>1273</v>
      </c>
    </row>
    <row r="1694">
      <c r="A1694" s="2" t="s">
        <v>1635</v>
      </c>
      <c r="B1694" s="1" t="s">
        <v>668</v>
      </c>
      <c r="D1694" s="2">
        <v>256704.0</v>
      </c>
    </row>
    <row r="1695">
      <c r="B1695" s="1" t="s">
        <v>589</v>
      </c>
      <c r="D1695" s="1">
        <v>132000.0</v>
      </c>
    </row>
    <row r="1696">
      <c r="B1696" s="1" t="s">
        <v>434</v>
      </c>
      <c r="D1696" s="1">
        <v>280000.0</v>
      </c>
    </row>
    <row r="1697">
      <c r="A1697" s="2" t="s">
        <v>1628</v>
      </c>
      <c r="B1697" s="1" t="s">
        <v>1480</v>
      </c>
      <c r="D1697" s="2">
        <v>9491219.0</v>
      </c>
    </row>
    <row r="1698">
      <c r="A1698" s="2" t="s">
        <v>1636</v>
      </c>
      <c r="B1698" s="1" t="s">
        <v>1482</v>
      </c>
      <c r="D1698" s="2">
        <v>350000.0</v>
      </c>
      <c r="E1698" s="1" t="s">
        <v>1483</v>
      </c>
    </row>
    <row r="1699">
      <c r="A1699" s="2" t="s">
        <v>1637</v>
      </c>
      <c r="B1699" s="1" t="s">
        <v>966</v>
      </c>
      <c r="D1699" s="2">
        <v>2867480.0</v>
      </c>
      <c r="E1699" s="1" t="s">
        <v>1067</v>
      </c>
    </row>
    <row r="1700">
      <c r="A1700" s="2" t="s">
        <v>1638</v>
      </c>
      <c r="B1700" s="1" t="s">
        <v>678</v>
      </c>
      <c r="D1700" s="2">
        <v>0.0</v>
      </c>
      <c r="E1700" s="2" t="s">
        <v>1639</v>
      </c>
    </row>
    <row r="1701">
      <c r="A1701" s="2" t="s">
        <v>1640</v>
      </c>
      <c r="B1701" s="1" t="s">
        <v>1153</v>
      </c>
      <c r="D1701" s="2">
        <v>1666453.0</v>
      </c>
    </row>
    <row r="1702">
      <c r="A1702" s="2" t="s">
        <v>1641</v>
      </c>
      <c r="B1702" s="1" t="s">
        <v>221</v>
      </c>
      <c r="D1702" s="2">
        <v>1961276.0</v>
      </c>
    </row>
    <row r="1703">
      <c r="A1703" s="2" t="s">
        <v>1642</v>
      </c>
      <c r="B1703" s="1" t="s">
        <v>187</v>
      </c>
      <c r="D1703" s="2">
        <v>2103680.0</v>
      </c>
    </row>
    <row r="1704">
      <c r="A1704" s="2" t="s">
        <v>1643</v>
      </c>
      <c r="B1704" s="1" t="s">
        <v>962</v>
      </c>
      <c r="D1704" s="2">
        <v>1800167.0</v>
      </c>
    </row>
    <row r="1705">
      <c r="A1705" s="2" t="s">
        <v>1644</v>
      </c>
      <c r="B1705" s="2" t="s">
        <v>1630</v>
      </c>
      <c r="D1705" s="2">
        <v>675000.0</v>
      </c>
      <c r="E1705" s="2" t="s">
        <v>1645</v>
      </c>
    </row>
    <row r="1706">
      <c r="A1706" s="2"/>
      <c r="B1706" s="1" t="s">
        <v>1493</v>
      </c>
      <c r="D1706" s="2">
        <v>650000.0</v>
      </c>
      <c r="E1706" s="2" t="s">
        <v>1646</v>
      </c>
    </row>
    <row r="1707">
      <c r="A1707" s="2" t="s">
        <v>1644</v>
      </c>
      <c r="B1707" s="2" t="s">
        <v>1647</v>
      </c>
      <c r="D1707" s="2">
        <v>297000.0</v>
      </c>
      <c r="E1707" s="2" t="s">
        <v>1573</v>
      </c>
    </row>
    <row r="1708">
      <c r="A1708" s="2" t="s">
        <v>1641</v>
      </c>
      <c r="B1708" s="1" t="s">
        <v>1345</v>
      </c>
      <c r="D1708" s="2">
        <v>254100.0</v>
      </c>
      <c r="E1708" s="1" t="s">
        <v>1346</v>
      </c>
    </row>
    <row r="1709">
      <c r="A1709" s="2" t="s">
        <v>1642</v>
      </c>
      <c r="B1709" s="1" t="s">
        <v>1078</v>
      </c>
      <c r="D1709" s="2">
        <v>169110.0</v>
      </c>
    </row>
    <row r="1710">
      <c r="A1710" s="2"/>
      <c r="B1710" s="1" t="s">
        <v>869</v>
      </c>
      <c r="D1710" s="1">
        <v>15000.0</v>
      </c>
    </row>
    <row r="1711">
      <c r="A1711" s="2" t="s">
        <v>1648</v>
      </c>
      <c r="B1711" s="1" t="s">
        <v>668</v>
      </c>
      <c r="D1711" s="2">
        <v>116060.0</v>
      </c>
    </row>
    <row r="1712">
      <c r="B1712" s="1" t="s">
        <v>589</v>
      </c>
      <c r="D1712" s="1">
        <v>132000.0</v>
      </c>
    </row>
    <row r="1713">
      <c r="B1713" s="1" t="s">
        <v>434</v>
      </c>
      <c r="D1713" s="1">
        <v>280000.0</v>
      </c>
    </row>
    <row r="1714">
      <c r="A1714" s="2"/>
      <c r="B1714" s="1" t="s">
        <v>1480</v>
      </c>
      <c r="D1714" s="2">
        <v>9601586.0</v>
      </c>
    </row>
    <row r="1715">
      <c r="A1715" s="2" t="s">
        <v>1643</v>
      </c>
      <c r="B1715" s="2" t="s">
        <v>1649</v>
      </c>
      <c r="D1715" s="2">
        <v>70000.0</v>
      </c>
    </row>
    <row r="1716">
      <c r="A1716" s="2" t="s">
        <v>1650</v>
      </c>
      <c r="B1716" s="1" t="s">
        <v>1482</v>
      </c>
      <c r="D1716" s="2">
        <v>340000.0</v>
      </c>
      <c r="E1716" s="1" t="s">
        <v>1483</v>
      </c>
    </row>
    <row r="1717">
      <c r="B1717" s="1" t="s">
        <v>966</v>
      </c>
      <c r="D1717" s="2">
        <v>2867480.0</v>
      </c>
      <c r="E1717" s="1" t="s">
        <v>1067</v>
      </c>
    </row>
    <row r="1718">
      <c r="A1718" s="2" t="s">
        <v>1651</v>
      </c>
      <c r="B1718" s="1" t="s">
        <v>678</v>
      </c>
      <c r="D1718" s="2">
        <v>1958257.0</v>
      </c>
    </row>
    <row r="1719">
      <c r="A1719" s="2" t="s">
        <v>1652</v>
      </c>
      <c r="B1719" s="1" t="s">
        <v>1153</v>
      </c>
      <c r="D1719" s="2">
        <v>1666453.0</v>
      </c>
    </row>
    <row r="1720">
      <c r="A1720" s="2" t="s">
        <v>1652</v>
      </c>
      <c r="B1720" s="1" t="s">
        <v>221</v>
      </c>
      <c r="D1720" s="2">
        <v>1961276.0</v>
      </c>
    </row>
    <row r="1721">
      <c r="A1721" s="2" t="s">
        <v>1653</v>
      </c>
      <c r="B1721" s="1" t="s">
        <v>187</v>
      </c>
      <c r="D1721" s="2">
        <v>2103680.0</v>
      </c>
    </row>
    <row r="1722">
      <c r="A1722" s="2" t="s">
        <v>1654</v>
      </c>
      <c r="B1722" s="1" t="s">
        <v>962</v>
      </c>
      <c r="D1722" s="2">
        <v>1800167.0</v>
      </c>
    </row>
    <row r="1723">
      <c r="A1723" s="2" t="s">
        <v>1652</v>
      </c>
      <c r="B1723" s="2" t="s">
        <v>1655</v>
      </c>
      <c r="D1723" s="2">
        <v>49400.0</v>
      </c>
    </row>
    <row r="1724">
      <c r="B1724" s="2" t="s">
        <v>1656</v>
      </c>
      <c r="D1724" s="2">
        <v>396000.0</v>
      </c>
      <c r="E1724" s="1" t="s">
        <v>1088</v>
      </c>
    </row>
    <row r="1725">
      <c r="A1725" s="2" t="s">
        <v>1653</v>
      </c>
      <c r="B1725" s="2" t="s">
        <v>1657</v>
      </c>
      <c r="D1725" s="2">
        <v>148551.0</v>
      </c>
      <c r="E1725" s="2" t="s">
        <v>1658</v>
      </c>
    </row>
    <row r="1726">
      <c r="A1726" s="2" t="s">
        <v>1659</v>
      </c>
      <c r="B1726" s="1" t="s">
        <v>1272</v>
      </c>
      <c r="D1726" s="2">
        <v>15660.0</v>
      </c>
      <c r="E1726" s="2" t="s">
        <v>1273</v>
      </c>
    </row>
    <row r="1727">
      <c r="A1727" s="2" t="s">
        <v>1660</v>
      </c>
      <c r="B1727" s="1" t="s">
        <v>1078</v>
      </c>
      <c r="D1727" s="2">
        <v>162900.0</v>
      </c>
    </row>
    <row r="1728">
      <c r="A1728" s="2"/>
      <c r="B1728" s="1" t="s">
        <v>869</v>
      </c>
      <c r="D1728" s="2">
        <v>15000.0</v>
      </c>
    </row>
    <row r="1729">
      <c r="A1729" s="2" t="s">
        <v>1648</v>
      </c>
      <c r="B1729" s="1" t="s">
        <v>668</v>
      </c>
      <c r="D1729" s="2">
        <v>101096.0</v>
      </c>
    </row>
    <row r="1730">
      <c r="B1730" s="1" t="s">
        <v>589</v>
      </c>
      <c r="D1730" s="1">
        <v>132000.0</v>
      </c>
    </row>
    <row r="1731">
      <c r="B1731" s="1" t="s">
        <v>434</v>
      </c>
      <c r="D1731" s="2">
        <v>280000.0</v>
      </c>
    </row>
    <row r="1732">
      <c r="A1732" s="2"/>
      <c r="B1732" s="1" t="s">
        <v>1480</v>
      </c>
      <c r="D1732" s="2">
        <v>9690708.0</v>
      </c>
    </row>
    <row r="1733">
      <c r="A1733" s="2" t="s">
        <v>1661</v>
      </c>
      <c r="B1733" s="2" t="s">
        <v>1662</v>
      </c>
      <c r="D1733" s="2">
        <v>110000.0</v>
      </c>
      <c r="E1733" s="1" t="s">
        <v>1346</v>
      </c>
    </row>
    <row r="1734">
      <c r="A1734" s="2" t="s">
        <v>1663</v>
      </c>
      <c r="B1734" s="2" t="s">
        <v>1664</v>
      </c>
      <c r="D1734" s="2">
        <v>495000.0</v>
      </c>
      <c r="E1734" s="1" t="s">
        <v>1088</v>
      </c>
    </row>
    <row r="1735">
      <c r="B1735" s="2" t="s">
        <v>1665</v>
      </c>
      <c r="D1735" s="2">
        <v>396000.0</v>
      </c>
      <c r="E1735" s="1" t="s">
        <v>1088</v>
      </c>
    </row>
    <row r="1736">
      <c r="A1736" s="2" t="s">
        <v>1666</v>
      </c>
      <c r="B1736" s="1" t="s">
        <v>1482</v>
      </c>
      <c r="D1736" s="2">
        <v>408000.0</v>
      </c>
      <c r="E1736" s="1" t="s">
        <v>1483</v>
      </c>
    </row>
    <row r="1737">
      <c r="A1737" s="2" t="s">
        <v>1667</v>
      </c>
      <c r="B1737" s="1" t="s">
        <v>966</v>
      </c>
      <c r="D1737" s="2">
        <v>3031000.0</v>
      </c>
      <c r="E1737" s="1" t="s">
        <v>1067</v>
      </c>
    </row>
    <row r="1738">
      <c r="A1738" s="2" t="s">
        <v>1668</v>
      </c>
      <c r="B1738" s="1" t="s">
        <v>678</v>
      </c>
      <c r="D1738" s="2">
        <v>1876497.0</v>
      </c>
    </row>
    <row r="1739">
      <c r="A1739" s="2" t="s">
        <v>1669</v>
      </c>
      <c r="B1739" s="1" t="s">
        <v>1153</v>
      </c>
      <c r="D1739" s="2">
        <v>1666453.0</v>
      </c>
    </row>
    <row r="1740">
      <c r="A1740" s="2" t="s">
        <v>1670</v>
      </c>
      <c r="B1740" s="1" t="s">
        <v>221</v>
      </c>
      <c r="D1740" s="2">
        <v>1961276.0</v>
      </c>
    </row>
    <row r="1741">
      <c r="A1741" s="2" t="s">
        <v>1671</v>
      </c>
      <c r="B1741" s="1" t="s">
        <v>187</v>
      </c>
      <c r="D1741" s="2">
        <v>2103680.0</v>
      </c>
    </row>
    <row r="1742">
      <c r="A1742" s="2" t="s">
        <v>1672</v>
      </c>
      <c r="B1742" s="1" t="s">
        <v>962</v>
      </c>
      <c r="D1742" s="2">
        <v>1800167.0</v>
      </c>
    </row>
    <row r="1743">
      <c r="A1743" s="2" t="s">
        <v>1673</v>
      </c>
      <c r="B1743" s="2" t="s">
        <v>1674</v>
      </c>
      <c r="D1743" s="2">
        <v>280000.0</v>
      </c>
    </row>
    <row r="1744">
      <c r="A1744" s="2" t="s">
        <v>1675</v>
      </c>
      <c r="B1744" s="2" t="s">
        <v>1235</v>
      </c>
      <c r="D1744" s="2">
        <v>1.7399E7</v>
      </c>
    </row>
    <row r="1745">
      <c r="B1745" s="1" t="s">
        <v>1078</v>
      </c>
      <c r="D1745" s="2">
        <v>169860.0</v>
      </c>
    </row>
    <row r="1746">
      <c r="B1746" s="1" t="s">
        <v>869</v>
      </c>
      <c r="D1746" s="2">
        <v>15000.0</v>
      </c>
    </row>
    <row r="1747">
      <c r="A1747" s="2" t="s">
        <v>1676</v>
      </c>
      <c r="B1747" s="1" t="s">
        <v>668</v>
      </c>
      <c r="D1747" s="2">
        <v>172800.0</v>
      </c>
    </row>
    <row r="1748">
      <c r="B1748" s="1" t="s">
        <v>589</v>
      </c>
      <c r="D1748" s="1">
        <v>132000.0</v>
      </c>
    </row>
    <row r="1749">
      <c r="B1749" s="1" t="s">
        <v>434</v>
      </c>
      <c r="D1749" s="2">
        <v>280000.0</v>
      </c>
    </row>
    <row r="1750">
      <c r="B1750" s="1" t="s">
        <v>1480</v>
      </c>
      <c r="D1750" s="2">
        <v>9328321.0</v>
      </c>
    </row>
    <row r="1751">
      <c r="A1751" s="2" t="s">
        <v>1677</v>
      </c>
      <c r="B1751" s="2" t="s">
        <v>1678</v>
      </c>
      <c r="D1751" s="2">
        <v>28000.0</v>
      </c>
      <c r="E1751" s="2" t="s">
        <v>1679</v>
      </c>
    </row>
    <row r="1752">
      <c r="B1752" s="2" t="s">
        <v>1680</v>
      </c>
      <c r="D1752" s="2">
        <v>1050000.0</v>
      </c>
    </row>
    <row r="1753">
      <c r="B1753" s="2" t="s">
        <v>1681</v>
      </c>
      <c r="D1753" s="2">
        <v>127550.0</v>
      </c>
      <c r="E1753" s="2" t="s">
        <v>1573</v>
      </c>
    </row>
    <row r="1754">
      <c r="A1754" s="2" t="s">
        <v>1682</v>
      </c>
      <c r="B1754" s="2" t="s">
        <v>281</v>
      </c>
      <c r="D1754" s="2">
        <v>99000.0</v>
      </c>
      <c r="E1754" s="1" t="s">
        <v>1088</v>
      </c>
    </row>
    <row r="1755">
      <c r="B1755" s="1" t="s">
        <v>1482</v>
      </c>
      <c r="D1755" s="2">
        <v>440000.0</v>
      </c>
      <c r="E1755" s="1" t="s">
        <v>1483</v>
      </c>
    </row>
    <row r="1756">
      <c r="A1756" s="2" t="s">
        <v>1683</v>
      </c>
      <c r="B1756" s="1" t="s">
        <v>966</v>
      </c>
      <c r="D1756" s="2">
        <v>3031000.0</v>
      </c>
      <c r="E1756" s="1" t="s">
        <v>1067</v>
      </c>
    </row>
    <row r="1757">
      <c r="A1757" s="2" t="s">
        <v>1684</v>
      </c>
      <c r="B1757" s="1" t="s">
        <v>678</v>
      </c>
      <c r="D1757" s="2">
        <v>1930760.0</v>
      </c>
    </row>
    <row r="1758">
      <c r="A1758" s="2" t="s">
        <v>1685</v>
      </c>
      <c r="B1758" s="1" t="s">
        <v>1153</v>
      </c>
      <c r="D1758" s="2">
        <v>1666453.0</v>
      </c>
    </row>
    <row r="1759">
      <c r="A1759" s="2" t="s">
        <v>1686</v>
      </c>
      <c r="B1759" s="1" t="s">
        <v>221</v>
      </c>
      <c r="D1759" s="2">
        <v>1961276.0</v>
      </c>
    </row>
    <row r="1760">
      <c r="A1760" s="2" t="s">
        <v>1687</v>
      </c>
      <c r="B1760" s="1" t="s">
        <v>187</v>
      </c>
      <c r="D1760" s="2">
        <v>2103680.0</v>
      </c>
    </row>
    <row r="1761">
      <c r="A1761" s="2" t="s">
        <v>1688</v>
      </c>
      <c r="B1761" s="1" t="s">
        <v>962</v>
      </c>
      <c r="D1761" s="2">
        <v>1800167.0</v>
      </c>
    </row>
    <row r="1762">
      <c r="A1762" s="2" t="s">
        <v>1685</v>
      </c>
      <c r="B1762" s="1" t="s">
        <v>1093</v>
      </c>
      <c r="D1762" s="1">
        <v>77000.0</v>
      </c>
      <c r="E1762" s="1" t="s">
        <v>1236</v>
      </c>
    </row>
    <row r="1763">
      <c r="A1763" s="2" t="s">
        <v>1689</v>
      </c>
      <c r="B1763" s="2" t="s">
        <v>784</v>
      </c>
      <c r="D1763" s="2">
        <v>400000.0</v>
      </c>
      <c r="E1763" s="2" t="s">
        <v>1690</v>
      </c>
    </row>
    <row r="1764">
      <c r="A1764" s="2" t="s">
        <v>1687</v>
      </c>
      <c r="B1764" s="1" t="s">
        <v>1078</v>
      </c>
      <c r="D1764" s="2">
        <v>163130.0</v>
      </c>
    </row>
    <row r="1765">
      <c r="B1765" s="1" t="s">
        <v>869</v>
      </c>
      <c r="D1765" s="2">
        <v>15000.0</v>
      </c>
    </row>
    <row r="1766">
      <c r="A1766" s="2" t="s">
        <v>1688</v>
      </c>
      <c r="B1766" s="1" t="s">
        <v>668</v>
      </c>
      <c r="D1766" s="2">
        <v>111496.0</v>
      </c>
    </row>
    <row r="1767">
      <c r="B1767" s="1" t="s">
        <v>589</v>
      </c>
      <c r="D1767" s="1">
        <v>132000.0</v>
      </c>
    </row>
    <row r="1768">
      <c r="B1768" s="1" t="s">
        <v>434</v>
      </c>
      <c r="D1768" s="2">
        <v>280000.0</v>
      </c>
    </row>
    <row r="1769">
      <c r="B1769" s="1" t="s">
        <v>1480</v>
      </c>
      <c r="D1769" s="2">
        <v>9383276.0</v>
      </c>
    </row>
    <row r="1770">
      <c r="A1770" s="2" t="s">
        <v>1691</v>
      </c>
      <c r="B1770" s="2" t="s">
        <v>1692</v>
      </c>
      <c r="D1770" s="2">
        <v>101325.0</v>
      </c>
      <c r="E1770" s="4" t="s">
        <v>1693</v>
      </c>
    </row>
    <row r="1771">
      <c r="A1771" s="2" t="s">
        <v>1694</v>
      </c>
      <c r="B1771" s="2" t="s">
        <v>1695</v>
      </c>
      <c r="D1771" s="2">
        <v>5106509.0</v>
      </c>
      <c r="E1771" s="1" t="s">
        <v>1245</v>
      </c>
    </row>
    <row r="1772">
      <c r="A1772" s="2" t="s">
        <v>1696</v>
      </c>
      <c r="B1772" s="1" t="s">
        <v>966</v>
      </c>
      <c r="D1772" s="2">
        <v>3031000.0</v>
      </c>
      <c r="E1772" s="1" t="s">
        <v>1067</v>
      </c>
    </row>
    <row r="1773">
      <c r="A1773" s="2" t="s">
        <v>1697</v>
      </c>
      <c r="B1773" s="1" t="s">
        <v>1482</v>
      </c>
      <c r="D1773" s="2">
        <v>400000.0</v>
      </c>
      <c r="E1773" s="1" t="s">
        <v>1483</v>
      </c>
    </row>
    <row r="1774">
      <c r="A1774" s="2" t="s">
        <v>1698</v>
      </c>
      <c r="B1774" s="1" t="s">
        <v>678</v>
      </c>
      <c r="D1774" s="2">
        <v>1932650.0</v>
      </c>
    </row>
    <row r="1775">
      <c r="A1775" s="2" t="s">
        <v>1699</v>
      </c>
      <c r="B1775" s="1" t="s">
        <v>1153</v>
      </c>
      <c r="D1775" s="2">
        <v>1666453.0</v>
      </c>
    </row>
    <row r="1776">
      <c r="A1776" s="2" t="s">
        <v>1700</v>
      </c>
      <c r="B1776" s="1" t="s">
        <v>221</v>
      </c>
      <c r="D1776" s="2">
        <v>1961276.0</v>
      </c>
    </row>
    <row r="1777">
      <c r="A1777" s="2" t="s">
        <v>1701</v>
      </c>
      <c r="B1777" s="1" t="s">
        <v>187</v>
      </c>
      <c r="D1777" s="2">
        <v>2103680.0</v>
      </c>
    </row>
    <row r="1778">
      <c r="A1778" s="2" t="s">
        <v>1702</v>
      </c>
      <c r="B1778" s="1" t="s">
        <v>962</v>
      </c>
      <c r="D1778" s="2">
        <v>1800167.0</v>
      </c>
    </row>
    <row r="1779">
      <c r="A1779" s="2" t="s">
        <v>1703</v>
      </c>
      <c r="B1779" s="1" t="s">
        <v>1272</v>
      </c>
      <c r="D1779" s="2">
        <v>204320.0</v>
      </c>
      <c r="E1779" s="2" t="s">
        <v>1273</v>
      </c>
    </row>
    <row r="1780">
      <c r="A1780" s="2" t="s">
        <v>1701</v>
      </c>
      <c r="B1780" s="1" t="s">
        <v>1078</v>
      </c>
      <c r="D1780" s="2">
        <v>164620.0</v>
      </c>
    </row>
    <row r="1781">
      <c r="B1781" s="1" t="s">
        <v>869</v>
      </c>
      <c r="D1781" s="2">
        <v>15000.0</v>
      </c>
    </row>
    <row r="1782">
      <c r="A1782" s="2" t="s">
        <v>1704</v>
      </c>
      <c r="B1782" s="1" t="s">
        <v>668</v>
      </c>
      <c r="D1782" s="2">
        <v>85840.0</v>
      </c>
    </row>
    <row r="1783">
      <c r="B1783" s="1" t="s">
        <v>589</v>
      </c>
      <c r="D1783" s="1">
        <v>132000.0</v>
      </c>
    </row>
    <row r="1784">
      <c r="B1784" s="1" t="s">
        <v>434</v>
      </c>
      <c r="D1784" s="2">
        <v>280000.0</v>
      </c>
    </row>
    <row r="1785">
      <c r="B1785" s="1" t="s">
        <v>1480</v>
      </c>
      <c r="D1785" s="2">
        <v>9381517.0</v>
      </c>
    </row>
    <row r="1786">
      <c r="A1786" s="2" t="s">
        <v>1705</v>
      </c>
      <c r="B1786" s="1" t="s">
        <v>1482</v>
      </c>
      <c r="D1786" s="2">
        <v>420000.0</v>
      </c>
      <c r="E1786" s="1" t="s">
        <v>1483</v>
      </c>
    </row>
    <row r="1787">
      <c r="A1787" s="2" t="s">
        <v>1706</v>
      </c>
      <c r="B1787" s="1" t="s">
        <v>966</v>
      </c>
      <c r="D1787" s="2">
        <v>3042250.0</v>
      </c>
      <c r="E1787" s="1" t="s">
        <v>1067</v>
      </c>
    </row>
    <row r="1788">
      <c r="A1788" s="2" t="s">
        <v>1707</v>
      </c>
      <c r="B1788" s="1" t="s">
        <v>1093</v>
      </c>
      <c r="D1788" s="1">
        <v>77000.0</v>
      </c>
      <c r="E1788" s="1" t="s">
        <v>1236</v>
      </c>
    </row>
    <row r="1789">
      <c r="A1789" s="2" t="s">
        <v>1708</v>
      </c>
      <c r="B1789" s="1" t="s">
        <v>1153</v>
      </c>
      <c r="D1789" s="2">
        <v>1665993.0</v>
      </c>
    </row>
    <row r="1790">
      <c r="A1790" s="2" t="s">
        <v>1709</v>
      </c>
      <c r="B1790" s="1" t="s">
        <v>221</v>
      </c>
      <c r="D1790" s="2">
        <v>1960726.0</v>
      </c>
    </row>
    <row r="1791">
      <c r="A1791" s="2"/>
      <c r="B1791" s="2" t="s">
        <v>1710</v>
      </c>
      <c r="D1791" s="2">
        <v>1195800.0</v>
      </c>
    </row>
    <row r="1792">
      <c r="A1792" s="2" t="s">
        <v>1711</v>
      </c>
      <c r="B1792" s="1" t="s">
        <v>187</v>
      </c>
      <c r="D1792" s="2">
        <v>2103080.0</v>
      </c>
    </row>
    <row r="1793">
      <c r="A1793" s="2" t="s">
        <v>1712</v>
      </c>
      <c r="B1793" s="1" t="s">
        <v>962</v>
      </c>
      <c r="D1793" s="2">
        <v>1799687.0</v>
      </c>
    </row>
    <row r="1794">
      <c r="A1794" s="2" t="s">
        <v>1713</v>
      </c>
      <c r="B1794" s="1" t="s">
        <v>1078</v>
      </c>
      <c r="D1794" s="2">
        <v>164960.0</v>
      </c>
    </row>
    <row r="1795">
      <c r="B1795" s="1" t="s">
        <v>869</v>
      </c>
      <c r="D1795" s="2">
        <v>15000.0</v>
      </c>
    </row>
    <row r="1796">
      <c r="A1796" s="2" t="s">
        <v>1712</v>
      </c>
      <c r="B1796" s="1" t="s">
        <v>668</v>
      </c>
      <c r="D1796" s="2">
        <v>138264.0</v>
      </c>
    </row>
    <row r="1797">
      <c r="B1797" s="1" t="s">
        <v>589</v>
      </c>
      <c r="D1797" s="1">
        <v>132000.0</v>
      </c>
    </row>
    <row r="1798">
      <c r="B1798" s="1" t="s">
        <v>434</v>
      </c>
      <c r="D1798" s="2">
        <v>280000.0</v>
      </c>
    </row>
    <row r="1799">
      <c r="B1799" s="1" t="s">
        <v>1480</v>
      </c>
      <c r="D1799" s="2">
        <v>9403072.0</v>
      </c>
    </row>
    <row r="1800">
      <c r="A1800" s="2" t="s">
        <v>1714</v>
      </c>
      <c r="B1800" s="2" t="s">
        <v>1715</v>
      </c>
      <c r="D1800" s="2">
        <v>245494.0</v>
      </c>
    </row>
    <row r="1801">
      <c r="A1801" s="2" t="s">
        <v>1716</v>
      </c>
      <c r="B1801" s="2" t="s">
        <v>1717</v>
      </c>
      <c r="D1801" s="2">
        <v>396000.0</v>
      </c>
      <c r="E1801" s="1" t="s">
        <v>1088</v>
      </c>
    </row>
    <row r="1802">
      <c r="A1802" s="2" t="s">
        <v>1712</v>
      </c>
      <c r="B1802" s="2" t="s">
        <v>784</v>
      </c>
      <c r="D1802" s="2">
        <v>200000.0</v>
      </c>
      <c r="E1802" s="2" t="s">
        <v>1690</v>
      </c>
    </row>
    <row r="1803">
      <c r="A1803" s="2" t="s">
        <v>1718</v>
      </c>
      <c r="B1803" s="1" t="s">
        <v>1482</v>
      </c>
      <c r="D1803" s="2">
        <v>500000.0</v>
      </c>
      <c r="E1803" s="1" t="s">
        <v>1483</v>
      </c>
    </row>
    <row r="1804">
      <c r="A1804" s="2" t="s">
        <v>1719</v>
      </c>
      <c r="B1804" s="1" t="s">
        <v>966</v>
      </c>
      <c r="D1804" s="2">
        <v>2647750.0</v>
      </c>
      <c r="E1804" s="1" t="s">
        <v>1067</v>
      </c>
    </row>
    <row r="1805">
      <c r="A1805" s="2" t="s">
        <v>1720</v>
      </c>
      <c r="B1805" s="1" t="s">
        <v>1153</v>
      </c>
      <c r="D1805" s="2">
        <v>1665993.0</v>
      </c>
    </row>
    <row r="1806">
      <c r="A1806" s="2" t="s">
        <v>1721</v>
      </c>
      <c r="B1806" s="1" t="s">
        <v>221</v>
      </c>
      <c r="D1806" s="2">
        <v>1960726.0</v>
      </c>
    </row>
    <row r="1807">
      <c r="A1807" s="2"/>
      <c r="B1807" s="2" t="s">
        <v>1710</v>
      </c>
      <c r="D1807" s="2">
        <v>1195800.0</v>
      </c>
    </row>
    <row r="1808">
      <c r="A1808" s="2" t="s">
        <v>1722</v>
      </c>
      <c r="B1808" s="1" t="s">
        <v>187</v>
      </c>
      <c r="D1808" s="2">
        <v>2103080.0</v>
      </c>
    </row>
    <row r="1809">
      <c r="A1809" s="2" t="s">
        <v>1723</v>
      </c>
      <c r="B1809" s="1" t="s">
        <v>962</v>
      </c>
      <c r="D1809" s="2">
        <v>1799687.0</v>
      </c>
    </row>
    <row r="1810">
      <c r="A1810" s="2" t="s">
        <v>1721</v>
      </c>
      <c r="B1810" s="2" t="s">
        <v>1724</v>
      </c>
      <c r="D1810" s="2">
        <v>109920.0</v>
      </c>
    </row>
    <row r="1811">
      <c r="B1811" s="1" t="s">
        <v>221</v>
      </c>
      <c r="D1811" s="2">
        <v>128480.0</v>
      </c>
    </row>
    <row r="1812">
      <c r="B1812" s="1" t="s">
        <v>187</v>
      </c>
      <c r="D1812" s="2">
        <v>320820.0</v>
      </c>
    </row>
    <row r="1813">
      <c r="B1813" s="1" t="s">
        <v>962</v>
      </c>
      <c r="D1813" s="2">
        <v>194150.0</v>
      </c>
    </row>
    <row r="1814">
      <c r="B1814" s="2" t="s">
        <v>678</v>
      </c>
      <c r="D1814" s="2">
        <v>174630.0</v>
      </c>
    </row>
    <row r="1815">
      <c r="A1815" s="2" t="s">
        <v>1725</v>
      </c>
      <c r="B1815" s="2" t="s">
        <v>1168</v>
      </c>
      <c r="D1815" s="2">
        <v>2133777.0</v>
      </c>
      <c r="E1815" s="1" t="s">
        <v>1245</v>
      </c>
    </row>
    <row r="1816">
      <c r="B1816" s="1" t="s">
        <v>1272</v>
      </c>
      <c r="D1816" s="2">
        <v>193720.0</v>
      </c>
      <c r="E1816" s="2" t="s">
        <v>1273</v>
      </c>
    </row>
    <row r="1817">
      <c r="A1817" s="2" t="s">
        <v>1726</v>
      </c>
      <c r="B1817" s="1" t="s">
        <v>1078</v>
      </c>
      <c r="D1817" s="2">
        <v>162640.0</v>
      </c>
    </row>
    <row r="1818">
      <c r="B1818" s="1" t="s">
        <v>869</v>
      </c>
      <c r="D1818" s="2">
        <v>15000.0</v>
      </c>
    </row>
    <row r="1819">
      <c r="A1819" s="2" t="s">
        <v>1727</v>
      </c>
      <c r="B1819" s="1" t="s">
        <v>668</v>
      </c>
      <c r="D1819" s="2">
        <v>73936.0</v>
      </c>
    </row>
    <row r="1820">
      <c r="B1820" s="1" t="s">
        <v>589</v>
      </c>
      <c r="D1820" s="1">
        <v>132000.0</v>
      </c>
    </row>
    <row r="1821">
      <c r="B1821" s="1" t="s">
        <v>434</v>
      </c>
      <c r="D1821" s="2">
        <v>310000.0</v>
      </c>
      <c r="E1821" s="2" t="s">
        <v>1728</v>
      </c>
    </row>
    <row r="1822">
      <c r="B1822" s="1" t="s">
        <v>1480</v>
      </c>
      <c r="D1822" s="2">
        <v>9409520.0</v>
      </c>
    </row>
    <row r="1823">
      <c r="B1823" s="2" t="s">
        <v>1729</v>
      </c>
      <c r="D1823" s="2">
        <v>99000.0</v>
      </c>
      <c r="E1823" s="2" t="s">
        <v>1730</v>
      </c>
    </row>
    <row r="1824">
      <c r="A1824" s="2" t="s">
        <v>1731</v>
      </c>
      <c r="B1824" s="1" t="s">
        <v>1482</v>
      </c>
      <c r="D1824" s="2">
        <v>430000.0</v>
      </c>
      <c r="E1824" s="1" t="s">
        <v>1483</v>
      </c>
    </row>
    <row r="1825">
      <c r="A1825" s="2" t="s">
        <v>1732</v>
      </c>
      <c r="B1825" s="1" t="s">
        <v>966</v>
      </c>
      <c r="D1825" s="2">
        <v>2920160.0</v>
      </c>
      <c r="E1825" s="1" t="s">
        <v>1067</v>
      </c>
    </row>
    <row r="1826">
      <c r="A1826" s="2" t="s">
        <v>1733</v>
      </c>
      <c r="B1826" s="1" t="s">
        <v>1153</v>
      </c>
      <c r="D1826" s="2">
        <v>1665993.0</v>
      </c>
    </row>
    <row r="1827">
      <c r="A1827" s="2" t="s">
        <v>1734</v>
      </c>
      <c r="B1827" s="1" t="s">
        <v>221</v>
      </c>
      <c r="D1827" s="2">
        <v>2012740.0</v>
      </c>
    </row>
    <row r="1828">
      <c r="A1828" s="2"/>
      <c r="B1828" s="2" t="s">
        <v>1710</v>
      </c>
      <c r="D1828" s="2">
        <v>1616843.0</v>
      </c>
    </row>
    <row r="1829">
      <c r="A1829" s="2" t="s">
        <v>1735</v>
      </c>
      <c r="B1829" s="1" t="s">
        <v>187</v>
      </c>
      <c r="D1829" s="2">
        <v>2103080.0</v>
      </c>
    </row>
    <row r="1830">
      <c r="A1830" s="2" t="s">
        <v>1736</v>
      </c>
      <c r="B1830" s="1" t="s">
        <v>962</v>
      </c>
      <c r="D1830" s="2">
        <v>1799687.0</v>
      </c>
    </row>
    <row r="1831">
      <c r="A1831" s="2" t="s">
        <v>1737</v>
      </c>
      <c r="B1831" s="2" t="s">
        <v>1738</v>
      </c>
      <c r="D1831" s="2">
        <v>300000.0</v>
      </c>
    </row>
    <row r="1832">
      <c r="B1832" s="2" t="s">
        <v>1739</v>
      </c>
      <c r="D1832" s="2">
        <v>557840.0</v>
      </c>
      <c r="E1832" s="2" t="s">
        <v>934</v>
      </c>
    </row>
    <row r="1833">
      <c r="A1833" s="2" t="s">
        <v>1740</v>
      </c>
      <c r="B1833" s="1" t="s">
        <v>1078</v>
      </c>
      <c r="D1833" s="2">
        <v>165400.0</v>
      </c>
    </row>
    <row r="1834">
      <c r="A1834" s="2" t="s">
        <v>1741</v>
      </c>
      <c r="B1834" s="1" t="s">
        <v>869</v>
      </c>
      <c r="D1834" s="2">
        <v>15000.0</v>
      </c>
    </row>
    <row r="1835">
      <c r="A1835" s="2" t="s">
        <v>1742</v>
      </c>
      <c r="B1835" s="1" t="s">
        <v>668</v>
      </c>
      <c r="D1835" s="2">
        <v>156536.0</v>
      </c>
    </row>
    <row r="1836">
      <c r="B1836" s="1" t="s">
        <v>589</v>
      </c>
      <c r="D1836" s="1">
        <v>132000.0</v>
      </c>
    </row>
    <row r="1837">
      <c r="B1837" s="1" t="s">
        <v>434</v>
      </c>
      <c r="D1837" s="2">
        <v>290000.0</v>
      </c>
    </row>
    <row r="1838">
      <c r="B1838" s="1" t="s">
        <v>1480</v>
      </c>
      <c r="D1838" s="2">
        <v>9366693.0</v>
      </c>
    </row>
    <row r="1839">
      <c r="B1839" s="1" t="s">
        <v>1093</v>
      </c>
      <c r="D1839" s="2">
        <v>154000.0</v>
      </c>
      <c r="E1839" s="1" t="s">
        <v>1236</v>
      </c>
    </row>
    <row r="1840">
      <c r="A1840" s="2" t="s">
        <v>1743</v>
      </c>
      <c r="B1840" s="1" t="s">
        <v>966</v>
      </c>
      <c r="D1840" s="2">
        <v>2935120.0</v>
      </c>
      <c r="E1840" s="1" t="s">
        <v>1067</v>
      </c>
    </row>
    <row r="1841">
      <c r="A1841" s="2" t="s">
        <v>1744</v>
      </c>
      <c r="B1841" s="1" t="s">
        <v>1153</v>
      </c>
      <c r="D1841" s="2">
        <v>1646603.0</v>
      </c>
    </row>
    <row r="1842">
      <c r="A1842" s="2" t="s">
        <v>1745</v>
      </c>
      <c r="B1842" s="1" t="s">
        <v>221</v>
      </c>
      <c r="D1842" s="2">
        <v>2020060.0</v>
      </c>
    </row>
    <row r="1843">
      <c r="A1843" s="2"/>
      <c r="B1843" s="2" t="s">
        <v>1710</v>
      </c>
      <c r="D1843" s="2">
        <v>1616843.0</v>
      </c>
    </row>
    <row r="1844">
      <c r="A1844" s="2" t="s">
        <v>1746</v>
      </c>
      <c r="B1844" s="1" t="s">
        <v>187</v>
      </c>
      <c r="D1844" s="2">
        <v>2101950.0</v>
      </c>
    </row>
    <row r="1845">
      <c r="A1845" s="2" t="s">
        <v>1747</v>
      </c>
      <c r="B1845" s="1" t="s">
        <v>962</v>
      </c>
      <c r="D1845" s="2">
        <v>1777367.0</v>
      </c>
    </row>
    <row r="1846">
      <c r="A1846" s="2" t="s">
        <v>1748</v>
      </c>
      <c r="B1846" s="1" t="s">
        <v>1482</v>
      </c>
      <c r="D1846" s="2">
        <v>450000.0</v>
      </c>
      <c r="E1846" s="1" t="s">
        <v>1483</v>
      </c>
    </row>
    <row r="1847">
      <c r="B1847" s="2" t="s">
        <v>1749</v>
      </c>
      <c r="D1847" s="2">
        <v>200000.0</v>
      </c>
      <c r="E1847" s="1" t="s">
        <v>1088</v>
      </c>
    </row>
    <row r="1848">
      <c r="A1848" s="2" t="s">
        <v>1750</v>
      </c>
      <c r="B1848" s="2" t="s">
        <v>1751</v>
      </c>
      <c r="D1848" s="2">
        <v>100000.0</v>
      </c>
    </row>
    <row r="1849">
      <c r="B1849" s="2" t="s">
        <v>1752</v>
      </c>
      <c r="D1849" s="2">
        <v>400000.0</v>
      </c>
    </row>
    <row r="1850">
      <c r="A1850" s="2"/>
      <c r="B1850" s="2" t="s">
        <v>1753</v>
      </c>
      <c r="D1850" s="2">
        <v>1000000.0</v>
      </c>
    </row>
    <row r="1851">
      <c r="A1851" s="2" t="s">
        <v>1741</v>
      </c>
      <c r="B1851" s="1" t="s">
        <v>1078</v>
      </c>
      <c r="D1851" s="2">
        <v>163950.0</v>
      </c>
    </row>
    <row r="1852">
      <c r="B1852" s="1" t="s">
        <v>869</v>
      </c>
      <c r="D1852" s="2">
        <v>15000.0</v>
      </c>
    </row>
    <row r="1853">
      <c r="A1853" s="2" t="s">
        <v>1754</v>
      </c>
      <c r="B1853" s="1" t="s">
        <v>668</v>
      </c>
      <c r="D1853" s="2">
        <v>138688.0</v>
      </c>
    </row>
    <row r="1854">
      <c r="B1854" s="1" t="s">
        <v>589</v>
      </c>
      <c r="D1854" s="1">
        <v>132000.0</v>
      </c>
    </row>
    <row r="1855">
      <c r="B1855" s="1" t="s">
        <v>434</v>
      </c>
      <c r="D1855" s="2">
        <v>290000.0</v>
      </c>
    </row>
    <row r="1856">
      <c r="B1856" s="1" t="s">
        <v>1480</v>
      </c>
      <c r="D1856" s="2">
        <v>9336981.0</v>
      </c>
    </row>
    <row r="1857">
      <c r="B1857" s="2" t="s">
        <v>1755</v>
      </c>
      <c r="D1857" s="2">
        <v>1040000.0</v>
      </c>
      <c r="E1857" s="1" t="s">
        <v>1088</v>
      </c>
    </row>
    <row r="1858">
      <c r="B1858" s="2" t="s">
        <v>1681</v>
      </c>
      <c r="D1858" s="2">
        <v>147190.0</v>
      </c>
      <c r="E1858" s="2" t="s">
        <v>1573</v>
      </c>
    </row>
    <row r="1859">
      <c r="A1859" s="2" t="s">
        <v>1756</v>
      </c>
      <c r="B1859" s="1" t="s">
        <v>1482</v>
      </c>
      <c r="D1859" s="2">
        <v>350000.0</v>
      </c>
      <c r="E1859" s="1" t="s">
        <v>1483</v>
      </c>
    </row>
    <row r="1860">
      <c r="A1860" s="2" t="s">
        <v>1757</v>
      </c>
      <c r="B1860" s="1" t="s">
        <v>966</v>
      </c>
      <c r="D1860" s="2">
        <v>2923910.0</v>
      </c>
      <c r="E1860" s="1" t="s">
        <v>1067</v>
      </c>
    </row>
    <row r="1861">
      <c r="A1861" s="2" t="s">
        <v>1758</v>
      </c>
      <c r="B1861" s="1" t="s">
        <v>1153</v>
      </c>
      <c r="D1861" s="2">
        <v>1666793.0</v>
      </c>
    </row>
    <row r="1862">
      <c r="A1862" s="2" t="s">
        <v>1759</v>
      </c>
      <c r="B1862" s="1" t="s">
        <v>221</v>
      </c>
      <c r="D1862" s="2">
        <v>2015500.0</v>
      </c>
    </row>
    <row r="1863">
      <c r="A1863" s="2"/>
      <c r="B1863" s="2" t="s">
        <v>1710</v>
      </c>
      <c r="D1863" s="2">
        <v>1588603.0</v>
      </c>
    </row>
    <row r="1864">
      <c r="A1864" s="2" t="s">
        <v>1760</v>
      </c>
      <c r="B1864" s="1" t="s">
        <v>187</v>
      </c>
      <c r="D1864" s="2">
        <v>2103300.0</v>
      </c>
    </row>
    <row r="1865">
      <c r="A1865" s="2" t="s">
        <v>1761</v>
      </c>
      <c r="B1865" s="1" t="s">
        <v>962</v>
      </c>
      <c r="D1865" s="2">
        <v>1798577.0</v>
      </c>
    </row>
    <row r="1866">
      <c r="A1866" s="2" t="s">
        <v>1599</v>
      </c>
      <c r="B1866" s="2" t="s">
        <v>1762</v>
      </c>
      <c r="D1866" s="2">
        <v>1000000.0</v>
      </c>
    </row>
    <row r="1867">
      <c r="A1867" s="2" t="s">
        <v>1763</v>
      </c>
      <c r="B1867" s="2" t="s">
        <v>1168</v>
      </c>
      <c r="D1867" s="2">
        <v>2133777.0</v>
      </c>
      <c r="E1867" s="1" t="s">
        <v>1245</v>
      </c>
    </row>
    <row r="1868">
      <c r="A1868" s="2" t="s">
        <v>1764</v>
      </c>
      <c r="B1868" s="1" t="s">
        <v>1078</v>
      </c>
      <c r="D1868" s="2">
        <v>163770.0</v>
      </c>
    </row>
    <row r="1869">
      <c r="B1869" s="1" t="s">
        <v>869</v>
      </c>
      <c r="D1869" s="2">
        <v>15000.0</v>
      </c>
    </row>
    <row r="1870">
      <c r="B1870" s="2" t="s">
        <v>811</v>
      </c>
      <c r="D1870" s="2">
        <v>309810.0</v>
      </c>
    </row>
    <row r="1871">
      <c r="A1871" s="2" t="s">
        <v>1760</v>
      </c>
      <c r="B1871" s="2" t="s">
        <v>1765</v>
      </c>
      <c r="D1871" s="2">
        <v>396000.0</v>
      </c>
      <c r="E1871" s="1" t="s">
        <v>1088</v>
      </c>
    </row>
    <row r="1872">
      <c r="A1872" s="2" t="s">
        <v>1766</v>
      </c>
      <c r="B1872" s="1" t="s">
        <v>668</v>
      </c>
      <c r="D1872" s="2">
        <v>191824.0</v>
      </c>
    </row>
    <row r="1873">
      <c r="B1873" s="1" t="s">
        <v>589</v>
      </c>
      <c r="D1873" s="1">
        <v>132000.0</v>
      </c>
    </row>
    <row r="1874">
      <c r="B1874" s="1" t="s">
        <v>434</v>
      </c>
      <c r="D1874" s="2">
        <v>290000.0</v>
      </c>
    </row>
    <row r="1875">
      <c r="B1875" s="1" t="s">
        <v>1480</v>
      </c>
      <c r="D1875" s="2">
        <v>9347405.0</v>
      </c>
    </row>
    <row r="1876">
      <c r="A1876" s="2" t="s">
        <v>1767</v>
      </c>
      <c r="B1876" s="2" t="s">
        <v>1768</v>
      </c>
      <c r="D1876" s="2">
        <v>1.037707E7</v>
      </c>
    </row>
    <row r="1877">
      <c r="B1877" s="2" t="s">
        <v>1165</v>
      </c>
      <c r="D1877" s="2">
        <v>3815470.0</v>
      </c>
    </row>
    <row r="1878">
      <c r="A1878" s="2"/>
      <c r="B1878" s="2" t="s">
        <v>1769</v>
      </c>
      <c r="D1878" s="2">
        <v>1555400.0</v>
      </c>
    </row>
    <row r="1879">
      <c r="A1879" s="2"/>
      <c r="B1879" s="2" t="s">
        <v>1770</v>
      </c>
      <c r="D1879" s="2">
        <v>1760000.0</v>
      </c>
    </row>
    <row r="1880">
      <c r="A1880" s="2" t="s">
        <v>1771</v>
      </c>
      <c r="B1880" s="1" t="s">
        <v>1482</v>
      </c>
      <c r="D1880" s="2">
        <v>398000.0</v>
      </c>
      <c r="E1880" s="1" t="s">
        <v>1483</v>
      </c>
    </row>
    <row r="1881">
      <c r="A1881" s="2" t="s">
        <v>1772</v>
      </c>
      <c r="B1881" s="1" t="s">
        <v>966</v>
      </c>
      <c r="D1881" s="2">
        <v>2905660.0</v>
      </c>
      <c r="E1881" s="1" t="s">
        <v>1067</v>
      </c>
    </row>
    <row r="1882">
      <c r="A1882" s="2"/>
      <c r="B1882" s="2" t="s">
        <v>1773</v>
      </c>
      <c r="D1882" s="2">
        <v>94620.0</v>
      </c>
    </row>
    <row r="1883">
      <c r="A1883" s="2" t="s">
        <v>1774</v>
      </c>
      <c r="B1883" s="2" t="s">
        <v>485</v>
      </c>
      <c r="D1883" s="2">
        <v>73880.0</v>
      </c>
      <c r="E1883" s="4" t="s">
        <v>1306</v>
      </c>
    </row>
    <row r="1884">
      <c r="A1884" s="2"/>
      <c r="B1884" s="1" t="s">
        <v>1093</v>
      </c>
      <c r="D1884" s="2">
        <v>154000.0</v>
      </c>
      <c r="E1884" s="1" t="s">
        <v>1236</v>
      </c>
    </row>
    <row r="1885">
      <c r="A1885" s="2"/>
      <c r="B1885" s="2" t="s">
        <v>1775</v>
      </c>
      <c r="D1885" s="2">
        <v>254100.0</v>
      </c>
      <c r="E1885" s="2" t="s">
        <v>1033</v>
      </c>
    </row>
    <row r="1886">
      <c r="A1886" s="2"/>
      <c r="B1886" s="5" t="s">
        <v>1352</v>
      </c>
      <c r="C1886" s="6"/>
      <c r="D1886" s="7">
        <v>89000.0</v>
      </c>
      <c r="E1886" s="8" t="s">
        <v>1465</v>
      </c>
    </row>
    <row r="1887">
      <c r="A1887" s="2" t="s">
        <v>1776</v>
      </c>
      <c r="B1887" s="1" t="s">
        <v>1153</v>
      </c>
      <c r="D1887" s="2">
        <v>1722137.0</v>
      </c>
    </row>
    <row r="1888">
      <c r="A1888" s="2" t="s">
        <v>1777</v>
      </c>
      <c r="B1888" s="1" t="s">
        <v>221</v>
      </c>
      <c r="D1888" s="2">
        <v>2015500.0</v>
      </c>
    </row>
    <row r="1889">
      <c r="A1889" s="2"/>
      <c r="B1889" s="2" t="s">
        <v>1710</v>
      </c>
      <c r="D1889" s="2">
        <v>1602723.0</v>
      </c>
    </row>
    <row r="1890">
      <c r="A1890" s="2" t="s">
        <v>1778</v>
      </c>
      <c r="B1890" s="1" t="s">
        <v>187</v>
      </c>
      <c r="D1890" s="2">
        <v>2103300.0</v>
      </c>
    </row>
    <row r="1891">
      <c r="A1891" s="2" t="s">
        <v>1779</v>
      </c>
      <c r="B1891" s="1" t="s">
        <v>962</v>
      </c>
      <c r="D1891" s="2">
        <v>1853940.0</v>
      </c>
    </row>
    <row r="1892">
      <c r="A1892" s="2" t="s">
        <v>1780</v>
      </c>
      <c r="B1892" s="2" t="s">
        <v>1781</v>
      </c>
      <c r="D1892" s="2">
        <v>1000000.0</v>
      </c>
    </row>
    <row r="1893">
      <c r="A1893" s="2" t="s">
        <v>1782</v>
      </c>
      <c r="B1893" s="1" t="s">
        <v>1272</v>
      </c>
      <c r="D1893" s="2">
        <v>244570.0</v>
      </c>
      <c r="E1893" s="2" t="s">
        <v>1273</v>
      </c>
    </row>
    <row r="1894">
      <c r="A1894" s="2" t="s">
        <v>1778</v>
      </c>
      <c r="B1894" s="1" t="s">
        <v>1078</v>
      </c>
      <c r="D1894" s="2">
        <v>164810.0</v>
      </c>
    </row>
    <row r="1895">
      <c r="A1895" s="2"/>
      <c r="B1895" s="1" t="s">
        <v>869</v>
      </c>
      <c r="D1895" s="2">
        <v>15000.0</v>
      </c>
    </row>
    <row r="1896">
      <c r="A1896" s="2" t="s">
        <v>1783</v>
      </c>
      <c r="B1896" s="1" t="s">
        <v>668</v>
      </c>
      <c r="D1896" s="2">
        <v>178240.0</v>
      </c>
    </row>
    <row r="1897">
      <c r="B1897" s="1" t="s">
        <v>589</v>
      </c>
      <c r="D1897" s="1">
        <v>132000.0</v>
      </c>
    </row>
    <row r="1898">
      <c r="B1898" s="1" t="s">
        <v>434</v>
      </c>
      <c r="D1898" s="2">
        <v>290000.0</v>
      </c>
    </row>
    <row r="1899">
      <c r="B1899" s="1" t="s">
        <v>1480</v>
      </c>
      <c r="D1899" s="2">
        <v>9454109.0</v>
      </c>
    </row>
    <row r="1900">
      <c r="A1900" s="2" t="s">
        <v>1784</v>
      </c>
      <c r="B1900" s="1" t="s">
        <v>1482</v>
      </c>
      <c r="D1900" s="2">
        <v>374000.0</v>
      </c>
      <c r="E1900" s="1" t="s">
        <v>1483</v>
      </c>
    </row>
    <row r="1901">
      <c r="A1901" s="2" t="s">
        <v>1785</v>
      </c>
      <c r="B1901" s="5" t="s">
        <v>1352</v>
      </c>
      <c r="C1901" s="6"/>
      <c r="D1901" s="9">
        <v>97980.0</v>
      </c>
      <c r="E1901" s="10" t="s">
        <v>1632</v>
      </c>
      <c r="F1901" s="2" t="s">
        <v>1786</v>
      </c>
    </row>
    <row r="1902">
      <c r="A1902" s="2" t="s">
        <v>1787</v>
      </c>
      <c r="B1902" s="1" t="s">
        <v>966</v>
      </c>
      <c r="D1902" s="2">
        <v>4811960.0</v>
      </c>
      <c r="E1902" s="1" t="s">
        <v>1067</v>
      </c>
    </row>
    <row r="1903">
      <c r="A1903" s="2" t="s">
        <v>1788</v>
      </c>
      <c r="B1903" s="1" t="s">
        <v>1153</v>
      </c>
      <c r="D1903" s="2">
        <v>1718807.0</v>
      </c>
    </row>
    <row r="1904">
      <c r="A1904" s="2" t="s">
        <v>1789</v>
      </c>
      <c r="B1904" s="1" t="s">
        <v>221</v>
      </c>
      <c r="D1904" s="2">
        <v>2010820.0</v>
      </c>
    </row>
    <row r="1905">
      <c r="A1905" s="2"/>
      <c r="B1905" s="2" t="s">
        <v>1710</v>
      </c>
      <c r="D1905" s="2">
        <v>1602723.0</v>
      </c>
    </row>
    <row r="1906">
      <c r="A1906" s="2" t="s">
        <v>1790</v>
      </c>
      <c r="B1906" s="1" t="s">
        <v>187</v>
      </c>
      <c r="D1906" s="2">
        <v>2101370.0</v>
      </c>
    </row>
    <row r="1907">
      <c r="A1907" s="2" t="s">
        <v>1791</v>
      </c>
      <c r="B1907" s="1" t="s">
        <v>962</v>
      </c>
      <c r="D1907" s="2">
        <v>1851330.0</v>
      </c>
    </row>
    <row r="1908">
      <c r="A1908" s="2" t="s">
        <v>1792</v>
      </c>
      <c r="B1908" s="2" t="s">
        <v>1793</v>
      </c>
      <c r="D1908" s="2">
        <v>1.037707E7</v>
      </c>
      <c r="E1908" s="2" t="s">
        <v>1794</v>
      </c>
    </row>
    <row r="1909">
      <c r="A1909" s="2" t="s">
        <v>1795</v>
      </c>
      <c r="B1909" s="1" t="s">
        <v>1078</v>
      </c>
      <c r="D1909" s="2">
        <v>167500.0</v>
      </c>
    </row>
    <row r="1910">
      <c r="A1910" s="2"/>
      <c r="B1910" s="1" t="s">
        <v>869</v>
      </c>
      <c r="D1910" s="2"/>
    </row>
    <row r="1911">
      <c r="A1911" s="2"/>
      <c r="B1911" s="1" t="s">
        <v>668</v>
      </c>
      <c r="D1911" s="2">
        <v>119936.0</v>
      </c>
    </row>
    <row r="1912">
      <c r="A1912" s="2"/>
      <c r="B1912" s="1" t="s">
        <v>589</v>
      </c>
      <c r="D1912" s="1">
        <v>132000.0</v>
      </c>
    </row>
    <row r="1913">
      <c r="A1913" s="2"/>
      <c r="B1913" s="1" t="s">
        <v>434</v>
      </c>
      <c r="D1913" s="2">
        <v>290000.0</v>
      </c>
    </row>
    <row r="1914">
      <c r="A1914" s="2"/>
      <c r="B1914" s="1" t="s">
        <v>1480</v>
      </c>
      <c r="D1914" s="2">
        <v>9510791.0</v>
      </c>
    </row>
    <row r="1915">
      <c r="A1915" s="2" t="s">
        <v>1796</v>
      </c>
      <c r="B1915" s="2" t="s">
        <v>1797</v>
      </c>
      <c r="D1915" s="2">
        <v>880000.0</v>
      </c>
      <c r="E1915" s="2" t="s">
        <v>1798</v>
      </c>
    </row>
    <row r="1916">
      <c r="A1916" s="2"/>
      <c r="B1916" s="1" t="s">
        <v>1482</v>
      </c>
      <c r="D1916" s="2">
        <v>490000.0</v>
      </c>
      <c r="E1916" s="1" t="s">
        <v>1483</v>
      </c>
    </row>
    <row r="1917">
      <c r="A1917" s="2" t="s">
        <v>1799</v>
      </c>
      <c r="B1917" s="1" t="s">
        <v>966</v>
      </c>
      <c r="D1917" s="2">
        <v>3012486.0</v>
      </c>
      <c r="E1917" s="1" t="s">
        <v>1067</v>
      </c>
    </row>
    <row r="1918">
      <c r="A1918" s="2" t="s">
        <v>1800</v>
      </c>
      <c r="B1918" s="1" t="s">
        <v>1153</v>
      </c>
      <c r="D1918" s="2">
        <v>1718807.0</v>
      </c>
    </row>
    <row r="1919">
      <c r="A1919" s="2" t="s">
        <v>1800</v>
      </c>
      <c r="B1919" s="1" t="s">
        <v>221</v>
      </c>
      <c r="D1919" s="2">
        <v>2010820.0</v>
      </c>
    </row>
    <row r="1920">
      <c r="A1920" s="2"/>
      <c r="B1920" s="2" t="s">
        <v>1710</v>
      </c>
      <c r="D1920" s="2">
        <v>1602723.0</v>
      </c>
    </row>
    <row r="1921">
      <c r="A1921" s="2" t="s">
        <v>1801</v>
      </c>
      <c r="B1921" s="1" t="s">
        <v>187</v>
      </c>
      <c r="D1921" s="2">
        <v>2101370.0</v>
      </c>
    </row>
    <row r="1922">
      <c r="A1922" s="2" t="s">
        <v>1802</v>
      </c>
      <c r="B1922" s="1" t="s">
        <v>962</v>
      </c>
      <c r="D1922" s="2">
        <v>1851330.0</v>
      </c>
    </row>
    <row r="1923">
      <c r="A1923" s="2" t="s">
        <v>1803</v>
      </c>
      <c r="B1923" s="2" t="s">
        <v>1804</v>
      </c>
      <c r="D1923" s="2">
        <v>73200.0</v>
      </c>
      <c r="E1923" s="2" t="s">
        <v>1805</v>
      </c>
    </row>
    <row r="1924">
      <c r="A1924" s="2" t="s">
        <v>1806</v>
      </c>
      <c r="B1924" s="1" t="s">
        <v>1078</v>
      </c>
      <c r="D1924" s="2">
        <v>168800.0</v>
      </c>
    </row>
    <row r="1925">
      <c r="B1925" s="1" t="s">
        <v>869</v>
      </c>
      <c r="D1925" s="2">
        <v>30000.0</v>
      </c>
    </row>
    <row r="1926">
      <c r="A1926" s="2" t="s">
        <v>1802</v>
      </c>
      <c r="B1926" s="1" t="s">
        <v>668</v>
      </c>
      <c r="D1926" s="2">
        <v>108976.0</v>
      </c>
    </row>
    <row r="1927">
      <c r="B1927" s="1" t="s">
        <v>589</v>
      </c>
      <c r="D1927" s="1">
        <v>132000.0</v>
      </c>
    </row>
    <row r="1928">
      <c r="B1928" s="1" t="s">
        <v>434</v>
      </c>
      <c r="D1928" s="2">
        <v>290000.0</v>
      </c>
    </row>
    <row r="1929">
      <c r="B1929" s="1" t="s">
        <v>1480</v>
      </c>
      <c r="D1929" s="2">
        <v>9502537.0</v>
      </c>
    </row>
    <row r="1930">
      <c r="B1930" s="1" t="s">
        <v>1093</v>
      </c>
      <c r="D1930" s="2">
        <v>154000.0</v>
      </c>
      <c r="E1930" s="1" t="s">
        <v>1236</v>
      </c>
    </row>
    <row r="1931">
      <c r="A1931" s="2" t="s">
        <v>1807</v>
      </c>
      <c r="B1931" s="1" t="s">
        <v>1482</v>
      </c>
      <c r="D1931" s="2">
        <v>474000.0</v>
      </c>
      <c r="E1931" s="1" t="s">
        <v>1483</v>
      </c>
    </row>
    <row r="1932">
      <c r="B1932" s="1" t="s">
        <v>966</v>
      </c>
      <c r="D1932" s="2">
        <v>3012840.0</v>
      </c>
      <c r="E1932" s="1" t="s">
        <v>1067</v>
      </c>
    </row>
    <row r="1933">
      <c r="A1933" s="2" t="s">
        <v>1808</v>
      </c>
      <c r="B1933" s="1" t="s">
        <v>1153</v>
      </c>
      <c r="D1933" s="2">
        <v>1718807.0</v>
      </c>
    </row>
    <row r="1934">
      <c r="A1934" s="2" t="s">
        <v>1809</v>
      </c>
      <c r="B1934" s="1" t="s">
        <v>221</v>
      </c>
      <c r="D1934" s="2">
        <v>2010820.0</v>
      </c>
    </row>
    <row r="1935">
      <c r="A1935" s="2"/>
      <c r="B1935" s="2" t="s">
        <v>1710</v>
      </c>
      <c r="D1935" s="2">
        <v>1602723.0</v>
      </c>
    </row>
    <row r="1936">
      <c r="A1936" s="2" t="s">
        <v>1810</v>
      </c>
      <c r="B1936" s="1" t="s">
        <v>187</v>
      </c>
      <c r="D1936" s="2">
        <v>2101370.0</v>
      </c>
    </row>
    <row r="1937">
      <c r="A1937" s="2" t="s">
        <v>1811</v>
      </c>
      <c r="B1937" s="1" t="s">
        <v>962</v>
      </c>
      <c r="D1937" s="2">
        <v>1851330.0</v>
      </c>
    </row>
    <row r="1938">
      <c r="A1938" s="2" t="s">
        <v>1810</v>
      </c>
      <c r="B1938" s="1" t="s">
        <v>1078</v>
      </c>
      <c r="D1938" s="2">
        <v>168550.0</v>
      </c>
    </row>
    <row r="1939">
      <c r="B1939" s="1" t="s">
        <v>869</v>
      </c>
      <c r="D1939" s="2">
        <v>15000.0</v>
      </c>
    </row>
    <row r="1940">
      <c r="A1940" s="2" t="s">
        <v>1812</v>
      </c>
      <c r="B1940" s="1" t="s">
        <v>668</v>
      </c>
      <c r="D1940" s="2">
        <v>149568.0</v>
      </c>
    </row>
    <row r="1941">
      <c r="B1941" s="1" t="s">
        <v>589</v>
      </c>
      <c r="D1941" s="1">
        <v>132000.0</v>
      </c>
    </row>
    <row r="1942">
      <c r="B1942" s="1" t="s">
        <v>434</v>
      </c>
      <c r="D1942" s="2">
        <v>290000.0</v>
      </c>
    </row>
    <row r="1943">
      <c r="B1943" s="1" t="s">
        <v>1480</v>
      </c>
      <c r="D1943" s="2">
        <v>9689339.0</v>
      </c>
    </row>
    <row r="1944">
      <c r="A1944" s="2" t="s">
        <v>1813</v>
      </c>
      <c r="B1944" s="2" t="s">
        <v>784</v>
      </c>
      <c r="D1944" s="2">
        <v>1000000.0</v>
      </c>
      <c r="E1944" s="2" t="s">
        <v>1690</v>
      </c>
    </row>
    <row r="1945">
      <c r="A1945" s="2" t="s">
        <v>1812</v>
      </c>
      <c r="B1945" s="2" t="s">
        <v>1814</v>
      </c>
      <c r="D1945" s="2">
        <v>396000.0</v>
      </c>
      <c r="E1945" s="1" t="s">
        <v>1088</v>
      </c>
    </row>
    <row r="1946">
      <c r="A1946" s="2" t="s">
        <v>1815</v>
      </c>
      <c r="B1946" s="1" t="s">
        <v>1482</v>
      </c>
      <c r="D1946" s="2">
        <v>264000.0</v>
      </c>
      <c r="E1946" s="1" t="s">
        <v>1483</v>
      </c>
    </row>
    <row r="1947">
      <c r="A1947" s="2" t="s">
        <v>1816</v>
      </c>
      <c r="B1947" s="1" t="s">
        <v>966</v>
      </c>
      <c r="D1947" s="2">
        <v>3012840.0</v>
      </c>
      <c r="E1947" s="1" t="s">
        <v>1067</v>
      </c>
    </row>
    <row r="1948">
      <c r="A1948" s="2" t="s">
        <v>1817</v>
      </c>
      <c r="B1948" s="2" t="s">
        <v>1818</v>
      </c>
      <c r="D1948" s="2">
        <v>110000.0</v>
      </c>
      <c r="E1948" s="2" t="s">
        <v>1033</v>
      </c>
    </row>
    <row r="1949">
      <c r="A1949" s="2" t="s">
        <v>1819</v>
      </c>
      <c r="B1949" s="1" t="s">
        <v>1153</v>
      </c>
      <c r="D1949" s="2">
        <v>1718807.0</v>
      </c>
    </row>
    <row r="1950">
      <c r="A1950" s="2" t="s">
        <v>1820</v>
      </c>
      <c r="B1950" s="1" t="s">
        <v>221</v>
      </c>
      <c r="D1950" s="2">
        <v>2010820.0</v>
      </c>
    </row>
    <row r="1951">
      <c r="A1951" s="2"/>
      <c r="B1951" s="2" t="s">
        <v>1710</v>
      </c>
      <c r="D1951" s="2">
        <v>1602723.0</v>
      </c>
    </row>
    <row r="1952">
      <c r="A1952" s="2" t="s">
        <v>1821</v>
      </c>
      <c r="B1952" s="1" t="s">
        <v>187</v>
      </c>
      <c r="D1952" s="2">
        <v>2101370.0</v>
      </c>
    </row>
    <row r="1953">
      <c r="A1953" s="2" t="s">
        <v>1822</v>
      </c>
      <c r="B1953" s="1" t="s">
        <v>962</v>
      </c>
      <c r="D1953" s="2">
        <v>1851330.0</v>
      </c>
    </row>
    <row r="1954">
      <c r="A1954" s="2" t="s">
        <v>1823</v>
      </c>
      <c r="B1954" s="1" t="s">
        <v>1078</v>
      </c>
      <c r="D1954" s="2">
        <v>164070.0</v>
      </c>
    </row>
    <row r="1955">
      <c r="B1955" s="1" t="s">
        <v>869</v>
      </c>
      <c r="D1955" s="2">
        <v>15000.0</v>
      </c>
    </row>
    <row r="1956">
      <c r="A1956" s="2" t="s">
        <v>1824</v>
      </c>
      <c r="B1956" s="2" t="s">
        <v>784</v>
      </c>
      <c r="D1956" s="2">
        <v>595000.0</v>
      </c>
      <c r="E1956" s="2" t="s">
        <v>1690</v>
      </c>
    </row>
    <row r="1957">
      <c r="A1957" s="2" t="s">
        <v>1825</v>
      </c>
      <c r="B1957" s="1" t="s">
        <v>668</v>
      </c>
      <c r="D1957" s="2">
        <v>134752.0</v>
      </c>
    </row>
    <row r="1958">
      <c r="B1958" s="1" t="s">
        <v>589</v>
      </c>
      <c r="D1958" s="1">
        <v>132000.0</v>
      </c>
      <c r="E1958" s="2" t="s">
        <v>1826</v>
      </c>
    </row>
    <row r="1959">
      <c r="B1959" s="1" t="s">
        <v>434</v>
      </c>
      <c r="D1959" s="2">
        <v>290000.0</v>
      </c>
    </row>
    <row r="1960">
      <c r="B1960" s="1" t="s">
        <v>1480</v>
      </c>
      <c r="D1960" s="2">
        <v>9341013.0</v>
      </c>
    </row>
    <row r="1961">
      <c r="A1961" s="2" t="s">
        <v>1827</v>
      </c>
      <c r="B1961" s="2" t="s">
        <v>1828</v>
      </c>
      <c r="D1961" s="2">
        <v>1.0E7</v>
      </c>
      <c r="E1961" s="2" t="s">
        <v>1829</v>
      </c>
    </row>
    <row r="1962">
      <c r="B1962" s="1" t="s">
        <v>1272</v>
      </c>
      <c r="D1962" s="2">
        <v>151020.0</v>
      </c>
      <c r="E1962" s="2" t="s">
        <v>1273</v>
      </c>
    </row>
    <row r="1963">
      <c r="A1963" s="2" t="s">
        <v>1830</v>
      </c>
      <c r="B1963" s="1" t="s">
        <v>1482</v>
      </c>
      <c r="D1963" s="2">
        <v>264000.0</v>
      </c>
      <c r="E1963" s="1" t="s">
        <v>1483</v>
      </c>
    </row>
    <row r="1964">
      <c r="A1964" s="2" t="s">
        <v>1831</v>
      </c>
      <c r="B1964" s="1" t="s">
        <v>966</v>
      </c>
      <c r="D1964" s="2">
        <v>3012840.0</v>
      </c>
      <c r="E1964" s="1" t="s">
        <v>1067</v>
      </c>
    </row>
    <row r="1965">
      <c r="A1965" s="2" t="s">
        <v>1832</v>
      </c>
      <c r="B1965" s="1" t="s">
        <v>1153</v>
      </c>
      <c r="D1965" s="2">
        <v>1718807.0</v>
      </c>
    </row>
    <row r="1966">
      <c r="A1966" s="2" t="s">
        <v>1832</v>
      </c>
      <c r="B1966" s="1" t="s">
        <v>221</v>
      </c>
      <c r="D1966" s="2">
        <v>2010820.0</v>
      </c>
    </row>
    <row r="1967">
      <c r="A1967" s="2"/>
      <c r="B1967" s="2" t="s">
        <v>1710</v>
      </c>
      <c r="D1967" s="2">
        <v>1602723.0</v>
      </c>
    </row>
    <row r="1968">
      <c r="A1968" s="2" t="s">
        <v>1833</v>
      </c>
      <c r="B1968" s="1" t="s">
        <v>187</v>
      </c>
      <c r="D1968" s="2">
        <v>2101370.0</v>
      </c>
    </row>
    <row r="1969">
      <c r="A1969" s="2" t="s">
        <v>1834</v>
      </c>
      <c r="B1969" s="1" t="s">
        <v>962</v>
      </c>
      <c r="D1969" s="2">
        <v>1851330.0</v>
      </c>
    </row>
    <row r="1970">
      <c r="A1970" s="2" t="s">
        <v>1835</v>
      </c>
      <c r="B1970" s="2" t="s">
        <v>1836</v>
      </c>
      <c r="D1970" s="11">
        <v>2.508E7</v>
      </c>
      <c r="E1970" s="12" t="s">
        <v>1837</v>
      </c>
      <c r="F1970" s="13" t="s">
        <v>1838</v>
      </c>
    </row>
    <row r="1971">
      <c r="A1971" s="2" t="s">
        <v>1839</v>
      </c>
      <c r="B1971" s="1" t="s">
        <v>1078</v>
      </c>
      <c r="D1971" s="2">
        <v>163890.0</v>
      </c>
      <c r="E1971" s="14">
        <v>2.28E7</v>
      </c>
      <c r="F1971" s="15">
        <f t="shared" ref="F1971:F1974" si="3">E1971*1.1</f>
        <v>25080000</v>
      </c>
    </row>
    <row r="1972">
      <c r="B1972" s="1" t="s">
        <v>869</v>
      </c>
      <c r="D1972" s="2">
        <v>15000.0</v>
      </c>
      <c r="E1972" s="14">
        <v>3.04E7</v>
      </c>
      <c r="F1972" s="15">
        <f t="shared" si="3"/>
        <v>33440000</v>
      </c>
    </row>
    <row r="1973">
      <c r="A1973" s="2" t="s">
        <v>1840</v>
      </c>
      <c r="B1973" s="1" t="s">
        <v>668</v>
      </c>
      <c r="D1973" s="2">
        <v>140352.0</v>
      </c>
      <c r="E1973" s="14">
        <v>2.28E7</v>
      </c>
      <c r="F1973" s="15">
        <f t="shared" si="3"/>
        <v>25080000</v>
      </c>
    </row>
    <row r="1974">
      <c r="A1974" s="2" t="s">
        <v>1834</v>
      </c>
      <c r="B1974" s="1" t="s">
        <v>589</v>
      </c>
      <c r="D1974" s="1">
        <v>132000.0</v>
      </c>
      <c r="E1974" s="16">
        <f>SUM(E1971:E1973)</f>
        <v>76000000</v>
      </c>
      <c r="F1974" s="17">
        <f t="shared" si="3"/>
        <v>83600000</v>
      </c>
    </row>
    <row r="1975">
      <c r="B1975" s="18" t="s">
        <v>434</v>
      </c>
      <c r="D1975" s="2">
        <v>290000.0</v>
      </c>
    </row>
    <row r="1976">
      <c r="B1976" s="1" t="s">
        <v>1480</v>
      </c>
      <c r="D1976" s="2">
        <v>9367004.0</v>
      </c>
    </row>
    <row r="1977">
      <c r="A1977" s="2" t="s">
        <v>1839</v>
      </c>
      <c r="B1977" s="2" t="s">
        <v>811</v>
      </c>
      <c r="D1977" s="2">
        <v>290440.0</v>
      </c>
    </row>
    <row r="1978">
      <c r="A1978" s="2" t="s">
        <v>1841</v>
      </c>
      <c r="B1978" s="2" t="s">
        <v>1168</v>
      </c>
      <c r="D1978" s="2">
        <v>2493744.0</v>
      </c>
      <c r="E1978" s="1" t="s">
        <v>1245</v>
      </c>
    </row>
    <row r="1979">
      <c r="A1979" s="2" t="s">
        <v>1840</v>
      </c>
      <c r="B1979" s="2" t="s">
        <v>1168</v>
      </c>
      <c r="D1979" s="2">
        <v>2503340.0</v>
      </c>
      <c r="E1979" s="1" t="s">
        <v>1245</v>
      </c>
    </row>
    <row r="1980">
      <c r="A1980" s="2" t="s">
        <v>1842</v>
      </c>
      <c r="B1980" s="1" t="s">
        <v>1482</v>
      </c>
      <c r="D1980" s="2">
        <v>310000.0</v>
      </c>
      <c r="E1980" s="1" t="s">
        <v>1483</v>
      </c>
    </row>
    <row r="1981">
      <c r="A1981" s="2" t="s">
        <v>1843</v>
      </c>
      <c r="B1981" s="2" t="s">
        <v>1844</v>
      </c>
      <c r="D1981" s="2">
        <v>2640000.0</v>
      </c>
      <c r="E1981" s="2" t="s">
        <v>1845</v>
      </c>
      <c r="F1981" s="2" t="s">
        <v>1846</v>
      </c>
    </row>
    <row r="1982">
      <c r="A1982" s="2" t="s">
        <v>1847</v>
      </c>
      <c r="B1982" s="1" t="s">
        <v>1153</v>
      </c>
      <c r="D1982" s="2">
        <v>1718807.0</v>
      </c>
    </row>
    <row r="1983">
      <c r="A1983" s="2" t="s">
        <v>1848</v>
      </c>
      <c r="B1983" s="1" t="s">
        <v>221</v>
      </c>
      <c r="D1983" s="2">
        <v>2010820.0</v>
      </c>
    </row>
    <row r="1984">
      <c r="B1984" s="2" t="s">
        <v>1710</v>
      </c>
      <c r="D1984" s="2">
        <v>1602723.0</v>
      </c>
    </row>
    <row r="1985">
      <c r="A1985" s="2" t="s">
        <v>1849</v>
      </c>
      <c r="B1985" s="1" t="s">
        <v>187</v>
      </c>
      <c r="D1985" s="2">
        <v>2101370.0</v>
      </c>
    </row>
    <row r="1986">
      <c r="A1986" s="2" t="s">
        <v>1850</v>
      </c>
      <c r="B1986" s="1" t="s">
        <v>962</v>
      </c>
      <c r="D1986" s="2">
        <v>1851330.0</v>
      </c>
    </row>
    <row r="1987">
      <c r="A1987" s="2" t="s">
        <v>1851</v>
      </c>
      <c r="B1987" s="1" t="s">
        <v>966</v>
      </c>
      <c r="D1987" s="2">
        <v>3012840.0</v>
      </c>
      <c r="E1987" s="1" t="s">
        <v>1067</v>
      </c>
    </row>
    <row r="1988">
      <c r="A1988" s="2" t="s">
        <v>1852</v>
      </c>
      <c r="B1988" s="2" t="s">
        <v>1853</v>
      </c>
      <c r="D1988" s="2">
        <v>3.344E7</v>
      </c>
      <c r="E1988" s="13" t="s">
        <v>1838</v>
      </c>
    </row>
    <row r="1989">
      <c r="A1989" s="2" t="s">
        <v>1847</v>
      </c>
      <c r="B1989" s="2" t="s">
        <v>1854</v>
      </c>
      <c r="D1989" s="2">
        <v>1760000.0</v>
      </c>
      <c r="E1989" s="2" t="s">
        <v>1845</v>
      </c>
      <c r="F1989" s="2" t="s">
        <v>1855</v>
      </c>
    </row>
    <row r="1990">
      <c r="A1990" s="2" t="s">
        <v>1856</v>
      </c>
      <c r="B1990" s="2" t="s">
        <v>1857</v>
      </c>
      <c r="D1990" s="2">
        <v>200000.0</v>
      </c>
      <c r="E1990" s="2" t="s">
        <v>1858</v>
      </c>
    </row>
    <row r="1991">
      <c r="B1991" s="2" t="s">
        <v>1859</v>
      </c>
      <c r="D1991" s="2">
        <v>80000.0</v>
      </c>
    </row>
    <row r="1992">
      <c r="A1992" s="2" t="s">
        <v>1848</v>
      </c>
      <c r="B1992" s="2" t="s">
        <v>1860</v>
      </c>
      <c r="D1992" s="2">
        <v>55400.0</v>
      </c>
      <c r="E1992" s="2" t="s">
        <v>957</v>
      </c>
    </row>
    <row r="1993">
      <c r="B1993" s="2" t="s">
        <v>1861</v>
      </c>
      <c r="D1993" s="2">
        <v>110800.0</v>
      </c>
    </row>
    <row r="1994">
      <c r="B1994" s="2" t="s">
        <v>1861</v>
      </c>
      <c r="D1994" s="2">
        <v>100800.0</v>
      </c>
    </row>
    <row r="1995">
      <c r="B1995" s="2" t="s">
        <v>1862</v>
      </c>
      <c r="D1995" s="2">
        <v>9790000.0</v>
      </c>
      <c r="E1995" s="2" t="s">
        <v>1863</v>
      </c>
    </row>
    <row r="1996">
      <c r="A1996" s="2" t="s">
        <v>1849</v>
      </c>
      <c r="B1996" s="2" t="s">
        <v>1864</v>
      </c>
      <c r="D1996" s="2">
        <v>9076000.0</v>
      </c>
      <c r="E1996" s="2" t="s">
        <v>216</v>
      </c>
    </row>
    <row r="1997">
      <c r="B1997" s="1" t="s">
        <v>1272</v>
      </c>
      <c r="D1997" s="2">
        <v>186940.0</v>
      </c>
      <c r="E1997" s="2" t="s">
        <v>1865</v>
      </c>
    </row>
    <row r="1998">
      <c r="B1998" s="1" t="s">
        <v>1078</v>
      </c>
      <c r="D1998" s="2">
        <v>164090.0</v>
      </c>
    </row>
    <row r="1999">
      <c r="A1999" s="2" t="s">
        <v>1847</v>
      </c>
      <c r="B1999" s="1" t="s">
        <v>589</v>
      </c>
      <c r="D1999" s="1">
        <v>132000.0</v>
      </c>
    </row>
    <row r="2000">
      <c r="B2000" s="1" t="s">
        <v>668</v>
      </c>
      <c r="D2000" s="19"/>
    </row>
    <row r="2001">
      <c r="B2001" s="1" t="s">
        <v>869</v>
      </c>
      <c r="D2001" s="19"/>
    </row>
    <row r="2002">
      <c r="A2002" s="2" t="s">
        <v>1866</v>
      </c>
      <c r="B2002" s="2" t="s">
        <v>1867</v>
      </c>
      <c r="D2002" s="2">
        <v>8228000.0</v>
      </c>
      <c r="E2002" s="2" t="s">
        <v>1868</v>
      </c>
    </row>
    <row r="2003">
      <c r="A2003" s="2" t="s">
        <v>1869</v>
      </c>
      <c r="B2003" s="1" t="s">
        <v>1480</v>
      </c>
      <c r="D2003" s="2">
        <v>9613329.0</v>
      </c>
      <c r="E2003" s="2" t="s">
        <v>1870</v>
      </c>
    </row>
    <row r="2004">
      <c r="A2004" s="2"/>
      <c r="B2004" s="2" t="s">
        <v>1871</v>
      </c>
      <c r="C2004" s="2">
        <v>1.2E8</v>
      </c>
      <c r="D2004" s="2"/>
      <c r="E2004" s="2"/>
    </row>
    <row r="2005">
      <c r="A2005" s="2" t="s">
        <v>1872</v>
      </c>
      <c r="B2005" s="2" t="s">
        <v>1873</v>
      </c>
      <c r="D2005" s="2">
        <v>4047178.0</v>
      </c>
      <c r="E2005" s="2" t="s">
        <v>1874</v>
      </c>
    </row>
    <row r="2006">
      <c r="A2006" s="2" t="s">
        <v>1875</v>
      </c>
      <c r="B2006" s="2" t="s">
        <v>1876</v>
      </c>
      <c r="D2006" s="2">
        <v>143000.0</v>
      </c>
      <c r="E2006" s="2" t="s">
        <v>1033</v>
      </c>
    </row>
    <row r="2007">
      <c r="B2007" s="2" t="s">
        <v>1877</v>
      </c>
      <c r="D2007" s="2">
        <v>880000.0</v>
      </c>
      <c r="E2007" s="2" t="s">
        <v>1878</v>
      </c>
    </row>
    <row r="2008">
      <c r="A2008" s="2" t="s">
        <v>1879</v>
      </c>
      <c r="B2008" s="1" t="s">
        <v>966</v>
      </c>
      <c r="D2008" s="2">
        <v>3012840.0</v>
      </c>
      <c r="E2008" s="1" t="s">
        <v>1067</v>
      </c>
    </row>
    <row r="2009">
      <c r="A2009" s="2" t="s">
        <v>1880</v>
      </c>
      <c r="B2009" s="1" t="s">
        <v>1153</v>
      </c>
      <c r="D2009" s="2">
        <v>1718807.0</v>
      </c>
    </row>
    <row r="2010">
      <c r="A2010" s="2" t="s">
        <v>1881</v>
      </c>
      <c r="B2010" s="1" t="s">
        <v>221</v>
      </c>
      <c r="D2010" s="2">
        <v>2010820.0</v>
      </c>
    </row>
    <row r="2011">
      <c r="B2011" s="2" t="s">
        <v>1710</v>
      </c>
      <c r="D2011" s="2">
        <v>1602723.0</v>
      </c>
    </row>
    <row r="2012">
      <c r="A2012" s="2" t="s">
        <v>1882</v>
      </c>
      <c r="B2012" s="1" t="s">
        <v>187</v>
      </c>
      <c r="D2012" s="2">
        <v>2101370.0</v>
      </c>
    </row>
    <row r="2013">
      <c r="A2013" s="2" t="s">
        <v>1883</v>
      </c>
      <c r="B2013" s="1" t="s">
        <v>962</v>
      </c>
      <c r="D2013" s="2">
        <v>1851330.0</v>
      </c>
    </row>
    <row r="2014">
      <c r="A2014" s="2" t="s">
        <v>1884</v>
      </c>
      <c r="B2014" s="2" t="s">
        <v>1885</v>
      </c>
      <c r="D2014" s="2">
        <v>216000.0</v>
      </c>
      <c r="E2014" s="1" t="s">
        <v>1483</v>
      </c>
    </row>
    <row r="2015">
      <c r="A2015" s="2" t="s">
        <v>1886</v>
      </c>
      <c r="B2015" s="2" t="s">
        <v>1887</v>
      </c>
      <c r="D2015" s="2">
        <v>2860000.0</v>
      </c>
      <c r="E2015" s="2" t="s">
        <v>1888</v>
      </c>
    </row>
    <row r="2016">
      <c r="A2016" s="2" t="s">
        <v>1889</v>
      </c>
      <c r="B2016" s="2" t="s">
        <v>1890</v>
      </c>
      <c r="D2016" s="2">
        <v>280000.0</v>
      </c>
      <c r="E2016" s="2" t="s">
        <v>972</v>
      </c>
    </row>
    <row r="2017">
      <c r="A2017" s="2" t="s">
        <v>1891</v>
      </c>
      <c r="B2017" s="2" t="s">
        <v>1892</v>
      </c>
      <c r="D2017" s="2">
        <v>330000.0</v>
      </c>
      <c r="E2017" s="2" t="s">
        <v>1893</v>
      </c>
    </row>
    <row r="2018">
      <c r="B2018" s="2" t="s">
        <v>1894</v>
      </c>
      <c r="D2018" s="2">
        <v>4172365.0</v>
      </c>
      <c r="E2018" s="2" t="s">
        <v>1895</v>
      </c>
    </row>
    <row r="2019">
      <c r="B2019" s="2" t="s">
        <v>1896</v>
      </c>
      <c r="D2019" s="2">
        <v>396000.0</v>
      </c>
      <c r="E2019" s="1" t="s">
        <v>1088</v>
      </c>
    </row>
    <row r="2020">
      <c r="B2020" s="1" t="s">
        <v>1078</v>
      </c>
      <c r="D2020" s="2">
        <v>133360.0</v>
      </c>
    </row>
    <row r="2021">
      <c r="A2021" s="2" t="s">
        <v>1883</v>
      </c>
      <c r="B2021" s="1" t="s">
        <v>589</v>
      </c>
      <c r="D2021" s="1">
        <v>132000.0</v>
      </c>
    </row>
    <row r="2022">
      <c r="B2022" s="1" t="s">
        <v>668</v>
      </c>
      <c r="D2022" s="19">
        <v>267324.0</v>
      </c>
    </row>
    <row r="2023">
      <c r="A2023" s="2" t="s">
        <v>1891</v>
      </c>
      <c r="B2023" s="2" t="s">
        <v>1897</v>
      </c>
      <c r="D2023" s="2">
        <v>80000.0</v>
      </c>
      <c r="E2023" s="2" t="s">
        <v>1898</v>
      </c>
    </row>
    <row r="2024">
      <c r="B2024" s="2" t="s">
        <v>1899</v>
      </c>
      <c r="D2024" s="2">
        <v>80000.0</v>
      </c>
    </row>
    <row r="2025">
      <c r="B2025" s="2" t="s">
        <v>1900</v>
      </c>
      <c r="D2025" s="2">
        <v>30000.0</v>
      </c>
    </row>
    <row r="2026">
      <c r="A2026" s="2" t="s">
        <v>1901</v>
      </c>
      <c r="B2026" s="1" t="s">
        <v>966</v>
      </c>
      <c r="D2026" s="2">
        <v>3012840.0</v>
      </c>
      <c r="E2026" s="1" t="s">
        <v>1067</v>
      </c>
    </row>
    <row r="2027">
      <c r="A2027" s="2" t="s">
        <v>1902</v>
      </c>
      <c r="B2027" s="1" t="s">
        <v>1153</v>
      </c>
      <c r="D2027" s="2">
        <v>1855577.0</v>
      </c>
    </row>
    <row r="2028">
      <c r="A2028" s="2" t="s">
        <v>1903</v>
      </c>
      <c r="B2028" s="1" t="s">
        <v>221</v>
      </c>
      <c r="D2028" s="2">
        <v>2237143.0</v>
      </c>
    </row>
    <row r="2029">
      <c r="B2029" s="2" t="s">
        <v>1710</v>
      </c>
      <c r="D2029" s="2">
        <v>1636603.0</v>
      </c>
    </row>
    <row r="2030">
      <c r="A2030" s="2" t="s">
        <v>1904</v>
      </c>
      <c r="B2030" s="1" t="s">
        <v>187</v>
      </c>
      <c r="D2030" s="2">
        <v>2425010.0</v>
      </c>
    </row>
    <row r="2031">
      <c r="A2031" s="2" t="s">
        <v>1905</v>
      </c>
      <c r="B2031" s="1" t="s">
        <v>962</v>
      </c>
      <c r="D2031" s="2">
        <v>1986460.0</v>
      </c>
    </row>
    <row r="2032">
      <c r="A2032" s="2" t="s">
        <v>1906</v>
      </c>
      <c r="B2032" s="2" t="s">
        <v>1907</v>
      </c>
      <c r="D2032" s="2">
        <v>660000.0</v>
      </c>
      <c r="E2032" s="1" t="s">
        <v>1088</v>
      </c>
    </row>
    <row r="2033">
      <c r="B2033" s="1" t="s">
        <v>1093</v>
      </c>
      <c r="D2033" s="2">
        <v>77000.0</v>
      </c>
      <c r="E2033" s="1" t="s">
        <v>1236</v>
      </c>
    </row>
    <row r="2034">
      <c r="B2034" s="1" t="s">
        <v>1272</v>
      </c>
      <c r="D2034" s="2">
        <v>309830.0</v>
      </c>
      <c r="E2034" s="2" t="s">
        <v>1908</v>
      </c>
    </row>
    <row r="2035">
      <c r="A2035" s="2" t="s">
        <v>1909</v>
      </c>
      <c r="B2035" s="2" t="s">
        <v>1910</v>
      </c>
      <c r="D2035" s="2">
        <v>280000.0</v>
      </c>
      <c r="E2035" s="2" t="s">
        <v>972</v>
      </c>
    </row>
    <row r="2036">
      <c r="B2036" s="2" t="s">
        <v>1911</v>
      </c>
      <c r="D2036" s="2">
        <v>48258.0</v>
      </c>
      <c r="E2036" s="2" t="s">
        <v>1912</v>
      </c>
    </row>
    <row r="2037">
      <c r="B2037" s="2" t="s">
        <v>1913</v>
      </c>
      <c r="D2037" s="2">
        <v>88000.0</v>
      </c>
      <c r="E2037" s="2" t="s">
        <v>1912</v>
      </c>
    </row>
    <row r="2038">
      <c r="B2038" s="2" t="s">
        <v>784</v>
      </c>
      <c r="D2038" s="2">
        <v>900000.0</v>
      </c>
      <c r="E2038" s="2" t="s">
        <v>1690</v>
      </c>
    </row>
    <row r="2039">
      <c r="A2039" s="2" t="s">
        <v>1914</v>
      </c>
      <c r="B2039" s="2" t="s">
        <v>1894</v>
      </c>
      <c r="D2039" s="2">
        <v>4093882.0</v>
      </c>
      <c r="E2039" s="2" t="s">
        <v>1915</v>
      </c>
    </row>
    <row r="2040">
      <c r="B2040" s="2" t="s">
        <v>1916</v>
      </c>
      <c r="D2040" s="2">
        <v>48923.0</v>
      </c>
      <c r="E2040" s="2" t="s">
        <v>1895</v>
      </c>
    </row>
    <row r="2041">
      <c r="B2041" s="1" t="s">
        <v>589</v>
      </c>
      <c r="D2041" s="1">
        <v>132000.0</v>
      </c>
      <c r="E2041" s="2"/>
    </row>
    <row r="2042">
      <c r="B2042" s="1" t="s">
        <v>668</v>
      </c>
      <c r="D2042" s="2">
        <v>127108.0</v>
      </c>
    </row>
    <row r="2043">
      <c r="A2043" s="2" t="s">
        <v>1917</v>
      </c>
      <c r="B2043" s="2" t="s">
        <v>1168</v>
      </c>
      <c r="D2043" s="2">
        <v>2508136.0</v>
      </c>
      <c r="E2043" s="1" t="s">
        <v>1245</v>
      </c>
    </row>
    <row r="2044">
      <c r="A2044" s="2" t="s">
        <v>1918</v>
      </c>
      <c r="B2044" s="2" t="s">
        <v>1919</v>
      </c>
      <c r="D2044" s="2">
        <v>88000.0</v>
      </c>
      <c r="E2044" s="2" t="s">
        <v>1912</v>
      </c>
    </row>
    <row r="2045">
      <c r="A2045" s="2" t="s">
        <v>1920</v>
      </c>
      <c r="B2045" s="1" t="s">
        <v>966</v>
      </c>
      <c r="D2045" s="2">
        <v>3022180.0</v>
      </c>
      <c r="E2045" s="1" t="s">
        <v>1067</v>
      </c>
    </row>
    <row r="2046">
      <c r="A2046" s="2" t="s">
        <v>1921</v>
      </c>
      <c r="B2046" s="2" t="s">
        <v>1922</v>
      </c>
      <c r="D2046" s="2">
        <v>547200.0</v>
      </c>
    </row>
    <row r="2047">
      <c r="A2047" s="2" t="s">
        <v>1923</v>
      </c>
      <c r="B2047" s="1" t="s">
        <v>1153</v>
      </c>
      <c r="D2047" s="2">
        <v>1718807.0</v>
      </c>
    </row>
    <row r="2048">
      <c r="A2048" s="2" t="s">
        <v>1924</v>
      </c>
      <c r="B2048" s="1" t="s">
        <v>221</v>
      </c>
      <c r="D2048" s="2">
        <v>2061993.0</v>
      </c>
    </row>
    <row r="2049">
      <c r="B2049" s="2" t="s">
        <v>1710</v>
      </c>
      <c r="D2049" s="2">
        <v>1659317.0</v>
      </c>
    </row>
    <row r="2050">
      <c r="A2050" s="2" t="s">
        <v>1925</v>
      </c>
      <c r="B2050" s="1" t="s">
        <v>187</v>
      </c>
      <c r="D2050" s="2">
        <v>2101370.0</v>
      </c>
    </row>
    <row r="2051">
      <c r="A2051" s="2" t="s">
        <v>1926</v>
      </c>
      <c r="B2051" s="1" t="s">
        <v>962</v>
      </c>
      <c r="D2051" s="2">
        <v>1851330.0</v>
      </c>
    </row>
    <row r="2052">
      <c r="A2052" s="2" t="s">
        <v>1927</v>
      </c>
      <c r="B2052" s="2" t="s">
        <v>1928</v>
      </c>
      <c r="D2052" s="2">
        <v>88000.0</v>
      </c>
      <c r="E2052" s="2" t="s">
        <v>1912</v>
      </c>
    </row>
    <row r="2053">
      <c r="A2053" s="2" t="s">
        <v>1929</v>
      </c>
      <c r="B2053" s="2" t="s">
        <v>1910</v>
      </c>
      <c r="D2053" s="2">
        <v>280000.0</v>
      </c>
      <c r="E2053" s="20" t="s">
        <v>1930</v>
      </c>
    </row>
    <row r="2054">
      <c r="A2054" s="2" t="s">
        <v>1931</v>
      </c>
      <c r="B2054" s="1" t="s">
        <v>1093</v>
      </c>
      <c r="D2054" s="2">
        <v>154000.0</v>
      </c>
      <c r="E2054" s="1" t="s">
        <v>1236</v>
      </c>
    </row>
    <row r="2055">
      <c r="A2055" s="2" t="s">
        <v>1932</v>
      </c>
      <c r="B2055" s="2" t="s">
        <v>1894</v>
      </c>
      <c r="D2055" s="2">
        <v>4037218.0</v>
      </c>
      <c r="E2055" s="2" t="s">
        <v>1915</v>
      </c>
    </row>
    <row r="2056">
      <c r="B2056" s="1" t="s">
        <v>589</v>
      </c>
      <c r="D2056" s="1">
        <v>132000.0</v>
      </c>
      <c r="E2056" s="2"/>
    </row>
    <row r="2057">
      <c r="B2057" s="1" t="s">
        <v>668</v>
      </c>
      <c r="D2057" s="2">
        <v>100560.0</v>
      </c>
      <c r="E2057" s="2"/>
    </row>
    <row r="2058">
      <c r="A2058" s="2"/>
      <c r="B2058" s="2" t="s">
        <v>1933</v>
      </c>
      <c r="D2058" s="2">
        <v>173333.0</v>
      </c>
      <c r="E2058" s="2" t="s">
        <v>1934</v>
      </c>
    </row>
    <row r="2059">
      <c r="B2059" s="2" t="s">
        <v>784</v>
      </c>
      <c r="D2059" s="2">
        <v>783000.0</v>
      </c>
      <c r="E2059" s="2" t="s">
        <v>1690</v>
      </c>
    </row>
    <row r="2060">
      <c r="A2060" s="2" t="s">
        <v>1935</v>
      </c>
      <c r="B2060" s="1" t="s">
        <v>1272</v>
      </c>
      <c r="D2060" s="2">
        <v>157440.0</v>
      </c>
      <c r="E2060" s="2" t="s">
        <v>1936</v>
      </c>
    </row>
    <row r="2061">
      <c r="A2061" s="2" t="s">
        <v>1927</v>
      </c>
      <c r="B2061" s="1" t="s">
        <v>966</v>
      </c>
      <c r="D2061" s="2">
        <v>3251630.0</v>
      </c>
      <c r="E2061" s="1" t="s">
        <v>1067</v>
      </c>
    </row>
    <row r="2062">
      <c r="A2062" s="2" t="s">
        <v>1937</v>
      </c>
      <c r="B2062" s="1" t="s">
        <v>1153</v>
      </c>
      <c r="D2062" s="2">
        <v>1698457.0</v>
      </c>
      <c r="E2062" s="2"/>
    </row>
    <row r="2063">
      <c r="A2063" s="2" t="s">
        <v>1938</v>
      </c>
      <c r="B2063" s="1" t="s">
        <v>221</v>
      </c>
      <c r="D2063" s="2">
        <v>2037123.0</v>
      </c>
      <c r="E2063" s="2"/>
    </row>
    <row r="2064">
      <c r="B2064" s="2" t="s">
        <v>1710</v>
      </c>
      <c r="D2064" s="2">
        <v>1661917.0</v>
      </c>
      <c r="E2064" s="2"/>
    </row>
    <row r="2065">
      <c r="A2065" s="2" t="s">
        <v>1939</v>
      </c>
      <c r="B2065" s="1" t="s">
        <v>962</v>
      </c>
      <c r="D2065" s="2">
        <v>1825380.0</v>
      </c>
      <c r="E2065" s="2"/>
    </row>
    <row r="2066">
      <c r="A2066" s="2" t="s">
        <v>1940</v>
      </c>
      <c r="B2066" s="2" t="s">
        <v>1941</v>
      </c>
      <c r="D2066" s="2">
        <v>6000000.0</v>
      </c>
      <c r="E2066" s="2" t="s">
        <v>1942</v>
      </c>
    </row>
    <row r="2067">
      <c r="A2067" s="2" t="s">
        <v>1943</v>
      </c>
      <c r="B2067" s="2" t="s">
        <v>1944</v>
      </c>
      <c r="D2067" s="2">
        <v>459000.0</v>
      </c>
      <c r="E2067" s="2" t="s">
        <v>1945</v>
      </c>
    </row>
    <row r="2068">
      <c r="B2068" s="2" t="s">
        <v>1946</v>
      </c>
      <c r="D2068" s="2">
        <v>406113.0</v>
      </c>
      <c r="E2068" s="2" t="s">
        <v>1945</v>
      </c>
    </row>
    <row r="2069">
      <c r="A2069" s="2" t="s">
        <v>1947</v>
      </c>
      <c r="B2069" s="2" t="s">
        <v>1910</v>
      </c>
      <c r="D2069" s="2">
        <v>280000.0</v>
      </c>
      <c r="E2069" s="20" t="s">
        <v>1930</v>
      </c>
    </row>
    <row r="2070">
      <c r="A2070" s="2" t="s">
        <v>1948</v>
      </c>
      <c r="B2070" s="2" t="s">
        <v>1949</v>
      </c>
      <c r="D2070" s="2">
        <v>4028795.0</v>
      </c>
      <c r="E2070" s="2"/>
    </row>
    <row r="2071">
      <c r="B2071" s="1" t="s">
        <v>589</v>
      </c>
      <c r="D2071" s="2">
        <v>132000.0</v>
      </c>
      <c r="E2071" s="2"/>
    </row>
    <row r="2072">
      <c r="B2072" s="1" t="s">
        <v>668</v>
      </c>
      <c r="D2072" s="19"/>
      <c r="E2072" s="2" t="s">
        <v>1950</v>
      </c>
    </row>
    <row r="2073">
      <c r="A2073" s="2" t="s">
        <v>1951</v>
      </c>
      <c r="B2073" s="2" t="s">
        <v>1944</v>
      </c>
      <c r="D2073" s="2">
        <v>189000.0</v>
      </c>
      <c r="E2073" s="2" t="s">
        <v>1952</v>
      </c>
    </row>
    <row r="2074">
      <c r="B2074" s="2" t="s">
        <v>1946</v>
      </c>
      <c r="D2074" s="2">
        <v>238890.0</v>
      </c>
      <c r="E2074" s="2" t="s">
        <v>1953</v>
      </c>
    </row>
    <row r="2075">
      <c r="A2075" s="2" t="s">
        <v>1954</v>
      </c>
      <c r="B2075" s="1" t="s">
        <v>966</v>
      </c>
      <c r="D2075" s="2">
        <v>2623700.0</v>
      </c>
      <c r="E2075" s="1" t="s">
        <v>1067</v>
      </c>
    </row>
    <row r="2076">
      <c r="A2076" s="2" t="s">
        <v>1955</v>
      </c>
      <c r="B2076" s="1" t="s">
        <v>1153</v>
      </c>
      <c r="D2076" s="2">
        <v>566152.0</v>
      </c>
      <c r="E2076" s="2" t="s">
        <v>1956</v>
      </c>
    </row>
    <row r="2077">
      <c r="A2077" s="2" t="s">
        <v>1955</v>
      </c>
      <c r="B2077" s="1" t="s">
        <v>221</v>
      </c>
      <c r="D2077" s="2">
        <v>2061993.0</v>
      </c>
      <c r="E2077" s="2"/>
    </row>
    <row r="2078">
      <c r="B2078" s="2" t="s">
        <v>1710</v>
      </c>
      <c r="D2078" s="2">
        <v>1661887.0</v>
      </c>
      <c r="E2078" s="2"/>
    </row>
    <row r="2079">
      <c r="A2079" s="2" t="s">
        <v>1957</v>
      </c>
      <c r="B2079" s="1" t="s">
        <v>962</v>
      </c>
      <c r="D2079" s="2">
        <v>1849590.0</v>
      </c>
      <c r="E2079" s="2"/>
    </row>
    <row r="2080">
      <c r="A2080" s="2" t="s">
        <v>1958</v>
      </c>
      <c r="B2080" s="2" t="s">
        <v>1910</v>
      </c>
      <c r="D2080" s="2">
        <v>280000.0</v>
      </c>
      <c r="E2080" s="20" t="s">
        <v>1930</v>
      </c>
    </row>
    <row r="2081">
      <c r="A2081" s="2" t="s">
        <v>1959</v>
      </c>
      <c r="B2081" s="2" t="s">
        <v>1960</v>
      </c>
      <c r="D2081" s="2">
        <v>452664.0</v>
      </c>
      <c r="E2081" s="2" t="s">
        <v>1961</v>
      </c>
    </row>
    <row r="2082">
      <c r="B2082" s="2" t="s">
        <v>1944</v>
      </c>
      <c r="D2082" s="2">
        <v>472500.0</v>
      </c>
      <c r="E2082" s="2" t="s">
        <v>1962</v>
      </c>
    </row>
    <row r="2083">
      <c r="B2083" s="2" t="s">
        <v>1946</v>
      </c>
      <c r="D2083" s="2">
        <v>418056.0</v>
      </c>
      <c r="E2083" s="2" t="s">
        <v>1962</v>
      </c>
    </row>
    <row r="2084">
      <c r="A2084" s="2" t="s">
        <v>1963</v>
      </c>
      <c r="B2084" s="2" t="s">
        <v>1944</v>
      </c>
      <c r="D2084" s="2">
        <v>44448.0</v>
      </c>
      <c r="E2084" s="2" t="s">
        <v>1964</v>
      </c>
    </row>
    <row r="2085">
      <c r="B2085" s="2" t="s">
        <v>1946</v>
      </c>
      <c r="D2085" s="2">
        <v>29862.0</v>
      </c>
      <c r="E2085" s="2" t="s">
        <v>1964</v>
      </c>
    </row>
    <row r="2086">
      <c r="A2086" s="2" t="s">
        <v>1963</v>
      </c>
      <c r="B2086" s="2" t="s">
        <v>1965</v>
      </c>
      <c r="D2086" s="2">
        <v>88000.0</v>
      </c>
      <c r="E2086" s="2" t="s">
        <v>1912</v>
      </c>
    </row>
    <row r="2087">
      <c r="A2087" s="2" t="s">
        <v>1957</v>
      </c>
      <c r="B2087" s="2" t="s">
        <v>1894</v>
      </c>
      <c r="D2087" s="2">
        <v>3967461.0</v>
      </c>
      <c r="E2087" s="2"/>
    </row>
    <row r="2088">
      <c r="B2088" s="1" t="s">
        <v>589</v>
      </c>
      <c r="D2088" s="2">
        <v>132000.0</v>
      </c>
      <c r="E2088" s="2"/>
    </row>
    <row r="2089">
      <c r="B2089" s="1" t="s">
        <v>668</v>
      </c>
      <c r="D2089" s="19">
        <v>406928.0</v>
      </c>
      <c r="E2089" s="2" t="s">
        <v>1966</v>
      </c>
    </row>
    <row r="2090">
      <c r="A2090" s="2" t="s">
        <v>1967</v>
      </c>
      <c r="B2090" s="2" t="s">
        <v>1968</v>
      </c>
      <c r="D2090" s="2">
        <v>1.9423237E7</v>
      </c>
      <c r="E2090" s="2" t="s">
        <v>1969</v>
      </c>
    </row>
    <row r="2091">
      <c r="B2091" s="2" t="s">
        <v>1165</v>
      </c>
      <c r="D2091" s="2">
        <v>5792272.0</v>
      </c>
      <c r="E2091" s="2" t="s">
        <v>1970</v>
      </c>
    </row>
    <row r="2092">
      <c r="A2092" s="2" t="s">
        <v>1971</v>
      </c>
      <c r="B2092" s="2" t="s">
        <v>1960</v>
      </c>
      <c r="D2092" s="2">
        <v>604552.0</v>
      </c>
      <c r="E2092" s="2" t="s">
        <v>1972</v>
      </c>
    </row>
    <row r="2093">
      <c r="B2093" s="2" t="s">
        <v>1944</v>
      </c>
      <c r="D2093" s="2">
        <v>504172.0</v>
      </c>
      <c r="E2093" s="2" t="s">
        <v>1972</v>
      </c>
    </row>
    <row r="2094">
      <c r="B2094" s="2" t="s">
        <v>1946</v>
      </c>
      <c r="D2094" s="2">
        <v>433586.0</v>
      </c>
      <c r="E2094" s="2" t="s">
        <v>1972</v>
      </c>
    </row>
    <row r="2095">
      <c r="A2095" s="2" t="s">
        <v>1971</v>
      </c>
      <c r="B2095" s="2" t="s">
        <v>1973</v>
      </c>
      <c r="D2095" s="2">
        <v>1612490.0</v>
      </c>
      <c r="E2095" s="2"/>
    </row>
    <row r="2096">
      <c r="B2096" s="2" t="s">
        <v>1974</v>
      </c>
      <c r="D2096" s="2">
        <v>1569370.0</v>
      </c>
      <c r="E2096" s="2"/>
    </row>
    <row r="2097">
      <c r="A2097" s="2" t="s">
        <v>1975</v>
      </c>
      <c r="B2097" s="2" t="s">
        <v>1168</v>
      </c>
      <c r="D2097" s="2">
        <v>1499167.0</v>
      </c>
      <c r="E2097" s="1" t="s">
        <v>1245</v>
      </c>
    </row>
    <row r="2098">
      <c r="A2098" s="2" t="s">
        <v>1976</v>
      </c>
      <c r="B2098" s="2" t="s">
        <v>1896</v>
      </c>
      <c r="D2098" s="2">
        <v>396000.0</v>
      </c>
      <c r="E2098" s="1" t="s">
        <v>1088</v>
      </c>
    </row>
    <row r="2099">
      <c r="B2099" s="1" t="s">
        <v>966</v>
      </c>
      <c r="D2099" s="2">
        <v>2321250.0</v>
      </c>
      <c r="E2099" s="1" t="s">
        <v>1067</v>
      </c>
    </row>
    <row r="2100">
      <c r="A2100" s="2" t="s">
        <v>1977</v>
      </c>
      <c r="B2100" s="1" t="s">
        <v>221</v>
      </c>
      <c r="D2100" s="2">
        <v>2061993.0</v>
      </c>
      <c r="E2100" s="2"/>
    </row>
    <row r="2101">
      <c r="B2101" s="2" t="s">
        <v>1710</v>
      </c>
      <c r="D2101" s="2">
        <v>1661887.0</v>
      </c>
      <c r="E2101" s="2"/>
    </row>
    <row r="2102">
      <c r="A2102" s="2" t="s">
        <v>1978</v>
      </c>
      <c r="B2102" s="1" t="s">
        <v>962</v>
      </c>
      <c r="D2102" s="2">
        <v>1906123.0</v>
      </c>
      <c r="E2102" s="2"/>
    </row>
    <row r="2103">
      <c r="A2103" s="2" t="s">
        <v>1979</v>
      </c>
      <c r="B2103" s="2" t="s">
        <v>1980</v>
      </c>
      <c r="D2103" s="2">
        <v>88000.0</v>
      </c>
      <c r="E2103" s="2" t="s">
        <v>1912</v>
      </c>
    </row>
    <row r="2104">
      <c r="A2104" s="2" t="s">
        <v>1981</v>
      </c>
      <c r="B2104" s="2" t="s">
        <v>1982</v>
      </c>
      <c r="D2104" s="2">
        <v>850000.0</v>
      </c>
      <c r="E2104" s="2" t="s">
        <v>1273</v>
      </c>
    </row>
    <row r="2105">
      <c r="A2105" s="2" t="s">
        <v>1977</v>
      </c>
      <c r="B2105" s="2" t="s">
        <v>1983</v>
      </c>
      <c r="D2105" s="2">
        <v>290400.0</v>
      </c>
      <c r="E2105" s="2" t="s">
        <v>1033</v>
      </c>
    </row>
    <row r="2106">
      <c r="A2106" s="2" t="s">
        <v>1984</v>
      </c>
      <c r="B2106" s="2" t="s">
        <v>1985</v>
      </c>
      <c r="D2106" s="2">
        <v>280000.0</v>
      </c>
      <c r="E2106" s="20" t="s">
        <v>1930</v>
      </c>
    </row>
    <row r="2107">
      <c r="A2107" s="2" t="s">
        <v>1986</v>
      </c>
      <c r="B2107" s="2" t="s">
        <v>1949</v>
      </c>
      <c r="D2107" s="2">
        <v>4098996.0</v>
      </c>
      <c r="E2107" s="2"/>
    </row>
    <row r="2108">
      <c r="B2108" s="1" t="s">
        <v>589</v>
      </c>
      <c r="D2108" s="2">
        <v>132000.0</v>
      </c>
      <c r="E2108" s="2"/>
    </row>
    <row r="2109">
      <c r="B2109" s="1" t="s">
        <v>668</v>
      </c>
      <c r="D2109" s="2">
        <v>294466.0</v>
      </c>
      <c r="E2109" s="2"/>
    </row>
    <row r="2110">
      <c r="A2110" s="2" t="s">
        <v>1987</v>
      </c>
      <c r="B2110" s="2" t="s">
        <v>1960</v>
      </c>
      <c r="D2110" s="2">
        <v>603552.0</v>
      </c>
      <c r="E2110" s="2" t="s">
        <v>1988</v>
      </c>
    </row>
    <row r="2111">
      <c r="B2111" s="2" t="s">
        <v>1944</v>
      </c>
      <c r="D2111" s="2">
        <v>504172.0</v>
      </c>
      <c r="E2111" s="2" t="s">
        <v>1988</v>
      </c>
    </row>
    <row r="2112">
      <c r="B2112" s="2" t="s">
        <v>1946</v>
      </c>
      <c r="D2112" s="2">
        <v>433586.0</v>
      </c>
      <c r="E2112" s="2" t="s">
        <v>1988</v>
      </c>
    </row>
    <row r="2113">
      <c r="A2113" s="2" t="s">
        <v>1989</v>
      </c>
      <c r="B2113" s="2" t="s">
        <v>1990</v>
      </c>
      <c r="D2113" s="2">
        <v>277724.0</v>
      </c>
      <c r="E2113" s="1" t="s">
        <v>1245</v>
      </c>
    </row>
    <row r="2114">
      <c r="A2114" s="2" t="s">
        <v>1978</v>
      </c>
      <c r="B2114" s="2" t="s">
        <v>1960</v>
      </c>
      <c r="D2114" s="2">
        <v>603552.0</v>
      </c>
      <c r="E2114" s="2" t="s">
        <v>1991</v>
      </c>
    </row>
    <row r="2115">
      <c r="B2115" s="2" t="s">
        <v>1944</v>
      </c>
      <c r="D2115" s="2">
        <v>473616.0</v>
      </c>
      <c r="E2115" s="2" t="s">
        <v>1992</v>
      </c>
    </row>
    <row r="2116">
      <c r="B2116" s="2" t="s">
        <v>1946</v>
      </c>
      <c r="D2116" s="2">
        <v>407308.0</v>
      </c>
      <c r="E2116" s="2" t="s">
        <v>1992</v>
      </c>
    </row>
    <row r="2117">
      <c r="A2117" s="2" t="s">
        <v>1993</v>
      </c>
      <c r="B2117" s="1" t="s">
        <v>966</v>
      </c>
      <c r="D2117" s="2">
        <v>5294060.0</v>
      </c>
      <c r="E2117" s="1" t="s">
        <v>1067</v>
      </c>
    </row>
    <row r="2118">
      <c r="A2118" s="2"/>
      <c r="B2118" s="2" t="s">
        <v>1994</v>
      </c>
      <c r="D2118" s="2">
        <v>88000.0</v>
      </c>
      <c r="E2118" s="2" t="s">
        <v>1912</v>
      </c>
    </row>
    <row r="2119">
      <c r="A2119" s="2" t="s">
        <v>1995</v>
      </c>
      <c r="B2119" s="1" t="s">
        <v>221</v>
      </c>
      <c r="D2119" s="2">
        <v>2048323.0</v>
      </c>
      <c r="E2119" s="2"/>
    </row>
    <row r="2120">
      <c r="B2120" s="2" t="s">
        <v>1710</v>
      </c>
      <c r="D2120" s="2">
        <v>1637047.0</v>
      </c>
      <c r="E2120" s="2"/>
    </row>
    <row r="2121">
      <c r="A2121" s="2" t="s">
        <v>1996</v>
      </c>
      <c r="B2121" s="1" t="s">
        <v>962</v>
      </c>
      <c r="D2121" s="2">
        <v>1887033.0</v>
      </c>
      <c r="E2121" s="2"/>
    </row>
    <row r="2122">
      <c r="A2122" s="2" t="s">
        <v>1997</v>
      </c>
      <c r="B2122" s="2" t="s">
        <v>1998</v>
      </c>
      <c r="D2122" s="2">
        <v>116010.0</v>
      </c>
      <c r="E2122" s="2" t="s">
        <v>1999</v>
      </c>
    </row>
    <row r="2123">
      <c r="A2123" s="2" t="s">
        <v>2000</v>
      </c>
      <c r="B2123" s="2" t="s">
        <v>1985</v>
      </c>
      <c r="D2123" s="2">
        <v>280000.0</v>
      </c>
      <c r="E2123" s="2"/>
    </row>
    <row r="2124">
      <c r="A2124" s="2" t="s">
        <v>2001</v>
      </c>
      <c r="B2124" s="2" t="s">
        <v>1894</v>
      </c>
      <c r="D2124" s="2">
        <v>4023855.0</v>
      </c>
      <c r="E2124" s="2"/>
    </row>
    <row r="2125">
      <c r="B2125" s="1" t="s">
        <v>589</v>
      </c>
      <c r="D2125" s="2">
        <v>132000.0</v>
      </c>
      <c r="E2125" s="2"/>
    </row>
    <row r="2126">
      <c r="B2126" s="1" t="s">
        <v>668</v>
      </c>
      <c r="D2126" s="2">
        <v>130984.0</v>
      </c>
      <c r="E2126" s="2"/>
    </row>
    <row r="2127">
      <c r="A2127" s="2" t="s">
        <v>2002</v>
      </c>
      <c r="B2127" s="2" t="s">
        <v>1960</v>
      </c>
      <c r="D2127" s="2">
        <v>414942.0</v>
      </c>
      <c r="E2127" s="2" t="s">
        <v>2003</v>
      </c>
    </row>
    <row r="2128">
      <c r="B2128" s="2" t="s">
        <v>1944</v>
      </c>
      <c r="D2128" s="2">
        <v>351392.0</v>
      </c>
      <c r="E2128" s="2" t="s">
        <v>2003</v>
      </c>
    </row>
    <row r="2129">
      <c r="B2129" s="2" t="s">
        <v>1946</v>
      </c>
      <c r="D2129" s="2">
        <v>302196.0</v>
      </c>
      <c r="E2129" s="2" t="s">
        <v>2003</v>
      </c>
    </row>
    <row r="2130">
      <c r="A2130" s="2" t="s">
        <v>2000</v>
      </c>
      <c r="B2130" s="2" t="s">
        <v>2004</v>
      </c>
      <c r="D2130" s="2">
        <v>1.942122E7</v>
      </c>
      <c r="E2130" s="2" t="s">
        <v>216</v>
      </c>
    </row>
    <row r="2131">
      <c r="B2131" s="2" t="s">
        <v>2005</v>
      </c>
      <c r="D2131" s="2">
        <v>62500.0</v>
      </c>
      <c r="E2131" s="2" t="s">
        <v>216</v>
      </c>
    </row>
    <row r="2132">
      <c r="A2132" s="2" t="s">
        <v>2006</v>
      </c>
      <c r="B2132" s="1" t="s">
        <v>1272</v>
      </c>
      <c r="D2132" s="2">
        <v>422330.0</v>
      </c>
      <c r="E2132" s="2" t="s">
        <v>1936</v>
      </c>
    </row>
    <row r="2133">
      <c r="A2133" s="2" t="s">
        <v>1996</v>
      </c>
      <c r="B2133" s="2" t="s">
        <v>1960</v>
      </c>
      <c r="D2133" s="2">
        <v>641274.0</v>
      </c>
      <c r="E2133" s="2" t="s">
        <v>2007</v>
      </c>
    </row>
    <row r="2134">
      <c r="B2134" s="2" t="s">
        <v>1944</v>
      </c>
      <c r="D2134" s="2">
        <v>534728.0</v>
      </c>
      <c r="E2134" s="2" t="s">
        <v>2007</v>
      </c>
    </row>
    <row r="2135">
      <c r="B2135" s="2" t="s">
        <v>1946</v>
      </c>
      <c r="D2135" s="2">
        <v>459864.0</v>
      </c>
      <c r="E2135" s="2" t="s">
        <v>2007</v>
      </c>
    </row>
    <row r="2136">
      <c r="A2136" s="2" t="s">
        <v>2008</v>
      </c>
      <c r="B2136" s="1" t="s">
        <v>966</v>
      </c>
      <c r="D2136" s="2">
        <v>2164710.0</v>
      </c>
      <c r="E2136" s="1" t="s">
        <v>1067</v>
      </c>
    </row>
    <row r="2137">
      <c r="B2137" s="2" t="s">
        <v>2009</v>
      </c>
      <c r="D2137" s="2">
        <v>88000.0</v>
      </c>
      <c r="E2137" s="2" t="s">
        <v>1912</v>
      </c>
    </row>
    <row r="2138">
      <c r="A2138" s="2" t="s">
        <v>2010</v>
      </c>
      <c r="B2138" s="1" t="s">
        <v>221</v>
      </c>
      <c r="D2138" s="2">
        <v>1869823.0</v>
      </c>
      <c r="E2138" s="2"/>
    </row>
    <row r="2139">
      <c r="B2139" s="2" t="s">
        <v>1710</v>
      </c>
      <c r="D2139" s="2">
        <v>1576627.0</v>
      </c>
      <c r="E2139" s="2"/>
    </row>
    <row r="2140">
      <c r="A2140" s="2" t="s">
        <v>2011</v>
      </c>
      <c r="B2140" s="1" t="s">
        <v>962</v>
      </c>
      <c r="D2140" s="2">
        <v>1778163.0</v>
      </c>
      <c r="E2140" s="2"/>
    </row>
    <row r="2141">
      <c r="A2141" s="2" t="s">
        <v>2012</v>
      </c>
      <c r="B2141" s="2" t="s">
        <v>2013</v>
      </c>
      <c r="D2141" s="2">
        <v>350000.0</v>
      </c>
      <c r="E2141" s="2" t="s">
        <v>2014</v>
      </c>
    </row>
    <row r="2142">
      <c r="A2142" s="2" t="s">
        <v>2010</v>
      </c>
      <c r="B2142" s="2" t="s">
        <v>1960</v>
      </c>
      <c r="D2142" s="2">
        <v>546969.0</v>
      </c>
      <c r="E2142" s="2" t="s">
        <v>2015</v>
      </c>
    </row>
    <row r="2143">
      <c r="B2143" s="2" t="s">
        <v>1944</v>
      </c>
      <c r="D2143" s="2">
        <v>488894.0</v>
      </c>
      <c r="E2143" s="2" t="s">
        <v>2016</v>
      </c>
    </row>
    <row r="2144">
      <c r="B2144" s="2" t="s">
        <v>1946</v>
      </c>
      <c r="D2144" s="2">
        <v>407282.0</v>
      </c>
      <c r="E2144" s="2" t="s">
        <v>2017</v>
      </c>
    </row>
    <row r="2145">
      <c r="A2145" s="2" t="s">
        <v>2011</v>
      </c>
      <c r="B2145" s="2" t="s">
        <v>1949</v>
      </c>
      <c r="D2145" s="2">
        <v>4078881.0</v>
      </c>
      <c r="E2145" s="2"/>
    </row>
    <row r="2146">
      <c r="B2146" s="1" t="s">
        <v>589</v>
      </c>
      <c r="D2146" s="2">
        <v>132000.0</v>
      </c>
      <c r="E2146" s="2"/>
    </row>
    <row r="2147">
      <c r="B2147" s="1" t="s">
        <v>668</v>
      </c>
      <c r="D2147" s="2">
        <v>128716.0</v>
      </c>
      <c r="E2147" s="2"/>
    </row>
    <row r="2148">
      <c r="A2148" s="2" t="s">
        <v>2010</v>
      </c>
      <c r="B2148" s="2" t="s">
        <v>1960</v>
      </c>
      <c r="D2148" s="2">
        <v>546969.0</v>
      </c>
      <c r="E2148" s="2" t="s">
        <v>2018</v>
      </c>
    </row>
    <row r="2149">
      <c r="B2149" s="2" t="s">
        <v>1944</v>
      </c>
      <c r="D2149" s="2">
        <v>488894.0</v>
      </c>
      <c r="E2149" s="2" t="s">
        <v>2019</v>
      </c>
    </row>
    <row r="2150">
      <c r="B2150" s="2" t="s">
        <v>1946</v>
      </c>
      <c r="D2150" s="2">
        <v>407282.0</v>
      </c>
      <c r="E2150" s="2" t="s">
        <v>2020</v>
      </c>
    </row>
    <row r="2151">
      <c r="A2151" s="2" t="s">
        <v>2021</v>
      </c>
      <c r="B2151" s="2" t="s">
        <v>2022</v>
      </c>
      <c r="D2151" s="2">
        <v>2501970.0</v>
      </c>
      <c r="E2151" s="1" t="s">
        <v>1067</v>
      </c>
    </row>
    <row r="2152">
      <c r="B2152" s="2" t="s">
        <v>784</v>
      </c>
      <c r="D2152" s="2">
        <v>500000.0</v>
      </c>
      <c r="E2152" s="2" t="s">
        <v>1690</v>
      </c>
    </row>
    <row r="2153">
      <c r="A2153" s="2" t="s">
        <v>2023</v>
      </c>
      <c r="B2153" s="2" t="s">
        <v>2024</v>
      </c>
      <c r="D2153" s="2">
        <v>88000.0</v>
      </c>
      <c r="E2153" s="2" t="s">
        <v>1912</v>
      </c>
    </row>
    <row r="2154">
      <c r="A2154" s="2" t="s">
        <v>2025</v>
      </c>
      <c r="B2154" s="1" t="s">
        <v>221</v>
      </c>
      <c r="D2154" s="2">
        <v>1943593.0</v>
      </c>
      <c r="E2154" s="2"/>
    </row>
    <row r="2155">
      <c r="B2155" s="2" t="s">
        <v>1710</v>
      </c>
      <c r="D2155" s="2">
        <v>1607767.0</v>
      </c>
      <c r="E2155" s="2"/>
    </row>
    <row r="2156">
      <c r="A2156" s="2" t="s">
        <v>2026</v>
      </c>
      <c r="B2156" s="1" t="s">
        <v>962</v>
      </c>
      <c r="D2156" s="2">
        <v>1821933.0</v>
      </c>
      <c r="E2156" s="2"/>
    </row>
    <row r="2157">
      <c r="A2157" s="2" t="s">
        <v>2027</v>
      </c>
      <c r="B2157" s="2" t="s">
        <v>1960</v>
      </c>
      <c r="D2157" s="2">
        <v>301776.0</v>
      </c>
      <c r="E2157" s="2" t="s">
        <v>2028</v>
      </c>
    </row>
    <row r="2158">
      <c r="B2158" s="2" t="s">
        <v>1944</v>
      </c>
      <c r="D2158" s="2">
        <v>259724.0</v>
      </c>
      <c r="E2158" s="2" t="s">
        <v>2028</v>
      </c>
    </row>
    <row r="2159">
      <c r="B2159" s="2" t="s">
        <v>1946</v>
      </c>
      <c r="D2159" s="2">
        <v>223362.0</v>
      </c>
      <c r="E2159" s="2" t="s">
        <v>2028</v>
      </c>
    </row>
    <row r="2160">
      <c r="A2160" s="2" t="s">
        <v>2029</v>
      </c>
      <c r="B2160" s="2" t="s">
        <v>1985</v>
      </c>
      <c r="D2160" s="2">
        <v>280000.0</v>
      </c>
      <c r="E2160" s="2"/>
    </row>
    <row r="2161">
      <c r="A2161" s="2" t="s">
        <v>2030</v>
      </c>
      <c r="B2161" s="2" t="s">
        <v>1949</v>
      </c>
      <c r="D2161" s="21"/>
      <c r="E2161" s="2"/>
    </row>
    <row r="2162">
      <c r="B2162" s="1" t="s">
        <v>589</v>
      </c>
      <c r="D2162" s="19">
        <v>132000.0</v>
      </c>
      <c r="E2162" s="2"/>
    </row>
    <row r="2163">
      <c r="B2163" s="1" t="s">
        <v>668</v>
      </c>
      <c r="D2163" s="19"/>
      <c r="E2163" s="2"/>
    </row>
    <row r="2164">
      <c r="A2164" s="2" t="s">
        <v>2031</v>
      </c>
      <c r="B2164" s="2" t="s">
        <v>2032</v>
      </c>
      <c r="D2164" s="2">
        <v>154000.0</v>
      </c>
      <c r="E2164" s="2" t="s">
        <v>2033</v>
      </c>
    </row>
    <row r="2165">
      <c r="A2165" s="2" t="s">
        <v>2034</v>
      </c>
      <c r="B2165" s="2" t="s">
        <v>2035</v>
      </c>
      <c r="D2165" s="2">
        <v>60000.0</v>
      </c>
      <c r="E2165" s="2"/>
    </row>
    <row r="2166">
      <c r="B2166" s="2" t="s">
        <v>2036</v>
      </c>
      <c r="D2166" s="2">
        <v>65000.0</v>
      </c>
      <c r="E2166" s="2"/>
    </row>
    <row r="2167">
      <c r="E2167" s="2"/>
    </row>
    <row r="2168">
      <c r="E2168" s="2"/>
    </row>
    <row r="2169">
      <c r="E2169" s="2"/>
    </row>
    <row r="2170">
      <c r="E2170" s="2"/>
    </row>
    <row r="2171">
      <c r="E2171" s="2"/>
    </row>
    <row r="2172">
      <c r="E2172" s="2"/>
    </row>
    <row r="2173">
      <c r="E2173" s="2"/>
    </row>
    <row r="2174">
      <c r="E2174" s="2"/>
    </row>
    <row r="2175">
      <c r="E2175" s="2"/>
    </row>
    <row r="2176">
      <c r="E2176" s="2"/>
    </row>
    <row r="2177">
      <c r="E2177" s="2"/>
    </row>
    <row r="2178">
      <c r="E2178" s="2"/>
    </row>
    <row r="2179">
      <c r="E2179" s="2"/>
    </row>
    <row r="2180">
      <c r="E2180" s="2"/>
    </row>
    <row r="2181">
      <c r="E2181" s="2"/>
    </row>
    <row r="2182">
      <c r="E2182" s="2"/>
    </row>
    <row r="2183">
      <c r="E2183" s="2"/>
    </row>
    <row r="2184">
      <c r="E2184" s="2"/>
    </row>
    <row r="2185">
      <c r="E2185" s="2"/>
    </row>
    <row r="2186">
      <c r="E2186" s="2" t="s">
        <v>2037</v>
      </c>
    </row>
    <row r="2189">
      <c r="A2189" s="1" t="s">
        <v>18</v>
      </c>
      <c r="B2189" s="1" t="s">
        <v>2038</v>
      </c>
      <c r="C2189" s="1">
        <v>600000.0</v>
      </c>
    </row>
    <row r="2190">
      <c r="B2190">
        <f>Sum(C2191:C2237)</f>
        <v>2032090070</v>
      </c>
    </row>
    <row r="2191">
      <c r="B2191" s="1" t="s">
        <v>2039</v>
      </c>
      <c r="C2191">
        <f t="shared" ref="C2191:C2305" si="4">Sum(E2192:G2192)</f>
        <v>17806370</v>
      </c>
      <c r="D2191" s="1" t="s">
        <v>2040</v>
      </c>
      <c r="E2191" s="1" t="s">
        <v>2041</v>
      </c>
      <c r="F2191" s="1" t="s">
        <v>2042</v>
      </c>
      <c r="G2191" s="1" t="s">
        <v>2043</v>
      </c>
    </row>
    <row r="2192">
      <c r="B2192" s="1" t="s">
        <v>2044</v>
      </c>
      <c r="C2192">
        <f t="shared" si="4"/>
        <v>26930520</v>
      </c>
      <c r="D2192" s="1" t="s">
        <v>266</v>
      </c>
      <c r="E2192" s="1">
        <v>8075700.0</v>
      </c>
      <c r="F2192" s="1">
        <v>3602250.0</v>
      </c>
      <c r="G2192" s="1">
        <v>6128420.0</v>
      </c>
    </row>
    <row r="2193">
      <c r="B2193" s="1" t="s">
        <v>2045</v>
      </c>
      <c r="C2193">
        <f t="shared" si="4"/>
        <v>29495160</v>
      </c>
      <c r="D2193" s="1" t="s">
        <v>2046</v>
      </c>
      <c r="E2193" s="1">
        <v>1.183871E7</v>
      </c>
      <c r="F2193" s="1">
        <v>4951900.0</v>
      </c>
      <c r="G2193" s="1">
        <v>1.013991E7</v>
      </c>
    </row>
    <row r="2194">
      <c r="B2194" s="1" t="s">
        <v>2047</v>
      </c>
      <c r="C2194">
        <f t="shared" si="4"/>
        <v>44699150</v>
      </c>
      <c r="D2194" s="1" t="s">
        <v>2048</v>
      </c>
      <c r="E2194" s="1">
        <v>1.321116E7</v>
      </c>
      <c r="F2194" s="1">
        <v>5681600.0</v>
      </c>
      <c r="G2194" s="1">
        <v>1.06024E7</v>
      </c>
    </row>
    <row r="2195">
      <c r="B2195" s="1" t="s">
        <v>2049</v>
      </c>
      <c r="C2195">
        <f t="shared" si="4"/>
        <v>49838340</v>
      </c>
      <c r="D2195" s="1" t="s">
        <v>2050</v>
      </c>
      <c r="E2195" s="1">
        <v>1.807259E7</v>
      </c>
      <c r="F2195" s="1">
        <v>8033500.0</v>
      </c>
      <c r="G2195" s="1">
        <v>1.859306E7</v>
      </c>
    </row>
    <row r="2196">
      <c r="B2196" s="1" t="s">
        <v>2051</v>
      </c>
      <c r="C2196">
        <f t="shared" si="4"/>
        <v>45713430</v>
      </c>
      <c r="D2196" s="1" t="s">
        <v>2052</v>
      </c>
      <c r="E2196" s="1">
        <v>2.091686E7</v>
      </c>
      <c r="F2196" s="1">
        <v>8989080.0</v>
      </c>
      <c r="G2196" s="1">
        <v>1.99324E7</v>
      </c>
    </row>
    <row r="2197">
      <c r="B2197" s="1" t="s">
        <v>2053</v>
      </c>
      <c r="C2197">
        <f t="shared" si="4"/>
        <v>25625970</v>
      </c>
      <c r="D2197" s="1" t="s">
        <v>403</v>
      </c>
      <c r="E2197" s="1">
        <v>2.12058E7</v>
      </c>
      <c r="F2197" s="1">
        <v>9224590.0</v>
      </c>
      <c r="G2197" s="1">
        <v>1.528304E7</v>
      </c>
    </row>
    <row r="2198">
      <c r="B2198" s="1" t="s">
        <v>2054</v>
      </c>
      <c r="C2198">
        <f t="shared" si="4"/>
        <v>48401350</v>
      </c>
      <c r="D2198" s="1" t="s">
        <v>2055</v>
      </c>
      <c r="E2198" s="1">
        <v>1.159817E7</v>
      </c>
      <c r="F2198" s="1">
        <v>4912800.0</v>
      </c>
      <c r="G2198" s="1">
        <v>9115000.0</v>
      </c>
    </row>
    <row r="2199">
      <c r="B2199" s="1" t="s">
        <v>2056</v>
      </c>
      <c r="C2199">
        <f t="shared" si="4"/>
        <v>36623160</v>
      </c>
      <c r="D2199" s="1" t="s">
        <v>2057</v>
      </c>
      <c r="E2199" s="1">
        <v>2.032732E7</v>
      </c>
      <c r="F2199" s="1">
        <v>8866530.0</v>
      </c>
      <c r="G2199" s="1">
        <v>1.92075E7</v>
      </c>
    </row>
    <row r="2200">
      <c r="B2200" s="1" t="s">
        <v>2058</v>
      </c>
      <c r="C2200">
        <f t="shared" si="4"/>
        <v>39812240</v>
      </c>
      <c r="D2200" s="1" t="s">
        <v>2059</v>
      </c>
      <c r="E2200" s="1">
        <v>1.679938E7</v>
      </c>
      <c r="F2200" s="1">
        <v>7113980.0</v>
      </c>
      <c r="G2200" s="1">
        <v>1.27098E7</v>
      </c>
    </row>
    <row r="2201">
      <c r="B2201" s="1" t="s">
        <v>2060</v>
      </c>
      <c r="C2201">
        <f t="shared" si="4"/>
        <v>37479210</v>
      </c>
      <c r="D2201" s="1" t="s">
        <v>2061</v>
      </c>
      <c r="E2201" s="1">
        <v>1.894684E7</v>
      </c>
      <c r="F2201" s="1">
        <v>8235600.0</v>
      </c>
      <c r="G2201" s="1">
        <v>1.26298E7</v>
      </c>
    </row>
    <row r="2202">
      <c r="B2202" s="1" t="s">
        <v>2062</v>
      </c>
      <c r="C2202">
        <f t="shared" si="4"/>
        <v>44628400</v>
      </c>
      <c r="D2202" s="1" t="s">
        <v>2063</v>
      </c>
      <c r="E2202" s="1">
        <v>1.724499E7</v>
      </c>
      <c r="F2202" s="1">
        <v>7450120.0</v>
      </c>
      <c r="G2202" s="1">
        <v>1.27841E7</v>
      </c>
    </row>
    <row r="2203">
      <c r="B2203" s="1" t="s">
        <v>2064</v>
      </c>
      <c r="C2203">
        <f t="shared" si="4"/>
        <v>44206790</v>
      </c>
      <c r="D2203" s="1" t="s">
        <v>539</v>
      </c>
      <c r="E2203" s="1">
        <v>2.120611E7</v>
      </c>
      <c r="F2203" s="1">
        <v>8986890.0</v>
      </c>
      <c r="G2203" s="1">
        <v>1.44354E7</v>
      </c>
    </row>
    <row r="2204">
      <c r="B2204" s="1" t="s">
        <v>2065</v>
      </c>
      <c r="C2204">
        <f t="shared" si="4"/>
        <v>35664570</v>
      </c>
      <c r="D2204" s="1" t="s">
        <v>2066</v>
      </c>
      <c r="E2204" s="1">
        <v>2.014726E7</v>
      </c>
      <c r="F2204" s="1">
        <v>8423630.0</v>
      </c>
      <c r="G2204" s="1">
        <v>1.56359E7</v>
      </c>
    </row>
    <row r="2205">
      <c r="B2205" s="1" t="s">
        <v>2067</v>
      </c>
      <c r="C2205">
        <f t="shared" si="4"/>
        <v>36220880</v>
      </c>
      <c r="D2205" s="1" t="s">
        <v>2068</v>
      </c>
      <c r="E2205" s="1">
        <v>1.775427E7</v>
      </c>
      <c r="F2205" s="1">
        <v>7401500.0</v>
      </c>
      <c r="G2205" s="1">
        <v>1.05088E7</v>
      </c>
    </row>
    <row r="2206">
      <c r="B2206" s="1" t="s">
        <v>2069</v>
      </c>
      <c r="C2206">
        <f t="shared" si="4"/>
        <v>45543430</v>
      </c>
      <c r="D2206" s="1" t="s">
        <v>2070</v>
      </c>
      <c r="E2206" s="1">
        <v>1.80678E7</v>
      </c>
      <c r="F2206" s="1">
        <v>7882680.0</v>
      </c>
      <c r="G2206" s="1">
        <v>1.02704E7</v>
      </c>
    </row>
    <row r="2207">
      <c r="B2207" s="1" t="s">
        <v>2071</v>
      </c>
      <c r="C2207">
        <f t="shared" si="4"/>
        <v>53873920</v>
      </c>
      <c r="D2207" s="1" t="s">
        <v>635</v>
      </c>
      <c r="E2207" s="1">
        <v>2.228027E7</v>
      </c>
      <c r="F2207" s="1">
        <v>9687650.0</v>
      </c>
      <c r="G2207" s="1">
        <v>1.357551E7</v>
      </c>
    </row>
    <row r="2208">
      <c r="B2208" s="1" t="s">
        <v>2072</v>
      </c>
      <c r="C2208">
        <f t="shared" si="4"/>
        <v>51822950</v>
      </c>
      <c r="D2208" s="1" t="s">
        <v>2073</v>
      </c>
      <c r="E2208" s="1">
        <v>2.791062E7</v>
      </c>
      <c r="F2208" s="1">
        <v>1.175128E7</v>
      </c>
      <c r="G2208" s="1">
        <v>1.421202E7</v>
      </c>
    </row>
    <row r="2209">
      <c r="B2209" s="1" t="s">
        <v>2074</v>
      </c>
      <c r="C2209">
        <f t="shared" si="4"/>
        <v>51285920</v>
      </c>
      <c r="D2209" s="1" t="s">
        <v>677</v>
      </c>
      <c r="E2209" s="1">
        <v>2.628592E7</v>
      </c>
      <c r="F2209" s="1">
        <v>1.101679E7</v>
      </c>
      <c r="G2209" s="1">
        <v>1.452024E7</v>
      </c>
    </row>
    <row r="2210">
      <c r="B2210" s="1" t="s">
        <v>2075</v>
      </c>
      <c r="C2210">
        <f t="shared" si="4"/>
        <v>42329410</v>
      </c>
      <c r="D2210" s="1" t="s">
        <v>704</v>
      </c>
      <c r="E2210" s="1">
        <v>2.531462E7</v>
      </c>
      <c r="F2210" s="1">
        <v>1.05243E7</v>
      </c>
      <c r="G2210" s="1">
        <v>1.5447E7</v>
      </c>
    </row>
    <row r="2211">
      <c r="B2211" s="1" t="s">
        <v>2076</v>
      </c>
      <c r="C2211">
        <f t="shared" si="4"/>
        <v>42832310</v>
      </c>
      <c r="D2211" s="1" t="s">
        <v>2077</v>
      </c>
      <c r="E2211" s="1">
        <v>2.114286E7</v>
      </c>
      <c r="F2211" s="1">
        <v>9051450.0</v>
      </c>
      <c r="G2211" s="1">
        <v>1.21351E7</v>
      </c>
    </row>
    <row r="2212">
      <c r="B2212" s="1" t="s">
        <v>2078</v>
      </c>
      <c r="C2212">
        <f t="shared" si="4"/>
        <v>37636760</v>
      </c>
      <c r="D2212" s="1" t="s">
        <v>2079</v>
      </c>
      <c r="E2212" s="1">
        <v>2.189321E7</v>
      </c>
      <c r="F2212" s="1">
        <v>9149100.0</v>
      </c>
      <c r="G2212" s="1">
        <v>1.179E7</v>
      </c>
    </row>
    <row r="2213">
      <c r="B2213" s="1" t="s">
        <v>2080</v>
      </c>
      <c r="C2213">
        <f t="shared" si="4"/>
        <v>42144490</v>
      </c>
      <c r="D2213" s="1" t="s">
        <v>738</v>
      </c>
      <c r="E2213" s="1">
        <v>1.99516E7</v>
      </c>
      <c r="F2213" s="1">
        <v>8323760.0</v>
      </c>
      <c r="G2213" s="1">
        <v>9361400.0</v>
      </c>
    </row>
    <row r="2214">
      <c r="B2214" s="1" t="s">
        <v>2081</v>
      </c>
      <c r="C2214">
        <f t="shared" si="4"/>
        <v>45279860</v>
      </c>
      <c r="D2214" s="1" t="s">
        <v>748</v>
      </c>
      <c r="E2214" s="1">
        <v>2.224355E7</v>
      </c>
      <c r="F2214" s="1">
        <v>9408140.0</v>
      </c>
      <c r="G2214" s="1">
        <v>1.04928E7</v>
      </c>
    </row>
    <row r="2215">
      <c r="B2215" s="1" t="s">
        <v>2082</v>
      </c>
      <c r="C2215">
        <f t="shared" si="4"/>
        <v>53780440</v>
      </c>
      <c r="D2215" s="1" t="s">
        <v>2083</v>
      </c>
      <c r="E2215" s="1">
        <v>2.258333E7</v>
      </c>
      <c r="F2215" s="1">
        <v>9655090.0</v>
      </c>
      <c r="G2215" s="1">
        <v>1.304144E7</v>
      </c>
    </row>
    <row r="2216">
      <c r="B2216" s="1" t="s">
        <v>2084</v>
      </c>
      <c r="C2216">
        <f t="shared" si="4"/>
        <v>51319140</v>
      </c>
      <c r="D2216" s="1" t="s">
        <v>2085</v>
      </c>
      <c r="E2216" s="1">
        <v>2.701454E7</v>
      </c>
      <c r="F2216" s="1">
        <v>1.14439E7</v>
      </c>
      <c r="G2216" s="1">
        <v>1.5322E7</v>
      </c>
    </row>
    <row r="2217">
      <c r="B2217" s="1" t="s">
        <v>2086</v>
      </c>
      <c r="C2217">
        <f t="shared" si="4"/>
        <v>48152880</v>
      </c>
      <c r="D2217" s="1" t="s">
        <v>2087</v>
      </c>
      <c r="E2217" s="1">
        <v>2.755416E7</v>
      </c>
      <c r="F2217" s="1">
        <v>1.15432E7</v>
      </c>
      <c r="G2217" s="1">
        <v>1.222178E7</v>
      </c>
    </row>
    <row r="2218">
      <c r="B2218" s="1" t="s">
        <v>2087</v>
      </c>
      <c r="C2218">
        <f t="shared" si="4"/>
        <v>50716900</v>
      </c>
      <c r="D2218" s="1" t="s">
        <v>2088</v>
      </c>
      <c r="E2218" s="1">
        <v>2.450627E7</v>
      </c>
      <c r="F2218" s="1">
        <v>1.041761E7</v>
      </c>
      <c r="G2218" s="1">
        <v>1.3229E7</v>
      </c>
    </row>
    <row r="2219">
      <c r="B2219" s="1" t="s">
        <v>2089</v>
      </c>
      <c r="C2219">
        <f t="shared" si="4"/>
        <v>55348590</v>
      </c>
      <c r="D2219" s="1" t="s">
        <v>841</v>
      </c>
      <c r="E2219" s="1">
        <v>2.764639E7</v>
      </c>
      <c r="F2219" s="1">
        <v>1.140944E7</v>
      </c>
      <c r="G2219" s="1">
        <v>1.166107E7</v>
      </c>
    </row>
    <row r="2220">
      <c r="B2220" s="1" t="s">
        <v>2090</v>
      </c>
      <c r="C2220">
        <f t="shared" si="4"/>
        <v>56206560</v>
      </c>
      <c r="D2220" s="1" t="s">
        <v>2091</v>
      </c>
      <c r="E2220" s="1">
        <v>2.916106E7</v>
      </c>
      <c r="F2220" s="1">
        <v>1.223293E7</v>
      </c>
      <c r="G2220" s="1">
        <v>1.39546E7</v>
      </c>
    </row>
    <row r="2221">
      <c r="B2221" s="1" t="s">
        <v>2092</v>
      </c>
      <c r="C2221">
        <f t="shared" si="4"/>
        <v>46540200</v>
      </c>
      <c r="D2221" s="1" t="s">
        <v>859</v>
      </c>
      <c r="E2221" s="1">
        <v>2.921563E7</v>
      </c>
      <c r="F2221" s="1">
        <v>1.263453E7</v>
      </c>
      <c r="G2221" s="1">
        <v>1.43564E7</v>
      </c>
    </row>
    <row r="2222">
      <c r="B2222" s="1" t="s">
        <v>2093</v>
      </c>
      <c r="C2222">
        <f t="shared" si="4"/>
        <v>42590070</v>
      </c>
      <c r="D2222" s="1" t="s">
        <v>2094</v>
      </c>
      <c r="E2222" s="1">
        <v>2.533665E7</v>
      </c>
      <c r="F2222" s="1">
        <v>1.061435E7</v>
      </c>
      <c r="G2222" s="1">
        <v>1.05892E7</v>
      </c>
    </row>
    <row r="2223">
      <c r="B2223" s="1" t="s">
        <v>2095</v>
      </c>
      <c r="C2223">
        <f t="shared" si="4"/>
        <v>48189370</v>
      </c>
      <c r="D2223" s="1" t="s">
        <v>896</v>
      </c>
      <c r="E2223" s="1">
        <v>2.322583E7</v>
      </c>
      <c r="F2223" s="1">
        <v>9771440.0</v>
      </c>
      <c r="G2223" s="1">
        <v>9592800.0</v>
      </c>
    </row>
    <row r="2224">
      <c r="B2224" s="1" t="s">
        <v>2096</v>
      </c>
      <c r="C2224">
        <f t="shared" si="4"/>
        <v>47931240</v>
      </c>
      <c r="D2224" s="1" t="s">
        <v>2097</v>
      </c>
      <c r="E2224" s="1">
        <v>2.49751E7</v>
      </c>
      <c r="F2224" s="1">
        <v>1.060297E7</v>
      </c>
      <c r="G2224" s="1">
        <v>1.26113E7</v>
      </c>
    </row>
    <row r="2225">
      <c r="B2225" s="1" t="s">
        <v>2098</v>
      </c>
      <c r="C2225">
        <f t="shared" si="4"/>
        <v>42595410</v>
      </c>
      <c r="D2225" s="1" t="s">
        <v>2099</v>
      </c>
      <c r="E2225" s="1">
        <v>2.576393E7</v>
      </c>
      <c r="F2225" s="1">
        <v>1.067513E7</v>
      </c>
      <c r="G2225" s="1">
        <v>1.149218E7</v>
      </c>
    </row>
    <row r="2226">
      <c r="B2226" s="1" t="s">
        <v>2100</v>
      </c>
      <c r="C2226">
        <f t="shared" si="4"/>
        <v>41440920</v>
      </c>
      <c r="D2226" s="1" t="s">
        <v>2101</v>
      </c>
      <c r="E2226" s="1">
        <v>2.308862E7</v>
      </c>
      <c r="F2226" s="1">
        <v>9101430.0</v>
      </c>
      <c r="G2226" s="1">
        <v>1.040536E7</v>
      </c>
    </row>
    <row r="2227">
      <c r="B2227" s="1" t="s">
        <v>2102</v>
      </c>
      <c r="C2227">
        <f t="shared" si="4"/>
        <v>47278940</v>
      </c>
      <c r="D2227" s="1" t="s">
        <v>2103</v>
      </c>
      <c r="E2227" s="1">
        <v>2.166982E7</v>
      </c>
      <c r="F2227" s="1">
        <v>8697700.0</v>
      </c>
      <c r="G2227" s="1">
        <v>1.10734E7</v>
      </c>
    </row>
    <row r="2228">
      <c r="B2228" s="1" t="s">
        <v>2104</v>
      </c>
      <c r="C2228">
        <f t="shared" si="4"/>
        <v>45621550</v>
      </c>
      <c r="D2228" s="1" t="s">
        <v>2105</v>
      </c>
      <c r="E2228" s="1">
        <v>2.521148E7</v>
      </c>
      <c r="F2228" s="1">
        <v>1.081586E7</v>
      </c>
      <c r="G2228" s="1">
        <v>1.12516E7</v>
      </c>
    </row>
    <row r="2229">
      <c r="B2229" s="1" t="s">
        <v>2106</v>
      </c>
      <c r="C2229">
        <f t="shared" si="4"/>
        <v>43382980</v>
      </c>
      <c r="D2229" s="1" t="s">
        <v>2107</v>
      </c>
      <c r="E2229" s="1">
        <v>2.390773E7</v>
      </c>
      <c r="F2229" s="1">
        <v>1.052232E7</v>
      </c>
      <c r="G2229" s="1">
        <v>1.11915E7</v>
      </c>
    </row>
    <row r="2230">
      <c r="B2230" s="1" t="s">
        <v>2108</v>
      </c>
      <c r="C2230">
        <f t="shared" si="4"/>
        <v>44165440</v>
      </c>
      <c r="D2230" s="1" t="s">
        <v>1012</v>
      </c>
      <c r="E2230" s="1">
        <v>2.272905E7</v>
      </c>
      <c r="F2230" s="1">
        <v>9355150.0</v>
      </c>
      <c r="G2230" s="1">
        <v>1.129878E7</v>
      </c>
    </row>
    <row r="2231">
      <c r="B2231" s="1" t="s">
        <v>2109</v>
      </c>
      <c r="C2231">
        <f t="shared" si="4"/>
        <v>43654440</v>
      </c>
      <c r="D2231" s="1" t="s">
        <v>2110</v>
      </c>
      <c r="E2231" s="1">
        <v>2.400877E7</v>
      </c>
      <c r="F2231" s="1">
        <v>1.053939E7</v>
      </c>
      <c r="G2231" s="1">
        <v>9617280.0</v>
      </c>
    </row>
    <row r="2232">
      <c r="B2232" s="1" t="s">
        <v>2111</v>
      </c>
      <c r="C2232">
        <f t="shared" si="4"/>
        <v>38308560</v>
      </c>
      <c r="D2232" s="1" t="s">
        <v>1051</v>
      </c>
      <c r="E2232" s="1">
        <v>2.187794E7</v>
      </c>
      <c r="F2232" s="1">
        <v>1.04503E7</v>
      </c>
      <c r="G2232" s="1">
        <v>1.13262E7</v>
      </c>
    </row>
    <row r="2233">
      <c r="B2233" s="1" t="s">
        <v>2112</v>
      </c>
      <c r="C2233">
        <f t="shared" si="4"/>
        <v>38655400</v>
      </c>
      <c r="D2233" s="1" t="s">
        <v>1062</v>
      </c>
      <c r="E2233" s="1">
        <v>2.083088E7</v>
      </c>
      <c r="F2233" s="1">
        <v>8504500.0</v>
      </c>
      <c r="G2233" s="1">
        <v>8973180.0</v>
      </c>
    </row>
    <row r="2234">
      <c r="B2234" s="1" t="s">
        <v>2113</v>
      </c>
      <c r="C2234">
        <f t="shared" si="4"/>
        <v>44907780</v>
      </c>
      <c r="D2234" s="1" t="s">
        <v>2114</v>
      </c>
      <c r="E2234" s="1">
        <v>2.085274E7</v>
      </c>
      <c r="F2234" s="1">
        <v>8888860.0</v>
      </c>
      <c r="G2234" s="1">
        <v>8913800.0</v>
      </c>
    </row>
    <row r="2235">
      <c r="B2235" s="1" t="s">
        <v>2115</v>
      </c>
      <c r="C2235">
        <f t="shared" si="4"/>
        <v>38773030</v>
      </c>
      <c r="D2235" s="1" t="s">
        <v>2116</v>
      </c>
      <c r="E2235" s="1">
        <v>2.393163E7</v>
      </c>
      <c r="F2235" s="1">
        <v>1.078625E7</v>
      </c>
      <c r="G2235" s="1">
        <v>1.01899E7</v>
      </c>
    </row>
    <row r="2236">
      <c r="B2236" s="1" t="s">
        <v>2117</v>
      </c>
      <c r="C2236">
        <f t="shared" si="4"/>
        <v>46026790</v>
      </c>
      <c r="D2236" s="1" t="s">
        <v>1100</v>
      </c>
      <c r="E2236" s="1">
        <v>2.133119E7</v>
      </c>
      <c r="F2236" s="1">
        <v>8795740.0</v>
      </c>
      <c r="G2236" s="1">
        <v>8646100.0</v>
      </c>
    </row>
    <row r="2237">
      <c r="B2237" s="1" t="s">
        <v>2118</v>
      </c>
      <c r="C2237">
        <f t="shared" si="4"/>
        <v>40608850</v>
      </c>
      <c r="D2237" s="1" t="s">
        <v>1110</v>
      </c>
      <c r="E2237" s="1">
        <v>2.507062E7</v>
      </c>
      <c r="F2237" s="1">
        <v>1.055677E7</v>
      </c>
      <c r="G2237" s="1">
        <v>1.03994E7</v>
      </c>
    </row>
    <row r="2238">
      <c r="B2238" s="1" t="s">
        <v>2119</v>
      </c>
      <c r="C2238">
        <f t="shared" si="4"/>
        <v>43355670</v>
      </c>
      <c r="D2238" s="1" t="s">
        <v>1124</v>
      </c>
      <c r="E2238" s="1">
        <v>2.278429E7</v>
      </c>
      <c r="F2238" s="1">
        <v>9773760.0</v>
      </c>
      <c r="G2238" s="1">
        <v>8050800.0</v>
      </c>
    </row>
    <row r="2239">
      <c r="B2239" s="1" t="s">
        <v>2120</v>
      </c>
      <c r="C2239">
        <f t="shared" si="4"/>
        <v>40695840</v>
      </c>
      <c r="D2239" s="1" t="s">
        <v>2121</v>
      </c>
      <c r="E2239" s="1">
        <v>2.406481E7</v>
      </c>
      <c r="F2239" s="1">
        <v>9766660.0</v>
      </c>
      <c r="G2239" s="1">
        <v>9524200.0</v>
      </c>
    </row>
    <row r="2240">
      <c r="B2240" s="1" t="s">
        <v>2122</v>
      </c>
      <c r="C2240">
        <f t="shared" si="4"/>
        <v>40515460</v>
      </c>
      <c r="D2240" s="1" t="s">
        <v>1154</v>
      </c>
      <c r="E2240" s="1">
        <v>2.281788E7</v>
      </c>
      <c r="F2240" s="1">
        <v>9974360.0</v>
      </c>
      <c r="G2240" s="1">
        <v>7903600.0</v>
      </c>
    </row>
    <row r="2241">
      <c r="B2241" s="1" t="s">
        <v>2123</v>
      </c>
      <c r="C2241">
        <f t="shared" si="4"/>
        <v>42242364</v>
      </c>
      <c r="D2241" s="1" t="s">
        <v>2124</v>
      </c>
      <c r="E2241" s="1">
        <v>2.190018E7</v>
      </c>
      <c r="F2241" s="1">
        <v>9218680.0</v>
      </c>
      <c r="G2241" s="1">
        <v>9396600.0</v>
      </c>
    </row>
    <row r="2242">
      <c r="B2242" s="1" t="s">
        <v>2125</v>
      </c>
      <c r="C2242">
        <f t="shared" si="4"/>
        <v>44181450</v>
      </c>
      <c r="D2242" s="1" t="s">
        <v>2126</v>
      </c>
      <c r="E2242" s="1">
        <v>2.370471E7</v>
      </c>
      <c r="F2242" s="1">
        <v>9818840.0</v>
      </c>
      <c r="G2242" s="1">
        <v>8718814.0</v>
      </c>
    </row>
    <row r="2243">
      <c r="B2243" s="1" t="s">
        <v>2127</v>
      </c>
      <c r="C2243">
        <f t="shared" si="4"/>
        <v>37246640</v>
      </c>
      <c r="D2243" s="1" t="s">
        <v>2128</v>
      </c>
      <c r="E2243" s="1">
        <v>2.472289E7</v>
      </c>
      <c r="F2243" s="1">
        <v>1.092096E7</v>
      </c>
      <c r="G2243" s="1">
        <v>8537600.0</v>
      </c>
    </row>
    <row r="2244">
      <c r="B2244" s="1" t="s">
        <v>2129</v>
      </c>
      <c r="C2244">
        <f t="shared" si="4"/>
        <v>36602750</v>
      </c>
      <c r="D2244" s="1" t="s">
        <v>2130</v>
      </c>
      <c r="E2244" s="1">
        <v>2.11866E7</v>
      </c>
      <c r="F2244" s="1">
        <v>8712460.0</v>
      </c>
      <c r="G2244" s="1">
        <v>7347580.0</v>
      </c>
    </row>
    <row r="2245">
      <c r="B2245" s="1" t="s">
        <v>2131</v>
      </c>
      <c r="C2245">
        <f t="shared" si="4"/>
        <v>37888330</v>
      </c>
      <c r="D2245" s="1" t="s">
        <v>2132</v>
      </c>
      <c r="E2245" s="1">
        <v>2.124014E7</v>
      </c>
      <c r="F2245" s="1">
        <v>8647610.0</v>
      </c>
      <c r="G2245" s="1">
        <v>6715000.0</v>
      </c>
    </row>
    <row r="2246">
      <c r="B2246" s="1" t="s">
        <v>2133</v>
      </c>
      <c r="C2246">
        <f t="shared" si="4"/>
        <v>38109972</v>
      </c>
      <c r="D2246" s="1" t="s">
        <v>1234</v>
      </c>
      <c r="E2246" s="1">
        <v>2.150938E7</v>
      </c>
      <c r="F2246" s="1">
        <v>8903750.0</v>
      </c>
      <c r="G2246" s="1">
        <v>7475200.0</v>
      </c>
    </row>
    <row r="2247">
      <c r="B2247" s="1" t="s">
        <v>2134</v>
      </c>
      <c r="C2247">
        <f t="shared" si="4"/>
        <v>38720800</v>
      </c>
      <c r="D2247" s="1" t="s">
        <v>1246</v>
      </c>
      <c r="E2247" s="1">
        <v>2.132671E7</v>
      </c>
      <c r="F2247" s="1">
        <v>8712950.0</v>
      </c>
      <c r="G2247" s="1">
        <v>8070312.0</v>
      </c>
    </row>
    <row r="2248">
      <c r="B2248" s="1" t="s">
        <v>2135</v>
      </c>
      <c r="C2248">
        <f t="shared" si="4"/>
        <v>34069730</v>
      </c>
      <c r="D2248" s="1" t="s">
        <v>1256</v>
      </c>
      <c r="E2248" s="1">
        <v>2.132059E7</v>
      </c>
      <c r="F2248" s="1">
        <v>9332510.0</v>
      </c>
      <c r="G2248" s="1">
        <v>8067700.0</v>
      </c>
    </row>
    <row r="2249">
      <c r="B2249" s="1" t="s">
        <v>2136</v>
      </c>
      <c r="C2249">
        <f t="shared" si="4"/>
        <v>40205890</v>
      </c>
      <c r="D2249" s="1" t="s">
        <v>2137</v>
      </c>
      <c r="E2249" s="1">
        <v>1.918841E7</v>
      </c>
      <c r="F2249" s="1">
        <v>8015420.0</v>
      </c>
      <c r="G2249" s="1">
        <v>6865900.0</v>
      </c>
    </row>
    <row r="2250">
      <c r="B2250" s="1" t="s">
        <v>2138</v>
      </c>
      <c r="C2250">
        <f t="shared" si="4"/>
        <v>39931060</v>
      </c>
      <c r="D2250" s="1" t="s">
        <v>2139</v>
      </c>
      <c r="E2250" s="1">
        <v>2.302656E7</v>
      </c>
      <c r="F2250" s="1">
        <v>9664090.0</v>
      </c>
      <c r="G2250" s="1">
        <v>7515240.0</v>
      </c>
    </row>
    <row r="2251">
      <c r="B2251" s="1" t="s">
        <v>2140</v>
      </c>
      <c r="C2251">
        <f t="shared" si="4"/>
        <v>45318170</v>
      </c>
      <c r="D2251" s="1" t="s">
        <v>2141</v>
      </c>
      <c r="E2251" s="1">
        <v>2.211056E7</v>
      </c>
      <c r="F2251" s="1">
        <v>9180500.0</v>
      </c>
      <c r="G2251" s="1">
        <v>8640000.0</v>
      </c>
    </row>
    <row r="2252">
      <c r="B2252" s="1" t="s">
        <v>2142</v>
      </c>
      <c r="C2252">
        <f t="shared" si="4"/>
        <v>46220190</v>
      </c>
      <c r="D2252" s="1" t="s">
        <v>2143</v>
      </c>
      <c r="E2252" s="1">
        <v>2.562455E7</v>
      </c>
      <c r="F2252" s="1">
        <v>1.121722E7</v>
      </c>
      <c r="G2252" s="1">
        <v>8476400.0</v>
      </c>
    </row>
    <row r="2253">
      <c r="B2253" s="1" t="s">
        <v>2144</v>
      </c>
      <c r="C2253">
        <f t="shared" si="4"/>
        <v>51234630</v>
      </c>
      <c r="D2253" s="1" t="s">
        <v>2145</v>
      </c>
      <c r="E2253" s="1">
        <v>2.520624E7</v>
      </c>
      <c r="F2253" s="1">
        <v>1.050995E7</v>
      </c>
      <c r="G2253" s="1">
        <v>1.0504E7</v>
      </c>
    </row>
    <row r="2254">
      <c r="B2254" s="1" t="s">
        <v>2146</v>
      </c>
      <c r="C2254">
        <f t="shared" si="4"/>
        <v>46389510</v>
      </c>
      <c r="D2254" s="1" t="s">
        <v>1347</v>
      </c>
      <c r="E2254" s="1">
        <v>2.797473E7</v>
      </c>
      <c r="F2254" s="1">
        <v>1.193246E7</v>
      </c>
      <c r="G2254" s="1">
        <v>1.132744E7</v>
      </c>
    </row>
    <row r="2255">
      <c r="B2255" s="1" t="s">
        <v>2147</v>
      </c>
      <c r="C2255">
        <f t="shared" si="4"/>
        <v>45132280</v>
      </c>
      <c r="D2255" s="1" t="s">
        <v>2148</v>
      </c>
      <c r="E2255" s="1">
        <v>2.550811E7</v>
      </c>
      <c r="F2255" s="1">
        <v>1.08472E7</v>
      </c>
      <c r="G2255" s="1">
        <v>1.00342E7</v>
      </c>
    </row>
    <row r="2256">
      <c r="B2256" s="1" t="s">
        <v>2149</v>
      </c>
      <c r="C2256">
        <f t="shared" si="4"/>
        <v>42509860</v>
      </c>
      <c r="D2256" s="1" t="s">
        <v>1364</v>
      </c>
      <c r="E2256" s="1">
        <v>2.54627E7</v>
      </c>
      <c r="F2256" s="1">
        <v>1.05864E7</v>
      </c>
      <c r="G2256" s="1">
        <v>9083180.0</v>
      </c>
    </row>
    <row r="2257">
      <c r="B2257" s="1" t="s">
        <v>2150</v>
      </c>
      <c r="C2257">
        <f t="shared" si="4"/>
        <v>41196470</v>
      </c>
      <c r="D2257" s="1" t="s">
        <v>2151</v>
      </c>
      <c r="E2257" s="1">
        <v>2.345149E7</v>
      </c>
      <c r="F2257" s="1">
        <v>9704370.0</v>
      </c>
      <c r="G2257" s="1">
        <v>9354000.0</v>
      </c>
    </row>
    <row r="2258">
      <c r="B2258" s="1" t="s">
        <v>2152</v>
      </c>
      <c r="C2258">
        <f t="shared" si="4"/>
        <v>38691410</v>
      </c>
      <c r="D2258" s="1" t="s">
        <v>1383</v>
      </c>
      <c r="E2258" s="1">
        <v>2.287024E7</v>
      </c>
      <c r="F2258" s="1">
        <v>9339850.0</v>
      </c>
      <c r="G2258" s="1">
        <v>8986380.0</v>
      </c>
    </row>
    <row r="2259">
      <c r="B2259" s="1" t="s">
        <v>2153</v>
      </c>
      <c r="C2259">
        <f t="shared" si="4"/>
        <v>41212746</v>
      </c>
      <c r="D2259" s="1" t="s">
        <v>2154</v>
      </c>
      <c r="E2259" s="1">
        <v>2.05454E7</v>
      </c>
      <c r="F2259" s="1">
        <v>8595830.0</v>
      </c>
      <c r="G2259" s="1">
        <v>9550180.0</v>
      </c>
    </row>
    <row r="2260">
      <c r="B2260" s="1" t="s">
        <v>2155</v>
      </c>
      <c r="C2260">
        <f t="shared" si="4"/>
        <v>40399911</v>
      </c>
      <c r="D2260" s="1" t="s">
        <v>1256</v>
      </c>
      <c r="E2260" s="1">
        <v>2.284117E7</v>
      </c>
      <c r="F2260" s="1">
        <v>9290460.0</v>
      </c>
      <c r="G2260" s="1">
        <v>9081116.0</v>
      </c>
    </row>
    <row r="2261">
      <c r="B2261" s="1" t="s">
        <v>2156</v>
      </c>
      <c r="C2261">
        <f t="shared" si="4"/>
        <v>44581822</v>
      </c>
      <c r="D2261" s="1" t="s">
        <v>1264</v>
      </c>
      <c r="E2261" s="1">
        <v>2.240852E7</v>
      </c>
      <c r="F2261" s="1">
        <v>9399450.0</v>
      </c>
      <c r="G2261" s="1">
        <v>8591941.0</v>
      </c>
    </row>
    <row r="2262">
      <c r="B2262" s="1" t="s">
        <v>2157</v>
      </c>
      <c r="C2262">
        <f t="shared" si="4"/>
        <v>41888987</v>
      </c>
      <c r="D2262" s="1" t="s">
        <v>1417</v>
      </c>
      <c r="E2262" s="1">
        <v>2.466016E7</v>
      </c>
      <c r="F2262" s="1">
        <v>1.02528E7</v>
      </c>
      <c r="G2262" s="1">
        <v>9668862.0</v>
      </c>
    </row>
    <row r="2263">
      <c r="B2263" s="1" t="s">
        <v>2158</v>
      </c>
      <c r="C2263">
        <f t="shared" si="4"/>
        <v>39415280</v>
      </c>
      <c r="D2263" s="1" t="s">
        <v>1431</v>
      </c>
      <c r="E2263" s="1">
        <v>2.270345E7</v>
      </c>
      <c r="F2263" s="1">
        <v>9893120.0</v>
      </c>
      <c r="G2263" s="1">
        <v>9292417.0</v>
      </c>
    </row>
    <row r="2264">
      <c r="B2264" s="1" t="s">
        <v>2159</v>
      </c>
      <c r="C2264">
        <f t="shared" si="4"/>
        <v>41111230</v>
      </c>
      <c r="D2264" s="1" t="s">
        <v>2160</v>
      </c>
      <c r="E2264" s="1">
        <v>2.222564E7</v>
      </c>
      <c r="F2264" s="1">
        <v>9547000.0</v>
      </c>
      <c r="G2264" s="1">
        <v>7642640.0</v>
      </c>
    </row>
    <row r="2265">
      <c r="B2265" s="1" t="s">
        <v>2161</v>
      </c>
      <c r="C2265">
        <f t="shared" si="4"/>
        <v>41519890</v>
      </c>
      <c r="D2265" s="1" t="s">
        <v>1451</v>
      </c>
      <c r="E2265" s="1">
        <v>2.367499E7</v>
      </c>
      <c r="F2265" s="1">
        <v>9790810.0</v>
      </c>
      <c r="G2265" s="1">
        <v>7645430.0</v>
      </c>
    </row>
    <row r="2266">
      <c r="B2266" s="1" t="s">
        <v>2162</v>
      </c>
      <c r="C2266">
        <f t="shared" si="4"/>
        <v>41595440</v>
      </c>
      <c r="D2266" s="1" t="s">
        <v>1458</v>
      </c>
      <c r="E2266" s="1">
        <v>2.403E7</v>
      </c>
      <c r="F2266" s="1">
        <v>1.037781E7</v>
      </c>
      <c r="G2266" s="1">
        <v>7112080.0</v>
      </c>
    </row>
    <row r="2267">
      <c r="B2267" s="1" t="s">
        <v>2163</v>
      </c>
      <c r="C2267">
        <f t="shared" si="4"/>
        <v>31039110</v>
      </c>
      <c r="D2267" s="1" t="s">
        <v>2164</v>
      </c>
      <c r="E2267" s="1">
        <v>2.362583E7</v>
      </c>
      <c r="F2267" s="1">
        <v>9751510.0</v>
      </c>
      <c r="G2267" s="1">
        <v>8218100.0</v>
      </c>
    </row>
    <row r="2268">
      <c r="B2268" s="1" t="s">
        <v>2165</v>
      </c>
      <c r="C2268">
        <f t="shared" si="4"/>
        <v>46286440</v>
      </c>
      <c r="D2268" s="1" t="s">
        <v>1490</v>
      </c>
      <c r="E2268" s="1">
        <v>1.804462E7</v>
      </c>
      <c r="F2268" s="1">
        <v>7392850.0</v>
      </c>
      <c r="G2268" s="1">
        <v>5601640.0</v>
      </c>
    </row>
    <row r="2269">
      <c r="B2269" s="1" t="s">
        <v>2166</v>
      </c>
      <c r="C2269">
        <f t="shared" si="4"/>
        <v>40398460</v>
      </c>
      <c r="D2269" s="1" t="s">
        <v>2167</v>
      </c>
      <c r="E2269" s="1">
        <v>2.690164E7</v>
      </c>
      <c r="F2269" s="1">
        <v>1.12448E7</v>
      </c>
      <c r="G2269" s="1">
        <v>8140000.0</v>
      </c>
    </row>
    <row r="2270">
      <c r="B2270" s="1" t="s">
        <v>2168</v>
      </c>
      <c r="C2270">
        <f t="shared" si="4"/>
        <v>35876200</v>
      </c>
      <c r="D2270" s="1" t="s">
        <v>2169</v>
      </c>
      <c r="E2270" s="1">
        <v>2.389367E7</v>
      </c>
      <c r="F2270" s="1">
        <v>9881950.0</v>
      </c>
      <c r="G2270" s="1">
        <v>6622840.0</v>
      </c>
    </row>
    <row r="2271">
      <c r="B2271" s="1" t="s">
        <v>2170</v>
      </c>
      <c r="C2271">
        <f t="shared" si="4"/>
        <v>41463640</v>
      </c>
      <c r="D2271" s="1" t="s">
        <v>1532</v>
      </c>
      <c r="E2271" s="1">
        <v>1.903283E7</v>
      </c>
      <c r="F2271" s="1">
        <v>8840570.0</v>
      </c>
      <c r="G2271" s="1">
        <v>8002800.0</v>
      </c>
    </row>
    <row r="2272">
      <c r="B2272" s="1" t="s">
        <v>2171</v>
      </c>
      <c r="C2272">
        <f t="shared" si="4"/>
        <v>46893000</v>
      </c>
      <c r="D2272" s="1" t="s">
        <v>2172</v>
      </c>
      <c r="E2272" s="1">
        <v>2.422586E7</v>
      </c>
      <c r="F2272" s="1">
        <v>1.023978E7</v>
      </c>
      <c r="G2272" s="1">
        <v>6998000.0</v>
      </c>
    </row>
    <row r="2273">
      <c r="B2273" s="1" t="s">
        <v>2173</v>
      </c>
      <c r="C2273">
        <f t="shared" si="4"/>
        <v>49945370</v>
      </c>
      <c r="D2273" s="2" t="s">
        <v>2174</v>
      </c>
      <c r="E2273" s="1">
        <v>2.691576E7</v>
      </c>
      <c r="F2273" s="1">
        <v>1.138E7</v>
      </c>
      <c r="G2273" s="1">
        <v>8597240.0</v>
      </c>
    </row>
    <row r="2274">
      <c r="B2274" s="1" t="s">
        <v>2175</v>
      </c>
      <c r="C2274">
        <f t="shared" si="4"/>
        <v>38274340</v>
      </c>
      <c r="D2274" s="2" t="s">
        <v>1565</v>
      </c>
      <c r="E2274" s="2">
        <v>2.853581E7</v>
      </c>
      <c r="F2274" s="1">
        <v>1.207256E7</v>
      </c>
      <c r="G2274" s="1">
        <v>9337000.0</v>
      </c>
    </row>
    <row r="2275">
      <c r="B2275" s="1" t="s">
        <v>2176</v>
      </c>
      <c r="C2275">
        <f t="shared" si="4"/>
        <v>48879280</v>
      </c>
      <c r="D2275" s="2" t="s">
        <v>2177</v>
      </c>
      <c r="E2275" s="2">
        <v>2.187151E7</v>
      </c>
      <c r="F2275" s="2">
        <v>8992830.0</v>
      </c>
      <c r="G2275" s="2">
        <v>7410000.0</v>
      </c>
    </row>
    <row r="2276">
      <c r="B2276" s="1" t="s">
        <v>2178</v>
      </c>
      <c r="C2276">
        <f t="shared" si="4"/>
        <v>47140540</v>
      </c>
      <c r="D2276" s="2" t="s">
        <v>2179</v>
      </c>
      <c r="E2276" s="2">
        <v>2.783528E7</v>
      </c>
      <c r="F2276" s="2">
        <v>1.1452E7</v>
      </c>
      <c r="G2276" s="2">
        <v>9592000.0</v>
      </c>
    </row>
    <row r="2277">
      <c r="B2277" s="1" t="s">
        <v>2180</v>
      </c>
      <c r="C2277">
        <f t="shared" si="4"/>
        <v>36492240</v>
      </c>
      <c r="D2277" s="2" t="s">
        <v>1600</v>
      </c>
      <c r="E2277" s="2">
        <v>2.720334E7</v>
      </c>
      <c r="F2277" s="2">
        <v>1.09342E7</v>
      </c>
      <c r="G2277" s="2">
        <v>9003000.0</v>
      </c>
    </row>
    <row r="2278">
      <c r="B2278" s="2" t="s">
        <v>2181</v>
      </c>
      <c r="C2278">
        <f t="shared" si="4"/>
        <v>37942070</v>
      </c>
      <c r="D2278" s="2" t="s">
        <v>2182</v>
      </c>
      <c r="E2278" s="2">
        <v>2.132411E7</v>
      </c>
      <c r="F2278" s="2">
        <v>9192930.0</v>
      </c>
      <c r="G2278" s="2">
        <v>5975200.0</v>
      </c>
    </row>
    <row r="2279">
      <c r="B2279" s="2" t="s">
        <v>2183</v>
      </c>
      <c r="C2279">
        <f t="shared" si="4"/>
        <v>57772720</v>
      </c>
      <c r="D2279" s="2" t="s">
        <v>2184</v>
      </c>
      <c r="E2279" s="2">
        <v>2.281E7</v>
      </c>
      <c r="F2279" s="2">
        <v>9301070.0</v>
      </c>
      <c r="G2279" s="2">
        <v>5831000.0</v>
      </c>
    </row>
    <row r="2280">
      <c r="B2280" s="2" t="s">
        <v>1624</v>
      </c>
      <c r="C2280">
        <f t="shared" si="4"/>
        <v>47770490</v>
      </c>
      <c r="D2280" s="2" t="s">
        <v>2185</v>
      </c>
      <c r="E2280" s="2">
        <v>3.417E7</v>
      </c>
      <c r="F2280" s="2">
        <v>1.412272E7</v>
      </c>
      <c r="G2280" s="2">
        <v>9480000.0</v>
      </c>
    </row>
    <row r="2281">
      <c r="B2281" s="2" t="s">
        <v>2186</v>
      </c>
      <c r="C2281">
        <f t="shared" si="4"/>
        <v>41380362</v>
      </c>
      <c r="D2281" s="2" t="s">
        <v>2187</v>
      </c>
      <c r="E2281" s="2">
        <v>2.803E7</v>
      </c>
      <c r="F2281" s="2">
        <v>1.172909E7</v>
      </c>
      <c r="G2281" s="2">
        <v>8011400.0</v>
      </c>
    </row>
    <row r="2282">
      <c r="B2282" s="2" t="s">
        <v>2188</v>
      </c>
      <c r="C2282">
        <f t="shared" si="4"/>
        <v>41658510</v>
      </c>
      <c r="D2282" s="2" t="s">
        <v>2189</v>
      </c>
      <c r="E2282" s="2">
        <v>2.366E7</v>
      </c>
      <c r="F2282" s="2">
        <v>9743510.0</v>
      </c>
      <c r="G2282" s="2">
        <v>7976852.0</v>
      </c>
    </row>
    <row r="2283">
      <c r="B2283" s="2" t="s">
        <v>2190</v>
      </c>
      <c r="C2283">
        <f t="shared" si="4"/>
        <v>40746130</v>
      </c>
      <c r="D2283" s="2" t="s">
        <v>2191</v>
      </c>
      <c r="E2283" s="2">
        <v>2.407E7</v>
      </c>
      <c r="F2283" s="2">
        <v>1.046331E7</v>
      </c>
      <c r="G2283" s="2">
        <v>7125200.0</v>
      </c>
    </row>
    <row r="2284">
      <c r="B2284" s="2" t="s">
        <v>2192</v>
      </c>
      <c r="C2284">
        <f t="shared" si="4"/>
        <v>37081700</v>
      </c>
      <c r="D2284" s="2" t="s">
        <v>2193</v>
      </c>
      <c r="E2284" s="2">
        <v>2.213E7</v>
      </c>
      <c r="F2284" s="2">
        <v>9686690.0</v>
      </c>
      <c r="G2284" s="2">
        <v>8929440.0</v>
      </c>
    </row>
    <row r="2285">
      <c r="B2285" s="2" t="s">
        <v>2194</v>
      </c>
      <c r="C2285">
        <f t="shared" si="4"/>
        <v>45093190</v>
      </c>
      <c r="D2285" s="2" t="s">
        <v>2195</v>
      </c>
      <c r="E2285" s="2">
        <v>2.093E7</v>
      </c>
      <c r="F2285" s="2">
        <v>8980300.0</v>
      </c>
      <c r="G2285" s="2">
        <v>7171400.0</v>
      </c>
    </row>
    <row r="2286">
      <c r="B2286" s="2" t="s">
        <v>2196</v>
      </c>
      <c r="C2286">
        <f t="shared" si="4"/>
        <v>40854500</v>
      </c>
      <c r="D2286" s="2" t="s">
        <v>2197</v>
      </c>
      <c r="E2286" s="2">
        <v>2.489E7</v>
      </c>
      <c r="F2286" s="2">
        <v>1.119739E7</v>
      </c>
      <c r="G2286" s="2">
        <v>9005800.0</v>
      </c>
    </row>
    <row r="2287">
      <c r="B2287" s="2" t="s">
        <v>2198</v>
      </c>
      <c r="C2287">
        <f t="shared" si="4"/>
        <v>43321490</v>
      </c>
      <c r="D2287" s="2" t="s">
        <v>2199</v>
      </c>
      <c r="E2287" s="2">
        <v>2.357E7</v>
      </c>
      <c r="F2287" s="2">
        <v>9932900.0</v>
      </c>
      <c r="G2287" s="2">
        <v>7351600.0</v>
      </c>
    </row>
    <row r="2288">
      <c r="B2288" s="2" t="s">
        <v>2200</v>
      </c>
      <c r="C2288">
        <f t="shared" si="4"/>
        <v>41175970</v>
      </c>
      <c r="D2288" s="2" t="s">
        <v>2201</v>
      </c>
      <c r="E2288" s="2">
        <v>2.495E7</v>
      </c>
      <c r="F2288" s="2">
        <v>1.074629E7</v>
      </c>
      <c r="G2288" s="2">
        <v>7625200.0</v>
      </c>
    </row>
    <row r="2289">
      <c r="B2289" s="2" t="s">
        <v>2202</v>
      </c>
      <c r="C2289">
        <f t="shared" si="4"/>
        <v>44798550</v>
      </c>
      <c r="D2289" s="2" t="s">
        <v>2203</v>
      </c>
      <c r="E2289" s="2">
        <v>2.351E7</v>
      </c>
      <c r="F2289" s="2">
        <v>1.016817E7</v>
      </c>
      <c r="G2289" s="2">
        <v>7497800.0</v>
      </c>
    </row>
    <row r="2290">
      <c r="B2290" s="2" t="s">
        <v>2204</v>
      </c>
      <c r="C2290">
        <f t="shared" si="4"/>
        <v>45816580</v>
      </c>
      <c r="D2290" s="2" t="s">
        <v>2205</v>
      </c>
      <c r="E2290" s="2">
        <v>2.538E7</v>
      </c>
      <c r="F2290" s="2">
        <v>1.102835E7</v>
      </c>
      <c r="G2290" s="2">
        <v>8390200.0</v>
      </c>
    </row>
    <row r="2291">
      <c r="B2291" s="2" t="s">
        <v>2206</v>
      </c>
      <c r="C2291">
        <f t="shared" si="4"/>
        <v>45301670</v>
      </c>
      <c r="D2291" s="2" t="s">
        <v>1792</v>
      </c>
      <c r="E2291" s="2">
        <v>2.549E7</v>
      </c>
      <c r="F2291" s="2">
        <v>1.08957E7</v>
      </c>
      <c r="G2291" s="2">
        <v>9430880.0</v>
      </c>
    </row>
    <row r="2292">
      <c r="B2292" s="2" t="s">
        <v>2207</v>
      </c>
      <c r="C2292">
        <f t="shared" si="4"/>
        <v>40428150</v>
      </c>
      <c r="D2292" s="2" t="s">
        <v>2208</v>
      </c>
      <c r="E2292" s="2">
        <v>2.58E7</v>
      </c>
      <c r="F2292" s="2">
        <v>1.157167E7</v>
      </c>
      <c r="G2292" s="2">
        <v>7930000.0</v>
      </c>
    </row>
    <row r="2293">
      <c r="B2293" s="2" t="s">
        <v>2209</v>
      </c>
      <c r="C2293">
        <f t="shared" si="4"/>
        <v>49234820</v>
      </c>
      <c r="D2293" s="2" t="s">
        <v>2210</v>
      </c>
      <c r="E2293" s="2">
        <v>2.279E7</v>
      </c>
      <c r="F2293" s="2">
        <v>9773350.0</v>
      </c>
      <c r="G2293" s="2">
        <v>7864800.0</v>
      </c>
    </row>
    <row r="2294">
      <c r="B2294" s="2" t="s">
        <v>2211</v>
      </c>
      <c r="C2294">
        <f t="shared" si="4"/>
        <v>47076160</v>
      </c>
      <c r="D2294" s="2" t="s">
        <v>2212</v>
      </c>
      <c r="E2294" s="2">
        <v>2.714E7</v>
      </c>
      <c r="F2294" s="2">
        <v>1.230564E7</v>
      </c>
      <c r="G2294" s="2">
        <v>9789180.0</v>
      </c>
    </row>
    <row r="2295">
      <c r="B2295" s="2" t="s">
        <v>2213</v>
      </c>
      <c r="C2295">
        <f t="shared" si="4"/>
        <v>50227940</v>
      </c>
      <c r="D2295" s="2" t="s">
        <v>1835</v>
      </c>
      <c r="E2295" s="2">
        <v>2.554E7</v>
      </c>
      <c r="F2295" s="2">
        <v>1.124156E7</v>
      </c>
      <c r="G2295" s="2">
        <v>1.02946E7</v>
      </c>
    </row>
    <row r="2296">
      <c r="B2296" s="2" t="s">
        <v>2214</v>
      </c>
      <c r="C2296">
        <f t="shared" si="4"/>
        <v>51435370</v>
      </c>
      <c r="D2296" s="2" t="s">
        <v>1852</v>
      </c>
      <c r="E2296" s="2">
        <v>2.75E7</v>
      </c>
      <c r="F2296" s="2">
        <v>1.207074E7</v>
      </c>
      <c r="G2296" s="2">
        <v>1.06572E7</v>
      </c>
    </row>
    <row r="2297">
      <c r="B2297" s="2" t="s">
        <v>2215</v>
      </c>
      <c r="C2297">
        <f t="shared" si="4"/>
        <v>43335210</v>
      </c>
      <c r="D2297" s="2" t="s">
        <v>2216</v>
      </c>
      <c r="E2297" s="2">
        <v>2.93E7</v>
      </c>
      <c r="F2297" s="2">
        <v>1.298877E7</v>
      </c>
      <c r="G2297" s="2">
        <v>9146600.0</v>
      </c>
    </row>
    <row r="2298">
      <c r="B2298" s="2" t="s">
        <v>2217</v>
      </c>
      <c r="C2298">
        <f t="shared" si="4"/>
        <v>43091000</v>
      </c>
      <c r="D2298" s="2" t="s">
        <v>2218</v>
      </c>
      <c r="E2298" s="2">
        <v>2.564E7</v>
      </c>
      <c r="F2298" s="2">
        <v>1.118901E7</v>
      </c>
      <c r="G2298" s="2">
        <v>6506200.0</v>
      </c>
    </row>
    <row r="2299">
      <c r="B2299" s="2" t="s">
        <v>2219</v>
      </c>
      <c r="C2299">
        <f t="shared" si="4"/>
        <v>46261870</v>
      </c>
      <c r="D2299" s="2" t="s">
        <v>2220</v>
      </c>
      <c r="E2299" s="2">
        <v>2.538E7</v>
      </c>
      <c r="F2299" s="2">
        <v>1.1033E7</v>
      </c>
      <c r="G2299" s="2">
        <v>6678000.0</v>
      </c>
    </row>
    <row r="2300">
      <c r="B2300" s="2" t="s">
        <v>2220</v>
      </c>
      <c r="C2300">
        <f t="shared" si="4"/>
        <v>40512670</v>
      </c>
      <c r="D2300" s="2" t="s">
        <v>1940</v>
      </c>
      <c r="E2300" s="2">
        <v>2.777E7</v>
      </c>
      <c r="F2300" s="2">
        <v>1.251283E7</v>
      </c>
      <c r="G2300" s="2">
        <v>5979040.0</v>
      </c>
    </row>
    <row r="2301">
      <c r="B2301" s="2" t="s">
        <v>2221</v>
      </c>
      <c r="C2301">
        <f t="shared" si="4"/>
        <v>42996050</v>
      </c>
      <c r="D2301" s="2" t="s">
        <v>2222</v>
      </c>
      <c r="E2301" s="2">
        <v>2.272E7</v>
      </c>
      <c r="F2301" s="2">
        <v>1.204847E7</v>
      </c>
      <c r="G2301" s="2">
        <v>5744200.0</v>
      </c>
    </row>
    <row r="2302">
      <c r="B2302" s="2" t="s">
        <v>2223</v>
      </c>
      <c r="C2302">
        <f t="shared" si="4"/>
        <v>42580760</v>
      </c>
      <c r="D2302" s="2" t="s">
        <v>2224</v>
      </c>
      <c r="E2302" s="2">
        <v>2.864E7</v>
      </c>
      <c r="F2302" s="2">
        <v>9820250.0</v>
      </c>
      <c r="G2302" s="2">
        <v>4535800.0</v>
      </c>
    </row>
    <row r="2303">
      <c r="B2303" s="2" t="s">
        <v>2225</v>
      </c>
      <c r="C2303">
        <f t="shared" si="4"/>
        <v>17734080</v>
      </c>
      <c r="D2303" s="2" t="s">
        <v>1997</v>
      </c>
      <c r="E2303" s="2">
        <v>2.588E7</v>
      </c>
      <c r="F2303" s="2">
        <v>1.117812E7</v>
      </c>
      <c r="G2303" s="2">
        <v>5522640.0</v>
      </c>
    </row>
    <row r="2304">
      <c r="B2304" s="2" t="s">
        <v>2226</v>
      </c>
      <c r="C2304">
        <f t="shared" si="4"/>
        <v>14883030</v>
      </c>
      <c r="F2304" s="2">
        <v>1.286604E7</v>
      </c>
      <c r="G2304" s="2">
        <v>4868040.0</v>
      </c>
    </row>
    <row r="2305">
      <c r="C2305">
        <f t="shared" si="4"/>
        <v>0</v>
      </c>
      <c r="F2305" s="2">
        <v>1.194463E7</v>
      </c>
      <c r="G2305" s="2">
        <v>2938400.0</v>
      </c>
    </row>
    <row r="2315">
      <c r="C2315">
        <f>Sum(C3:C2314)</f>
        <v>5079283514</v>
      </c>
      <c r="D2315">
        <f>Sum(D3:D2189)</f>
        <v>3572475604</v>
      </c>
    </row>
    <row r="2316">
      <c r="D2316" s="1" t="s">
        <v>2227</v>
      </c>
      <c r="E2316">
        <f>C2315-D2315</f>
        <v>1506807910</v>
      </c>
    </row>
    <row r="2324">
      <c r="A2324" s="1" t="s">
        <v>2228</v>
      </c>
      <c r="B2324" s="1" t="s">
        <v>2229</v>
      </c>
      <c r="C2324" s="1">
        <v>200.0</v>
      </c>
    </row>
    <row r="2326">
      <c r="B2326" s="1" t="s">
        <v>2230</v>
      </c>
      <c r="C2326" s="1">
        <v>20.0</v>
      </c>
    </row>
    <row r="2330">
      <c r="A2330" s="1" t="s">
        <v>2231</v>
      </c>
      <c r="B2330" s="1" t="s">
        <v>678</v>
      </c>
    </row>
    <row r="2331">
      <c r="A2331" s="1" t="s">
        <v>2232</v>
      </c>
      <c r="B2331" s="1" t="s">
        <v>221</v>
      </c>
    </row>
    <row r="2332">
      <c r="A2332" s="1" t="s">
        <v>2233</v>
      </c>
      <c r="B2332" s="1" t="s">
        <v>186</v>
      </c>
    </row>
    <row r="2333">
      <c r="B2333" s="1" t="s">
        <v>187</v>
      </c>
    </row>
    <row r="2334">
      <c r="A2334" s="1" t="s">
        <v>2234</v>
      </c>
      <c r="B2334" s="1" t="s">
        <v>962</v>
      </c>
    </row>
    <row r="2335">
      <c r="A2335" s="1" t="s">
        <v>2235</v>
      </c>
      <c r="B2335" s="1" t="s">
        <v>2236</v>
      </c>
      <c r="C2335" s="1">
        <v>25.0</v>
      </c>
    </row>
    <row r="2336">
      <c r="B2336" s="1" t="s">
        <v>378</v>
      </c>
      <c r="C2336" s="1">
        <v>25.0</v>
      </c>
    </row>
    <row r="2337">
      <c r="B2337" s="1" t="s">
        <v>589</v>
      </c>
      <c r="C2337" s="1">
        <v>13.0</v>
      </c>
    </row>
    <row r="2338">
      <c r="B2338" s="1" t="s">
        <v>2237</v>
      </c>
    </row>
    <row r="2339">
      <c r="B2339" s="1" t="s">
        <v>225</v>
      </c>
    </row>
    <row r="2340">
      <c r="B2340" s="1" t="s">
        <v>311</v>
      </c>
    </row>
    <row r="2341">
      <c r="B2341" s="1" t="s">
        <v>485</v>
      </c>
    </row>
    <row r="2342">
      <c r="A2342" s="1" t="s">
        <v>2238</v>
      </c>
      <c r="B2342" s="1" t="s">
        <v>434</v>
      </c>
      <c r="C2342" s="1">
        <v>25.0</v>
      </c>
      <c r="D2342" s="1" t="s">
        <v>2239</v>
      </c>
    </row>
    <row r="2343">
      <c r="B2343" s="1" t="s">
        <v>535</v>
      </c>
      <c r="C2343" s="1">
        <v>900.0</v>
      </c>
      <c r="D2343" s="1" t="s">
        <v>2240</v>
      </c>
    </row>
    <row r="2346">
      <c r="B2346" s="1" t="s">
        <v>2241</v>
      </c>
      <c r="C2346" s="1" t="s">
        <v>2242</v>
      </c>
    </row>
    <row r="2347">
      <c r="E2347" s="1" t="s">
        <v>2243</v>
      </c>
    </row>
  </sheetData>
  <hyperlinks>
    <hyperlink r:id="rId1" ref="E1236"/>
    <hyperlink r:id="rId2" ref="E1339"/>
    <hyperlink r:id="rId3" ref="E1442"/>
    <hyperlink r:id="rId4" ref="E1497"/>
    <hyperlink r:id="rId5" ref="E1498"/>
    <hyperlink r:id="rId6" ref="B1549"/>
    <hyperlink r:id="rId7" ref="E1770"/>
    <hyperlink r:id="rId8" ref="E1883"/>
  </hyperlinks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1" width="15.13"/>
  </cols>
  <sheetData>
    <row r="2">
      <c r="C2" s="1" t="s">
        <v>3161</v>
      </c>
    </row>
    <row r="3">
      <c r="A3" s="1" t="s">
        <v>3162</v>
      </c>
      <c r="B3" s="1" t="s">
        <v>3163</v>
      </c>
    </row>
    <row r="4">
      <c r="A4" s="1" t="s">
        <v>3164</v>
      </c>
      <c r="B4" s="1" t="s">
        <v>3165</v>
      </c>
      <c r="C4" s="1">
        <v>60000.0</v>
      </c>
    </row>
    <row r="5">
      <c r="A5" s="1" t="s">
        <v>3166</v>
      </c>
      <c r="B5" s="1">
        <v>2.0</v>
      </c>
    </row>
    <row r="6">
      <c r="A6" s="1" t="s">
        <v>3167</v>
      </c>
      <c r="B6" s="1">
        <v>50000.0</v>
      </c>
      <c r="C6" s="1">
        <v>60000.0</v>
      </c>
    </row>
    <row r="13">
      <c r="A13" s="1" t="s">
        <v>3168</v>
      </c>
      <c r="B13" s="1">
        <v>300000.0</v>
      </c>
    </row>
    <row r="14">
      <c r="A14" s="1" t="s">
        <v>3169</v>
      </c>
      <c r="B14" s="1">
        <v>5.0</v>
      </c>
      <c r="C14" s="1">
        <v>15000.0</v>
      </c>
    </row>
    <row r="15">
      <c r="A15" s="1" t="s">
        <v>3170</v>
      </c>
      <c r="C15" s="1">
        <v>24000.0</v>
      </c>
    </row>
    <row r="17">
      <c r="A17" s="1" t="s">
        <v>3171</v>
      </c>
      <c r="B17" s="1">
        <v>2.0</v>
      </c>
    </row>
    <row r="18">
      <c r="A18" s="1" t="s">
        <v>3172</v>
      </c>
      <c r="B18" s="1">
        <v>10000.0</v>
      </c>
      <c r="C18" s="1">
        <v>20000.0</v>
      </c>
    </row>
    <row r="19">
      <c r="A19" s="1" t="s">
        <v>3173</v>
      </c>
      <c r="B19" s="1">
        <v>10.0</v>
      </c>
    </row>
    <row r="20">
      <c r="A20" s="1" t="s">
        <v>3172</v>
      </c>
      <c r="B20" s="1">
        <v>3000.0</v>
      </c>
      <c r="C20" s="1">
        <v>30000.0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2" max="2" width="33.63"/>
    <col customWidth="1" min="3" max="3" width="17.0"/>
    <col customWidth="1" min="4" max="4" width="23.75"/>
    <col customWidth="1" min="5" max="5" width="45.63"/>
    <col customWidth="1" min="6" max="6" width="27.0"/>
  </cols>
  <sheetData>
    <row r="1">
      <c r="A1" s="2" t="s">
        <v>2244</v>
      </c>
      <c r="B1" s="2" t="s">
        <v>2245</v>
      </c>
      <c r="D1" s="2" t="s">
        <v>2246</v>
      </c>
      <c r="E1" s="2" t="s">
        <v>2247</v>
      </c>
      <c r="F1" s="2" t="s">
        <v>2248</v>
      </c>
    </row>
    <row r="2">
      <c r="A2" s="2" t="s">
        <v>2249</v>
      </c>
      <c r="B2" s="2" t="s">
        <v>2250</v>
      </c>
      <c r="D2" s="2" t="s">
        <v>2251</v>
      </c>
      <c r="E2" s="2" t="s">
        <v>9</v>
      </c>
    </row>
    <row r="3">
      <c r="A3" s="2"/>
      <c r="B3" s="2"/>
      <c r="C3" s="2"/>
      <c r="D3" s="2"/>
    </row>
    <row r="4">
      <c r="A4" s="2" t="s">
        <v>2252</v>
      </c>
      <c r="B4" s="2" t="s">
        <v>2253</v>
      </c>
      <c r="C4" s="2" t="s">
        <v>7</v>
      </c>
      <c r="D4" s="2" t="s">
        <v>2254</v>
      </c>
      <c r="F4" s="2" t="s">
        <v>2255</v>
      </c>
    </row>
    <row r="5">
      <c r="A5" s="2" t="s">
        <v>1799</v>
      </c>
      <c r="B5" s="2" t="s">
        <v>2256</v>
      </c>
      <c r="D5" s="2">
        <v>4400.0</v>
      </c>
    </row>
    <row r="6">
      <c r="A6" s="2" t="s">
        <v>2208</v>
      </c>
      <c r="B6" s="2" t="s">
        <v>2257</v>
      </c>
      <c r="D6" s="2">
        <v>325000.0</v>
      </c>
      <c r="E6" s="2" t="s">
        <v>2258</v>
      </c>
    </row>
    <row r="7">
      <c r="B7" s="2" t="s">
        <v>2259</v>
      </c>
      <c r="D7" s="2">
        <v>775180.0</v>
      </c>
      <c r="E7" s="2" t="s">
        <v>2260</v>
      </c>
      <c r="F7" s="2" t="s">
        <v>2261</v>
      </c>
    </row>
    <row r="8">
      <c r="B8" s="2" t="s">
        <v>2262</v>
      </c>
      <c r="D8" s="2">
        <v>3509070.0</v>
      </c>
      <c r="E8" s="2" t="s">
        <v>2263</v>
      </c>
    </row>
    <row r="9">
      <c r="B9" s="2" t="s">
        <v>2264</v>
      </c>
      <c r="D9" s="2">
        <v>2.99E8</v>
      </c>
      <c r="E9" s="2" t="s">
        <v>2263</v>
      </c>
    </row>
    <row r="10">
      <c r="A10" s="2" t="s">
        <v>2265</v>
      </c>
      <c r="B10" s="2" t="s">
        <v>2266</v>
      </c>
      <c r="D10" s="2">
        <v>783130.0</v>
      </c>
      <c r="E10" s="2" t="s">
        <v>2263</v>
      </c>
    </row>
    <row r="11">
      <c r="B11" s="2" t="s">
        <v>2267</v>
      </c>
      <c r="D11" s="2">
        <v>3.575E7</v>
      </c>
      <c r="E11" s="2" t="s">
        <v>2268</v>
      </c>
      <c r="F11" s="2" t="s">
        <v>2261</v>
      </c>
    </row>
    <row r="12">
      <c r="A12" s="2" t="s">
        <v>2269</v>
      </c>
      <c r="B12" s="2" t="s">
        <v>2270</v>
      </c>
      <c r="D12" s="2">
        <v>327600.0</v>
      </c>
      <c r="E12" s="2" t="s">
        <v>1573</v>
      </c>
    </row>
    <row r="13">
      <c r="A13" s="2" t="s">
        <v>1802</v>
      </c>
      <c r="B13" s="2" t="s">
        <v>2271</v>
      </c>
      <c r="D13" s="2">
        <v>372333.0</v>
      </c>
      <c r="E13" s="2" t="s">
        <v>2272</v>
      </c>
    </row>
    <row r="14">
      <c r="A14" s="2" t="s">
        <v>2269</v>
      </c>
      <c r="B14" s="2" t="s">
        <v>2273</v>
      </c>
      <c r="C14" s="2">
        <v>1254000.0</v>
      </c>
    </row>
    <row r="15">
      <c r="A15" s="2" t="s">
        <v>2274</v>
      </c>
      <c r="B15" s="2" t="s">
        <v>2275</v>
      </c>
      <c r="C15" s="2">
        <v>1.0E7</v>
      </c>
    </row>
    <row r="16">
      <c r="A16" s="2" t="s">
        <v>2276</v>
      </c>
      <c r="B16" s="2" t="s">
        <v>2277</v>
      </c>
      <c r="C16" s="2">
        <v>1114666.0</v>
      </c>
    </row>
    <row r="17">
      <c r="A17" s="2" t="s">
        <v>1802</v>
      </c>
      <c r="B17" s="2" t="s">
        <v>2278</v>
      </c>
      <c r="C17" s="2">
        <v>1205230.0</v>
      </c>
    </row>
    <row r="18">
      <c r="B18" s="2" t="s">
        <v>2279</v>
      </c>
      <c r="C18" s="2">
        <v>1532666.0</v>
      </c>
    </row>
    <row r="19">
      <c r="B19" s="2" t="s">
        <v>2280</v>
      </c>
      <c r="C19" s="2">
        <v>1254000.0</v>
      </c>
    </row>
    <row r="20">
      <c r="B20" s="2" t="s">
        <v>2281</v>
      </c>
      <c r="C20" s="2">
        <v>905666.0</v>
      </c>
    </row>
    <row r="21">
      <c r="B21" s="2" t="s">
        <v>2282</v>
      </c>
      <c r="C21" s="2">
        <v>1114666.0</v>
      </c>
    </row>
    <row r="22">
      <c r="B22" s="2" t="s">
        <v>2283</v>
      </c>
      <c r="C22" s="2">
        <v>1219166.0</v>
      </c>
    </row>
    <row r="23">
      <c r="A23" s="2" t="s">
        <v>2284</v>
      </c>
      <c r="B23" s="2" t="s">
        <v>2285</v>
      </c>
      <c r="C23" s="2">
        <v>1602334.0</v>
      </c>
    </row>
    <row r="24">
      <c r="A24" s="2" t="s">
        <v>2286</v>
      </c>
      <c r="B24" s="2" t="s">
        <v>2287</v>
      </c>
      <c r="C24" s="2">
        <v>1602334.0</v>
      </c>
    </row>
    <row r="25">
      <c r="A25" s="2" t="s">
        <v>2288</v>
      </c>
      <c r="B25" s="2" t="s">
        <v>2289</v>
      </c>
      <c r="D25" s="2">
        <v>1358150.0</v>
      </c>
      <c r="E25" s="2" t="s">
        <v>2290</v>
      </c>
    </row>
    <row r="26">
      <c r="B26" s="2" t="s">
        <v>2291</v>
      </c>
      <c r="E26" s="2" t="s">
        <v>2292</v>
      </c>
    </row>
    <row r="27">
      <c r="A27" s="2" t="s">
        <v>1807</v>
      </c>
      <c r="B27" s="2" t="s">
        <v>2293</v>
      </c>
      <c r="E27" s="2" t="s">
        <v>2294</v>
      </c>
    </row>
    <row r="28">
      <c r="B28" s="2" t="s">
        <v>2295</v>
      </c>
      <c r="E28" s="2" t="s">
        <v>2296</v>
      </c>
    </row>
    <row r="29">
      <c r="A29" s="2" t="s">
        <v>2297</v>
      </c>
      <c r="B29" s="2" t="s">
        <v>2298</v>
      </c>
      <c r="D29" s="2">
        <v>9200000.0</v>
      </c>
      <c r="E29" s="2" t="s">
        <v>2299</v>
      </c>
    </row>
    <row r="30">
      <c r="A30" s="2" t="s">
        <v>2300</v>
      </c>
      <c r="B30" s="2" t="s">
        <v>2301</v>
      </c>
      <c r="D30" s="2">
        <v>462580.0</v>
      </c>
      <c r="E30" s="2" t="s">
        <v>2302</v>
      </c>
    </row>
    <row r="31">
      <c r="A31" s="2" t="s">
        <v>1810</v>
      </c>
      <c r="B31" s="2" t="s">
        <v>2303</v>
      </c>
      <c r="D31" s="2">
        <v>907790.0</v>
      </c>
      <c r="E31" s="2" t="s">
        <v>2304</v>
      </c>
      <c r="F31" s="2" t="s">
        <v>2261</v>
      </c>
    </row>
    <row r="32">
      <c r="A32" s="2" t="s">
        <v>2305</v>
      </c>
      <c r="B32" s="2" t="s">
        <v>22</v>
      </c>
      <c r="D32" s="2">
        <v>9500.0</v>
      </c>
      <c r="E32" s="2" t="s">
        <v>2306</v>
      </c>
      <c r="F32" s="2" t="s">
        <v>2261</v>
      </c>
    </row>
    <row r="33">
      <c r="A33" s="2" t="s">
        <v>2307</v>
      </c>
      <c r="B33" s="22" t="s">
        <v>2273</v>
      </c>
      <c r="C33" s="2">
        <v>2062734.0</v>
      </c>
    </row>
    <row r="34">
      <c r="B34" s="2" t="s">
        <v>2282</v>
      </c>
      <c r="C34" s="2">
        <v>1874116.0</v>
      </c>
    </row>
    <row r="35">
      <c r="A35" s="2" t="s">
        <v>1812</v>
      </c>
      <c r="B35" s="2" t="s">
        <v>2308</v>
      </c>
      <c r="D35" s="2">
        <v>430000.0</v>
      </c>
      <c r="E35" s="2" t="s">
        <v>2272</v>
      </c>
    </row>
    <row r="36">
      <c r="B36" s="2" t="s">
        <v>2309</v>
      </c>
      <c r="D36" s="2">
        <v>110000.0</v>
      </c>
      <c r="E36" s="2" t="s">
        <v>2310</v>
      </c>
    </row>
    <row r="37">
      <c r="B37" s="2" t="s">
        <v>2311</v>
      </c>
      <c r="D37" s="2">
        <v>147000.0</v>
      </c>
      <c r="E37" s="2" t="s">
        <v>2312</v>
      </c>
    </row>
    <row r="38">
      <c r="A38" s="2" t="s">
        <v>2305</v>
      </c>
      <c r="B38" s="2" t="s">
        <v>2280</v>
      </c>
      <c r="C38" s="2">
        <v>2041528.0</v>
      </c>
    </row>
    <row r="39">
      <c r="A39" s="2" t="s">
        <v>1812</v>
      </c>
      <c r="B39" s="2" t="s">
        <v>2278</v>
      </c>
      <c r="C39" s="2">
        <v>1903000.0</v>
      </c>
    </row>
    <row r="40">
      <c r="B40" s="2" t="s">
        <v>2313</v>
      </c>
      <c r="C40" s="2">
        <v>106730.0</v>
      </c>
    </row>
    <row r="41">
      <c r="B41" s="2" t="s">
        <v>2285</v>
      </c>
      <c r="C41" s="2">
        <v>2625470.0</v>
      </c>
    </row>
    <row r="42">
      <c r="B42" s="2" t="s">
        <v>2279</v>
      </c>
      <c r="C42" s="2">
        <v>2420000.0</v>
      </c>
    </row>
    <row r="43">
      <c r="B43" s="2" t="s">
        <v>2314</v>
      </c>
      <c r="C43" s="2">
        <v>207687.0</v>
      </c>
    </row>
    <row r="44">
      <c r="B44" s="2" t="s">
        <v>2277</v>
      </c>
      <c r="C44" s="2">
        <v>1760000.0</v>
      </c>
      <c r="E44" s="2" t="s">
        <v>2315</v>
      </c>
    </row>
    <row r="45">
      <c r="B45" s="2" t="s">
        <v>2283</v>
      </c>
      <c r="C45" s="2">
        <v>1219166.0</v>
      </c>
    </row>
    <row r="46">
      <c r="A46" s="2" t="s">
        <v>1811</v>
      </c>
      <c r="B46" s="2" t="s">
        <v>2283</v>
      </c>
      <c r="C46" s="2">
        <v>829241.0</v>
      </c>
      <c r="D46" s="2" t="s">
        <v>2316</v>
      </c>
      <c r="E46" s="2" t="s">
        <v>2317</v>
      </c>
    </row>
    <row r="47">
      <c r="A47" s="2" t="s">
        <v>2318</v>
      </c>
      <c r="B47" s="2" t="s">
        <v>2281</v>
      </c>
      <c r="C47" s="2">
        <v>1569149.0</v>
      </c>
    </row>
    <row r="48">
      <c r="B48" s="2" t="s">
        <v>2319</v>
      </c>
      <c r="C48" s="2">
        <v>400000.0</v>
      </c>
      <c r="E48" s="2" t="s">
        <v>2320</v>
      </c>
    </row>
    <row r="49">
      <c r="A49" s="2" t="s">
        <v>2321</v>
      </c>
      <c r="B49" s="2" t="s">
        <v>2287</v>
      </c>
      <c r="C49" s="2">
        <v>2692656.0</v>
      </c>
      <c r="E49" s="2" t="s">
        <v>2322</v>
      </c>
    </row>
    <row r="50">
      <c r="A50" s="2" t="s">
        <v>1817</v>
      </c>
      <c r="B50" s="2" t="s">
        <v>2287</v>
      </c>
      <c r="C50" s="2">
        <v>230000.0</v>
      </c>
      <c r="E50" s="2" t="s">
        <v>2323</v>
      </c>
    </row>
    <row r="51">
      <c r="A51" s="2" t="s">
        <v>1821</v>
      </c>
      <c r="B51" s="2" t="s">
        <v>2324</v>
      </c>
      <c r="D51" s="2">
        <v>90000.0</v>
      </c>
      <c r="E51" s="2" t="s">
        <v>2312</v>
      </c>
    </row>
    <row r="52">
      <c r="A52" s="2" t="s">
        <v>2325</v>
      </c>
      <c r="B52" s="2" t="s">
        <v>2308</v>
      </c>
      <c r="D52" s="2">
        <v>430000.0</v>
      </c>
      <c r="E52" s="2" t="s">
        <v>2272</v>
      </c>
    </row>
    <row r="53">
      <c r="B53" s="2" t="s">
        <v>2309</v>
      </c>
      <c r="D53" s="2">
        <v>110000.0</v>
      </c>
      <c r="E53" s="2" t="s">
        <v>2310</v>
      </c>
    </row>
    <row r="54">
      <c r="A54" s="2" t="s">
        <v>1825</v>
      </c>
      <c r="B54" s="2" t="s">
        <v>2301</v>
      </c>
      <c r="D54" s="2">
        <v>455480.0</v>
      </c>
      <c r="E54" s="2" t="s">
        <v>2326</v>
      </c>
    </row>
    <row r="55">
      <c r="B55" s="2" t="s">
        <v>2303</v>
      </c>
      <c r="D55" s="2">
        <v>1057810.0</v>
      </c>
      <c r="E55" s="2" t="s">
        <v>2327</v>
      </c>
    </row>
    <row r="56">
      <c r="A56" s="2" t="s">
        <v>1821</v>
      </c>
      <c r="B56" s="2" t="s">
        <v>2282</v>
      </c>
      <c r="C56" s="2">
        <v>1960056.0</v>
      </c>
    </row>
    <row r="57">
      <c r="A57" s="2" t="s">
        <v>2328</v>
      </c>
      <c r="B57" s="22" t="s">
        <v>2273</v>
      </c>
      <c r="C57" s="2">
        <v>2128291.0</v>
      </c>
    </row>
    <row r="58">
      <c r="A58" s="2" t="s">
        <v>1825</v>
      </c>
      <c r="B58" s="2" t="s">
        <v>2279</v>
      </c>
      <c r="C58" s="2">
        <v>2420000.0</v>
      </c>
    </row>
    <row r="59">
      <c r="B59" s="2" t="s">
        <v>2314</v>
      </c>
      <c r="C59" s="2">
        <v>106672.0</v>
      </c>
      <c r="E59" s="2" t="s">
        <v>2316</v>
      </c>
    </row>
    <row r="60">
      <c r="B60" s="2" t="s">
        <v>2329</v>
      </c>
      <c r="C60" s="2">
        <v>67803.0</v>
      </c>
    </row>
    <row r="61">
      <c r="B61" s="2" t="s">
        <v>2278</v>
      </c>
      <c r="C61" s="2">
        <v>1903000.0</v>
      </c>
    </row>
    <row r="62">
      <c r="B62" s="2" t="s">
        <v>2313</v>
      </c>
      <c r="C62" s="2">
        <v>64590.0</v>
      </c>
    </row>
    <row r="63">
      <c r="B63" s="2" t="s">
        <v>2330</v>
      </c>
      <c r="C63" s="2">
        <v>31610.0</v>
      </c>
    </row>
    <row r="64">
      <c r="B64" s="2" t="s">
        <v>2283</v>
      </c>
      <c r="C64" s="2">
        <v>2094637.0</v>
      </c>
    </row>
    <row r="65">
      <c r="B65" s="2" t="s">
        <v>2277</v>
      </c>
      <c r="C65" s="2">
        <v>1760000.0</v>
      </c>
    </row>
    <row r="66">
      <c r="B66" s="2" t="s">
        <v>2331</v>
      </c>
      <c r="C66" s="2">
        <v>151093.0</v>
      </c>
    </row>
    <row r="67">
      <c r="B67" s="2" t="s">
        <v>2332</v>
      </c>
      <c r="C67" s="2">
        <v>122083.0</v>
      </c>
    </row>
    <row r="68">
      <c r="B68" s="2" t="s">
        <v>2281</v>
      </c>
      <c r="C68" s="2">
        <v>1525184.0</v>
      </c>
    </row>
    <row r="69">
      <c r="A69" s="2" t="s">
        <v>1830</v>
      </c>
      <c r="B69" s="2" t="s">
        <v>2333</v>
      </c>
      <c r="D69" s="2">
        <v>1.155E7</v>
      </c>
      <c r="E69" s="2" t="s">
        <v>2312</v>
      </c>
    </row>
    <row r="70">
      <c r="B70" s="2" t="s">
        <v>2285</v>
      </c>
      <c r="C70" s="2">
        <v>2658492.0</v>
      </c>
    </row>
    <row r="71">
      <c r="A71" s="2" t="s">
        <v>2334</v>
      </c>
      <c r="B71" s="2" t="s">
        <v>2335</v>
      </c>
      <c r="D71" s="2">
        <v>242000.0</v>
      </c>
      <c r="E71" s="2" t="s">
        <v>1826</v>
      </c>
    </row>
    <row r="72">
      <c r="A72" s="2" t="s">
        <v>1834</v>
      </c>
      <c r="B72" s="2" t="s">
        <v>462</v>
      </c>
      <c r="D72" s="2">
        <v>121000.0</v>
      </c>
      <c r="E72" s="2" t="s">
        <v>1826</v>
      </c>
    </row>
    <row r="73">
      <c r="A73" s="2" t="s">
        <v>1832</v>
      </c>
      <c r="B73" s="2" t="s">
        <v>2336</v>
      </c>
      <c r="D73" s="23">
        <v>1.98E7</v>
      </c>
      <c r="E73" s="12" t="s">
        <v>2337</v>
      </c>
      <c r="F73" s="13" t="s">
        <v>1838</v>
      </c>
    </row>
    <row r="74">
      <c r="B74" s="2" t="s">
        <v>2338</v>
      </c>
      <c r="D74" s="23">
        <v>8580000.0</v>
      </c>
      <c r="E74" s="14">
        <v>1.8E7</v>
      </c>
      <c r="F74" s="24">
        <f t="shared" ref="F74:F77" si="1">E74*1.1</f>
        <v>19800000</v>
      </c>
    </row>
    <row r="75">
      <c r="A75" s="2" t="s">
        <v>2339</v>
      </c>
      <c r="B75" s="2" t="s">
        <v>2340</v>
      </c>
      <c r="C75" s="2">
        <v>2300000.0</v>
      </c>
      <c r="E75" s="14">
        <v>2.4E7</v>
      </c>
      <c r="F75" s="25">
        <f t="shared" si="1"/>
        <v>26400000</v>
      </c>
    </row>
    <row r="76">
      <c r="A76" s="2" t="s">
        <v>1833</v>
      </c>
      <c r="B76" s="2" t="s">
        <v>2324</v>
      </c>
      <c r="D76" s="2">
        <v>90000.0</v>
      </c>
      <c r="E76" s="14">
        <v>1.8E7</v>
      </c>
      <c r="F76" s="26">
        <f t="shared" si="1"/>
        <v>19800000</v>
      </c>
      <c r="G76" s="15">
        <f>19800000-1900000*1.1</f>
        <v>17710000</v>
      </c>
    </row>
    <row r="77">
      <c r="A77" s="2" t="s">
        <v>1834</v>
      </c>
      <c r="B77" s="2" t="s">
        <v>2341</v>
      </c>
      <c r="D77" s="2">
        <v>530000.0</v>
      </c>
      <c r="E77" s="27">
        <f>SUM(E74:E76)</f>
        <v>60000000</v>
      </c>
      <c r="F77" s="26">
        <f t="shared" si="1"/>
        <v>66000000</v>
      </c>
    </row>
    <row r="78">
      <c r="B78" s="2" t="s">
        <v>2342</v>
      </c>
      <c r="D78" s="2">
        <v>110000.0</v>
      </c>
      <c r="E78" s="14" t="s">
        <v>2343</v>
      </c>
      <c r="F78" s="26"/>
    </row>
    <row r="79">
      <c r="A79" s="2" t="s">
        <v>2316</v>
      </c>
      <c r="B79" s="2" t="s">
        <v>2344</v>
      </c>
      <c r="D79" s="2"/>
      <c r="E79" s="14">
        <v>7800000.0</v>
      </c>
      <c r="F79" s="24">
        <f t="shared" ref="F79:F82" si="2">E79*1.1</f>
        <v>8580000</v>
      </c>
    </row>
    <row r="80">
      <c r="B80" s="2" t="s">
        <v>2303</v>
      </c>
      <c r="D80" s="2">
        <v>1374480.0</v>
      </c>
      <c r="E80" s="14">
        <v>1.04E7</v>
      </c>
      <c r="F80" s="25">
        <f t="shared" si="2"/>
        <v>11440000</v>
      </c>
    </row>
    <row r="81">
      <c r="B81" s="2" t="s">
        <v>2345</v>
      </c>
      <c r="E81" s="14">
        <v>7800000.0</v>
      </c>
      <c r="F81" s="15">
        <f t="shared" si="2"/>
        <v>8580000</v>
      </c>
    </row>
    <row r="82">
      <c r="A82" s="2" t="s">
        <v>1833</v>
      </c>
      <c r="B82" s="2" t="s">
        <v>2346</v>
      </c>
      <c r="C82" s="2">
        <v>586154.0</v>
      </c>
      <c r="E82" s="16">
        <f>SUM(E79:E81)</f>
        <v>26000000</v>
      </c>
      <c r="F82" s="17">
        <f t="shared" si="2"/>
        <v>28600000</v>
      </c>
    </row>
    <row r="83">
      <c r="A83" s="2" t="s">
        <v>1840</v>
      </c>
      <c r="B83" s="22" t="s">
        <v>2273</v>
      </c>
      <c r="C83" s="2">
        <v>2231095.0</v>
      </c>
    </row>
    <row r="84">
      <c r="B84" s="2" t="s">
        <v>2282</v>
      </c>
      <c r="C84" s="2">
        <v>1857110.0</v>
      </c>
    </row>
    <row r="85">
      <c r="A85" s="2" t="s">
        <v>2347</v>
      </c>
      <c r="B85" s="2" t="s">
        <v>2278</v>
      </c>
      <c r="C85" s="2">
        <v>1903000.0</v>
      </c>
    </row>
    <row r="86">
      <c r="B86" s="2" t="s">
        <v>2313</v>
      </c>
      <c r="C86" s="2">
        <v>83280.0</v>
      </c>
    </row>
    <row r="87">
      <c r="A87" s="2" t="s">
        <v>1834</v>
      </c>
      <c r="B87" s="2" t="s">
        <v>2279</v>
      </c>
      <c r="C87" s="2">
        <v>2420000.0</v>
      </c>
    </row>
    <row r="88">
      <c r="B88" s="2" t="s">
        <v>2314</v>
      </c>
      <c r="C88" s="2">
        <v>161231.0</v>
      </c>
    </row>
    <row r="89">
      <c r="B89" s="2" t="s">
        <v>2331</v>
      </c>
      <c r="C89" s="2">
        <v>108477.0</v>
      </c>
    </row>
    <row r="90">
      <c r="B90" s="2" t="s">
        <v>2283</v>
      </c>
      <c r="C90" s="2">
        <v>2070712.0</v>
      </c>
    </row>
    <row r="91">
      <c r="A91" s="2" t="s">
        <v>1842</v>
      </c>
      <c r="B91" s="19" t="s">
        <v>2348</v>
      </c>
      <c r="C91" s="15"/>
      <c r="D91" s="28">
        <v>2.64E7</v>
      </c>
      <c r="E91" s="2" t="s">
        <v>1838</v>
      </c>
    </row>
    <row r="92">
      <c r="A92" s="2" t="s">
        <v>1843</v>
      </c>
      <c r="B92" s="2" t="s">
        <v>2277</v>
      </c>
      <c r="C92" s="2">
        <v>1760000.0</v>
      </c>
    </row>
    <row r="93">
      <c r="A93" s="2" t="s">
        <v>2349</v>
      </c>
      <c r="B93" s="2" t="s">
        <v>2285</v>
      </c>
      <c r="C93" s="2">
        <v>2640657.0</v>
      </c>
    </row>
    <row r="94">
      <c r="A94" s="2" t="s">
        <v>1847</v>
      </c>
      <c r="B94" s="2" t="s">
        <v>2350</v>
      </c>
      <c r="C94" s="2">
        <v>18057.0</v>
      </c>
      <c r="D94" s="2" t="s">
        <v>2351</v>
      </c>
    </row>
    <row r="95">
      <c r="A95" s="2" t="s">
        <v>1848</v>
      </c>
      <c r="B95" s="19" t="s">
        <v>2348</v>
      </c>
      <c r="C95" s="15"/>
      <c r="D95" s="28">
        <v>1.144E7</v>
      </c>
      <c r="E95" s="2" t="s">
        <v>1838</v>
      </c>
    </row>
    <row r="96">
      <c r="A96" s="2" t="s">
        <v>1849</v>
      </c>
      <c r="B96" s="2" t="s">
        <v>2352</v>
      </c>
      <c r="D96" s="2">
        <v>3015460.0</v>
      </c>
      <c r="E96" s="2" t="s">
        <v>2353</v>
      </c>
    </row>
    <row r="97">
      <c r="A97" s="2" t="s">
        <v>2354</v>
      </c>
      <c r="B97" s="2" t="s">
        <v>2355</v>
      </c>
      <c r="D97" s="2">
        <v>630000.0</v>
      </c>
    </row>
    <row r="98">
      <c r="B98" s="2" t="s">
        <v>2342</v>
      </c>
      <c r="D98" s="2">
        <v>110000.0</v>
      </c>
    </row>
    <row r="99">
      <c r="B99" s="2" t="s">
        <v>2356</v>
      </c>
      <c r="D99" s="2">
        <v>438820.0</v>
      </c>
    </row>
    <row r="100">
      <c r="B100" s="2" t="s">
        <v>2303</v>
      </c>
      <c r="D100" s="2">
        <v>1788070.0</v>
      </c>
    </row>
    <row r="101">
      <c r="A101" s="2" t="s">
        <v>2316</v>
      </c>
      <c r="B101" s="2" t="s">
        <v>2357</v>
      </c>
      <c r="D101" s="2">
        <v>77000.0</v>
      </c>
      <c r="E101" s="2" t="s">
        <v>2358</v>
      </c>
    </row>
    <row r="102">
      <c r="B102" s="2" t="s">
        <v>2359</v>
      </c>
      <c r="D102" s="2">
        <v>90000.0</v>
      </c>
    </row>
    <row r="103">
      <c r="A103" s="2" t="s">
        <v>2354</v>
      </c>
      <c r="B103" s="2" t="s">
        <v>2360</v>
      </c>
      <c r="C103" s="2">
        <v>2286059.0</v>
      </c>
      <c r="D103" s="2" t="s">
        <v>2316</v>
      </c>
    </row>
    <row r="104">
      <c r="B104" s="2" t="s">
        <v>2282</v>
      </c>
      <c r="C104" s="2">
        <v>1911446.0</v>
      </c>
    </row>
    <row r="105">
      <c r="A105" s="2" t="s">
        <v>1869</v>
      </c>
      <c r="B105" s="2" t="s">
        <v>2278</v>
      </c>
      <c r="C105" s="2">
        <v>1903000.0</v>
      </c>
    </row>
    <row r="106">
      <c r="B106" s="2" t="s">
        <v>2313</v>
      </c>
      <c r="C106" s="2">
        <v>99840.0</v>
      </c>
    </row>
    <row r="107">
      <c r="B107" s="2" t="s">
        <v>2330</v>
      </c>
      <c r="C107" s="2">
        <v>20300.0</v>
      </c>
    </row>
    <row r="108">
      <c r="B108" s="2" t="s">
        <v>2361</v>
      </c>
      <c r="C108" s="2">
        <v>1760000.0</v>
      </c>
    </row>
    <row r="109">
      <c r="B109" s="2" t="s">
        <v>2362</v>
      </c>
      <c r="C109" s="2">
        <v>114271.0</v>
      </c>
    </row>
    <row r="110">
      <c r="B110" s="2" t="s">
        <v>2363</v>
      </c>
      <c r="C110" s="2">
        <v>78412.0</v>
      </c>
    </row>
    <row r="111">
      <c r="B111" s="2" t="s">
        <v>2279</v>
      </c>
      <c r="C111" s="2">
        <v>2420000.0</v>
      </c>
    </row>
    <row r="112">
      <c r="B112" s="2" t="s">
        <v>2314</v>
      </c>
      <c r="C112" s="2">
        <v>160579.0</v>
      </c>
    </row>
    <row r="113">
      <c r="B113" s="2" t="s">
        <v>2329</v>
      </c>
      <c r="C113" s="2">
        <v>43549.0</v>
      </c>
    </row>
    <row r="114">
      <c r="B114" s="2" t="s">
        <v>2364</v>
      </c>
      <c r="C114" s="2">
        <v>2792493.0</v>
      </c>
    </row>
    <row r="115">
      <c r="A115" s="2" t="s">
        <v>1872</v>
      </c>
      <c r="C115" s="2">
        <v>4047178.0</v>
      </c>
    </row>
    <row r="116">
      <c r="A116" s="2"/>
      <c r="B116" s="19" t="s">
        <v>2365</v>
      </c>
      <c r="C116" s="19"/>
      <c r="D116" s="28">
        <v>8580000.0</v>
      </c>
      <c r="E116" s="19" t="s">
        <v>1838</v>
      </c>
    </row>
    <row r="117">
      <c r="A117" s="2"/>
      <c r="B117" s="19" t="s">
        <v>2365</v>
      </c>
      <c r="C117" s="19"/>
      <c r="D117" s="28">
        <v>1.771E7</v>
      </c>
      <c r="E117" s="19" t="s">
        <v>2366</v>
      </c>
    </row>
    <row r="118">
      <c r="A118" s="2" t="s">
        <v>1850</v>
      </c>
      <c r="B118" s="2" t="s">
        <v>2283</v>
      </c>
      <c r="C118" s="2">
        <v>2167196.0</v>
      </c>
    </row>
    <row r="119">
      <c r="B119" s="2" t="s">
        <v>2367</v>
      </c>
      <c r="C119" s="2">
        <v>43106.0</v>
      </c>
    </row>
    <row r="120">
      <c r="A120" s="2" t="s">
        <v>2368</v>
      </c>
      <c r="B120" s="2" t="s">
        <v>2369</v>
      </c>
      <c r="D120" s="2">
        <v>96000.0</v>
      </c>
      <c r="E120" s="2" t="s">
        <v>2370</v>
      </c>
    </row>
    <row r="121">
      <c r="B121" s="2" t="s">
        <v>2371</v>
      </c>
      <c r="E121" s="2" t="s">
        <v>2372</v>
      </c>
    </row>
    <row r="122">
      <c r="B122" s="2" t="s">
        <v>2373</v>
      </c>
      <c r="C122" s="2">
        <v>1568074.0</v>
      </c>
    </row>
    <row r="123">
      <c r="B123" s="2" t="s">
        <v>2374</v>
      </c>
      <c r="C123" s="2">
        <v>2031927.0</v>
      </c>
    </row>
    <row r="124">
      <c r="B124" s="2" t="s">
        <v>2375</v>
      </c>
      <c r="C124" s="2">
        <v>2086668.0</v>
      </c>
    </row>
    <row r="125">
      <c r="B125" s="2" t="s">
        <v>2376</v>
      </c>
      <c r="C125" s="2">
        <v>2153276.0</v>
      </c>
    </row>
    <row r="126">
      <c r="B126" s="2" t="s">
        <v>2377</v>
      </c>
      <c r="C126" s="2">
        <v>46642.0</v>
      </c>
    </row>
    <row r="127">
      <c r="A127" s="2" t="s">
        <v>1891</v>
      </c>
      <c r="B127" s="2" t="s">
        <v>208</v>
      </c>
      <c r="D127" s="2">
        <v>1683000.0</v>
      </c>
      <c r="E127" s="2" t="s">
        <v>2378</v>
      </c>
    </row>
    <row r="128">
      <c r="B128" s="2" t="s">
        <v>2303</v>
      </c>
      <c r="D128" s="2">
        <v>2099750.0</v>
      </c>
      <c r="E128" s="2" t="s">
        <v>216</v>
      </c>
    </row>
    <row r="129">
      <c r="A129" s="2"/>
      <c r="B129" s="2" t="s">
        <v>2379</v>
      </c>
      <c r="C129" s="2">
        <v>4172365.0</v>
      </c>
      <c r="D129" s="2"/>
    </row>
    <row r="130">
      <c r="A130" s="2" t="s">
        <v>1883</v>
      </c>
      <c r="B130" s="2" t="s">
        <v>2380</v>
      </c>
      <c r="D130" s="2">
        <v>430000.0</v>
      </c>
    </row>
    <row r="131">
      <c r="B131" s="2" t="s">
        <v>2342</v>
      </c>
      <c r="D131" s="2">
        <v>110000.0</v>
      </c>
      <c r="E131" s="2" t="s">
        <v>2381</v>
      </c>
    </row>
    <row r="132">
      <c r="B132" s="2" t="s">
        <v>2359</v>
      </c>
      <c r="D132" s="2">
        <v>90000.0</v>
      </c>
    </row>
    <row r="133">
      <c r="B133" s="2" t="s">
        <v>589</v>
      </c>
      <c r="D133" s="2">
        <v>110000.0</v>
      </c>
    </row>
    <row r="134">
      <c r="A134" s="2" t="s">
        <v>2382</v>
      </c>
      <c r="B134" s="2" t="s">
        <v>2383</v>
      </c>
      <c r="C134" s="2">
        <v>1838057.0</v>
      </c>
    </row>
    <row r="135">
      <c r="A135" s="2" t="s">
        <v>2384</v>
      </c>
      <c r="B135" s="2" t="s">
        <v>2360</v>
      </c>
      <c r="C135" s="2">
        <v>2316744.0</v>
      </c>
    </row>
    <row r="136">
      <c r="A136" s="2" t="s">
        <v>1883</v>
      </c>
      <c r="B136" s="2" t="s">
        <v>2279</v>
      </c>
      <c r="C136" s="2">
        <v>2420000.0</v>
      </c>
    </row>
    <row r="137">
      <c r="B137" s="2" t="s">
        <v>2314</v>
      </c>
      <c r="C137" s="2">
        <v>224261.0</v>
      </c>
    </row>
    <row r="138">
      <c r="B138" s="2" t="s">
        <v>2385</v>
      </c>
      <c r="C138" s="2">
        <v>2117301.0</v>
      </c>
    </row>
    <row r="139">
      <c r="A139" s="2" t="s">
        <v>2386</v>
      </c>
      <c r="B139" s="2" t="s">
        <v>2387</v>
      </c>
      <c r="C139" s="2">
        <v>133939.0</v>
      </c>
    </row>
    <row r="140">
      <c r="A140" s="2" t="s">
        <v>2388</v>
      </c>
      <c r="B140" s="2" t="s">
        <v>2389</v>
      </c>
      <c r="C140" s="2">
        <v>2762811.0</v>
      </c>
    </row>
    <row r="141">
      <c r="A141" s="2" t="s">
        <v>2390</v>
      </c>
      <c r="B141" s="2" t="s">
        <v>2278</v>
      </c>
      <c r="C141" s="2">
        <v>1903000.0</v>
      </c>
    </row>
    <row r="142">
      <c r="B142" s="2" t="s">
        <v>2313</v>
      </c>
      <c r="C142" s="2">
        <v>122430.0</v>
      </c>
    </row>
    <row r="143">
      <c r="A143" s="2" t="s">
        <v>1901</v>
      </c>
      <c r="B143" s="2" t="s">
        <v>2391</v>
      </c>
      <c r="C143" s="2">
        <v>2878066.0</v>
      </c>
    </row>
    <row r="144">
      <c r="A144" s="2" t="s">
        <v>1906</v>
      </c>
      <c r="B144" s="2" t="s">
        <v>2392</v>
      </c>
      <c r="D144" s="2">
        <v>4950000.0</v>
      </c>
      <c r="E144" s="2" t="s">
        <v>2312</v>
      </c>
    </row>
    <row r="145">
      <c r="B145" s="2" t="s">
        <v>2393</v>
      </c>
      <c r="D145" s="2">
        <v>1650000.0</v>
      </c>
      <c r="E145" s="2" t="s">
        <v>2312</v>
      </c>
    </row>
    <row r="146">
      <c r="A146" s="2" t="s">
        <v>2394</v>
      </c>
      <c r="B146" s="2" t="s">
        <v>2395</v>
      </c>
      <c r="C146" s="2">
        <v>2000000.0</v>
      </c>
      <c r="E146" s="2" t="s">
        <v>2396</v>
      </c>
    </row>
    <row r="147">
      <c r="A147" s="2" t="s">
        <v>1903</v>
      </c>
      <c r="B147" s="2" t="s">
        <v>2397</v>
      </c>
      <c r="C147" s="2">
        <v>2915583.0</v>
      </c>
      <c r="E147" s="19" t="s">
        <v>2398</v>
      </c>
    </row>
    <row r="148">
      <c r="B148" s="2" t="s">
        <v>2399</v>
      </c>
      <c r="C148" s="2">
        <v>2851535.0</v>
      </c>
    </row>
    <row r="149">
      <c r="B149" s="2" t="s">
        <v>2400</v>
      </c>
      <c r="C149" s="2">
        <v>1603731.0</v>
      </c>
      <c r="E149" s="2" t="s">
        <v>2401</v>
      </c>
    </row>
    <row r="150">
      <c r="B150" s="2" t="s">
        <v>2402</v>
      </c>
      <c r="D150" s="2">
        <v>1.2629151E7</v>
      </c>
    </row>
    <row r="151">
      <c r="B151" s="2" t="s">
        <v>2403</v>
      </c>
      <c r="C151" s="2">
        <v>2.0E7</v>
      </c>
      <c r="E151" s="2" t="s">
        <v>2404</v>
      </c>
    </row>
    <row r="152">
      <c r="A152" s="2" t="s">
        <v>1909</v>
      </c>
      <c r="B152" s="2" t="s">
        <v>208</v>
      </c>
      <c r="D152" s="2">
        <v>1155000.0</v>
      </c>
      <c r="E152" s="2" t="s">
        <v>2378</v>
      </c>
    </row>
    <row r="153">
      <c r="B153" s="2" t="s">
        <v>2303</v>
      </c>
      <c r="D153" s="2">
        <v>1610830.0</v>
      </c>
      <c r="E153" s="2" t="s">
        <v>216</v>
      </c>
    </row>
    <row r="154">
      <c r="B154" s="2" t="s">
        <v>1916</v>
      </c>
      <c r="D154" s="2">
        <v>294050.0</v>
      </c>
      <c r="E154" s="2" t="s">
        <v>216</v>
      </c>
    </row>
    <row r="155">
      <c r="A155" s="2" t="s">
        <v>1914</v>
      </c>
      <c r="B155" s="2" t="s">
        <v>2380</v>
      </c>
      <c r="D155" s="2">
        <v>430000.0</v>
      </c>
    </row>
    <row r="156">
      <c r="B156" s="2" t="s">
        <v>2342</v>
      </c>
      <c r="D156" s="2">
        <v>110000.0</v>
      </c>
      <c r="E156" s="2" t="s">
        <v>2405</v>
      </c>
    </row>
    <row r="157">
      <c r="B157" s="2" t="s">
        <v>2359</v>
      </c>
      <c r="D157" s="2">
        <v>90000.0</v>
      </c>
    </row>
    <row r="158">
      <c r="B158" s="2" t="s">
        <v>589</v>
      </c>
      <c r="D158" s="2">
        <v>110000.0</v>
      </c>
    </row>
    <row r="159">
      <c r="A159" s="2" t="s">
        <v>1909</v>
      </c>
      <c r="B159" s="1" t="s">
        <v>1078</v>
      </c>
      <c r="D159" s="2">
        <v>87980.0</v>
      </c>
    </row>
    <row r="160">
      <c r="A160" s="2" t="s">
        <v>1904</v>
      </c>
      <c r="B160" s="2" t="s">
        <v>2406</v>
      </c>
      <c r="C160" s="2">
        <v>1872695.0</v>
      </c>
    </row>
    <row r="161">
      <c r="A161" s="2" t="s">
        <v>2407</v>
      </c>
      <c r="B161" s="2" t="s">
        <v>2408</v>
      </c>
      <c r="C161" s="2">
        <v>1142581.0</v>
      </c>
    </row>
    <row r="162">
      <c r="A162" s="2" t="s">
        <v>1917</v>
      </c>
      <c r="B162" s="2" t="s">
        <v>2278</v>
      </c>
      <c r="C162" s="2">
        <v>1903000.0</v>
      </c>
    </row>
    <row r="163">
      <c r="B163" s="2" t="s">
        <v>2313</v>
      </c>
      <c r="C163" s="2">
        <v>74340.0</v>
      </c>
    </row>
    <row r="164">
      <c r="B164" s="2" t="s">
        <v>2330</v>
      </c>
      <c r="C164" s="2">
        <v>11340.0</v>
      </c>
    </row>
    <row r="165">
      <c r="B165" s="2" t="s">
        <v>2409</v>
      </c>
      <c r="C165" s="2">
        <v>2748996.0</v>
      </c>
    </row>
    <row r="166">
      <c r="A166" s="2" t="s">
        <v>1914</v>
      </c>
      <c r="B166" s="2" t="s">
        <v>2379</v>
      </c>
      <c r="C166" s="2">
        <v>4093882.0</v>
      </c>
    </row>
    <row r="167">
      <c r="B167" s="2" t="s">
        <v>2410</v>
      </c>
      <c r="C167" s="2">
        <v>48923.0</v>
      </c>
    </row>
    <row r="168">
      <c r="B168" s="2" t="s">
        <v>2411</v>
      </c>
      <c r="C168" s="2">
        <v>2279255.0</v>
      </c>
    </row>
    <row r="169">
      <c r="B169" s="2" t="s">
        <v>2279</v>
      </c>
      <c r="C169" s="2">
        <v>2420000.0</v>
      </c>
    </row>
    <row r="170">
      <c r="B170" s="2" t="s">
        <v>2314</v>
      </c>
      <c r="C170" s="2">
        <v>151062.0</v>
      </c>
    </row>
    <row r="171">
      <c r="B171" s="2" t="s">
        <v>2329</v>
      </c>
      <c r="C171" s="2">
        <v>24326.0</v>
      </c>
    </row>
    <row r="172">
      <c r="B172" s="2" t="s">
        <v>2412</v>
      </c>
      <c r="C172" s="2">
        <v>2099431.0</v>
      </c>
    </row>
    <row r="173">
      <c r="B173" s="2" t="s">
        <v>2413</v>
      </c>
      <c r="C173" s="2">
        <v>1760000.0</v>
      </c>
    </row>
    <row r="174">
      <c r="A174" s="2" t="s">
        <v>2414</v>
      </c>
      <c r="B174" s="2" t="s">
        <v>2415</v>
      </c>
      <c r="C174" s="2">
        <v>138981.0</v>
      </c>
    </row>
    <row r="175">
      <c r="B175" s="2" t="s">
        <v>2416</v>
      </c>
      <c r="C175" s="2">
        <v>43801.0</v>
      </c>
    </row>
    <row r="176">
      <c r="B176" s="2" t="s">
        <v>2417</v>
      </c>
      <c r="C176" s="2">
        <v>1537087.0</v>
      </c>
    </row>
    <row r="177">
      <c r="B177" s="2" t="s">
        <v>2418</v>
      </c>
      <c r="C177" s="2">
        <v>1598734.0</v>
      </c>
    </row>
    <row r="178">
      <c r="B178" s="2" t="s">
        <v>2419</v>
      </c>
      <c r="C178" s="2">
        <v>1566382.0</v>
      </c>
    </row>
    <row r="179">
      <c r="A179" s="2" t="s">
        <v>1920</v>
      </c>
      <c r="B179" s="2" t="s">
        <v>2420</v>
      </c>
      <c r="D179" s="2">
        <v>1315000.0</v>
      </c>
      <c r="E179" s="2" t="s">
        <v>2421</v>
      </c>
    </row>
    <row r="180">
      <c r="A180" s="2" t="s">
        <v>2422</v>
      </c>
      <c r="B180" s="2" t="s">
        <v>2423</v>
      </c>
      <c r="C180" s="2">
        <v>8000000.0</v>
      </c>
    </row>
    <row r="181">
      <c r="A181" s="2" t="s">
        <v>1924</v>
      </c>
      <c r="B181" s="2" t="s">
        <v>2424</v>
      </c>
      <c r="C181" s="2">
        <v>1.0E7</v>
      </c>
    </row>
    <row r="182">
      <c r="A182" s="2" t="s">
        <v>2425</v>
      </c>
      <c r="B182" s="2" t="s">
        <v>2426</v>
      </c>
      <c r="D182" s="2">
        <v>660000.0</v>
      </c>
      <c r="E182" s="2" t="s">
        <v>2427</v>
      </c>
    </row>
    <row r="183">
      <c r="A183" s="2" t="s">
        <v>1929</v>
      </c>
      <c r="B183" s="1" t="s">
        <v>1078</v>
      </c>
      <c r="D183" s="2">
        <v>82700.0</v>
      </c>
    </row>
    <row r="184">
      <c r="A184" s="2" t="s">
        <v>1931</v>
      </c>
      <c r="B184" s="2" t="s">
        <v>208</v>
      </c>
      <c r="D184" s="2">
        <v>1045000.0</v>
      </c>
      <c r="E184" s="2" t="s">
        <v>2378</v>
      </c>
    </row>
    <row r="185">
      <c r="A185" s="2" t="s">
        <v>1929</v>
      </c>
      <c r="B185" s="2" t="s">
        <v>2303</v>
      </c>
      <c r="D185" s="2">
        <v>1047320.0</v>
      </c>
      <c r="E185" s="2" t="s">
        <v>2428</v>
      </c>
    </row>
    <row r="186">
      <c r="A186" s="2" t="s">
        <v>1932</v>
      </c>
      <c r="B186" s="2" t="s">
        <v>2380</v>
      </c>
      <c r="D186" s="2">
        <v>430000.0</v>
      </c>
    </row>
    <row r="187">
      <c r="B187" s="2" t="s">
        <v>2342</v>
      </c>
      <c r="D187" s="2">
        <v>110000.0</v>
      </c>
      <c r="E187" s="2" t="s">
        <v>2405</v>
      </c>
    </row>
    <row r="188">
      <c r="B188" s="2" t="s">
        <v>2359</v>
      </c>
      <c r="D188" s="2">
        <v>90000.0</v>
      </c>
    </row>
    <row r="189">
      <c r="B189" s="2" t="s">
        <v>589</v>
      </c>
      <c r="D189" s="2">
        <v>110000.0</v>
      </c>
    </row>
    <row r="190">
      <c r="A190" s="2" t="s">
        <v>2429</v>
      </c>
      <c r="B190" s="2" t="s">
        <v>2383</v>
      </c>
      <c r="C190" s="2">
        <v>1820334.0</v>
      </c>
    </row>
    <row r="191">
      <c r="A191" s="2" t="s">
        <v>1932</v>
      </c>
      <c r="B191" s="2" t="s">
        <v>2430</v>
      </c>
      <c r="D191" s="2">
        <v>1403503.0</v>
      </c>
      <c r="E191" s="2" t="s">
        <v>2431</v>
      </c>
    </row>
    <row r="192">
      <c r="A192" s="2" t="s">
        <v>1935</v>
      </c>
      <c r="B192" s="2" t="s">
        <v>2278</v>
      </c>
      <c r="C192" s="2">
        <v>1903000.0</v>
      </c>
    </row>
    <row r="193">
      <c r="B193" s="2" t="s">
        <v>2313</v>
      </c>
      <c r="C193" s="2">
        <v>47820.0</v>
      </c>
    </row>
    <row r="194">
      <c r="B194" s="2" t="s">
        <v>2432</v>
      </c>
      <c r="C194" s="2">
        <v>2766956.0</v>
      </c>
    </row>
    <row r="195">
      <c r="A195" s="2" t="s">
        <v>1932</v>
      </c>
      <c r="B195" s="2" t="s">
        <v>2385</v>
      </c>
      <c r="C195" s="2">
        <v>2040356.0</v>
      </c>
    </row>
    <row r="196">
      <c r="B196" s="2" t="s">
        <v>2279</v>
      </c>
      <c r="C196" s="2">
        <v>2420000.0</v>
      </c>
    </row>
    <row r="197">
      <c r="B197" s="2" t="s">
        <v>2314</v>
      </c>
      <c r="C197" s="2">
        <v>101554.0</v>
      </c>
    </row>
    <row r="198">
      <c r="B198" s="2" t="s">
        <v>2389</v>
      </c>
      <c r="C198" s="2">
        <v>2704985.0</v>
      </c>
    </row>
    <row r="199">
      <c r="A199" s="2"/>
      <c r="B199" s="2" t="s">
        <v>2379</v>
      </c>
      <c r="C199" s="2">
        <v>4037218.0</v>
      </c>
    </row>
    <row r="200">
      <c r="A200" s="2" t="s">
        <v>2433</v>
      </c>
      <c r="B200" s="2" t="s">
        <v>2434</v>
      </c>
      <c r="C200" s="2">
        <v>484000.0</v>
      </c>
    </row>
    <row r="201">
      <c r="A201" s="2" t="s">
        <v>1926</v>
      </c>
      <c r="B201" s="2" t="s">
        <v>2435</v>
      </c>
      <c r="C201" s="2">
        <v>1760000.0</v>
      </c>
    </row>
    <row r="202">
      <c r="A202" s="2" t="s">
        <v>2436</v>
      </c>
      <c r="B202" s="2" t="s">
        <v>2360</v>
      </c>
      <c r="C202" s="2">
        <v>2176969.0</v>
      </c>
    </row>
    <row r="203">
      <c r="B203" s="2" t="s">
        <v>2437</v>
      </c>
      <c r="C203" s="2">
        <v>113759.0</v>
      </c>
    </row>
    <row r="204">
      <c r="A204" s="2" t="s">
        <v>2438</v>
      </c>
      <c r="B204" s="2" t="s">
        <v>2430</v>
      </c>
      <c r="D204" s="2">
        <v>1698720.0</v>
      </c>
      <c r="E204" s="2" t="s">
        <v>2431</v>
      </c>
    </row>
    <row r="205">
      <c r="A205" s="2" t="s">
        <v>1937</v>
      </c>
      <c r="B205" s="2" t="s">
        <v>2439</v>
      </c>
      <c r="D205" s="2">
        <v>5610000.0</v>
      </c>
      <c r="E205" s="2" t="s">
        <v>2440</v>
      </c>
    </row>
    <row r="206">
      <c r="A206" s="2" t="s">
        <v>1947</v>
      </c>
      <c r="B206" s="1" t="s">
        <v>1078</v>
      </c>
      <c r="D206" s="2">
        <v>76120.0</v>
      </c>
    </row>
    <row r="207">
      <c r="B207" s="2" t="s">
        <v>208</v>
      </c>
      <c r="D207" s="2">
        <v>935000.0</v>
      </c>
      <c r="E207" s="2" t="s">
        <v>2441</v>
      </c>
    </row>
    <row r="208">
      <c r="B208" s="2" t="s">
        <v>2303</v>
      </c>
      <c r="D208" s="2">
        <v>940790.0</v>
      </c>
    </row>
    <row r="209">
      <c r="B209" s="2" t="s">
        <v>2442</v>
      </c>
      <c r="D209" s="2">
        <v>346930.0</v>
      </c>
    </row>
    <row r="210">
      <c r="A210" s="2" t="s">
        <v>1948</v>
      </c>
      <c r="B210" s="2" t="s">
        <v>2380</v>
      </c>
      <c r="D210" s="2">
        <v>430000.0</v>
      </c>
    </row>
    <row r="211">
      <c r="B211" s="2" t="s">
        <v>2342</v>
      </c>
      <c r="D211" s="2">
        <v>110000.0</v>
      </c>
      <c r="E211" s="2" t="s">
        <v>2405</v>
      </c>
    </row>
    <row r="212">
      <c r="B212" s="2" t="s">
        <v>2359</v>
      </c>
      <c r="D212" s="2">
        <v>90000.0</v>
      </c>
    </row>
    <row r="213">
      <c r="B213" s="2" t="s">
        <v>589</v>
      </c>
      <c r="D213" s="2">
        <v>110000.0</v>
      </c>
    </row>
    <row r="214">
      <c r="B214" s="2" t="s">
        <v>2443</v>
      </c>
      <c r="C214" s="2">
        <v>1950269.0</v>
      </c>
    </row>
    <row r="215">
      <c r="A215" s="2" t="s">
        <v>2444</v>
      </c>
      <c r="B215" s="2" t="s">
        <v>2278</v>
      </c>
      <c r="C215" s="2">
        <v>1903000.0</v>
      </c>
    </row>
    <row r="216">
      <c r="B216" s="2" t="s">
        <v>2313</v>
      </c>
      <c r="C216" s="2">
        <v>36560.0</v>
      </c>
    </row>
    <row r="217">
      <c r="B217" s="2" t="s">
        <v>2330</v>
      </c>
      <c r="C217" s="2">
        <v>12940.0</v>
      </c>
    </row>
    <row r="218">
      <c r="A218" s="2" t="s">
        <v>2445</v>
      </c>
      <c r="B218" s="2" t="s">
        <v>2446</v>
      </c>
      <c r="C218" s="2">
        <v>2779451.0</v>
      </c>
    </row>
    <row r="219">
      <c r="A219" s="2" t="s">
        <v>2447</v>
      </c>
      <c r="B219" s="2" t="s">
        <v>2448</v>
      </c>
      <c r="C219" s="2">
        <v>1494402.0</v>
      </c>
    </row>
    <row r="220">
      <c r="A220" s="2" t="s">
        <v>2438</v>
      </c>
      <c r="B220" s="2" t="s">
        <v>2434</v>
      </c>
      <c r="C220" s="2">
        <v>1348220.0</v>
      </c>
    </row>
    <row r="221">
      <c r="A221" s="2" t="s">
        <v>1948</v>
      </c>
      <c r="B221" s="2" t="s">
        <v>2449</v>
      </c>
      <c r="C221" s="2">
        <v>4028795.0</v>
      </c>
    </row>
    <row r="222">
      <c r="B222" s="2" t="s">
        <v>2450</v>
      </c>
      <c r="C222" s="2">
        <v>2684528.0</v>
      </c>
    </row>
    <row r="223">
      <c r="B223" s="2" t="s">
        <v>2279</v>
      </c>
      <c r="C223" s="2">
        <v>2420000.0</v>
      </c>
    </row>
    <row r="224">
      <c r="B224" s="2" t="s">
        <v>2314</v>
      </c>
      <c r="C224" s="2">
        <v>75562.0</v>
      </c>
    </row>
    <row r="225">
      <c r="B225" s="2" t="s">
        <v>2329</v>
      </c>
      <c r="C225" s="2">
        <v>27760.0</v>
      </c>
    </row>
    <row r="226">
      <c r="B226" s="2" t="s">
        <v>2411</v>
      </c>
      <c r="C226" s="2">
        <v>2161843.0</v>
      </c>
    </row>
    <row r="227">
      <c r="B227" s="2" t="s">
        <v>2412</v>
      </c>
      <c r="C227" s="2">
        <v>2013236.0</v>
      </c>
    </row>
    <row r="228">
      <c r="A228" s="2" t="s">
        <v>2451</v>
      </c>
      <c r="B228" s="2" t="s">
        <v>2452</v>
      </c>
      <c r="C228" s="2">
        <v>1760000.0</v>
      </c>
    </row>
    <row r="229">
      <c r="A229" s="2" t="s">
        <v>1939</v>
      </c>
      <c r="B229" s="2" t="s">
        <v>2453</v>
      </c>
      <c r="C229" s="2">
        <v>89155.0</v>
      </c>
    </row>
    <row r="230">
      <c r="B230" s="2" t="s">
        <v>2454</v>
      </c>
      <c r="C230" s="2">
        <v>49983.0</v>
      </c>
    </row>
    <row r="231">
      <c r="A231" s="2" t="s">
        <v>2455</v>
      </c>
      <c r="B231" s="1" t="s">
        <v>1078</v>
      </c>
      <c r="D231" s="2">
        <v>81770.0</v>
      </c>
      <c r="E231" s="2" t="s">
        <v>2456</v>
      </c>
    </row>
    <row r="232">
      <c r="A232" s="2" t="s">
        <v>2455</v>
      </c>
      <c r="B232" s="2" t="s">
        <v>208</v>
      </c>
      <c r="D232" s="2">
        <v>1100000.0</v>
      </c>
      <c r="E232" s="2" t="s">
        <v>2441</v>
      </c>
    </row>
    <row r="233">
      <c r="A233" s="2" t="s">
        <v>2455</v>
      </c>
      <c r="B233" s="2" t="s">
        <v>2303</v>
      </c>
      <c r="D233" s="2">
        <v>1103970.0</v>
      </c>
      <c r="E233" s="2" t="s">
        <v>2457</v>
      </c>
    </row>
    <row r="234">
      <c r="A234" s="2" t="s">
        <v>1957</v>
      </c>
      <c r="B234" s="2" t="s">
        <v>2380</v>
      </c>
      <c r="D234" s="2">
        <v>430000.0</v>
      </c>
    </row>
    <row r="235">
      <c r="B235" s="2" t="s">
        <v>2430</v>
      </c>
      <c r="D235" s="2">
        <v>1698720.0</v>
      </c>
      <c r="E235" s="2" t="s">
        <v>2431</v>
      </c>
    </row>
    <row r="236">
      <c r="B236" s="2" t="s">
        <v>2342</v>
      </c>
      <c r="D236" s="2">
        <v>110000.0</v>
      </c>
      <c r="E236" s="2" t="s">
        <v>2405</v>
      </c>
    </row>
    <row r="237">
      <c r="B237" s="2" t="s">
        <v>2359</v>
      </c>
      <c r="D237" s="2">
        <v>90000.0</v>
      </c>
    </row>
    <row r="238">
      <c r="B238" s="2" t="s">
        <v>589</v>
      </c>
      <c r="D238" s="2">
        <v>110000.0</v>
      </c>
    </row>
    <row r="239">
      <c r="A239" s="2" t="s">
        <v>1954</v>
      </c>
      <c r="B239" s="2" t="s">
        <v>2458</v>
      </c>
      <c r="C239" s="2">
        <v>1000000.0</v>
      </c>
    </row>
    <row r="240">
      <c r="A240" s="2" t="s">
        <v>1958</v>
      </c>
      <c r="B240" s="2" t="s">
        <v>2459</v>
      </c>
      <c r="C240" s="2">
        <v>9000000.0</v>
      </c>
    </row>
    <row r="241">
      <c r="B241" s="2" t="s">
        <v>2460</v>
      </c>
      <c r="C241" s="2">
        <v>88000.0</v>
      </c>
    </row>
    <row r="242">
      <c r="B242" s="2" t="s">
        <v>2461</v>
      </c>
      <c r="D242">
        <f>10000000-9776061</f>
        <v>223939</v>
      </c>
      <c r="E242" s="2" t="s">
        <v>2462</v>
      </c>
    </row>
    <row r="243">
      <c r="B243" s="2" t="s">
        <v>2463</v>
      </c>
      <c r="D243" s="2">
        <v>300000.0</v>
      </c>
      <c r="E243" s="2" t="s">
        <v>2464</v>
      </c>
    </row>
    <row r="244">
      <c r="B244" s="2" t="s">
        <v>2465</v>
      </c>
      <c r="D244" s="2">
        <v>1045000.0</v>
      </c>
      <c r="E244" s="2" t="s">
        <v>2427</v>
      </c>
    </row>
    <row r="245">
      <c r="A245" s="2" t="s">
        <v>2466</v>
      </c>
      <c r="B245" s="2" t="s">
        <v>2467</v>
      </c>
      <c r="D245" s="2">
        <v>550000.0</v>
      </c>
      <c r="E245" s="2" t="s">
        <v>2468</v>
      </c>
    </row>
    <row r="246">
      <c r="B246" s="2" t="s">
        <v>2278</v>
      </c>
      <c r="C246" s="2">
        <v>1903000.0</v>
      </c>
    </row>
    <row r="247">
      <c r="B247" s="2" t="s">
        <v>2313</v>
      </c>
      <c r="C247" s="2">
        <v>44180.0</v>
      </c>
    </row>
    <row r="248">
      <c r="A248" s="2" t="s">
        <v>1967</v>
      </c>
      <c r="B248" s="2" t="s">
        <v>2383</v>
      </c>
      <c r="C248" s="2">
        <v>1916428.0</v>
      </c>
    </row>
    <row r="249">
      <c r="A249" s="2" t="s">
        <v>2469</v>
      </c>
      <c r="B249" s="2" t="s">
        <v>2432</v>
      </c>
      <c r="C249" s="2">
        <v>2798163.0</v>
      </c>
    </row>
    <row r="250">
      <c r="A250" s="2" t="s">
        <v>1957</v>
      </c>
      <c r="B250" s="2" t="s">
        <v>2379</v>
      </c>
      <c r="C250" s="2">
        <v>3967461.0</v>
      </c>
    </row>
    <row r="251">
      <c r="B251" s="2" t="s">
        <v>2389</v>
      </c>
      <c r="C251" s="2">
        <v>2663462.0</v>
      </c>
    </row>
    <row r="252">
      <c r="B252" s="2" t="s">
        <v>2279</v>
      </c>
      <c r="C252" s="2">
        <v>2420000.0</v>
      </c>
    </row>
    <row r="253">
      <c r="B253" s="2" t="s">
        <v>2314</v>
      </c>
      <c r="C253" s="2">
        <v>112748.0</v>
      </c>
    </row>
    <row r="254">
      <c r="B254" s="2" t="s">
        <v>2360</v>
      </c>
      <c r="C254" s="2">
        <v>2123546.0</v>
      </c>
    </row>
    <row r="255">
      <c r="B255" s="2" t="s">
        <v>2470</v>
      </c>
      <c r="C255" s="2">
        <v>1355826.0</v>
      </c>
    </row>
    <row r="256">
      <c r="B256" s="2" t="s">
        <v>2385</v>
      </c>
      <c r="C256" s="2">
        <v>1984939.0</v>
      </c>
    </row>
    <row r="257">
      <c r="A257" s="2" t="s">
        <v>1971</v>
      </c>
      <c r="B257" s="2" t="s">
        <v>1973</v>
      </c>
      <c r="D257" s="2">
        <v>482900.0</v>
      </c>
    </row>
    <row r="258">
      <c r="B258" s="2" t="s">
        <v>1974</v>
      </c>
      <c r="D258" s="2">
        <v>190630.0</v>
      </c>
    </row>
    <row r="259">
      <c r="A259" s="2" t="s">
        <v>2471</v>
      </c>
      <c r="B259" s="2" t="s">
        <v>2380</v>
      </c>
      <c r="D259" s="2">
        <v>430000.0</v>
      </c>
    </row>
    <row r="260">
      <c r="B260" s="2" t="s">
        <v>2430</v>
      </c>
      <c r="D260" s="2">
        <v>1698720.0</v>
      </c>
      <c r="E260" s="2" t="s">
        <v>2431</v>
      </c>
    </row>
    <row r="261">
      <c r="B261" s="2" t="s">
        <v>2342</v>
      </c>
      <c r="D261" s="2">
        <v>110000.0</v>
      </c>
      <c r="E261" s="2" t="s">
        <v>2405</v>
      </c>
    </row>
    <row r="262">
      <c r="B262" s="2" t="s">
        <v>2359</v>
      </c>
      <c r="D262" s="2">
        <v>90000.0</v>
      </c>
    </row>
    <row r="263">
      <c r="B263" s="2" t="s">
        <v>589</v>
      </c>
      <c r="D263" s="2">
        <v>110000.0</v>
      </c>
    </row>
    <row r="264">
      <c r="B264" s="1" t="s">
        <v>1078</v>
      </c>
      <c r="D264" s="19">
        <v>79420.0</v>
      </c>
      <c r="E264" s="2" t="s">
        <v>2472</v>
      </c>
    </row>
    <row r="265">
      <c r="A265" s="2" t="s">
        <v>2473</v>
      </c>
      <c r="B265" s="2" t="s">
        <v>208</v>
      </c>
      <c r="D265" s="2">
        <v>1045000.0</v>
      </c>
      <c r="E265" s="2" t="s">
        <v>2474</v>
      </c>
    </row>
    <row r="266">
      <c r="B266" s="2" t="s">
        <v>2303</v>
      </c>
      <c r="D266" s="2">
        <v>1591170.0</v>
      </c>
      <c r="E266" s="2" t="s">
        <v>2457</v>
      </c>
    </row>
    <row r="267">
      <c r="B267" s="2" t="s">
        <v>2442</v>
      </c>
      <c r="D267" s="2">
        <v>419660.0</v>
      </c>
      <c r="E267" s="2" t="s">
        <v>2475</v>
      </c>
    </row>
    <row r="268">
      <c r="A268" s="2" t="s">
        <v>1975</v>
      </c>
      <c r="B268" s="2" t="s">
        <v>2476</v>
      </c>
      <c r="C268" s="2">
        <v>93340.0</v>
      </c>
    </row>
    <row r="269">
      <c r="A269" s="2" t="s">
        <v>1979</v>
      </c>
      <c r="B269" s="2" t="s">
        <v>2477</v>
      </c>
      <c r="D269" s="2">
        <v>117000.0</v>
      </c>
      <c r="E269" s="2" t="s">
        <v>2478</v>
      </c>
    </row>
    <row r="270">
      <c r="B270" s="2" t="s">
        <v>2479</v>
      </c>
      <c r="D270" s="2">
        <v>770000.0</v>
      </c>
      <c r="E270" s="2" t="s">
        <v>2480</v>
      </c>
    </row>
    <row r="271">
      <c r="A271" s="2" t="s">
        <v>1977</v>
      </c>
      <c r="B271" s="2" t="s">
        <v>2481</v>
      </c>
      <c r="D271" s="2">
        <v>2353190.0</v>
      </c>
      <c r="E271" s="2" t="s">
        <v>2482</v>
      </c>
    </row>
    <row r="272">
      <c r="A272" s="19" t="s">
        <v>2473</v>
      </c>
      <c r="B272" s="2" t="s">
        <v>2352</v>
      </c>
      <c r="D272" s="2">
        <v>3389360.0</v>
      </c>
      <c r="E272" s="2" t="s">
        <v>2483</v>
      </c>
    </row>
    <row r="273">
      <c r="A273" s="2" t="s">
        <v>2484</v>
      </c>
      <c r="B273" s="2" t="s">
        <v>2485</v>
      </c>
      <c r="D273" s="2">
        <v>543200.0</v>
      </c>
      <c r="E273" s="2" t="s">
        <v>334</v>
      </c>
    </row>
    <row r="274">
      <c r="B274" s="2" t="s">
        <v>2486</v>
      </c>
      <c r="D274" s="2">
        <v>467940.0</v>
      </c>
      <c r="E274" s="2" t="s">
        <v>334</v>
      </c>
    </row>
    <row r="275">
      <c r="B275" s="2" t="s">
        <v>2487</v>
      </c>
      <c r="D275" s="2">
        <v>645960.0</v>
      </c>
      <c r="E275" s="2" t="s">
        <v>334</v>
      </c>
    </row>
    <row r="276">
      <c r="A276" s="2" t="s">
        <v>2488</v>
      </c>
      <c r="B276" s="2" t="s">
        <v>2278</v>
      </c>
      <c r="C276" s="2">
        <v>1903000.0</v>
      </c>
    </row>
    <row r="277">
      <c r="B277" s="2" t="s">
        <v>2313</v>
      </c>
      <c r="C277" s="2">
        <v>80400.0</v>
      </c>
    </row>
    <row r="278">
      <c r="B278" s="2" t="s">
        <v>2330</v>
      </c>
      <c r="C278" s="2">
        <v>15650.0</v>
      </c>
    </row>
    <row r="279">
      <c r="A279" s="2" t="s">
        <v>2484</v>
      </c>
      <c r="B279" s="2" t="s">
        <v>2443</v>
      </c>
      <c r="C279" s="2">
        <v>1976373.0</v>
      </c>
    </row>
    <row r="280">
      <c r="A280" s="2" t="s">
        <v>2489</v>
      </c>
      <c r="B280" s="2" t="s">
        <v>2411</v>
      </c>
      <c r="C280" s="2">
        <v>2179031.0</v>
      </c>
    </row>
    <row r="281">
      <c r="B281" s="2" t="s">
        <v>2446</v>
      </c>
      <c r="C281" s="2">
        <v>2951262.0</v>
      </c>
    </row>
    <row r="282">
      <c r="A282" s="2" t="s">
        <v>2490</v>
      </c>
      <c r="B282" s="2" t="s">
        <v>2434</v>
      </c>
      <c r="C282" s="2">
        <v>1400000.0</v>
      </c>
      <c r="E282" s="2" t="s">
        <v>2491</v>
      </c>
    </row>
    <row r="283">
      <c r="A283" s="2" t="s">
        <v>2492</v>
      </c>
      <c r="B283" s="2" t="s">
        <v>2493</v>
      </c>
      <c r="C283" s="2">
        <v>2009013.0</v>
      </c>
    </row>
    <row r="284">
      <c r="A284" s="2" t="s">
        <v>2471</v>
      </c>
      <c r="B284" s="2" t="s">
        <v>2449</v>
      </c>
      <c r="C284" s="2">
        <v>4098996.0</v>
      </c>
    </row>
    <row r="285">
      <c r="B285" s="2" t="s">
        <v>2279</v>
      </c>
      <c r="C285" s="2">
        <v>2420000.0</v>
      </c>
    </row>
    <row r="286">
      <c r="B286" s="2" t="s">
        <v>2314</v>
      </c>
      <c r="C286" s="2">
        <v>179429.0</v>
      </c>
    </row>
    <row r="287">
      <c r="B287" s="2" t="s">
        <v>2329</v>
      </c>
      <c r="C287" s="2">
        <v>33579.0</v>
      </c>
    </row>
    <row r="288">
      <c r="B288" s="2" t="s">
        <v>2412</v>
      </c>
      <c r="C288" s="2">
        <v>2073061.0</v>
      </c>
    </row>
    <row r="289">
      <c r="A289" s="2" t="s">
        <v>1978</v>
      </c>
      <c r="B289" s="2" t="s">
        <v>2450</v>
      </c>
      <c r="C289" s="2">
        <v>2729341.0</v>
      </c>
    </row>
    <row r="290">
      <c r="A290" s="2" t="s">
        <v>2001</v>
      </c>
      <c r="B290" s="2" t="s">
        <v>2380</v>
      </c>
      <c r="D290" s="2">
        <v>430000.0</v>
      </c>
    </row>
    <row r="291">
      <c r="B291" s="2" t="s">
        <v>2430</v>
      </c>
      <c r="D291" s="2">
        <v>1698720.0</v>
      </c>
      <c r="E291" s="2" t="s">
        <v>2431</v>
      </c>
    </row>
    <row r="292">
      <c r="B292" s="2" t="s">
        <v>2342</v>
      </c>
      <c r="D292" s="2">
        <v>110000.0</v>
      </c>
      <c r="E292" s="2" t="s">
        <v>2405</v>
      </c>
    </row>
    <row r="293">
      <c r="B293" s="2" t="s">
        <v>2359</v>
      </c>
      <c r="D293" s="2">
        <v>90000.0</v>
      </c>
    </row>
    <row r="294">
      <c r="B294" s="2" t="s">
        <v>589</v>
      </c>
      <c r="D294" s="2">
        <v>110000.0</v>
      </c>
    </row>
    <row r="295">
      <c r="B295" s="1" t="s">
        <v>1078</v>
      </c>
      <c r="D295" s="21"/>
      <c r="E295" s="2" t="s">
        <v>2472</v>
      </c>
    </row>
    <row r="296">
      <c r="A296" s="2" t="s">
        <v>2000</v>
      </c>
      <c r="B296" s="2" t="s">
        <v>208</v>
      </c>
      <c r="D296" s="2">
        <v>1155000.0</v>
      </c>
      <c r="E296" s="2" t="s">
        <v>2494</v>
      </c>
    </row>
    <row r="297">
      <c r="B297" s="2" t="s">
        <v>2303</v>
      </c>
      <c r="D297" s="2">
        <v>1930570.0</v>
      </c>
      <c r="E297" s="2" t="s">
        <v>2457</v>
      </c>
    </row>
    <row r="298">
      <c r="B298" s="2" t="s">
        <v>17</v>
      </c>
      <c r="D298" s="2">
        <v>62500.0</v>
      </c>
      <c r="E298" s="2" t="s">
        <v>216</v>
      </c>
    </row>
    <row r="299">
      <c r="B299" s="2" t="s">
        <v>2495</v>
      </c>
      <c r="D299" s="2">
        <v>4400.0</v>
      </c>
      <c r="E299" s="2" t="s">
        <v>2496</v>
      </c>
    </row>
    <row r="300">
      <c r="A300" s="2" t="s">
        <v>2497</v>
      </c>
      <c r="B300" s="2" t="s">
        <v>2278</v>
      </c>
      <c r="C300" s="2">
        <v>1903000.0</v>
      </c>
    </row>
    <row r="301">
      <c r="B301" s="2" t="s">
        <v>2313</v>
      </c>
      <c r="C301" s="2">
        <v>94170.0</v>
      </c>
    </row>
    <row r="302">
      <c r="B302" s="2" t="s">
        <v>2498</v>
      </c>
      <c r="C302" s="2">
        <v>1714619.0</v>
      </c>
    </row>
    <row r="303">
      <c r="A303" s="2" t="s">
        <v>2499</v>
      </c>
      <c r="B303" s="2" t="s">
        <v>2383</v>
      </c>
      <c r="C303" s="2">
        <v>1938350.0</v>
      </c>
    </row>
    <row r="304">
      <c r="A304" s="2" t="s">
        <v>2500</v>
      </c>
      <c r="B304" s="2" t="s">
        <v>2432</v>
      </c>
      <c r="C304" s="2">
        <v>2993772.0</v>
      </c>
    </row>
    <row r="305">
      <c r="A305" s="2" t="s">
        <v>2001</v>
      </c>
      <c r="B305" s="2" t="s">
        <v>2379</v>
      </c>
      <c r="C305" s="2">
        <v>4023855.0</v>
      </c>
    </row>
    <row r="306">
      <c r="B306" s="2" t="s">
        <v>2360</v>
      </c>
      <c r="C306" s="2">
        <v>2159427.0</v>
      </c>
    </row>
    <row r="307">
      <c r="B307" s="2" t="s">
        <v>2470</v>
      </c>
      <c r="C307" s="2">
        <v>1391260.0</v>
      </c>
      <c r="E307" s="2" t="s">
        <v>2501</v>
      </c>
    </row>
    <row r="308">
      <c r="B308" s="2" t="s">
        <v>2385</v>
      </c>
      <c r="C308" s="2">
        <v>2151672.0</v>
      </c>
    </row>
    <row r="309">
      <c r="B309" s="2" t="s">
        <v>2279</v>
      </c>
      <c r="C309" s="2">
        <v>2474644.0</v>
      </c>
    </row>
    <row r="310">
      <c r="B310" s="2" t="s">
        <v>2314</v>
      </c>
      <c r="C310" s="2">
        <v>202490.0</v>
      </c>
    </row>
    <row r="311">
      <c r="B311" s="2" t="s">
        <v>2389</v>
      </c>
      <c r="C311" s="2">
        <v>2745008.0</v>
      </c>
    </row>
    <row r="312">
      <c r="B312" s="2" t="s">
        <v>2502</v>
      </c>
      <c r="C312" s="2">
        <v>2002584.0</v>
      </c>
    </row>
    <row r="313">
      <c r="A313" s="2" t="s">
        <v>2008</v>
      </c>
      <c r="B313" s="2" t="s">
        <v>2503</v>
      </c>
      <c r="C313" s="2">
        <v>362170.0</v>
      </c>
      <c r="D313" s="2">
        <v>362170.0</v>
      </c>
      <c r="E313" s="2" t="s">
        <v>2504</v>
      </c>
    </row>
    <row r="314">
      <c r="B314" s="2" t="s">
        <v>2505</v>
      </c>
      <c r="C314" s="2">
        <v>1507303.0</v>
      </c>
    </row>
    <row r="315">
      <c r="B315" s="2" t="s">
        <v>2506</v>
      </c>
      <c r="C315" s="2">
        <v>1542292.0</v>
      </c>
    </row>
    <row r="316">
      <c r="B316" s="2" t="s">
        <v>2507</v>
      </c>
      <c r="C316" s="2">
        <v>1673479.0</v>
      </c>
    </row>
    <row r="317">
      <c r="A317" s="2" t="s">
        <v>2011</v>
      </c>
      <c r="B317" s="2" t="s">
        <v>2430</v>
      </c>
      <c r="D317" s="19">
        <v>1698720.0</v>
      </c>
      <c r="E317" s="2" t="s">
        <v>2431</v>
      </c>
    </row>
    <row r="318">
      <c r="B318" s="2" t="s">
        <v>2380</v>
      </c>
      <c r="D318" s="19">
        <v>530000.0</v>
      </c>
      <c r="E318" s="2" t="s">
        <v>2508</v>
      </c>
    </row>
    <row r="319">
      <c r="B319" s="2" t="s">
        <v>2342</v>
      </c>
      <c r="D319" s="19">
        <v>110000.0</v>
      </c>
      <c r="E319" s="2" t="s">
        <v>2405</v>
      </c>
    </row>
    <row r="320">
      <c r="B320" s="2" t="s">
        <v>2359</v>
      </c>
      <c r="D320" s="19">
        <v>90000.0</v>
      </c>
    </row>
    <row r="321">
      <c r="B321" s="2" t="s">
        <v>589</v>
      </c>
      <c r="D321" s="19">
        <v>110000.0</v>
      </c>
    </row>
    <row r="322">
      <c r="B322" s="1" t="s">
        <v>1078</v>
      </c>
      <c r="D322" s="19">
        <v>77660.0</v>
      </c>
      <c r="E322" s="2" t="s">
        <v>2472</v>
      </c>
    </row>
    <row r="323">
      <c r="A323" s="2" t="s">
        <v>2012</v>
      </c>
      <c r="B323" s="2" t="s">
        <v>208</v>
      </c>
      <c r="D323" s="19">
        <v>1155000.0</v>
      </c>
      <c r="E323" s="2" t="s">
        <v>2494</v>
      </c>
    </row>
    <row r="324">
      <c r="A324" s="2" t="s">
        <v>2509</v>
      </c>
      <c r="B324" s="2" t="s">
        <v>2303</v>
      </c>
      <c r="D324" s="19">
        <v>1433520.0</v>
      </c>
      <c r="E324" s="2" t="s">
        <v>2457</v>
      </c>
    </row>
    <row r="325">
      <c r="A325" s="2"/>
      <c r="B325" s="2" t="s">
        <v>2442</v>
      </c>
      <c r="D325" s="2">
        <v>400700.0</v>
      </c>
      <c r="E325" s="2" t="s">
        <v>2475</v>
      </c>
    </row>
    <row r="326">
      <c r="A326" s="2" t="s">
        <v>2510</v>
      </c>
      <c r="B326" s="2" t="s">
        <v>2511</v>
      </c>
      <c r="D326" s="2">
        <v>291700.0</v>
      </c>
      <c r="E326" s="2" t="s">
        <v>2512</v>
      </c>
    </row>
    <row r="327">
      <c r="B327" s="2" t="s">
        <v>2513</v>
      </c>
      <c r="D327" s="2">
        <v>1.053517E7</v>
      </c>
      <c r="E327" s="2" t="s">
        <v>2514</v>
      </c>
    </row>
    <row r="328">
      <c r="A328" s="2" t="s">
        <v>2515</v>
      </c>
      <c r="B328" s="2" t="s">
        <v>2516</v>
      </c>
      <c r="D328">
        <f t="shared" ref="D328:D329" si="3">2325000*1.1</f>
        <v>2557500</v>
      </c>
      <c r="E328" s="2" t="s">
        <v>2517</v>
      </c>
    </row>
    <row r="329">
      <c r="A329" s="2" t="s">
        <v>2010</v>
      </c>
      <c r="B329" s="2" t="s">
        <v>2516</v>
      </c>
      <c r="D329">
        <f t="shared" si="3"/>
        <v>2557500</v>
      </c>
    </row>
    <row r="330">
      <c r="A330" s="2" t="s">
        <v>2509</v>
      </c>
      <c r="B330" s="2" t="s">
        <v>2411</v>
      </c>
      <c r="C330" s="2">
        <v>2159250.0</v>
      </c>
    </row>
    <row r="331">
      <c r="B331" s="2" t="s">
        <v>2518</v>
      </c>
      <c r="C331" s="2">
        <v>1370962.0</v>
      </c>
    </row>
    <row r="332">
      <c r="A332" s="2" t="s">
        <v>2519</v>
      </c>
      <c r="B332" s="2" t="s">
        <v>2443</v>
      </c>
      <c r="C332" s="2">
        <v>1965377.0</v>
      </c>
    </row>
    <row r="333">
      <c r="A333" s="2" t="s">
        <v>2021</v>
      </c>
      <c r="B333" s="2" t="s">
        <v>2022</v>
      </c>
      <c r="C333" s="2"/>
      <c r="D333" s="2">
        <v>499180.0</v>
      </c>
      <c r="E333" s="2" t="s">
        <v>2504</v>
      </c>
    </row>
    <row r="334">
      <c r="B334" s="2" t="s">
        <v>2493</v>
      </c>
      <c r="C334" s="2">
        <v>2020059.0</v>
      </c>
    </row>
    <row r="335">
      <c r="A335" s="2" t="s">
        <v>2011</v>
      </c>
      <c r="B335" s="2" t="s">
        <v>2449</v>
      </c>
      <c r="C335" s="2">
        <v>4078881.0</v>
      </c>
    </row>
    <row r="336">
      <c r="B336" s="2" t="s">
        <v>2450</v>
      </c>
      <c r="C336" s="2">
        <v>2721923.0</v>
      </c>
    </row>
    <row r="337">
      <c r="B337" s="2" t="s">
        <v>2278</v>
      </c>
      <c r="C337" s="2">
        <v>1903000.0</v>
      </c>
    </row>
    <row r="338">
      <c r="B338" s="2" t="s">
        <v>2313</v>
      </c>
      <c r="C338" s="2">
        <v>58690.0</v>
      </c>
    </row>
    <row r="339">
      <c r="B339" s="2" t="s">
        <v>2330</v>
      </c>
      <c r="C339" s="2">
        <v>14940.0</v>
      </c>
    </row>
    <row r="340">
      <c r="B340" s="2" t="s">
        <v>2412</v>
      </c>
      <c r="C340" s="2">
        <v>2129282.0</v>
      </c>
    </row>
    <row r="341">
      <c r="B341" s="2" t="s">
        <v>2446</v>
      </c>
      <c r="C341" s="2">
        <v>2942822.0</v>
      </c>
    </row>
    <row r="342">
      <c r="B342" s="2" t="s">
        <v>2279</v>
      </c>
      <c r="C342" s="2">
        <v>2497000.0</v>
      </c>
    </row>
    <row r="343">
      <c r="B343" s="2" t="s">
        <v>2314</v>
      </c>
      <c r="C343" s="2">
        <v>132928.0</v>
      </c>
    </row>
    <row r="344">
      <c r="B344" s="2" t="s">
        <v>2329</v>
      </c>
      <c r="C344" s="2">
        <v>32062.0</v>
      </c>
    </row>
    <row r="345">
      <c r="A345" s="2" t="s">
        <v>2030</v>
      </c>
      <c r="B345" s="2" t="s">
        <v>2430</v>
      </c>
      <c r="D345" s="19">
        <v>1698720.0</v>
      </c>
      <c r="E345" s="2" t="s">
        <v>2431</v>
      </c>
    </row>
    <row r="346">
      <c r="B346" s="2" t="s">
        <v>2380</v>
      </c>
      <c r="D346" s="19">
        <v>430000.0</v>
      </c>
      <c r="E346" s="2"/>
    </row>
    <row r="347">
      <c r="B347" s="2" t="s">
        <v>2342</v>
      </c>
      <c r="D347" s="19">
        <v>110000.0</v>
      </c>
      <c r="E347" s="2" t="s">
        <v>2405</v>
      </c>
    </row>
    <row r="348">
      <c r="B348" s="2" t="s">
        <v>2359</v>
      </c>
      <c r="D348" s="19">
        <v>90000.0</v>
      </c>
    </row>
    <row r="349">
      <c r="B349" s="2" t="s">
        <v>589</v>
      </c>
      <c r="D349" s="19">
        <v>110000.0</v>
      </c>
    </row>
    <row r="350">
      <c r="B350" s="1" t="s">
        <v>1078</v>
      </c>
      <c r="D350" s="19"/>
      <c r="E350" s="2" t="s">
        <v>2472</v>
      </c>
    </row>
    <row r="351">
      <c r="A351" s="2" t="s">
        <v>2520</v>
      </c>
      <c r="B351" s="2" t="s">
        <v>208</v>
      </c>
      <c r="D351" s="19"/>
      <c r="E351" s="2" t="s">
        <v>2494</v>
      </c>
    </row>
    <row r="352">
      <c r="A352" s="2" t="s">
        <v>2520</v>
      </c>
      <c r="B352" s="2" t="s">
        <v>2303</v>
      </c>
      <c r="D352" s="19"/>
      <c r="E352" s="2" t="s">
        <v>2457</v>
      </c>
    </row>
    <row r="353">
      <c r="A353" s="2" t="s">
        <v>2031</v>
      </c>
      <c r="B353" s="2" t="s">
        <v>2521</v>
      </c>
      <c r="D353" s="2">
        <v>589710.0</v>
      </c>
      <c r="E353" s="2" t="s">
        <v>2522</v>
      </c>
    </row>
    <row r="354">
      <c r="B354" s="2" t="s">
        <v>2523</v>
      </c>
      <c r="D354" s="2">
        <v>2352000.0</v>
      </c>
      <c r="E354" s="2" t="s">
        <v>2524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7.5"/>
    <col customWidth="1" min="2" max="2" width="26.38"/>
    <col customWidth="1" min="3" max="3" width="7.25"/>
    <col customWidth="1" min="4" max="4" width="15.0"/>
    <col customWidth="1" min="5" max="5" width="7.38"/>
    <col customWidth="1" min="6" max="6" width="8.13"/>
    <col customWidth="1" min="7" max="7" width="7.75"/>
    <col customWidth="1" min="8" max="8" width="8.88"/>
    <col customWidth="1" min="9" max="9" width="8.13"/>
    <col customWidth="1" min="10" max="10" width="11.63"/>
    <col customWidth="1" min="11" max="11" width="2.13"/>
    <col customWidth="1" min="12" max="12" width="8.63"/>
    <col customWidth="1" min="13" max="13" width="18.25"/>
    <col customWidth="1" min="14" max="14" width="11.88"/>
    <col customWidth="1" min="15" max="19" width="6.5"/>
    <col customWidth="1" min="20" max="29" width="8.13"/>
  </cols>
  <sheetData>
    <row r="1">
      <c r="A1">
        <f>SUM(B1,J1,L1)</f>
        <v>1174729</v>
      </c>
      <c r="B1">
        <f>SUM(C1:F1,A7,H11)</f>
        <v>357604</v>
      </c>
      <c r="C1">
        <f>Sum(C3:C31)</f>
        <v>56510</v>
      </c>
      <c r="D1">
        <f>Sum(D5:D16)</f>
        <v>-28400</v>
      </c>
      <c r="E1">
        <f t="shared" ref="E1:F1" si="1">Sum(E6:E31)</f>
        <v>0</v>
      </c>
      <c r="F1">
        <f t="shared" si="1"/>
        <v>349494</v>
      </c>
      <c r="H1">
        <f>SUM(F27,F21,F17,C4:C5)</f>
        <v>258045</v>
      </c>
      <c r="I1">
        <f>SUM(C6:C16,D1,E1,F7,F10,F12,F15,F16,F25,F26,H11,)</f>
        <v>-22231</v>
      </c>
      <c r="J1">
        <f>Sum(J6:J104)</f>
        <v>166355</v>
      </c>
      <c r="L1">
        <f>Sum(L6:L77)</f>
        <v>650770</v>
      </c>
    </row>
    <row r="2">
      <c r="C2" s="1" t="s">
        <v>2525</v>
      </c>
      <c r="D2" s="2" t="s">
        <v>2526</v>
      </c>
      <c r="E2" s="1" t="s">
        <v>2527</v>
      </c>
      <c r="F2" s="1" t="s">
        <v>2528</v>
      </c>
      <c r="H2" s="1" t="s">
        <v>2529</v>
      </c>
      <c r="I2" s="1" t="s">
        <v>2530</v>
      </c>
      <c r="J2" s="1" t="s">
        <v>2531</v>
      </c>
      <c r="L2" s="1" t="s">
        <v>2532</v>
      </c>
    </row>
    <row r="3">
      <c r="A3" s="2">
        <v>300000.0</v>
      </c>
      <c r="B3" s="1" t="s">
        <v>2533</v>
      </c>
      <c r="C3" s="1">
        <f t="shared" ref="C3:C5" si="2">A3*0.11
</f>
        <v>33000</v>
      </c>
      <c r="N3" s="2" t="s">
        <v>2534</v>
      </c>
      <c r="O3" s="2" t="s">
        <v>2535</v>
      </c>
      <c r="P3" s="2" t="s">
        <v>2536</v>
      </c>
      <c r="Q3" s="2" t="s">
        <v>2537</v>
      </c>
      <c r="S3">
        <f>SUM(S4:S14)</f>
        <v>24</v>
      </c>
    </row>
    <row r="4">
      <c r="A4" s="2">
        <v>30000.0</v>
      </c>
      <c r="B4" s="2" t="s">
        <v>2538</v>
      </c>
      <c r="C4" s="1">
        <f t="shared" si="2"/>
        <v>3300</v>
      </c>
      <c r="N4" s="2" t="s">
        <v>2539</v>
      </c>
      <c r="O4" s="2">
        <v>2.0</v>
      </c>
      <c r="P4" s="2">
        <v>5.0</v>
      </c>
      <c r="Q4" s="2">
        <v>5.0</v>
      </c>
      <c r="S4">
        <f t="shared" ref="S4:S14" si="3">SUM(O4:Q4)</f>
        <v>12</v>
      </c>
    </row>
    <row r="5">
      <c r="A5" s="2">
        <v>107000.0</v>
      </c>
      <c r="B5" s="1" t="s">
        <v>2540</v>
      </c>
      <c r="C5" s="1">
        <f t="shared" si="2"/>
        <v>11770</v>
      </c>
      <c r="D5" s="2"/>
      <c r="E5" s="2"/>
      <c r="N5" s="2" t="s">
        <v>2541</v>
      </c>
      <c r="O5" s="2">
        <v>2.0</v>
      </c>
      <c r="P5" s="2">
        <v>5.0</v>
      </c>
      <c r="Q5" s="2">
        <v>5.0</v>
      </c>
      <c r="S5">
        <f t="shared" si="3"/>
        <v>12</v>
      </c>
    </row>
    <row r="6">
      <c r="A6" s="2"/>
      <c r="B6" s="2" t="s">
        <v>571</v>
      </c>
      <c r="C6" s="19">
        <v>6850.0</v>
      </c>
      <c r="D6" s="2">
        <v>-40000.0</v>
      </c>
      <c r="E6" s="2" t="s">
        <v>2542</v>
      </c>
      <c r="S6">
        <f t="shared" si="3"/>
        <v>0</v>
      </c>
    </row>
    <row r="7">
      <c r="A7" s="2"/>
      <c r="B7" s="2"/>
      <c r="D7" s="2"/>
      <c r="F7" s="2" t="s">
        <v>2316</v>
      </c>
      <c r="S7">
        <f t="shared" si="3"/>
        <v>0</v>
      </c>
    </row>
    <row r="8">
      <c r="A8" s="15">
        <f>SUM(C6,D8,D9,C9,C11,D11,D13,C14,F10)</f>
        <v>21180</v>
      </c>
      <c r="B8" s="2" t="s">
        <v>2543</v>
      </c>
      <c r="C8" s="2"/>
      <c r="D8" s="19">
        <v>500.0</v>
      </c>
      <c r="S8">
        <f t="shared" si="3"/>
        <v>0</v>
      </c>
    </row>
    <row r="9">
      <c r="B9" s="2" t="s">
        <v>2544</v>
      </c>
      <c r="C9" s="19">
        <v>140.0</v>
      </c>
      <c r="D9" s="19">
        <v>3550.0</v>
      </c>
      <c r="F9" s="29"/>
      <c r="S9">
        <f t="shared" si="3"/>
        <v>0</v>
      </c>
    </row>
    <row r="10">
      <c r="B10" s="1" t="s">
        <v>2545</v>
      </c>
      <c r="E10" s="26"/>
      <c r="F10" s="19">
        <v>2300.0</v>
      </c>
      <c r="G10" s="14"/>
      <c r="S10">
        <f t="shared" si="3"/>
        <v>0</v>
      </c>
    </row>
    <row r="11">
      <c r="B11" s="1" t="s">
        <v>2546</v>
      </c>
      <c r="C11" s="19">
        <v>190.0</v>
      </c>
      <c r="D11" s="19">
        <v>20.0</v>
      </c>
      <c r="F11" s="30"/>
      <c r="G11" s="2" t="s">
        <v>2547</v>
      </c>
      <c r="H11" s="2">
        <v>-20000.0</v>
      </c>
      <c r="I11" s="1" t="s">
        <v>2548</v>
      </c>
      <c r="J11" s="2" t="s">
        <v>2549</v>
      </c>
      <c r="S11">
        <f t="shared" si="3"/>
        <v>0</v>
      </c>
    </row>
    <row r="12">
      <c r="B12" s="18" t="s">
        <v>2550</v>
      </c>
      <c r="C12" s="2">
        <v>30.0</v>
      </c>
      <c r="D12" s="2"/>
      <c r="F12" s="2">
        <v>560.0</v>
      </c>
      <c r="S12">
        <f t="shared" si="3"/>
        <v>0</v>
      </c>
    </row>
    <row r="13">
      <c r="B13" s="2" t="s">
        <v>2551</v>
      </c>
      <c r="C13" s="2"/>
      <c r="D13" s="19">
        <v>7530.0</v>
      </c>
      <c r="S13">
        <f t="shared" si="3"/>
        <v>0</v>
      </c>
    </row>
    <row r="14">
      <c r="B14" s="1" t="s">
        <v>2552</v>
      </c>
      <c r="C14" s="19">
        <v>100.0</v>
      </c>
      <c r="S14">
        <f t="shared" si="3"/>
        <v>0</v>
      </c>
    </row>
    <row r="15">
      <c r="B15" s="1"/>
      <c r="F15" s="2"/>
      <c r="G15" s="1"/>
    </row>
    <row r="16">
      <c r="B16" s="19" t="s">
        <v>2553</v>
      </c>
      <c r="C16" s="2">
        <v>1130.0</v>
      </c>
      <c r="F16" s="2"/>
      <c r="G16" s="2"/>
    </row>
    <row r="17">
      <c r="B17" s="1" t="s">
        <v>2554</v>
      </c>
      <c r="F17" s="2">
        <v>2700.0</v>
      </c>
      <c r="G17" s="1" t="s">
        <v>2555</v>
      </c>
      <c r="M17" s="1" t="s">
        <v>2556</v>
      </c>
    </row>
    <row r="18">
      <c r="B18" s="1" t="s">
        <v>2557</v>
      </c>
      <c r="M18" s="1" t="s">
        <v>2558</v>
      </c>
    </row>
    <row r="19">
      <c r="B19" s="1" t="s">
        <v>2559</v>
      </c>
      <c r="F19" s="2">
        <v>48000.0</v>
      </c>
      <c r="G19" s="1" t="s">
        <v>2560</v>
      </c>
    </row>
    <row r="20">
      <c r="B20" s="1" t="s">
        <v>2561</v>
      </c>
      <c r="F20" s="2">
        <v>40790.0</v>
      </c>
      <c r="G20" s="1" t="s">
        <v>2562</v>
      </c>
    </row>
    <row r="21">
      <c r="B21" s="1" t="s">
        <v>2563</v>
      </c>
      <c r="F21" s="2">
        <v>240000.0</v>
      </c>
      <c r="G21" s="2" t="s">
        <v>2564</v>
      </c>
    </row>
    <row r="22">
      <c r="B22" s="1" t="s">
        <v>2565</v>
      </c>
    </row>
    <row r="23">
      <c r="B23" s="1" t="s">
        <v>2566</v>
      </c>
      <c r="L23" s="1">
        <v>12000.0</v>
      </c>
    </row>
    <row r="24">
      <c r="B24" s="1" t="s">
        <v>2567</v>
      </c>
      <c r="J24" s="1" t="s">
        <v>2568</v>
      </c>
    </row>
    <row r="25">
      <c r="B25" s="1" t="s">
        <v>2569</v>
      </c>
      <c r="F25" s="1">
        <v>14539.0</v>
      </c>
      <c r="G25" s="1" t="s">
        <v>2570</v>
      </c>
      <c r="H25" s="1" t="s">
        <v>2571</v>
      </c>
    </row>
    <row r="26">
      <c r="B26" s="18" t="s">
        <v>2572</v>
      </c>
      <c r="F26" s="1">
        <v>330.0</v>
      </c>
    </row>
    <row r="27">
      <c r="B27" s="1" t="s">
        <v>2573</v>
      </c>
      <c r="F27" s="1">
        <v>275.0</v>
      </c>
    </row>
    <row r="29">
      <c r="B29" s="1" t="s">
        <v>2574</v>
      </c>
    </row>
    <row r="31">
      <c r="D31" s="29"/>
    </row>
    <row r="32">
      <c r="B32" s="1" t="s">
        <v>2575</v>
      </c>
      <c r="C32" s="26"/>
      <c r="D32" s="18">
        <v>0.0</v>
      </c>
      <c r="E32" s="31" t="s">
        <v>2135</v>
      </c>
    </row>
    <row r="33">
      <c r="B33" s="1" t="s">
        <v>2576</v>
      </c>
      <c r="C33" s="26"/>
      <c r="D33" s="19">
        <v>-7300.0</v>
      </c>
      <c r="E33" s="14" t="s">
        <v>2213</v>
      </c>
      <c r="F33" s="1" t="s">
        <v>2577</v>
      </c>
      <c r="G33" s="1" t="s">
        <v>2578</v>
      </c>
    </row>
    <row r="34">
      <c r="B34" s="1" t="s">
        <v>2579</v>
      </c>
      <c r="C34" s="26"/>
      <c r="D34" s="19">
        <v>-2130.0</v>
      </c>
      <c r="E34" s="14" t="s">
        <v>2213</v>
      </c>
      <c r="G34" s="1" t="s">
        <v>2580</v>
      </c>
    </row>
    <row r="35">
      <c r="B35" s="2" t="s">
        <v>2581</v>
      </c>
      <c r="D35" s="19">
        <v>-1200.0</v>
      </c>
      <c r="E35" s="14" t="s">
        <v>2213</v>
      </c>
      <c r="G35" s="2" t="s">
        <v>2582</v>
      </c>
      <c r="H35" s="2" t="s">
        <v>1754</v>
      </c>
    </row>
    <row r="36">
      <c r="G36" s="2" t="s">
        <v>2583</v>
      </c>
      <c r="H36" s="2" t="s">
        <v>1796</v>
      </c>
      <c r="J36" s="2" t="s">
        <v>2584</v>
      </c>
      <c r="M36" s="1" t="s">
        <v>2585</v>
      </c>
      <c r="N36" s="1" t="s">
        <v>2586</v>
      </c>
      <c r="O36" s="2"/>
    </row>
    <row r="37">
      <c r="A37" s="1" t="s">
        <v>2532</v>
      </c>
      <c r="B37" s="1" t="s">
        <v>2587</v>
      </c>
      <c r="J37" s="2" t="s">
        <v>2588</v>
      </c>
      <c r="L37" s="2">
        <v>125000.0</v>
      </c>
      <c r="M37" s="1">
        <v>69200.0</v>
      </c>
      <c r="O37" s="2"/>
      <c r="P37" s="2"/>
    </row>
    <row r="38">
      <c r="B38" s="1" t="s">
        <v>2589</v>
      </c>
      <c r="J38" s="2" t="s">
        <v>2590</v>
      </c>
      <c r="L38" s="2">
        <v>55000.0</v>
      </c>
      <c r="M38" s="1">
        <v>26000.0</v>
      </c>
      <c r="P38" s="2"/>
    </row>
    <row r="39">
      <c r="B39" s="1" t="s">
        <v>2591</v>
      </c>
      <c r="L39" s="2">
        <v>80000.0</v>
      </c>
    </row>
    <row r="40">
      <c r="B40" s="2" t="s">
        <v>2592</v>
      </c>
      <c r="L40" s="2">
        <v>2000.0</v>
      </c>
      <c r="M40" s="1"/>
    </row>
    <row r="41">
      <c r="B41" s="2" t="s">
        <v>2593</v>
      </c>
      <c r="K41" s="2"/>
      <c r="L41" s="2">
        <v>-53000.0</v>
      </c>
      <c r="M41" s="2" t="s">
        <v>2594</v>
      </c>
    </row>
    <row r="42">
      <c r="B42" s="2" t="s">
        <v>2595</v>
      </c>
      <c r="K42" s="2"/>
      <c r="L42" s="2">
        <v>-33000.0</v>
      </c>
      <c r="M42" s="2"/>
    </row>
    <row r="43">
      <c r="A43" s="2" t="s">
        <v>2596</v>
      </c>
      <c r="B43" s="2" t="s">
        <v>2597</v>
      </c>
      <c r="K43" s="2"/>
      <c r="L43" s="32">
        <v>800000.0</v>
      </c>
      <c r="M43" s="19">
        <f>SUM(L43:L45)</f>
        <v>299500</v>
      </c>
    </row>
    <row r="44">
      <c r="B44" s="2" t="s">
        <v>2598</v>
      </c>
      <c r="K44" s="2"/>
      <c r="L44" s="33">
        <v>-20500.0</v>
      </c>
      <c r="M44" s="2"/>
    </row>
    <row r="45">
      <c r="B45" s="2" t="s">
        <v>2599</v>
      </c>
      <c r="K45" s="2"/>
      <c r="L45" s="21">
        <v>-480000.0</v>
      </c>
    </row>
    <row r="46">
      <c r="A46" s="2" t="s">
        <v>2600</v>
      </c>
      <c r="B46" s="2" t="s">
        <v>2601</v>
      </c>
      <c r="K46" s="2"/>
      <c r="L46" s="2"/>
    </row>
    <row r="47">
      <c r="A47" s="2" t="s">
        <v>2602</v>
      </c>
      <c r="B47" s="2" t="s">
        <v>2603</v>
      </c>
      <c r="K47" s="2" t="s">
        <v>2604</v>
      </c>
      <c r="L47" s="2">
        <v>53000.0</v>
      </c>
    </row>
    <row r="48">
      <c r="B48" s="1"/>
      <c r="K48" s="1" t="s">
        <v>2605</v>
      </c>
      <c r="L48" s="1">
        <v>4500.0</v>
      </c>
      <c r="M48" s="1" t="s">
        <v>2606</v>
      </c>
      <c r="N48" s="1" t="s">
        <v>2607</v>
      </c>
    </row>
    <row r="49">
      <c r="J49" s="1"/>
      <c r="K49" s="1" t="s">
        <v>2605</v>
      </c>
      <c r="L49" s="1">
        <v>10340.0</v>
      </c>
      <c r="M49" s="1" t="s">
        <v>2608</v>
      </c>
    </row>
    <row r="50">
      <c r="B50" s="1" t="s">
        <v>2609</v>
      </c>
      <c r="J50" s="1"/>
      <c r="K50" s="1" t="s">
        <v>2605</v>
      </c>
      <c r="L50" s="1">
        <v>10340.0</v>
      </c>
      <c r="M50" s="1" t="s">
        <v>2610</v>
      </c>
    </row>
    <row r="51">
      <c r="K51" s="1" t="s">
        <v>2611</v>
      </c>
      <c r="L51" s="1">
        <v>10340.0</v>
      </c>
      <c r="M51" s="1" t="s">
        <v>2612</v>
      </c>
    </row>
    <row r="52">
      <c r="K52" s="1" t="s">
        <v>2611</v>
      </c>
      <c r="L52" s="1">
        <v>10340.0</v>
      </c>
      <c r="M52" s="1" t="s">
        <v>2171</v>
      </c>
    </row>
    <row r="53">
      <c r="K53" s="2" t="s">
        <v>2605</v>
      </c>
      <c r="L53" s="1">
        <v>10340.0</v>
      </c>
      <c r="M53" s="2" t="s">
        <v>2178</v>
      </c>
    </row>
    <row r="54">
      <c r="K54" s="1" t="s">
        <v>2611</v>
      </c>
      <c r="L54" s="1">
        <v>10340.0</v>
      </c>
      <c r="M54" s="2" t="s">
        <v>1624</v>
      </c>
    </row>
    <row r="55">
      <c r="K55" s="1" t="s">
        <v>2611</v>
      </c>
      <c r="L55" s="1">
        <v>10340.0</v>
      </c>
      <c r="M55" s="2" t="s">
        <v>2194</v>
      </c>
    </row>
    <row r="56">
      <c r="K56" s="1" t="s">
        <v>2611</v>
      </c>
      <c r="L56" s="2">
        <v>6000.0</v>
      </c>
      <c r="M56" s="2" t="s">
        <v>2613</v>
      </c>
    </row>
    <row r="57">
      <c r="K57" s="1" t="s">
        <v>2611</v>
      </c>
      <c r="L57" s="2">
        <v>6000.0</v>
      </c>
      <c r="M57" s="2" t="s">
        <v>2614</v>
      </c>
    </row>
    <row r="58">
      <c r="K58" s="1" t="s">
        <v>2611</v>
      </c>
      <c r="L58" s="2">
        <v>8000.0</v>
      </c>
      <c r="M58" s="2" t="s">
        <v>2197</v>
      </c>
    </row>
    <row r="59">
      <c r="K59" s="2" t="s">
        <v>2611</v>
      </c>
      <c r="L59" s="2">
        <v>6000.0</v>
      </c>
      <c r="M59" s="2" t="s">
        <v>2615</v>
      </c>
    </row>
    <row r="60">
      <c r="K60" s="2" t="s">
        <v>2605</v>
      </c>
      <c r="L60" s="2">
        <v>4500.0</v>
      </c>
      <c r="M60" s="2" t="s">
        <v>2616</v>
      </c>
    </row>
    <row r="61">
      <c r="J61" s="2"/>
      <c r="K61" s="2" t="s">
        <v>2605</v>
      </c>
      <c r="L61" s="2">
        <v>520.0</v>
      </c>
      <c r="M61" s="2" t="s">
        <v>1747</v>
      </c>
    </row>
    <row r="62">
      <c r="M62" s="19">
        <f>SUM(L49:L61)</f>
        <v>103400</v>
      </c>
    </row>
    <row r="63">
      <c r="M63">
        <f>SUM(L73:L78,M62,L48)</f>
        <v>110270</v>
      </c>
      <c r="N63" s="2" t="s">
        <v>2617</v>
      </c>
    </row>
    <row r="64">
      <c r="M64" s="2">
        <f> M63 + L47</f>
        <v>163270</v>
      </c>
      <c r="N64" s="2" t="s">
        <v>2618</v>
      </c>
    </row>
    <row r="65">
      <c r="B65" s="2"/>
      <c r="L65" s="2"/>
      <c r="M65" s="2"/>
    </row>
    <row r="66">
      <c r="J66" s="2"/>
      <c r="L66" s="2"/>
    </row>
    <row r="67">
      <c r="J67" s="2"/>
      <c r="L67" s="2"/>
    </row>
    <row r="68">
      <c r="J68" s="2"/>
      <c r="L68" s="2"/>
    </row>
    <row r="69">
      <c r="J69" s="2"/>
      <c r="L69" s="2"/>
    </row>
    <row r="70">
      <c r="J70" s="2"/>
      <c r="L70" s="2"/>
    </row>
    <row r="71">
      <c r="J71" s="2"/>
      <c r="L71" s="2"/>
    </row>
    <row r="72">
      <c r="J72" s="2"/>
      <c r="L72" s="2"/>
    </row>
    <row r="73">
      <c r="J73" s="2" t="s">
        <v>2619</v>
      </c>
      <c r="L73" s="2">
        <v>500.0</v>
      </c>
    </row>
    <row r="74">
      <c r="J74" s="2" t="s">
        <v>2620</v>
      </c>
      <c r="L74" s="2">
        <v>374.0</v>
      </c>
    </row>
    <row r="75">
      <c r="J75" s="2" t="s">
        <v>2621</v>
      </c>
      <c r="L75" s="2">
        <v>748.0</v>
      </c>
    </row>
    <row r="76">
      <c r="J76" s="2" t="s">
        <v>2622</v>
      </c>
      <c r="L76" s="2">
        <v>748.0</v>
      </c>
      <c r="M76" s="2" t="s">
        <v>2623</v>
      </c>
    </row>
    <row r="77">
      <c r="J77" s="2" t="s">
        <v>2624</v>
      </c>
    </row>
    <row r="78">
      <c r="J78" s="2" t="s">
        <v>1257</v>
      </c>
    </row>
    <row r="80">
      <c r="D80" s="34" t="s">
        <v>2625</v>
      </c>
    </row>
    <row r="81">
      <c r="B81" s="19" t="s">
        <v>2626</v>
      </c>
      <c r="D81" s="2" t="s">
        <v>2627</v>
      </c>
    </row>
    <row r="82">
      <c r="A82" s="1" t="s">
        <v>2531</v>
      </c>
      <c r="B82" s="1" t="s">
        <v>2628</v>
      </c>
      <c r="D82" s="2" t="s">
        <v>2629</v>
      </c>
      <c r="E82" s="2" t="s">
        <v>2630</v>
      </c>
      <c r="I82" s="2" t="s">
        <v>223</v>
      </c>
      <c r="J82" s="2">
        <v>24800.0</v>
      </c>
      <c r="L82" s="2" t="s">
        <v>2631</v>
      </c>
    </row>
    <row r="83">
      <c r="B83" s="1" t="s">
        <v>2632</v>
      </c>
      <c r="C83" s="1"/>
      <c r="D83" s="2" t="s">
        <v>2633</v>
      </c>
      <c r="E83" s="1" t="s">
        <v>2634</v>
      </c>
      <c r="I83" s="2" t="s">
        <v>223</v>
      </c>
      <c r="J83" s="2">
        <v>55950.0</v>
      </c>
      <c r="L83" s="2" t="s">
        <v>2635</v>
      </c>
    </row>
    <row r="84">
      <c r="B84" s="1" t="s">
        <v>2636</v>
      </c>
      <c r="D84" s="2" t="s">
        <v>2637</v>
      </c>
      <c r="E84" s="1" t="s">
        <v>2634</v>
      </c>
      <c r="I84" s="1" t="s">
        <v>2638</v>
      </c>
      <c r="J84" s="2">
        <v>2720.0</v>
      </c>
      <c r="L84" s="2" t="s">
        <v>2635</v>
      </c>
    </row>
    <row r="85">
      <c r="B85" s="1" t="s">
        <v>2639</v>
      </c>
      <c r="D85" s="1" t="s">
        <v>2640</v>
      </c>
      <c r="E85" s="1" t="s">
        <v>2634</v>
      </c>
      <c r="I85" s="2" t="s">
        <v>223</v>
      </c>
      <c r="J85" s="2">
        <v>11780.0</v>
      </c>
      <c r="L85" s="2" t="s">
        <v>2631</v>
      </c>
      <c r="M85" s="35">
        <v>0.99</v>
      </c>
    </row>
    <row r="86">
      <c r="B86" s="1" t="s">
        <v>2641</v>
      </c>
      <c r="C86" s="2" t="s">
        <v>2642</v>
      </c>
      <c r="D86" s="2" t="s">
        <v>2643</v>
      </c>
      <c r="E86" s="2" t="s">
        <v>2644</v>
      </c>
      <c r="I86" s="1" t="s">
        <v>2645</v>
      </c>
      <c r="J86" s="2">
        <v>21070.0</v>
      </c>
      <c r="L86" s="2" t="s">
        <v>2646</v>
      </c>
      <c r="M86" s="35">
        <v>0.92</v>
      </c>
    </row>
    <row r="87">
      <c r="B87" s="1" t="s">
        <v>2647</v>
      </c>
      <c r="I87" s="2" t="s">
        <v>2648</v>
      </c>
      <c r="J87" s="2">
        <v>14960.0</v>
      </c>
      <c r="L87" s="2" t="s">
        <v>2649</v>
      </c>
      <c r="M87" s="36">
        <v>0.958</v>
      </c>
    </row>
    <row r="88">
      <c r="B88" s="1" t="s">
        <v>2650</v>
      </c>
      <c r="I88" s="1" t="s">
        <v>2651</v>
      </c>
      <c r="J88" s="2">
        <v>2145.0</v>
      </c>
      <c r="L88" s="2" t="s">
        <v>2649</v>
      </c>
      <c r="M88" s="36">
        <v>0.882</v>
      </c>
    </row>
    <row r="90">
      <c r="B90" s="1" t="s">
        <v>2652</v>
      </c>
      <c r="D90" s="1" t="s">
        <v>2653</v>
      </c>
      <c r="I90" s="1" t="s">
        <v>2654</v>
      </c>
      <c r="J90" s="2">
        <v>7830.0</v>
      </c>
      <c r="L90" s="2" t="s">
        <v>2635</v>
      </c>
    </row>
    <row r="91">
      <c r="B91" s="1" t="s">
        <v>2655</v>
      </c>
      <c r="D91" s="1" t="s">
        <v>2653</v>
      </c>
      <c r="I91" s="1" t="s">
        <v>2654</v>
      </c>
      <c r="J91" s="2">
        <v>7650.0</v>
      </c>
      <c r="L91" s="2" t="s">
        <v>2635</v>
      </c>
    </row>
    <row r="93">
      <c r="B93" s="1" t="s">
        <v>2656</v>
      </c>
      <c r="C93" s="1" t="s">
        <v>2657</v>
      </c>
      <c r="D93" s="19" t="s">
        <v>2658</v>
      </c>
      <c r="I93" s="2" t="s">
        <v>2594</v>
      </c>
      <c r="J93" s="2">
        <v>3450.0</v>
      </c>
      <c r="L93" s="2" t="s">
        <v>2659</v>
      </c>
      <c r="M93" s="37" t="s">
        <v>2660</v>
      </c>
      <c r="N93" s="2" t="s">
        <v>2661</v>
      </c>
      <c r="O93" s="2" t="s">
        <v>2662</v>
      </c>
    </row>
    <row r="94">
      <c r="B94" s="1" t="s">
        <v>2663</v>
      </c>
      <c r="D94" s="1" t="s">
        <v>2664</v>
      </c>
      <c r="I94" s="1" t="s">
        <v>2665</v>
      </c>
      <c r="M94" s="2" t="s">
        <v>2666</v>
      </c>
    </row>
    <row r="95">
      <c r="B95" s="1" t="s">
        <v>2667</v>
      </c>
      <c r="D95" s="1" t="s">
        <v>2668</v>
      </c>
    </row>
    <row r="97">
      <c r="A97" s="34" t="s">
        <v>2669</v>
      </c>
      <c r="B97" s="1" t="s">
        <v>2670</v>
      </c>
      <c r="D97" s="1" t="s">
        <v>2671</v>
      </c>
      <c r="I97" s="1" t="s">
        <v>2672</v>
      </c>
      <c r="J97" s="2">
        <v>1700.0</v>
      </c>
      <c r="L97" s="2" t="s">
        <v>2673</v>
      </c>
    </row>
    <row r="99">
      <c r="B99" s="1" t="s">
        <v>2674</v>
      </c>
      <c r="C99" s="2" t="s">
        <v>2675</v>
      </c>
      <c r="D99" s="2" t="s">
        <v>2676</v>
      </c>
      <c r="I99" s="1"/>
      <c r="J99" s="2">
        <v>3000.0</v>
      </c>
      <c r="L99" s="2" t="s">
        <v>2677</v>
      </c>
    </row>
    <row r="100">
      <c r="B100" s="1"/>
      <c r="C100" s="2" t="s">
        <v>2678</v>
      </c>
      <c r="D100" s="2" t="s">
        <v>2676</v>
      </c>
      <c r="I100" s="1"/>
      <c r="J100" s="2">
        <v>3000.0</v>
      </c>
      <c r="L100" s="2" t="s">
        <v>2677</v>
      </c>
    </row>
    <row r="101">
      <c r="B101" s="1"/>
      <c r="C101" s="2" t="s">
        <v>2679</v>
      </c>
      <c r="D101" s="2" t="s">
        <v>2680</v>
      </c>
      <c r="I101" s="2" t="s">
        <v>2681</v>
      </c>
      <c r="J101" s="2">
        <v>1200.0</v>
      </c>
      <c r="L101" s="2" t="s">
        <v>2677</v>
      </c>
    </row>
    <row r="102">
      <c r="B102" s="2" t="s">
        <v>2682</v>
      </c>
      <c r="C102" s="2" t="s">
        <v>2535</v>
      </c>
      <c r="D102" s="2" t="s">
        <v>2683</v>
      </c>
      <c r="E102" s="2" t="s">
        <v>2684</v>
      </c>
      <c r="I102" s="2" t="s">
        <v>2685</v>
      </c>
      <c r="J102" s="2">
        <v>3700.0</v>
      </c>
      <c r="L102" s="2" t="s">
        <v>2677</v>
      </c>
    </row>
    <row r="103">
      <c r="B103" s="1"/>
      <c r="C103" s="2" t="s">
        <v>2535</v>
      </c>
      <c r="D103" s="2" t="s">
        <v>2049</v>
      </c>
      <c r="I103" s="2" t="s">
        <v>2685</v>
      </c>
      <c r="J103" s="2">
        <v>1400.0</v>
      </c>
      <c r="L103" s="2" t="s">
        <v>2677</v>
      </c>
    </row>
    <row r="105">
      <c r="B105" s="2" t="s">
        <v>2686</v>
      </c>
      <c r="D105" s="2" t="s">
        <v>2687</v>
      </c>
      <c r="I105" s="2" t="s">
        <v>2688</v>
      </c>
      <c r="J105" s="2">
        <v>400.0</v>
      </c>
      <c r="L105" s="2" t="s">
        <v>2689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38"/>
    <col customWidth="1" min="2" max="2" width="17.13"/>
    <col customWidth="1" min="3" max="16" width="13.0"/>
    <col customWidth="1" min="17" max="17" width="7.88"/>
    <col customWidth="1" min="18" max="18" width="6.0"/>
    <col customWidth="1" min="19" max="19" width="5.75"/>
    <col customWidth="1" min="20" max="20" width="13.0"/>
    <col customWidth="1" min="21" max="33" width="7.88"/>
    <col customWidth="1" min="34" max="34" width="9.63"/>
    <col customWidth="1" min="35" max="35" width="7.88"/>
    <col customWidth="1" min="36" max="36" width="8.5"/>
    <col customWidth="1" min="37" max="37" width="5.75"/>
    <col customWidth="1" min="38" max="38" width="7.5"/>
    <col customWidth="1" min="39" max="39" width="11.0"/>
    <col customWidth="1" min="42" max="46" width="7.88"/>
    <col customWidth="1" min="47" max="47" width="9.5"/>
    <col customWidth="1" min="48" max="71" width="7.88"/>
    <col customWidth="1" min="72" max="72" width="9.88"/>
    <col customWidth="1" min="73" max="77" width="7.88"/>
  </cols>
  <sheetData>
    <row r="1">
      <c r="B1" s="2" t="s">
        <v>2690</v>
      </c>
      <c r="D1" s="2" t="s">
        <v>2691</v>
      </c>
      <c r="E1" s="2" t="s">
        <v>2692</v>
      </c>
      <c r="F1" s="2" t="s">
        <v>2693</v>
      </c>
      <c r="G1" s="2" t="s">
        <v>2694</v>
      </c>
      <c r="H1" s="2" t="s">
        <v>2695</v>
      </c>
      <c r="J1" s="2" t="s">
        <v>2696</v>
      </c>
      <c r="K1" s="2" t="s">
        <v>2697</v>
      </c>
      <c r="L1" s="2" t="s">
        <v>2698</v>
      </c>
      <c r="M1" s="2" t="s">
        <v>2699</v>
      </c>
      <c r="N1" s="2" t="s">
        <v>2700</v>
      </c>
      <c r="T1" s="2" t="s">
        <v>2701</v>
      </c>
      <c r="U1" s="2">
        <v>54.4</v>
      </c>
      <c r="V1" s="2">
        <v>195.0</v>
      </c>
      <c r="W1" s="2">
        <v>81.2</v>
      </c>
      <c r="X1" s="2">
        <v>81.2</v>
      </c>
      <c r="Y1" s="2">
        <v>74.5</v>
      </c>
      <c r="Z1" s="2">
        <v>107.2</v>
      </c>
      <c r="AA1" s="2">
        <v>81.7</v>
      </c>
      <c r="AB1" s="2">
        <v>108.3</v>
      </c>
      <c r="AC1" s="2">
        <v>73.9</v>
      </c>
      <c r="AD1" s="2">
        <v>99.0</v>
      </c>
      <c r="AE1" s="2">
        <v>50.49</v>
      </c>
      <c r="AF1" s="2">
        <v>58.1</v>
      </c>
      <c r="AG1" s="2">
        <v>44.4</v>
      </c>
      <c r="AI1">
        <f>SUM(U1:AH1)</f>
        <v>1109.39</v>
      </c>
      <c r="AL1" s="2" t="s">
        <v>2702</v>
      </c>
      <c r="AM1" s="2" t="s">
        <v>2703</v>
      </c>
      <c r="AS1" s="2" t="s">
        <v>2704</v>
      </c>
      <c r="AX1" s="2" t="s">
        <v>2701</v>
      </c>
      <c r="AY1" s="2">
        <v>54.4</v>
      </c>
      <c r="AZ1" s="2">
        <v>195.0</v>
      </c>
      <c r="BA1" s="2">
        <v>81.2</v>
      </c>
      <c r="BB1" s="2">
        <v>81.2</v>
      </c>
      <c r="BC1" s="2">
        <v>74.5</v>
      </c>
      <c r="BD1" s="2">
        <v>107.2</v>
      </c>
      <c r="BE1" s="2">
        <v>81.7</v>
      </c>
      <c r="BF1" s="2">
        <v>108.3</v>
      </c>
      <c r="BG1" s="2">
        <v>73.9</v>
      </c>
      <c r="BH1" s="2">
        <v>99.0</v>
      </c>
      <c r="BI1" s="2">
        <v>50.49</v>
      </c>
      <c r="BJ1" s="2">
        <v>58.1</v>
      </c>
      <c r="BK1" s="2">
        <v>44.4</v>
      </c>
      <c r="BM1">
        <f>SUM(AY1:BL1)</f>
        <v>1109.39</v>
      </c>
      <c r="BP1" s="2" t="s">
        <v>2702</v>
      </c>
      <c r="BQ1" s="2"/>
      <c r="BR1" s="2"/>
      <c r="BS1" s="2"/>
      <c r="BT1" s="2"/>
      <c r="BU1" s="2"/>
      <c r="BV1" s="2"/>
      <c r="BW1" s="2"/>
      <c r="BX1" s="2"/>
      <c r="BY1" s="2"/>
    </row>
    <row r="2">
      <c r="C2" s="2" t="s">
        <v>2705</v>
      </c>
      <c r="D2" s="2" t="s">
        <v>2706</v>
      </c>
      <c r="E2" s="2">
        <v>101.0</v>
      </c>
      <c r="F2" s="2">
        <v>102.0</v>
      </c>
      <c r="G2" s="2">
        <v>201.0</v>
      </c>
      <c r="H2" s="2">
        <v>202.0</v>
      </c>
      <c r="I2" s="2">
        <v>301.0</v>
      </c>
      <c r="J2" s="2">
        <v>302.0</v>
      </c>
      <c r="K2" s="2">
        <v>401.0</v>
      </c>
      <c r="L2" s="2">
        <v>402.0</v>
      </c>
      <c r="M2" s="2">
        <v>501.0</v>
      </c>
      <c r="N2" s="2">
        <v>502.0</v>
      </c>
      <c r="O2" s="2">
        <v>503.0</v>
      </c>
      <c r="T2" s="2" t="s">
        <v>2707</v>
      </c>
      <c r="U2" s="19" t="s">
        <v>2705</v>
      </c>
      <c r="V2" s="19" t="s">
        <v>2706</v>
      </c>
      <c r="W2" s="19">
        <v>101.0</v>
      </c>
      <c r="X2" s="19">
        <v>102.0</v>
      </c>
      <c r="Y2" s="19">
        <v>201.0</v>
      </c>
      <c r="Z2" s="19">
        <v>202.0</v>
      </c>
      <c r="AA2" s="19">
        <v>301.0</v>
      </c>
      <c r="AB2" s="19">
        <v>302.0</v>
      </c>
      <c r="AC2" s="19">
        <v>401.0</v>
      </c>
      <c r="AD2" s="19">
        <v>402.0</v>
      </c>
      <c r="AE2" s="19">
        <v>501.0</v>
      </c>
      <c r="AF2" s="19">
        <v>502.0</v>
      </c>
      <c r="AG2" s="19">
        <v>503.0</v>
      </c>
      <c r="AH2" s="19" t="s">
        <v>2708</v>
      </c>
      <c r="AI2" s="19" t="s">
        <v>2709</v>
      </c>
      <c r="AJ2" s="2" t="s">
        <v>2710</v>
      </c>
      <c r="AK2" s="2" t="s">
        <v>2711</v>
      </c>
      <c r="AL2" s="2" t="s">
        <v>2712</v>
      </c>
      <c r="AM2" s="2" t="s">
        <v>2713</v>
      </c>
      <c r="AP2" s="2"/>
      <c r="AQ2" s="2"/>
      <c r="AR2" s="2"/>
      <c r="AS2" s="2" t="s">
        <v>2714</v>
      </c>
      <c r="AT2" s="2" t="s">
        <v>2715</v>
      </c>
      <c r="AU2" s="2" t="s">
        <v>2716</v>
      </c>
      <c r="AV2" s="2" t="s">
        <v>1916</v>
      </c>
      <c r="AW2" s="2"/>
      <c r="AX2" s="2" t="s">
        <v>2717</v>
      </c>
      <c r="AY2" s="19" t="s">
        <v>2705</v>
      </c>
      <c r="AZ2" s="19" t="s">
        <v>2706</v>
      </c>
      <c r="BA2" s="19">
        <v>101.0</v>
      </c>
      <c r="BB2" s="19">
        <v>102.0</v>
      </c>
      <c r="BC2" s="19">
        <v>201.0</v>
      </c>
      <c r="BD2" s="19">
        <v>202.0</v>
      </c>
      <c r="BE2" s="19">
        <v>301.0</v>
      </c>
      <c r="BF2" s="19">
        <v>302.0</v>
      </c>
      <c r="BG2" s="19">
        <v>401.0</v>
      </c>
      <c r="BH2" s="19">
        <v>402.0</v>
      </c>
      <c r="BI2" s="19">
        <v>501.0</v>
      </c>
      <c r="BJ2" s="19">
        <v>502.0</v>
      </c>
      <c r="BK2" s="19">
        <v>503.0</v>
      </c>
      <c r="BL2" s="19"/>
      <c r="BM2" s="19" t="s">
        <v>2709</v>
      </c>
      <c r="BN2" s="2" t="s">
        <v>2710</v>
      </c>
      <c r="BO2" s="2"/>
      <c r="BP2" s="2" t="s">
        <v>2712</v>
      </c>
      <c r="BQ2" s="2" t="s">
        <v>2713</v>
      </c>
      <c r="BR2" s="2"/>
      <c r="BS2" s="2"/>
      <c r="BT2" s="2"/>
      <c r="BU2" s="2"/>
      <c r="BV2" s="2"/>
      <c r="BW2" s="2"/>
      <c r="BX2" s="2"/>
      <c r="BY2" s="2"/>
    </row>
    <row r="3">
      <c r="D3" s="2" t="s">
        <v>2718</v>
      </c>
      <c r="E3" s="2" t="s">
        <v>2719</v>
      </c>
      <c r="F3" s="2" t="s">
        <v>2720</v>
      </c>
      <c r="G3" s="2" t="s">
        <v>2721</v>
      </c>
      <c r="H3" s="2" t="s">
        <v>2722</v>
      </c>
      <c r="I3" s="2" t="s">
        <v>2723</v>
      </c>
      <c r="J3" s="2" t="s">
        <v>2724</v>
      </c>
      <c r="K3" s="2" t="s">
        <v>2725</v>
      </c>
      <c r="L3" s="2" t="s">
        <v>2726</v>
      </c>
      <c r="M3" s="2" t="s">
        <v>2727</v>
      </c>
      <c r="N3" s="2" t="s">
        <v>2728</v>
      </c>
      <c r="O3" s="2" t="s">
        <v>2729</v>
      </c>
      <c r="T3" s="2" t="s">
        <v>2730</v>
      </c>
      <c r="V3" s="2" t="s">
        <v>2718</v>
      </c>
      <c r="W3" s="2" t="s">
        <v>2719</v>
      </c>
      <c r="X3" s="2" t="s">
        <v>2720</v>
      </c>
      <c r="Y3" s="2" t="s">
        <v>2721</v>
      </c>
      <c r="Z3" s="2" t="s">
        <v>2722</v>
      </c>
      <c r="AB3" s="2" t="s">
        <v>2724</v>
      </c>
      <c r="AC3" s="2" t="s">
        <v>2725</v>
      </c>
      <c r="AD3" s="2" t="s">
        <v>2726</v>
      </c>
      <c r="AE3" s="2" t="s">
        <v>2727</v>
      </c>
      <c r="AF3" s="2" t="s">
        <v>2728</v>
      </c>
      <c r="AG3" s="2" t="s">
        <v>2731</v>
      </c>
      <c r="AY3">
        <f t="shared" ref="AY3:AZ3" si="1">AY1</f>
        <v>54.4</v>
      </c>
      <c r="AZ3">
        <f t="shared" si="1"/>
        <v>195</v>
      </c>
      <c r="BA3">
        <f t="shared" ref="BA3:BB3" si="2">BA1*2</f>
        <v>162.4</v>
      </c>
      <c r="BB3">
        <f t="shared" si="2"/>
        <v>162.4</v>
      </c>
      <c r="BC3">
        <f t="shared" ref="BC3:BD3" si="3">BC1</f>
        <v>74.5</v>
      </c>
      <c r="BD3">
        <f t="shared" si="3"/>
        <v>107.2</v>
      </c>
      <c r="BE3">
        <f>BE1*2</f>
        <v>163.4</v>
      </c>
      <c r="BF3">
        <f t="shared" ref="BF3:BK3" si="4">BF1</f>
        <v>108.3</v>
      </c>
      <c r="BG3">
        <f t="shared" si="4"/>
        <v>73.9</v>
      </c>
      <c r="BH3">
        <f t="shared" si="4"/>
        <v>99</v>
      </c>
      <c r="BI3">
        <f t="shared" si="4"/>
        <v>50.49</v>
      </c>
      <c r="BJ3">
        <f t="shared" si="4"/>
        <v>58.1</v>
      </c>
      <c r="BK3">
        <f t="shared" si="4"/>
        <v>44.4</v>
      </c>
      <c r="BL3" s="2" t="s">
        <v>2732</v>
      </c>
      <c r="BM3">
        <f>SUM(AY3:BL3)</f>
        <v>1353.49</v>
      </c>
    </row>
    <row r="4">
      <c r="B4" s="2" t="s">
        <v>2733</v>
      </c>
      <c r="C4" s="2">
        <v>800000.0</v>
      </c>
      <c r="D4" s="2">
        <v>1600000.0</v>
      </c>
      <c r="E4" s="2">
        <v>2300000.0</v>
      </c>
      <c r="F4" s="2">
        <v>1600000.0</v>
      </c>
      <c r="G4" s="2">
        <v>1800000.0</v>
      </c>
      <c r="H4" s="2">
        <v>1800000.0</v>
      </c>
      <c r="J4" s="2">
        <v>2200000.0</v>
      </c>
      <c r="K4" s="2">
        <v>2300000.0</v>
      </c>
      <c r="L4" s="2">
        <v>1750000.0</v>
      </c>
      <c r="M4" s="2">
        <v>1730000.0</v>
      </c>
      <c r="N4" s="2">
        <v>1300000.0</v>
      </c>
      <c r="O4" s="2">
        <v>1300000.0</v>
      </c>
      <c r="P4">
        <f t="shared" ref="P4:P5" si="6">SUM(C4:O4)</f>
        <v>20480000</v>
      </c>
      <c r="T4" s="2" t="s">
        <v>1800</v>
      </c>
      <c r="U4" s="2">
        <v>946.0</v>
      </c>
      <c r="W4" s="2">
        <v>6340.0</v>
      </c>
      <c r="Y4" s="2">
        <v>40758.0</v>
      </c>
      <c r="AA4" s="2">
        <v>28197.0</v>
      </c>
      <c r="AC4" s="2">
        <v>42243.0</v>
      </c>
      <c r="AE4" s="2">
        <v>70699.0</v>
      </c>
      <c r="AH4" s="2">
        <v>1406.0</v>
      </c>
      <c r="AI4" s="2">
        <v>6200.0</v>
      </c>
      <c r="AJ4" s="2"/>
      <c r="AK4" s="2"/>
      <c r="AM4" s="2"/>
      <c r="AP4" s="2"/>
      <c r="AQ4" s="2"/>
      <c r="AR4" s="2"/>
      <c r="AS4" s="2" t="s">
        <v>2734</v>
      </c>
      <c r="AT4" s="2">
        <v>7013.0</v>
      </c>
      <c r="AU4" s="2">
        <v>222.0</v>
      </c>
      <c r="AV4" s="2">
        <v>462580.0</v>
      </c>
      <c r="AY4" s="2" t="s">
        <v>2596</v>
      </c>
      <c r="AZ4" s="2" t="s">
        <v>2718</v>
      </c>
      <c r="BA4" s="2" t="s">
        <v>2719</v>
      </c>
      <c r="BB4" s="2" t="s">
        <v>2720</v>
      </c>
      <c r="BC4" s="2" t="s">
        <v>2721</v>
      </c>
      <c r="BD4" s="2" t="s">
        <v>2722</v>
      </c>
      <c r="BE4" s="2" t="s">
        <v>2735</v>
      </c>
      <c r="BF4" s="2" t="s">
        <v>2724</v>
      </c>
      <c r="BG4" s="2" t="s">
        <v>2725</v>
      </c>
      <c r="BH4" s="2" t="s">
        <v>2726</v>
      </c>
      <c r="BI4" s="2" t="s">
        <v>2727</v>
      </c>
      <c r="BJ4" s="2" t="s">
        <v>2728</v>
      </c>
      <c r="BK4" s="2" t="s">
        <v>2729</v>
      </c>
      <c r="BM4">
        <f>SUM(AZ3,BA3,BB3,BC3,BD3,BF3,BG3,BH3,BI3,BJ3)</f>
        <v>1091.29</v>
      </c>
    </row>
    <row r="5">
      <c r="B5" s="2" t="s">
        <v>2736</v>
      </c>
      <c r="C5" s="2">
        <f t="shared" ref="C5:N5" si="5">C4*19/30</f>
        <v>506666.6667</v>
      </c>
      <c r="D5" s="2">
        <f t="shared" si="5"/>
        <v>1013333.333</v>
      </c>
      <c r="E5" s="2">
        <f t="shared" si="5"/>
        <v>1456666.667</v>
      </c>
      <c r="F5" s="2">
        <f t="shared" si="5"/>
        <v>1013333.333</v>
      </c>
      <c r="G5" s="2">
        <f t="shared" si="5"/>
        <v>1140000</v>
      </c>
      <c r="H5" s="2">
        <f t="shared" si="5"/>
        <v>1140000</v>
      </c>
      <c r="I5" s="2">
        <f t="shared" si="5"/>
        <v>0</v>
      </c>
      <c r="J5" s="2">
        <f t="shared" si="5"/>
        <v>1393333.333</v>
      </c>
      <c r="K5" s="2">
        <f t="shared" si="5"/>
        <v>1456666.667</v>
      </c>
      <c r="L5" s="2">
        <f t="shared" si="5"/>
        <v>1108333.333</v>
      </c>
      <c r="M5" s="2">
        <f t="shared" si="5"/>
        <v>1095666.667</v>
      </c>
      <c r="N5" s="2">
        <f t="shared" si="5"/>
        <v>823333.3333</v>
      </c>
      <c r="O5" s="2"/>
      <c r="P5">
        <f t="shared" si="6"/>
        <v>12147333.33</v>
      </c>
      <c r="T5" s="2"/>
      <c r="W5" s="2">
        <v>26106.0</v>
      </c>
      <c r="AA5" s="2"/>
      <c r="AE5" s="2">
        <v>80722.0</v>
      </c>
      <c r="AS5" s="2" t="s">
        <v>1815</v>
      </c>
      <c r="AT5" s="2">
        <v>7230.0</v>
      </c>
      <c r="AU5" s="2">
        <v>217.0</v>
      </c>
      <c r="AV5" s="2">
        <v>455480.0</v>
      </c>
      <c r="AW5">
        <f t="shared" ref="AW5:AW6" si="10">SUM(AZ5:BJ5)</f>
        <v>455480</v>
      </c>
      <c r="AZ5">
        <f t="shared" ref="AZ5:BD5" si="7">455480*AZ3/1091.29</f>
        <v>81388.6318</v>
      </c>
      <c r="BA5">
        <f t="shared" si="7"/>
        <v>67782.12208</v>
      </c>
      <c r="BB5">
        <f t="shared" si="7"/>
        <v>67782.12208</v>
      </c>
      <c r="BC5">
        <f t="shared" si="7"/>
        <v>31094.63112</v>
      </c>
      <c r="BD5">
        <f t="shared" si="7"/>
        <v>44742.87861</v>
      </c>
      <c r="BF5">
        <f t="shared" ref="BF5:BJ5" si="8">455480*BF3/1091.29</f>
        <v>45201.99397</v>
      </c>
      <c r="BG5">
        <f t="shared" si="8"/>
        <v>30844.20457</v>
      </c>
      <c r="BH5">
        <f t="shared" si="8"/>
        <v>41320.3823</v>
      </c>
      <c r="BI5">
        <f t="shared" si="8"/>
        <v>21073.39497</v>
      </c>
      <c r="BJ5">
        <f t="shared" si="8"/>
        <v>24249.6385</v>
      </c>
      <c r="BL5">
        <f t="shared" ref="BL5:BL7" si="13">SUM(AY5:BK5)</f>
        <v>455480</v>
      </c>
      <c r="BM5">
        <f>SUM(AY3:BJ3)</f>
        <v>1309.09</v>
      </c>
    </row>
    <row r="6">
      <c r="B6" s="2" t="s">
        <v>2737</v>
      </c>
      <c r="C6" s="2">
        <f t="shared" ref="C6:N6" si="9">C5*0.1</f>
        <v>50666.66667</v>
      </c>
      <c r="D6" s="2">
        <f t="shared" si="9"/>
        <v>101333.3333</v>
      </c>
      <c r="E6" s="2">
        <f t="shared" si="9"/>
        <v>145666.6667</v>
      </c>
      <c r="F6" s="2">
        <f t="shared" si="9"/>
        <v>101333.3333</v>
      </c>
      <c r="G6" s="2">
        <f t="shared" si="9"/>
        <v>114000</v>
      </c>
      <c r="H6" s="2">
        <f t="shared" si="9"/>
        <v>114000</v>
      </c>
      <c r="I6" s="2">
        <f t="shared" si="9"/>
        <v>0</v>
      </c>
      <c r="J6" s="2">
        <f t="shared" si="9"/>
        <v>139333.3333</v>
      </c>
      <c r="K6" s="2">
        <f t="shared" si="9"/>
        <v>145666.6667</v>
      </c>
      <c r="L6" s="2">
        <f t="shared" si="9"/>
        <v>110833.3333</v>
      </c>
      <c r="M6" s="2">
        <f t="shared" si="9"/>
        <v>109566.6667</v>
      </c>
      <c r="N6" s="2">
        <f t="shared" si="9"/>
        <v>82333.33333</v>
      </c>
      <c r="O6" s="2"/>
      <c r="P6" s="2">
        <f>P5*0.1</f>
        <v>1214733.333</v>
      </c>
      <c r="T6" s="2" t="s">
        <v>2738</v>
      </c>
      <c r="AW6">
        <f t="shared" si="10"/>
        <v>683220</v>
      </c>
      <c r="AX6" s="2" t="s">
        <v>2739</v>
      </c>
      <c r="AZ6">
        <f t="shared" ref="AZ6:BD6" si="11">AZ5*1.5</f>
        <v>122082.9477</v>
      </c>
      <c r="BA6">
        <f t="shared" si="11"/>
        <v>101673.1831</v>
      </c>
      <c r="BB6">
        <f t="shared" si="11"/>
        <v>101673.1831</v>
      </c>
      <c r="BC6">
        <f t="shared" si="11"/>
        <v>46641.94669</v>
      </c>
      <c r="BD6">
        <f t="shared" si="11"/>
        <v>67114.31792</v>
      </c>
      <c r="BF6">
        <f t="shared" ref="BF6:BJ6" si="12">BF5*1.5</f>
        <v>67802.99096</v>
      </c>
      <c r="BG6">
        <f t="shared" si="12"/>
        <v>46266.30685</v>
      </c>
      <c r="BH6">
        <f t="shared" si="12"/>
        <v>61980.57345</v>
      </c>
      <c r="BI6">
        <f t="shared" si="12"/>
        <v>31610.09246</v>
      </c>
      <c r="BJ6">
        <f t="shared" si="12"/>
        <v>36374.45775</v>
      </c>
      <c r="BL6">
        <f t="shared" si="13"/>
        <v>683220</v>
      </c>
    </row>
    <row r="7">
      <c r="B7" s="2" t="s">
        <v>2740</v>
      </c>
      <c r="C7">
        <f t="shared" ref="C7:N7" si="14">SUM(C5:C6)</f>
        <v>557333.3333</v>
      </c>
      <c r="D7" s="15">
        <f t="shared" si="14"/>
        <v>1114666.667</v>
      </c>
      <c r="E7" s="15">
        <f t="shared" si="14"/>
        <v>1602333.333</v>
      </c>
      <c r="F7" s="15">
        <f t="shared" si="14"/>
        <v>1114666.667</v>
      </c>
      <c r="G7" s="15">
        <f t="shared" si="14"/>
        <v>1254000</v>
      </c>
      <c r="H7" s="15">
        <f t="shared" si="14"/>
        <v>1254000</v>
      </c>
      <c r="I7">
        <f t="shared" si="14"/>
        <v>0</v>
      </c>
      <c r="J7" s="15">
        <f t="shared" si="14"/>
        <v>1532666.667</v>
      </c>
      <c r="K7" s="15">
        <f t="shared" si="14"/>
        <v>1602333.333</v>
      </c>
      <c r="L7" s="15">
        <f t="shared" si="14"/>
        <v>1219166.667</v>
      </c>
      <c r="M7" s="15">
        <f t="shared" si="14"/>
        <v>1205233.333</v>
      </c>
      <c r="N7" s="15">
        <f t="shared" si="14"/>
        <v>905666.6667</v>
      </c>
      <c r="P7">
        <f>SUM(P5:P6)</f>
        <v>13362066.67</v>
      </c>
      <c r="W7" s="2">
        <v>26359.0</v>
      </c>
      <c r="AE7" s="2">
        <v>80844.0</v>
      </c>
      <c r="AG7" s="2">
        <v>4978.0</v>
      </c>
      <c r="AU7" s="2">
        <v>213.0</v>
      </c>
      <c r="AV7" s="2">
        <v>438820.0</v>
      </c>
      <c r="AW7" s="2"/>
      <c r="AX7" s="2" t="s">
        <v>2741</v>
      </c>
      <c r="AZ7">
        <f t="shared" ref="AZ7:BD7" si="15">438820*AZ3/1091.29</f>
        <v>78411.69625</v>
      </c>
      <c r="BA7">
        <f t="shared" si="15"/>
        <v>65302.86908</v>
      </c>
      <c r="BB7">
        <f t="shared" si="15"/>
        <v>65302.86908</v>
      </c>
      <c r="BC7">
        <f t="shared" si="15"/>
        <v>29957.28908</v>
      </c>
      <c r="BD7">
        <f t="shared" si="15"/>
        <v>43106.32737</v>
      </c>
      <c r="BF7">
        <f t="shared" ref="BF7:BJ7" si="16">438820*BF3/1091.29</f>
        <v>43548.64976</v>
      </c>
      <c r="BG7">
        <f t="shared" si="16"/>
        <v>29716.02232</v>
      </c>
      <c r="BH7">
        <f t="shared" si="16"/>
        <v>39809.01502</v>
      </c>
      <c r="BI7">
        <f t="shared" si="16"/>
        <v>20302.59766</v>
      </c>
      <c r="BJ7">
        <f t="shared" si="16"/>
        <v>23362.66437</v>
      </c>
      <c r="BL7">
        <f t="shared" si="13"/>
        <v>438820</v>
      </c>
      <c r="BN7" s="2" t="s">
        <v>2742</v>
      </c>
      <c r="BO7">
        <f>BA6+BA7</f>
        <v>166976.0522</v>
      </c>
      <c r="BP7" s="15"/>
      <c r="BQ7" s="19" t="s">
        <v>2743</v>
      </c>
      <c r="BR7" s="15"/>
      <c r="BS7" s="19" t="s">
        <v>2744</v>
      </c>
      <c r="BT7" s="15"/>
    </row>
    <row r="8">
      <c r="B8" s="2" t="s">
        <v>2745</v>
      </c>
      <c r="D8" s="2" t="s">
        <v>2746</v>
      </c>
      <c r="E8" s="2" t="s">
        <v>2747</v>
      </c>
      <c r="F8" s="2" t="s">
        <v>2747</v>
      </c>
      <c r="G8" s="2" t="s">
        <v>2747</v>
      </c>
      <c r="H8" s="2" t="s">
        <v>2747</v>
      </c>
      <c r="I8" s="2"/>
      <c r="J8" s="2" t="s">
        <v>2747</v>
      </c>
      <c r="K8" s="2" t="s">
        <v>2747</v>
      </c>
      <c r="L8" s="2" t="s">
        <v>2747</v>
      </c>
      <c r="M8" s="2" t="s">
        <v>2747</v>
      </c>
      <c r="N8" s="2" t="s">
        <v>2747</v>
      </c>
      <c r="T8" s="2" t="s">
        <v>2297</v>
      </c>
      <c r="U8" s="2">
        <v>2388.0</v>
      </c>
      <c r="W8" s="2">
        <v>7841.0</v>
      </c>
      <c r="Y8" s="2">
        <v>41107.0</v>
      </c>
      <c r="AA8" s="2">
        <v>28773.0</v>
      </c>
      <c r="AC8" s="2">
        <v>42813.0</v>
      </c>
      <c r="AE8" s="2">
        <v>71349.0</v>
      </c>
      <c r="AH8" s="2">
        <v>1680.0</v>
      </c>
      <c r="AS8" s="2" t="s">
        <v>2748</v>
      </c>
      <c r="AT8" s="2">
        <v>7443.0</v>
      </c>
      <c r="AX8" s="2" t="s">
        <v>2749</v>
      </c>
      <c r="AY8">
        <f t="shared" ref="AY8:BJ8" si="17">AY3/1309.09</f>
        <v>0.04155558441</v>
      </c>
      <c r="AZ8">
        <f t="shared" si="17"/>
        <v>0.1489584368</v>
      </c>
      <c r="BA8">
        <f t="shared" si="17"/>
        <v>0.1240556417</v>
      </c>
      <c r="BB8">
        <f t="shared" si="17"/>
        <v>0.1240556417</v>
      </c>
      <c r="BC8">
        <f t="shared" si="17"/>
        <v>0.05690976174</v>
      </c>
      <c r="BD8">
        <f t="shared" si="17"/>
        <v>0.08188894576</v>
      </c>
      <c r="BE8">
        <f t="shared" si="17"/>
        <v>0.1248195311</v>
      </c>
      <c r="BF8">
        <f t="shared" si="17"/>
        <v>0.08272922412</v>
      </c>
      <c r="BG8">
        <f t="shared" si="17"/>
        <v>0.05645142809</v>
      </c>
      <c r="BH8">
        <f t="shared" si="17"/>
        <v>0.07562505252</v>
      </c>
      <c r="BI8">
        <f t="shared" si="17"/>
        <v>0.03856877678</v>
      </c>
      <c r="BJ8">
        <f t="shared" si="17"/>
        <v>0.04438197527</v>
      </c>
      <c r="BL8">
        <f t="shared" ref="BL8:BL9" si="19">SUM(AY8:BJ8)</f>
        <v>1</v>
      </c>
      <c r="BN8" s="2" t="s">
        <v>2750</v>
      </c>
      <c r="BO8">
        <f>BO7/5</f>
        <v>33395.21044</v>
      </c>
      <c r="BP8" s="15"/>
      <c r="BQ8" s="19" t="s">
        <v>2751</v>
      </c>
      <c r="BR8" s="15">
        <f>2300000*17/31</f>
        <v>1261290.323</v>
      </c>
      <c r="BS8" s="15">
        <f>BR8/10</f>
        <v>126129.0323</v>
      </c>
      <c r="BT8" s="15">
        <f>SUM(BR8:BS8)</f>
        <v>1387419.355</v>
      </c>
    </row>
    <row r="9">
      <c r="U9" s="2">
        <v>3557.0</v>
      </c>
      <c r="V9" s="2">
        <v>7617.0</v>
      </c>
      <c r="W9" s="2">
        <v>27269.0</v>
      </c>
      <c r="Y9" s="2">
        <v>9497.0</v>
      </c>
      <c r="AA9" s="2">
        <v>34085.0</v>
      </c>
      <c r="AE9" s="2">
        <v>80999.0</v>
      </c>
      <c r="AG9" s="2">
        <v>4978.0</v>
      </c>
      <c r="AS9" s="2" t="s">
        <v>2752</v>
      </c>
      <c r="AT9" s="2">
        <v>7588.0</v>
      </c>
      <c r="AU9" s="2">
        <v>145.0</v>
      </c>
      <c r="AV9" s="2">
        <v>294050.0</v>
      </c>
      <c r="AX9" s="38">
        <v>42767.0</v>
      </c>
      <c r="AY9">
        <f t="shared" ref="AY9:BJ9" si="18">AY8*294050</f>
        <v>12219.4196</v>
      </c>
      <c r="AZ9">
        <f t="shared" si="18"/>
        <v>43801.22833</v>
      </c>
      <c r="BA9">
        <f t="shared" si="18"/>
        <v>36478.56144</v>
      </c>
      <c r="BB9">
        <f t="shared" si="18"/>
        <v>36478.56144</v>
      </c>
      <c r="BC9">
        <f t="shared" si="18"/>
        <v>16734.31544</v>
      </c>
      <c r="BD9">
        <f t="shared" si="18"/>
        <v>24079.4445</v>
      </c>
      <c r="BE9">
        <f t="shared" si="18"/>
        <v>36703.18313</v>
      </c>
      <c r="BF9">
        <f t="shared" si="18"/>
        <v>24326.52835</v>
      </c>
      <c r="BG9">
        <f t="shared" si="18"/>
        <v>16599.54243</v>
      </c>
      <c r="BH9">
        <f t="shared" si="18"/>
        <v>22237.54669</v>
      </c>
      <c r="BI9">
        <f t="shared" si="18"/>
        <v>11341.14881</v>
      </c>
      <c r="BJ9">
        <f t="shared" si="18"/>
        <v>13050.51983</v>
      </c>
      <c r="BL9">
        <f t="shared" si="19"/>
        <v>294050</v>
      </c>
      <c r="BM9">
        <f>SUM(AY3:BJ3)</f>
        <v>1309.09</v>
      </c>
      <c r="BN9" s="2" t="s">
        <v>2753</v>
      </c>
      <c r="BO9">
        <f>BO8*17/31</f>
        <v>18313.5025</v>
      </c>
      <c r="BP9" s="15"/>
      <c r="BQ9" s="19" t="s">
        <v>2754</v>
      </c>
      <c r="BR9" s="15">
        <f>BT9*10/11</f>
        <v>149640</v>
      </c>
      <c r="BS9" s="15">
        <f>BT9/11</f>
        <v>14964</v>
      </c>
      <c r="BT9" s="19">
        <v>164604.0</v>
      </c>
    </row>
    <row r="10">
      <c r="B10" s="2" t="s">
        <v>2755</v>
      </c>
      <c r="C10" s="2" t="s">
        <v>2756</v>
      </c>
      <c r="D10" s="2">
        <v>1600000.0</v>
      </c>
      <c r="E10" s="2">
        <v>2300000.0</v>
      </c>
      <c r="F10" s="2">
        <v>1600000.0</v>
      </c>
      <c r="G10" s="2">
        <v>1800000.0</v>
      </c>
      <c r="H10" s="2">
        <v>1800000.0</v>
      </c>
      <c r="J10" s="2">
        <v>2200000.0</v>
      </c>
      <c r="K10" s="2">
        <v>2300000.0</v>
      </c>
      <c r="L10" s="2">
        <v>1750000.0</v>
      </c>
      <c r="M10" s="2">
        <v>1730000.0</v>
      </c>
      <c r="N10" s="2">
        <v>1300000.0</v>
      </c>
      <c r="O10" s="2">
        <v>1300000.0</v>
      </c>
      <c r="P10">
        <f>SUM(C10:O10)</f>
        <v>19680000</v>
      </c>
      <c r="T10" s="2" t="s">
        <v>2757</v>
      </c>
      <c r="U10" s="2">
        <v>2872.0</v>
      </c>
      <c r="W10" s="2">
        <v>8120.0</v>
      </c>
      <c r="BE10">
        <f>BE9+AY9</f>
        <v>48922.60272</v>
      </c>
      <c r="BO10">
        <f>SUM(BO8:BO9)</f>
        <v>51708.71294</v>
      </c>
      <c r="BP10" s="15"/>
      <c r="BQ10" s="19" t="s">
        <v>2758</v>
      </c>
      <c r="BR10" s="19">
        <v>51708.0</v>
      </c>
      <c r="BS10" s="15"/>
      <c r="BT10" s="19">
        <v>51708.0</v>
      </c>
    </row>
    <row r="11">
      <c r="B11" s="2" t="s">
        <v>2737</v>
      </c>
      <c r="C11" s="2"/>
      <c r="D11" s="2">
        <f t="shared" ref="D11:H11" si="20">D10*0.1</f>
        <v>160000</v>
      </c>
      <c r="E11" s="2">
        <f t="shared" si="20"/>
        <v>230000</v>
      </c>
      <c r="F11" s="2">
        <f t="shared" si="20"/>
        <v>160000</v>
      </c>
      <c r="G11" s="2">
        <f t="shared" si="20"/>
        <v>180000</v>
      </c>
      <c r="H11" s="2">
        <f t="shared" si="20"/>
        <v>180000</v>
      </c>
      <c r="I11" s="2"/>
      <c r="J11" s="2">
        <f t="shared" ref="J11:N11" si="21">J10*0.1</f>
        <v>220000</v>
      </c>
      <c r="K11" s="2">
        <f t="shared" si="21"/>
        <v>230000</v>
      </c>
      <c r="L11" s="2">
        <f t="shared" si="21"/>
        <v>175000</v>
      </c>
      <c r="M11" s="2">
        <f t="shared" si="21"/>
        <v>173000</v>
      </c>
      <c r="N11" s="2">
        <f t="shared" si="21"/>
        <v>130000</v>
      </c>
      <c r="O11" s="2"/>
      <c r="P11" s="2">
        <f>P10*0.1</f>
        <v>1968000</v>
      </c>
      <c r="R11" s="2"/>
      <c r="S11" s="2"/>
      <c r="T11" s="2"/>
      <c r="U11" s="2">
        <v>3559.0</v>
      </c>
      <c r="V11" s="2">
        <v>8064.0</v>
      </c>
      <c r="AS11" s="2" t="s">
        <v>1926</v>
      </c>
      <c r="AT11" s="2">
        <v>7755.0</v>
      </c>
      <c r="AU11" s="2">
        <v>167.0</v>
      </c>
      <c r="AV11" s="2">
        <v>346930.0</v>
      </c>
      <c r="AX11" s="2" t="s">
        <v>2749</v>
      </c>
      <c r="AY11">
        <f t="shared" ref="AY11:BK11" si="22">AY3/1353.49</f>
        <v>0.04019239152</v>
      </c>
      <c r="AZ11">
        <f t="shared" si="22"/>
        <v>0.1440719917</v>
      </c>
      <c r="BA11">
        <f t="shared" si="22"/>
        <v>0.11998611</v>
      </c>
      <c r="BB11">
        <f t="shared" si="22"/>
        <v>0.11998611</v>
      </c>
      <c r="BC11">
        <f t="shared" si="22"/>
        <v>0.05504288912</v>
      </c>
      <c r="BD11">
        <f t="shared" si="22"/>
        <v>0.07920265388</v>
      </c>
      <c r="BE11">
        <f t="shared" si="22"/>
        <v>0.1207249407</v>
      </c>
      <c r="BF11">
        <f t="shared" si="22"/>
        <v>0.08001536768</v>
      </c>
      <c r="BG11">
        <f t="shared" si="22"/>
        <v>0.05459959069</v>
      </c>
      <c r="BH11">
        <f t="shared" si="22"/>
        <v>0.07314424192</v>
      </c>
      <c r="BI11">
        <f t="shared" si="22"/>
        <v>0.03730356338</v>
      </c>
      <c r="BJ11">
        <f t="shared" si="22"/>
        <v>0.04292606521</v>
      </c>
      <c r="BK11">
        <f t="shared" si="22"/>
        <v>0.03280408426</v>
      </c>
      <c r="BL11">
        <f>SUM(AY11:BK11)</f>
        <v>1</v>
      </c>
      <c r="BM11" s="2">
        <v>1353.49</v>
      </c>
      <c r="BP11" s="15"/>
      <c r="BQ11" s="15"/>
      <c r="BR11" s="15">
        <f t="shared" ref="BR11:BT11" si="23">SUM(BR8:BR10)</f>
        <v>1462638.323</v>
      </c>
      <c r="BS11" s="15">
        <f t="shared" si="23"/>
        <v>141093.0323</v>
      </c>
      <c r="BT11" s="15">
        <f t="shared" si="23"/>
        <v>1603731.355</v>
      </c>
    </row>
    <row r="12">
      <c r="B12" s="2" t="s">
        <v>2759</v>
      </c>
      <c r="D12">
        <f t="shared" ref="D12:N12" si="24">D10+D11</f>
        <v>1760000</v>
      </c>
      <c r="E12">
        <f t="shared" si="24"/>
        <v>2530000</v>
      </c>
      <c r="F12">
        <f t="shared" si="24"/>
        <v>1760000</v>
      </c>
      <c r="G12">
        <f t="shared" si="24"/>
        <v>1980000</v>
      </c>
      <c r="H12">
        <f t="shared" si="24"/>
        <v>1980000</v>
      </c>
      <c r="I12">
        <f t="shared" si="24"/>
        <v>0</v>
      </c>
      <c r="J12">
        <f t="shared" si="24"/>
        <v>2420000</v>
      </c>
      <c r="K12">
        <f t="shared" si="24"/>
        <v>2530000</v>
      </c>
      <c r="L12">
        <f t="shared" si="24"/>
        <v>1925000</v>
      </c>
      <c r="M12">
        <f t="shared" si="24"/>
        <v>1903000</v>
      </c>
      <c r="N12">
        <f t="shared" si="24"/>
        <v>1430000</v>
      </c>
      <c r="P12" s="15">
        <f>P10+P11</f>
        <v>21648000</v>
      </c>
      <c r="Q12" s="15">
        <f>SUM(P12,P13)</f>
        <v>23371484</v>
      </c>
      <c r="R12" s="2"/>
      <c r="S12" s="2"/>
      <c r="T12" s="2" t="s">
        <v>2760</v>
      </c>
      <c r="U12" s="2">
        <v>3430.0</v>
      </c>
      <c r="W12" s="2">
        <v>8470.0</v>
      </c>
      <c r="Y12" s="2">
        <v>41864.0</v>
      </c>
      <c r="AA12" s="2">
        <v>29408.0</v>
      </c>
      <c r="AC12" s="2">
        <v>43933.0</v>
      </c>
      <c r="AE12" s="2">
        <v>72044.0</v>
      </c>
      <c r="AG12" s="2"/>
      <c r="AH12" s="2">
        <v>2009.0</v>
      </c>
      <c r="AX12" s="38">
        <v>42828.0</v>
      </c>
      <c r="AY12">
        <f t="shared" ref="AY12:BK12" si="25">AY11*346930</f>
        <v>13943.94639</v>
      </c>
      <c r="AZ12">
        <f t="shared" si="25"/>
        <v>49982.89607</v>
      </c>
      <c r="BA12">
        <f t="shared" si="25"/>
        <v>41626.78114</v>
      </c>
      <c r="BB12">
        <f t="shared" si="25"/>
        <v>41626.78114</v>
      </c>
      <c r="BC12">
        <f t="shared" si="25"/>
        <v>19096.02952</v>
      </c>
      <c r="BD12">
        <f t="shared" si="25"/>
        <v>27477.77671</v>
      </c>
      <c r="BE12">
        <f t="shared" si="25"/>
        <v>41883.10368</v>
      </c>
      <c r="BF12">
        <f t="shared" si="25"/>
        <v>27759.73151</v>
      </c>
      <c r="BG12">
        <f t="shared" si="25"/>
        <v>18942.236</v>
      </c>
      <c r="BH12">
        <f t="shared" si="25"/>
        <v>25375.93185</v>
      </c>
      <c r="BI12">
        <f t="shared" si="25"/>
        <v>12941.72524</v>
      </c>
      <c r="BJ12">
        <f t="shared" si="25"/>
        <v>14892.3398</v>
      </c>
      <c r="BK12">
        <f t="shared" si="25"/>
        <v>11380.72095</v>
      </c>
      <c r="BL12" s="2">
        <v>346930.0</v>
      </c>
      <c r="BM12">
        <f>SUM(AY12:BK12)</f>
        <v>346930</v>
      </c>
      <c r="BP12" s="19" t="s">
        <v>2761</v>
      </c>
      <c r="BQ12" s="19" t="s">
        <v>2762</v>
      </c>
      <c r="BR12" s="15"/>
      <c r="BS12" s="15"/>
      <c r="BT12" s="39">
        <v>2851535.0</v>
      </c>
    </row>
    <row r="13">
      <c r="B13" s="2" t="s">
        <v>2763</v>
      </c>
      <c r="C13" s="2" t="s">
        <v>2764</v>
      </c>
      <c r="D13" s="1">
        <v>400000.0</v>
      </c>
      <c r="E13" s="2">
        <v>392656.0</v>
      </c>
      <c r="F13" s="2">
        <v>114116.0</v>
      </c>
      <c r="G13" s="2">
        <v>61528.0</v>
      </c>
      <c r="H13" s="2">
        <v>82734.0</v>
      </c>
      <c r="J13" s="2">
        <v>207687.0</v>
      </c>
      <c r="K13" s="2">
        <v>95470.0</v>
      </c>
      <c r="L13" s="2">
        <v>123407.0</v>
      </c>
      <c r="M13" s="2">
        <v>106737.0</v>
      </c>
      <c r="N13" s="2">
        <v>139149.0</v>
      </c>
      <c r="P13" s="15">
        <f>SUM(C13:O13)</f>
        <v>1723484</v>
      </c>
      <c r="Q13" s="15"/>
      <c r="R13" s="2"/>
      <c r="S13" s="2"/>
      <c r="T13" s="2"/>
      <c r="U13" s="2">
        <v>3562.0</v>
      </c>
      <c r="V13" s="2">
        <v>8583.0</v>
      </c>
      <c r="W13" s="2">
        <v>28896.0</v>
      </c>
      <c r="Y13" s="2">
        <v>9782.0</v>
      </c>
      <c r="AA13" s="2">
        <v>34085.0</v>
      </c>
      <c r="AE13" s="2">
        <v>81365.0</v>
      </c>
      <c r="AG13" s="2">
        <v>4978.0</v>
      </c>
      <c r="BE13">
        <f>BE12+AY12</f>
        <v>55827.05007</v>
      </c>
      <c r="BP13" s="15"/>
      <c r="BQ13" s="19" t="s">
        <v>2215</v>
      </c>
      <c r="BR13" s="15"/>
      <c r="BS13" s="15"/>
      <c r="BT13" s="39">
        <v>2915583.0</v>
      </c>
    </row>
    <row r="14">
      <c r="D14">
        <f t="shared" ref="D14:N14" si="26">D13-D15</f>
        <v>363636.3636</v>
      </c>
      <c r="E14">
        <f t="shared" si="26"/>
        <v>356960</v>
      </c>
      <c r="F14">
        <f t="shared" si="26"/>
        <v>103741.8182</v>
      </c>
      <c r="G14">
        <f t="shared" si="26"/>
        <v>55934.54545</v>
      </c>
      <c r="H14">
        <f t="shared" si="26"/>
        <v>75212.72727</v>
      </c>
      <c r="I14">
        <f t="shared" si="26"/>
        <v>0</v>
      </c>
      <c r="J14">
        <f t="shared" si="26"/>
        <v>188806.3636</v>
      </c>
      <c r="K14">
        <f t="shared" si="26"/>
        <v>86790.90909</v>
      </c>
      <c r="L14">
        <f t="shared" si="26"/>
        <v>112188.1818</v>
      </c>
      <c r="M14">
        <f t="shared" si="26"/>
        <v>97033.63636</v>
      </c>
      <c r="N14">
        <f t="shared" si="26"/>
        <v>126499.0909</v>
      </c>
      <c r="P14">
        <f>P13-P15</f>
        <v>1566803.636</v>
      </c>
      <c r="R14" s="2"/>
      <c r="S14" s="2"/>
      <c r="T14" s="2" t="s">
        <v>1835</v>
      </c>
      <c r="U14" s="2">
        <v>4274.0</v>
      </c>
      <c r="W14" s="2">
        <v>9059.0</v>
      </c>
      <c r="Y14" s="2">
        <v>43298.0</v>
      </c>
      <c r="AA14" s="2">
        <v>30355.0</v>
      </c>
      <c r="AC14" s="2">
        <v>45420.0</v>
      </c>
      <c r="AE14" s="2">
        <v>73063.0</v>
      </c>
      <c r="AH14" s="2">
        <v>2330.0</v>
      </c>
      <c r="BA14" s="40" t="s">
        <v>2765</v>
      </c>
      <c r="BB14" s="40" t="s">
        <v>2766</v>
      </c>
      <c r="BC14" s="25">
        <f>(BC9+BC12)*(22/60)/2</f>
        <v>6568.896577</v>
      </c>
      <c r="BP14" s="15"/>
      <c r="BQ14" s="15"/>
      <c r="BR14" s="15"/>
      <c r="BS14" s="15"/>
      <c r="BT14" s="15">
        <f>SUM(BT11:BT13)</f>
        <v>7370849.355</v>
      </c>
    </row>
    <row r="15">
      <c r="B15" s="2" t="s">
        <v>2737</v>
      </c>
      <c r="D15">
        <f t="shared" ref="D15:N15" si="27">D13/11</f>
        <v>36363.63636</v>
      </c>
      <c r="E15">
        <f t="shared" si="27"/>
        <v>35696</v>
      </c>
      <c r="F15">
        <f t="shared" si="27"/>
        <v>10374.18182</v>
      </c>
      <c r="G15">
        <f t="shared" si="27"/>
        <v>5593.454545</v>
      </c>
      <c r="H15">
        <f t="shared" si="27"/>
        <v>7521.272727</v>
      </c>
      <c r="I15">
        <f t="shared" si="27"/>
        <v>0</v>
      </c>
      <c r="J15">
        <f t="shared" si="27"/>
        <v>18880.63636</v>
      </c>
      <c r="K15">
        <f t="shared" si="27"/>
        <v>8679.090909</v>
      </c>
      <c r="L15">
        <f t="shared" si="27"/>
        <v>11218.81818</v>
      </c>
      <c r="M15">
        <f t="shared" si="27"/>
        <v>9703.363636</v>
      </c>
      <c r="N15">
        <f t="shared" si="27"/>
        <v>12649.90909</v>
      </c>
      <c r="P15">
        <f>P13/11</f>
        <v>156680.3636</v>
      </c>
      <c r="R15" s="2"/>
      <c r="S15" s="2"/>
      <c r="T15" s="2"/>
      <c r="U15" s="2">
        <v>3572.0</v>
      </c>
      <c r="V15" s="2">
        <v>9251.0</v>
      </c>
      <c r="W15" s="2">
        <v>30876.0</v>
      </c>
      <c r="Y15" s="2">
        <v>10393.0</v>
      </c>
      <c r="AA15" s="2">
        <v>34085.0</v>
      </c>
      <c r="AE15" s="2">
        <v>81832.0</v>
      </c>
      <c r="AG15" s="2">
        <v>4978.0</v>
      </c>
      <c r="BP15" s="15"/>
      <c r="BQ15" s="15"/>
      <c r="BR15" s="15"/>
      <c r="BS15" s="15"/>
      <c r="BT15" s="15">
        <f>20000000-BT14</f>
        <v>12629150.65</v>
      </c>
    </row>
    <row r="16">
      <c r="B16" s="19" t="s">
        <v>2767</v>
      </c>
      <c r="C16" s="15"/>
      <c r="D16" s="15">
        <f t="shared" ref="D16:P16" si="28">SUM(D12,D13)</f>
        <v>2160000</v>
      </c>
      <c r="E16" s="15">
        <f t="shared" si="28"/>
        <v>2922656</v>
      </c>
      <c r="F16" s="15">
        <f t="shared" si="28"/>
        <v>1874116</v>
      </c>
      <c r="G16" s="15">
        <f t="shared" si="28"/>
        <v>2041528</v>
      </c>
      <c r="H16" s="15">
        <f t="shared" si="28"/>
        <v>2062734</v>
      </c>
      <c r="I16" s="15">
        <f t="shared" si="28"/>
        <v>0</v>
      </c>
      <c r="J16" s="15">
        <f t="shared" si="28"/>
        <v>2627687</v>
      </c>
      <c r="K16" s="15">
        <f t="shared" si="28"/>
        <v>2625470</v>
      </c>
      <c r="L16" s="15">
        <f t="shared" si="28"/>
        <v>2048407</v>
      </c>
      <c r="M16" s="15">
        <f t="shared" si="28"/>
        <v>2009737</v>
      </c>
      <c r="N16" s="15">
        <f t="shared" si="28"/>
        <v>1569149</v>
      </c>
      <c r="O16" s="15">
        <f t="shared" si="28"/>
        <v>0</v>
      </c>
      <c r="P16" s="15">
        <f t="shared" si="28"/>
        <v>23371484</v>
      </c>
      <c r="R16" s="2"/>
      <c r="S16" s="2"/>
      <c r="T16" s="2"/>
      <c r="AT16" s="2">
        <v>7953.0</v>
      </c>
      <c r="AU16" s="2">
        <v>198.0</v>
      </c>
      <c r="AV16" s="2">
        <v>419660.0</v>
      </c>
      <c r="AX16" s="2" t="s">
        <v>2749</v>
      </c>
      <c r="AY16">
        <v>0.04019239152117858</v>
      </c>
      <c r="AZ16">
        <v>0.1440719916659894</v>
      </c>
      <c r="BA16">
        <v>0.11998610998234195</v>
      </c>
      <c r="BB16">
        <v>0.11998610998234195</v>
      </c>
      <c r="BC16">
        <v>0.055042889123672875</v>
      </c>
      <c r="BD16">
        <v>0.07920265387996957</v>
      </c>
      <c r="BE16">
        <v>0.1207249407088342</v>
      </c>
      <c r="BF16">
        <v>0.08001536767911104</v>
      </c>
      <c r="BG16">
        <v>0.054599590687777526</v>
      </c>
      <c r="BH16">
        <v>0.07314424192273308</v>
      </c>
      <c r="BI16">
        <v>0.037303563380593874</v>
      </c>
      <c r="BJ16">
        <v>0.04292606520919992</v>
      </c>
      <c r="BK16">
        <v>0.03280408425625605</v>
      </c>
      <c r="BL16">
        <f>SUM(AY16:BK16)</f>
        <v>1</v>
      </c>
    </row>
    <row r="17">
      <c r="D17" s="2" t="s">
        <v>2747</v>
      </c>
      <c r="E17" s="2" t="s">
        <v>2747</v>
      </c>
      <c r="F17" s="2" t="s">
        <v>2747</v>
      </c>
      <c r="G17" s="2" t="s">
        <v>2747</v>
      </c>
      <c r="H17" s="2" t="s">
        <v>2747</v>
      </c>
      <c r="J17" s="2" t="s">
        <v>2747</v>
      </c>
      <c r="K17" s="2" t="s">
        <v>2747</v>
      </c>
      <c r="L17" s="2" t="s">
        <v>2747</v>
      </c>
      <c r="M17" s="2" t="s">
        <v>2747</v>
      </c>
      <c r="N17" s="2" t="s">
        <v>2747</v>
      </c>
      <c r="R17" s="2"/>
      <c r="S17" s="2"/>
      <c r="T17" s="2"/>
      <c r="AY17" s="41">
        <f t="shared" ref="AY17:BK17" si="29">AY16*419660</f>
        <v>16867.13903</v>
      </c>
      <c r="AZ17" s="42">
        <f t="shared" si="29"/>
        <v>60461.25202</v>
      </c>
      <c r="BA17" s="42">
        <f t="shared" si="29"/>
        <v>50353.37092</v>
      </c>
      <c r="BB17" s="42">
        <f t="shared" si="29"/>
        <v>50353.37092</v>
      </c>
      <c r="BC17">
        <f t="shared" si="29"/>
        <v>23099.29885</v>
      </c>
      <c r="BD17" s="42">
        <f t="shared" si="29"/>
        <v>33238.18573</v>
      </c>
      <c r="BE17" s="41">
        <f t="shared" si="29"/>
        <v>50663.42862</v>
      </c>
      <c r="BF17" s="42">
        <f t="shared" si="29"/>
        <v>33579.2492</v>
      </c>
      <c r="BG17" s="42">
        <f t="shared" si="29"/>
        <v>22913.26423</v>
      </c>
      <c r="BH17" s="42">
        <f t="shared" si="29"/>
        <v>30695.71257</v>
      </c>
      <c r="BI17" s="42">
        <f t="shared" si="29"/>
        <v>15654.81341</v>
      </c>
      <c r="BJ17" s="42">
        <f t="shared" si="29"/>
        <v>18014.35253</v>
      </c>
      <c r="BK17" s="42">
        <f t="shared" si="29"/>
        <v>13766.562</v>
      </c>
      <c r="BL17">
        <f>SUM(AY17:BJ17)</f>
        <v>405893.438</v>
      </c>
    </row>
    <row r="18">
      <c r="K18" s="12" t="s">
        <v>2768</v>
      </c>
      <c r="L18" s="43" t="s">
        <v>2769</v>
      </c>
      <c r="M18" s="43">
        <f>M10*0.8</f>
        <v>1384000</v>
      </c>
      <c r="N18" s="30">
        <f t="shared" ref="N18:N19" si="30">M18*0.1</f>
        <v>138400</v>
      </c>
      <c r="O18" s="44">
        <f t="shared" ref="O18:O19" si="31">SUM(M18:N18)</f>
        <v>1522400</v>
      </c>
      <c r="R18" s="2"/>
      <c r="S18" s="2"/>
      <c r="T18" s="2"/>
      <c r="BC18" s="42">
        <f>BC17-BC14</f>
        <v>16530.40227</v>
      </c>
      <c r="BE18" s="42">
        <f>BE17+AY17</f>
        <v>67530.56764</v>
      </c>
    </row>
    <row r="19">
      <c r="K19" s="27"/>
      <c r="L19" s="2" t="s">
        <v>2770</v>
      </c>
      <c r="M19" s="2">
        <f>M10*0.2</f>
        <v>346000</v>
      </c>
      <c r="N19">
        <f t="shared" si="30"/>
        <v>34600</v>
      </c>
      <c r="O19" s="26">
        <f t="shared" si="31"/>
        <v>380600</v>
      </c>
      <c r="R19" s="2">
        <v>2016.0</v>
      </c>
      <c r="S19" s="2" t="s">
        <v>2771</v>
      </c>
      <c r="T19" s="2" t="s">
        <v>2772</v>
      </c>
      <c r="U19">
        <f>U8-U4</f>
        <v>1442</v>
      </c>
      <c r="W19">
        <f>W8-W4</f>
        <v>1501</v>
      </c>
      <c r="Y19">
        <f>Y8-Y4</f>
        <v>349</v>
      </c>
      <c r="AA19">
        <f>AA8-AA4</f>
        <v>576</v>
      </c>
      <c r="AC19">
        <f>AC8-AC4</f>
        <v>570</v>
      </c>
      <c r="AE19">
        <f>AE8-AE4</f>
        <v>650</v>
      </c>
      <c r="AH19">
        <f>AH8-AH4</f>
        <v>274</v>
      </c>
      <c r="AI19">
        <f>SUM(U19:AH19)</f>
        <v>5362</v>
      </c>
    </row>
    <row r="20">
      <c r="K20" s="16"/>
      <c r="L20" s="29"/>
      <c r="M20" s="29">
        <f t="shared" ref="M20:O20" si="32">SUM(M18:M19)</f>
        <v>1730000</v>
      </c>
      <c r="N20" s="29">
        <f t="shared" si="32"/>
        <v>173000</v>
      </c>
      <c r="O20" s="29">
        <f t="shared" si="32"/>
        <v>1903000</v>
      </c>
      <c r="R20" s="2"/>
      <c r="S20" s="2" t="s">
        <v>2773</v>
      </c>
      <c r="T20" s="2" t="s">
        <v>2774</v>
      </c>
      <c r="W20">
        <f>W9-W7</f>
        <v>910</v>
      </c>
      <c r="AE20">
        <f>AE9-AE7</f>
        <v>155</v>
      </c>
      <c r="AG20">
        <f>AG8-AG4</f>
        <v>0</v>
      </c>
      <c r="AV20" s="2">
        <v>400700.0</v>
      </c>
      <c r="AX20" s="2" t="s">
        <v>2749</v>
      </c>
      <c r="AY20">
        <v>0.04019239152117858</v>
      </c>
      <c r="AZ20">
        <v>0.1440719916659894</v>
      </c>
      <c r="BA20">
        <v>0.11998610998234195</v>
      </c>
      <c r="BB20">
        <v>0.11998610998234195</v>
      </c>
      <c r="BC20">
        <v>0.055042889123672875</v>
      </c>
      <c r="BD20">
        <v>0.07920265387996957</v>
      </c>
      <c r="BE20">
        <v>0.1207249407088342</v>
      </c>
      <c r="BF20">
        <v>0.08001536767911104</v>
      </c>
      <c r="BG20">
        <v>0.054599590687777526</v>
      </c>
      <c r="BH20">
        <v>0.07314424192273308</v>
      </c>
      <c r="BI20">
        <v>0.037303563380593874</v>
      </c>
      <c r="BJ20">
        <v>0.04292606520919992</v>
      </c>
      <c r="BK20">
        <v>0.03280408425625605</v>
      </c>
      <c r="BL20">
        <f t="shared" ref="BL20:BL21" si="34">SUM(AY20:BK20)</f>
        <v>1</v>
      </c>
    </row>
    <row r="21">
      <c r="K21" s="45" t="s">
        <v>2775</v>
      </c>
      <c r="L21" s="9" t="s">
        <v>2776</v>
      </c>
      <c r="M21" s="10" t="s">
        <v>2777</v>
      </c>
      <c r="N21" s="2" t="s">
        <v>2737</v>
      </c>
      <c r="R21" s="2"/>
      <c r="S21" s="19" t="s">
        <v>2773</v>
      </c>
      <c r="T21" s="19" t="s">
        <v>2778</v>
      </c>
      <c r="U21" s="19">
        <v>0.0</v>
      </c>
      <c r="V21" s="19">
        <v>1442.0</v>
      </c>
      <c r="W21" s="15">
        <f>W9-W5</f>
        <v>1163</v>
      </c>
      <c r="X21" s="15">
        <f>W19-W21</f>
        <v>338</v>
      </c>
      <c r="Y21" s="15">
        <f>Y19*Y1/(Y1+Z1)</f>
        <v>143.0957622</v>
      </c>
      <c r="Z21" s="15">
        <f>Y19*Z1/(Y1+Z1)</f>
        <v>205.9042378</v>
      </c>
      <c r="AA21" s="19">
        <v>0.0</v>
      </c>
      <c r="AB21" s="19">
        <v>576.0</v>
      </c>
      <c r="AC21" s="15">
        <f>AC19*AC1/(AC1+AD1)</f>
        <v>243.6263736</v>
      </c>
      <c r="AD21" s="15">
        <f>AC19*AD1/(AC1+AD1)</f>
        <v>326.3736264</v>
      </c>
      <c r="AE21" s="15">
        <f>AE9-AE5</f>
        <v>277</v>
      </c>
      <c r="AF21" s="15">
        <f>AE19-AE21-AG20</f>
        <v>373</v>
      </c>
      <c r="AG21" s="19">
        <v>0.0</v>
      </c>
      <c r="AH21" s="19">
        <v>274.0</v>
      </c>
      <c r="AI21">
        <f>SUM(U21:AH21)</f>
        <v>5362</v>
      </c>
      <c r="AJ21" s="2">
        <v>905170.0</v>
      </c>
      <c r="AK21" s="2">
        <v>2620.0</v>
      </c>
      <c r="AL21" s="2">
        <v>341632.0</v>
      </c>
      <c r="AM21" s="2">
        <v>6355.0</v>
      </c>
      <c r="AY21" s="41">
        <f t="shared" ref="AY21:BK21" si="33">AY20*400700</f>
        <v>16105.09128</v>
      </c>
      <c r="AZ21" s="41">
        <f t="shared" si="33"/>
        <v>57729.64706</v>
      </c>
      <c r="BA21" s="41">
        <f t="shared" si="33"/>
        <v>48078.43427</v>
      </c>
      <c r="BB21" s="41">
        <f t="shared" si="33"/>
        <v>48078.43427</v>
      </c>
      <c r="BC21" s="41">
        <f t="shared" si="33"/>
        <v>22055.68567</v>
      </c>
      <c r="BD21" s="41">
        <f t="shared" si="33"/>
        <v>31736.50341</v>
      </c>
      <c r="BE21" s="41">
        <f t="shared" si="33"/>
        <v>48374.48374</v>
      </c>
      <c r="BF21" s="41">
        <f t="shared" si="33"/>
        <v>32062.15783</v>
      </c>
      <c r="BG21" s="41">
        <f t="shared" si="33"/>
        <v>21878.05599</v>
      </c>
      <c r="BH21" s="41">
        <f t="shared" si="33"/>
        <v>29308.89774</v>
      </c>
      <c r="BI21" s="41">
        <f t="shared" si="33"/>
        <v>14947.53785</v>
      </c>
      <c r="BJ21" s="41">
        <f t="shared" si="33"/>
        <v>17200.47433</v>
      </c>
      <c r="BK21" s="41">
        <f t="shared" si="33"/>
        <v>13144.59656</v>
      </c>
      <c r="BL21">
        <f t="shared" si="34"/>
        <v>400700</v>
      </c>
    </row>
    <row r="22">
      <c r="H22" s="2" t="s">
        <v>2779</v>
      </c>
      <c r="R22" s="2"/>
      <c r="S22" s="2" t="s">
        <v>2771</v>
      </c>
      <c r="T22" s="2" t="s">
        <v>2780</v>
      </c>
      <c r="U22">
        <f t="shared" ref="U22:U23" si="35">U10-U8</f>
        <v>484</v>
      </c>
      <c r="W22">
        <f>W10-W8</f>
        <v>279</v>
      </c>
      <c r="BE22" s="42">
        <f>BE21+AY21</f>
        <v>64479.57502</v>
      </c>
    </row>
    <row r="23">
      <c r="B23" s="2" t="s">
        <v>2781</v>
      </c>
      <c r="C23" s="2" t="s">
        <v>2756</v>
      </c>
      <c r="D23" s="2">
        <v>1600000.0</v>
      </c>
      <c r="E23" s="2">
        <v>2300000.0</v>
      </c>
      <c r="F23" s="2">
        <v>1600000.0</v>
      </c>
      <c r="G23" s="2">
        <v>1800000.0</v>
      </c>
      <c r="H23" s="2">
        <v>1800000.0</v>
      </c>
      <c r="J23" s="2">
        <v>2200000.0</v>
      </c>
      <c r="K23" s="2">
        <v>2300000.0</v>
      </c>
      <c r="L23" s="2">
        <v>1750000.0</v>
      </c>
      <c r="M23" s="2">
        <v>1730000.0</v>
      </c>
      <c r="N23" s="2">
        <v>1300000.0</v>
      </c>
      <c r="O23" s="2"/>
      <c r="P23">
        <f>SUM(C23:O23)</f>
        <v>18380000</v>
      </c>
      <c r="R23" s="2"/>
      <c r="S23" s="2" t="s">
        <v>2773</v>
      </c>
      <c r="T23" s="2" t="s">
        <v>2782</v>
      </c>
      <c r="U23">
        <f t="shared" si="35"/>
        <v>2</v>
      </c>
      <c r="V23">
        <f>V11-V9</f>
        <v>447</v>
      </c>
    </row>
    <row r="24">
      <c r="B24" s="2" t="s">
        <v>2737</v>
      </c>
      <c r="C24" s="2"/>
      <c r="D24" s="2">
        <f t="shared" ref="D24:H24" si="36">D23*0.1</f>
        <v>160000</v>
      </c>
      <c r="E24" s="2">
        <f t="shared" si="36"/>
        <v>230000</v>
      </c>
      <c r="F24" s="2">
        <f t="shared" si="36"/>
        <v>160000</v>
      </c>
      <c r="G24" s="2">
        <f t="shared" si="36"/>
        <v>180000</v>
      </c>
      <c r="H24" s="2">
        <f t="shared" si="36"/>
        <v>180000</v>
      </c>
      <c r="I24" s="2"/>
      <c r="J24" s="2">
        <f t="shared" ref="J24:N24" si="37">J23*0.1</f>
        <v>220000</v>
      </c>
      <c r="K24" s="2">
        <f t="shared" si="37"/>
        <v>230000</v>
      </c>
      <c r="L24" s="2">
        <f t="shared" si="37"/>
        <v>175000</v>
      </c>
      <c r="M24" s="2">
        <f t="shared" si="37"/>
        <v>173000</v>
      </c>
      <c r="N24" s="2">
        <f t="shared" si="37"/>
        <v>130000</v>
      </c>
      <c r="O24" s="2"/>
      <c r="P24" s="2">
        <f>P23*0.1</f>
        <v>1838000</v>
      </c>
    </row>
    <row r="25">
      <c r="B25" s="2" t="s">
        <v>2759</v>
      </c>
      <c r="D25">
        <f t="shared" ref="D25:N25" si="38">D23+D24</f>
        <v>1760000</v>
      </c>
      <c r="E25">
        <f t="shared" si="38"/>
        <v>2530000</v>
      </c>
      <c r="F25">
        <f t="shared" si="38"/>
        <v>1760000</v>
      </c>
      <c r="G25">
        <f t="shared" si="38"/>
        <v>1980000</v>
      </c>
      <c r="H25">
        <f t="shared" si="38"/>
        <v>1980000</v>
      </c>
      <c r="I25">
        <f t="shared" si="38"/>
        <v>0</v>
      </c>
      <c r="J25">
        <f t="shared" si="38"/>
        <v>2420000</v>
      </c>
      <c r="K25">
        <f t="shared" si="38"/>
        <v>2530000</v>
      </c>
      <c r="L25">
        <f t="shared" si="38"/>
        <v>1925000</v>
      </c>
      <c r="M25">
        <f t="shared" si="38"/>
        <v>1903000</v>
      </c>
      <c r="N25">
        <f t="shared" si="38"/>
        <v>1430000</v>
      </c>
      <c r="P25" s="15">
        <f>P23+P24</f>
        <v>20218000</v>
      </c>
      <c r="Q25" s="15">
        <f>SUM(P25,P26)</f>
        <v>21275025.61</v>
      </c>
      <c r="R25" s="2"/>
      <c r="S25" s="2" t="s">
        <v>2783</v>
      </c>
      <c r="T25" s="19" t="s">
        <v>2778</v>
      </c>
      <c r="U25">
        <f t="shared" ref="U25:AI25" si="39">905170*U21/5362</f>
        <v>0</v>
      </c>
      <c r="V25">
        <f t="shared" si="39"/>
        <v>243426.9191</v>
      </c>
      <c r="W25">
        <f t="shared" si="39"/>
        <v>196328.3681</v>
      </c>
      <c r="X25">
        <f t="shared" si="39"/>
        <v>57058.45953</v>
      </c>
      <c r="Y25">
        <f t="shared" si="39"/>
        <v>24156.28331</v>
      </c>
      <c r="Z25">
        <f t="shared" si="39"/>
        <v>34759.10833</v>
      </c>
      <c r="AA25">
        <f t="shared" si="39"/>
        <v>0</v>
      </c>
      <c r="AB25">
        <f t="shared" si="39"/>
        <v>97235.71802</v>
      </c>
      <c r="AC25">
        <f t="shared" si="39"/>
        <v>41127.05793</v>
      </c>
      <c r="AD25">
        <f t="shared" si="39"/>
        <v>55095.78802</v>
      </c>
      <c r="AE25">
        <f t="shared" si="39"/>
        <v>46760.92689</v>
      </c>
      <c r="AF25">
        <f t="shared" si="39"/>
        <v>62966.8799</v>
      </c>
      <c r="AG25">
        <f t="shared" si="39"/>
        <v>0</v>
      </c>
      <c r="AH25">
        <f t="shared" si="39"/>
        <v>46254.49086</v>
      </c>
      <c r="AI25">
        <f t="shared" si="39"/>
        <v>905170</v>
      </c>
    </row>
    <row r="26">
      <c r="B26" s="2" t="s">
        <v>2784</v>
      </c>
      <c r="C26" s="2" t="s">
        <v>2764</v>
      </c>
      <c r="D26">
        <v>151093.369806299</v>
      </c>
      <c r="E26" s="46">
        <v>254481.2760609197</v>
      </c>
      <c r="F26" s="46">
        <v>98382.7428655922</v>
      </c>
      <c r="G26" s="46">
        <v>51928.236433535414</v>
      </c>
      <c r="H26" s="46">
        <v>81177.15998817093</v>
      </c>
      <c r="J26" s="46">
        <v>106672.21100103504</v>
      </c>
      <c r="K26" s="46">
        <v>82225.81264154027</v>
      </c>
      <c r="L26" s="46">
        <v>107656.90597445855</v>
      </c>
      <c r="M26" s="46">
        <v>64597.5562620139</v>
      </c>
      <c r="N26" s="46">
        <v>58810.33609344965</v>
      </c>
      <c r="P26" s="15">
        <f>SUM(C26:O26)</f>
        <v>1057025.607</v>
      </c>
      <c r="Q26" s="15"/>
      <c r="R26" s="2"/>
      <c r="S26" s="2" t="s">
        <v>2785</v>
      </c>
      <c r="T26" s="47">
        <v>42652.0</v>
      </c>
      <c r="U26">
        <f t="shared" ref="U26:AI26" si="40">U25*2</f>
        <v>0</v>
      </c>
      <c r="V26">
        <f t="shared" si="40"/>
        <v>486853.8381</v>
      </c>
      <c r="W26">
        <f t="shared" si="40"/>
        <v>392656.7363</v>
      </c>
      <c r="X26">
        <f t="shared" si="40"/>
        <v>114116.9191</v>
      </c>
      <c r="Y26">
        <f t="shared" si="40"/>
        <v>48312.56662</v>
      </c>
      <c r="Z26">
        <f t="shared" si="40"/>
        <v>69518.21667</v>
      </c>
      <c r="AA26">
        <f t="shared" si="40"/>
        <v>0</v>
      </c>
      <c r="AB26">
        <f t="shared" si="40"/>
        <v>194471.436</v>
      </c>
      <c r="AC26">
        <f t="shared" si="40"/>
        <v>82254.11586</v>
      </c>
      <c r="AD26">
        <f t="shared" si="40"/>
        <v>110191.576</v>
      </c>
      <c r="AE26">
        <f t="shared" si="40"/>
        <v>93521.85379</v>
      </c>
      <c r="AF26">
        <f t="shared" si="40"/>
        <v>125933.7598</v>
      </c>
      <c r="AG26">
        <f t="shared" si="40"/>
        <v>0</v>
      </c>
      <c r="AH26">
        <f t="shared" si="40"/>
        <v>92508.98172</v>
      </c>
      <c r="AI26">
        <f t="shared" si="40"/>
        <v>1810340</v>
      </c>
    </row>
    <row r="27">
      <c r="D27">
        <f t="shared" ref="D27:N27" si="41">D26-D28</f>
        <v>137357.6089</v>
      </c>
      <c r="E27">
        <f t="shared" si="41"/>
        <v>231346.6146</v>
      </c>
      <c r="F27">
        <f t="shared" si="41"/>
        <v>89438.85715</v>
      </c>
      <c r="G27">
        <f t="shared" si="41"/>
        <v>47207.48767</v>
      </c>
      <c r="H27">
        <f t="shared" si="41"/>
        <v>73797.41817</v>
      </c>
      <c r="I27">
        <f t="shared" si="41"/>
        <v>0</v>
      </c>
      <c r="J27">
        <f t="shared" si="41"/>
        <v>96974.73727</v>
      </c>
      <c r="K27">
        <f t="shared" si="41"/>
        <v>74750.73877</v>
      </c>
      <c r="L27">
        <f t="shared" si="41"/>
        <v>97869.91452</v>
      </c>
      <c r="M27">
        <f t="shared" si="41"/>
        <v>58725.05115</v>
      </c>
      <c r="N27">
        <f t="shared" si="41"/>
        <v>53463.9419</v>
      </c>
      <c r="P27">
        <f>P26-P28</f>
        <v>960932.3701</v>
      </c>
      <c r="V27" s="2" t="s">
        <v>2786</v>
      </c>
      <c r="AH27" s="2" t="s">
        <v>2787</v>
      </c>
    </row>
    <row r="28">
      <c r="B28" s="2" t="s">
        <v>2737</v>
      </c>
      <c r="D28">
        <f t="shared" ref="D28:N28" si="42">D26/11</f>
        <v>13735.76089</v>
      </c>
      <c r="E28">
        <f t="shared" si="42"/>
        <v>23134.66146</v>
      </c>
      <c r="F28">
        <f t="shared" si="42"/>
        <v>8943.885715</v>
      </c>
      <c r="G28">
        <f t="shared" si="42"/>
        <v>4720.748767</v>
      </c>
      <c r="H28">
        <f t="shared" si="42"/>
        <v>7379.741817</v>
      </c>
      <c r="I28">
        <f t="shared" si="42"/>
        <v>0</v>
      </c>
      <c r="J28">
        <f t="shared" si="42"/>
        <v>9697.473727</v>
      </c>
      <c r="K28">
        <f t="shared" si="42"/>
        <v>7475.073877</v>
      </c>
      <c r="L28">
        <f t="shared" si="42"/>
        <v>9786.991452</v>
      </c>
      <c r="M28">
        <f t="shared" si="42"/>
        <v>5872.505115</v>
      </c>
      <c r="N28">
        <f t="shared" si="42"/>
        <v>5346.39419</v>
      </c>
      <c r="P28">
        <f>P26/11</f>
        <v>96093.23701</v>
      </c>
      <c r="R28" s="2"/>
      <c r="S28" s="2" t="s">
        <v>2783</v>
      </c>
      <c r="T28" s="2" t="s">
        <v>2788</v>
      </c>
      <c r="U28" s="15"/>
      <c r="V28" s="19">
        <v>200000.0</v>
      </c>
      <c r="W28" s="15">
        <v>196328.3681462141</v>
      </c>
      <c r="X28" s="15">
        <v>57058.459530026106</v>
      </c>
      <c r="Y28" s="15">
        <f t="shared" ref="Y28:Z28" si="43">Y25+6608</f>
        <v>30764.28331</v>
      </c>
      <c r="Z28" s="15">
        <f t="shared" si="43"/>
        <v>41367.10833</v>
      </c>
      <c r="AA28" s="15"/>
      <c r="AB28" s="15">
        <f t="shared" ref="AB28:AF28" si="44">AB25+6608</f>
        <v>103843.718</v>
      </c>
      <c r="AC28" s="15">
        <f t="shared" si="44"/>
        <v>47735.05793</v>
      </c>
      <c r="AD28" s="15">
        <f t="shared" si="44"/>
        <v>61703.78802</v>
      </c>
      <c r="AE28" s="15">
        <f t="shared" si="44"/>
        <v>53368.92689</v>
      </c>
      <c r="AF28" s="15">
        <f t="shared" si="44"/>
        <v>69574.8799</v>
      </c>
      <c r="AH28">
        <f t="shared" ref="AH28:AH29" si="48">AH25/7</f>
        <v>6607.784409</v>
      </c>
      <c r="AI28">
        <f t="shared" ref="AI28:AI29" si="49">SUM(V28:AG28)</f>
        <v>861744.5901</v>
      </c>
    </row>
    <row r="29">
      <c r="B29" s="19" t="s">
        <v>2767</v>
      </c>
      <c r="C29" s="15"/>
      <c r="D29" s="15">
        <f t="shared" ref="D29:O29" si="45">SUM(D25,D26)</f>
        <v>1911093.37</v>
      </c>
      <c r="E29" s="15">
        <f t="shared" si="45"/>
        <v>2784481.276</v>
      </c>
      <c r="F29" s="15">
        <f t="shared" si="45"/>
        <v>1858382.743</v>
      </c>
      <c r="G29" s="15">
        <f t="shared" si="45"/>
        <v>2031928.236</v>
      </c>
      <c r="H29" s="15">
        <f t="shared" si="45"/>
        <v>2061177.16</v>
      </c>
      <c r="I29" s="15">
        <f t="shared" si="45"/>
        <v>0</v>
      </c>
      <c r="J29" s="15">
        <f t="shared" si="45"/>
        <v>2526672.211</v>
      </c>
      <c r="K29" s="15">
        <f t="shared" si="45"/>
        <v>2612225.813</v>
      </c>
      <c r="L29" s="15">
        <f t="shared" si="45"/>
        <v>2032656.906</v>
      </c>
      <c r="M29" s="15">
        <f t="shared" si="45"/>
        <v>1967597.556</v>
      </c>
      <c r="N29" s="15">
        <f t="shared" si="45"/>
        <v>1488810.336</v>
      </c>
      <c r="O29" s="15">
        <f t="shared" si="45"/>
        <v>0</v>
      </c>
      <c r="P29">
        <f t="shared" ref="P29:P31" si="50">SUM(C29:O29)</f>
        <v>21275025.61</v>
      </c>
      <c r="R29" s="2"/>
      <c r="S29" s="2" t="s">
        <v>2785</v>
      </c>
      <c r="V29" s="2">
        <v>400000.0</v>
      </c>
      <c r="W29">
        <v>392656.7362924282</v>
      </c>
      <c r="X29">
        <v>114116.91906005221</v>
      </c>
      <c r="Y29">
        <f t="shared" ref="Y29:Z29" si="46">Y26+13216</f>
        <v>61528.56662</v>
      </c>
      <c r="Z29">
        <f t="shared" si="46"/>
        <v>82734.21667</v>
      </c>
      <c r="AB29">
        <f t="shared" ref="AB29:AF29" si="47">AB26+13216</f>
        <v>207687.436</v>
      </c>
      <c r="AC29">
        <f t="shared" si="47"/>
        <v>95470.11586</v>
      </c>
      <c r="AD29">
        <f t="shared" si="47"/>
        <v>123407.576</v>
      </c>
      <c r="AE29">
        <f t="shared" si="47"/>
        <v>106737.8538</v>
      </c>
      <c r="AF29">
        <f t="shared" si="47"/>
        <v>139149.7598</v>
      </c>
      <c r="AH29">
        <f t="shared" si="48"/>
        <v>13215.56882</v>
      </c>
      <c r="AI29">
        <f t="shared" si="49"/>
        <v>1723489.18</v>
      </c>
    </row>
    <row r="30">
      <c r="B30" s="2" t="s">
        <v>2789</v>
      </c>
      <c r="D30" s="46">
        <v>122082.94770409333</v>
      </c>
      <c r="E30" s="46">
        <v>101673.18311356285</v>
      </c>
      <c r="F30" s="46">
        <v>101673.18311356285</v>
      </c>
      <c r="G30" s="46">
        <v>46641.946686948475</v>
      </c>
      <c r="H30" s="46">
        <v>67114.3179173272</v>
      </c>
      <c r="J30" s="46">
        <v>67802.99095565798</v>
      </c>
      <c r="K30" s="46">
        <v>46266.306847858956</v>
      </c>
      <c r="L30" s="46">
        <v>61980.573449770454</v>
      </c>
      <c r="M30" s="46">
        <v>31610.09245938293</v>
      </c>
      <c r="N30" s="46">
        <v>36374.45775183498</v>
      </c>
      <c r="P30">
        <f t="shared" si="50"/>
        <v>683220</v>
      </c>
    </row>
    <row r="31">
      <c r="B31" s="19" t="s">
        <v>2790</v>
      </c>
      <c r="C31" s="15"/>
      <c r="D31" s="19">
        <f t="shared" ref="D31:N31" si="51">SUM(D29:D30)</f>
        <v>2033176.318</v>
      </c>
      <c r="E31" s="19">
        <f t="shared" si="51"/>
        <v>2886154.459</v>
      </c>
      <c r="F31" s="19">
        <f t="shared" si="51"/>
        <v>1960055.926</v>
      </c>
      <c r="G31" s="19">
        <f t="shared" si="51"/>
        <v>2078570.183</v>
      </c>
      <c r="H31" s="19">
        <f t="shared" si="51"/>
        <v>2128291.478</v>
      </c>
      <c r="I31" s="19">
        <f t="shared" si="51"/>
        <v>0</v>
      </c>
      <c r="J31" s="19">
        <f t="shared" si="51"/>
        <v>2594475.202</v>
      </c>
      <c r="K31" s="19">
        <f t="shared" si="51"/>
        <v>2658492.119</v>
      </c>
      <c r="L31" s="19">
        <f t="shared" si="51"/>
        <v>2094637.479</v>
      </c>
      <c r="M31" s="19">
        <f t="shared" si="51"/>
        <v>1999207.649</v>
      </c>
      <c r="N31" s="19">
        <f t="shared" si="51"/>
        <v>1525184.794</v>
      </c>
      <c r="O31" s="15"/>
      <c r="P31">
        <f t="shared" si="50"/>
        <v>21958245.61</v>
      </c>
    </row>
    <row r="32">
      <c r="D32" s="2" t="s">
        <v>2791</v>
      </c>
      <c r="E32" s="2" t="s">
        <v>2792</v>
      </c>
      <c r="F32" s="2" t="s">
        <v>2791</v>
      </c>
      <c r="G32" s="2" t="s">
        <v>2793</v>
      </c>
      <c r="H32" s="2" t="s">
        <v>2791</v>
      </c>
      <c r="J32" s="2" t="s">
        <v>2791</v>
      </c>
      <c r="K32" s="2" t="s">
        <v>2791</v>
      </c>
      <c r="L32" s="2" t="s">
        <v>2791</v>
      </c>
      <c r="M32" s="2" t="s">
        <v>2791</v>
      </c>
      <c r="N32" s="2" t="s">
        <v>2791</v>
      </c>
    </row>
    <row r="33">
      <c r="K33" s="12" t="s">
        <v>2768</v>
      </c>
      <c r="L33" s="43" t="s">
        <v>2769</v>
      </c>
      <c r="M33" s="43">
        <f>M23*0.8</f>
        <v>1384000</v>
      </c>
      <c r="N33" s="30">
        <f t="shared" ref="N33:N34" si="53">M33*0.1</f>
        <v>138400</v>
      </c>
      <c r="O33" s="44">
        <f t="shared" ref="O33:O34" si="54">SUM(M33:N33)</f>
        <v>1522400</v>
      </c>
      <c r="R33" s="2">
        <v>2016.0</v>
      </c>
      <c r="S33" s="2" t="s">
        <v>2771</v>
      </c>
      <c r="T33" s="2" t="s">
        <v>2794</v>
      </c>
      <c r="U33">
        <f t="shared" ref="U33:AH33" si="52">U12-U8</f>
        <v>1042</v>
      </c>
      <c r="V33">
        <f t="shared" si="52"/>
        <v>0</v>
      </c>
      <c r="W33">
        <f t="shared" si="52"/>
        <v>629</v>
      </c>
      <c r="X33">
        <f t="shared" si="52"/>
        <v>0</v>
      </c>
      <c r="Y33">
        <f t="shared" si="52"/>
        <v>757</v>
      </c>
      <c r="Z33">
        <f t="shared" si="52"/>
        <v>0</v>
      </c>
      <c r="AA33">
        <f t="shared" si="52"/>
        <v>635</v>
      </c>
      <c r="AB33">
        <f t="shared" si="52"/>
        <v>0</v>
      </c>
      <c r="AC33">
        <f t="shared" si="52"/>
        <v>1120</v>
      </c>
      <c r="AD33">
        <f t="shared" si="52"/>
        <v>0</v>
      </c>
      <c r="AE33">
        <f t="shared" si="52"/>
        <v>695</v>
      </c>
      <c r="AF33">
        <f t="shared" si="52"/>
        <v>0</v>
      </c>
      <c r="AG33">
        <f t="shared" si="52"/>
        <v>0</v>
      </c>
      <c r="AH33">
        <f t="shared" si="52"/>
        <v>329</v>
      </c>
      <c r="AI33">
        <f t="shared" ref="AI33:AI34" si="56">SUM(U33:AH33)</f>
        <v>5207</v>
      </c>
    </row>
    <row r="34">
      <c r="K34" s="27"/>
      <c r="L34" s="2" t="s">
        <v>2770</v>
      </c>
      <c r="M34" s="2">
        <f>M23*0.2</f>
        <v>346000</v>
      </c>
      <c r="N34">
        <f t="shared" si="53"/>
        <v>34600</v>
      </c>
      <c r="O34" s="26">
        <f t="shared" si="54"/>
        <v>380600</v>
      </c>
      <c r="S34" s="48" t="s">
        <v>2773</v>
      </c>
      <c r="T34" s="29"/>
      <c r="U34" s="29">
        <f t="shared" ref="U34:W34" si="55">U13-U9</f>
        <v>5</v>
      </c>
      <c r="V34" s="29">
        <f t="shared" si="55"/>
        <v>966</v>
      </c>
      <c r="W34" s="29">
        <f t="shared" si="55"/>
        <v>1627</v>
      </c>
      <c r="X34" s="48">
        <v>629.0</v>
      </c>
      <c r="Y34" s="29">
        <f>Y13-Y9</f>
        <v>285</v>
      </c>
      <c r="Z34" s="29">
        <f>Y33-Y34</f>
        <v>472</v>
      </c>
      <c r="AA34" s="29">
        <f>AA13-AA9</f>
        <v>0</v>
      </c>
      <c r="AB34" s="29">
        <f>AA33-AA34</f>
        <v>635</v>
      </c>
      <c r="AC34" s="29">
        <f>AC33*AC1/(AC1+AD1)</f>
        <v>478.7044534</v>
      </c>
      <c r="AD34" s="29">
        <f>AC33*AD1/(AD1+AC1)</f>
        <v>641.2955466</v>
      </c>
      <c r="AE34" s="29">
        <f>AE13-AE9</f>
        <v>366</v>
      </c>
      <c r="AF34" s="29">
        <f>AE33-AE34</f>
        <v>329</v>
      </c>
      <c r="AG34" s="29">
        <f>AG13-AG9</f>
        <v>0</v>
      </c>
      <c r="AH34" s="48">
        <v>329.0</v>
      </c>
      <c r="AI34" s="29">
        <f t="shared" si="56"/>
        <v>6763</v>
      </c>
    </row>
    <row r="35">
      <c r="K35" s="16"/>
      <c r="L35" s="29"/>
      <c r="M35" s="29">
        <f t="shared" ref="M35:O35" si="57">SUM(M33:M34)</f>
        <v>1730000</v>
      </c>
      <c r="N35" s="29">
        <f t="shared" si="57"/>
        <v>173000</v>
      </c>
      <c r="O35" s="29">
        <f t="shared" si="57"/>
        <v>1903000</v>
      </c>
      <c r="AJ35" s="2">
        <v>1055310.0</v>
      </c>
      <c r="AK35" s="2">
        <v>2500.0</v>
      </c>
      <c r="AL35">
        <f>AL36-AL21</f>
        <v>7352</v>
      </c>
    </row>
    <row r="36">
      <c r="I36" s="2" t="s">
        <v>2795</v>
      </c>
      <c r="K36" s="45" t="s">
        <v>2775</v>
      </c>
      <c r="L36" s="9" t="s">
        <v>2776</v>
      </c>
      <c r="M36" s="10" t="s">
        <v>2796</v>
      </c>
      <c r="N36" s="2" t="s">
        <v>2737</v>
      </c>
      <c r="U36" s="15">
        <f t="shared" ref="U36:AI36" si="58">1057810*U34/6763</f>
        <v>782.0567795</v>
      </c>
      <c r="V36" s="15">
        <f t="shared" si="58"/>
        <v>151093.3698</v>
      </c>
      <c r="W36" s="15">
        <f t="shared" si="58"/>
        <v>254481.2761</v>
      </c>
      <c r="X36" s="15">
        <f t="shared" si="58"/>
        <v>98382.74287</v>
      </c>
      <c r="Y36">
        <f t="shared" si="58"/>
        <v>44577.23643</v>
      </c>
      <c r="Z36">
        <f t="shared" si="58"/>
        <v>73826.15999</v>
      </c>
      <c r="AA36">
        <f t="shared" si="58"/>
        <v>0</v>
      </c>
      <c r="AB36">
        <f t="shared" si="58"/>
        <v>99321.211</v>
      </c>
      <c r="AC36">
        <f t="shared" si="58"/>
        <v>74874.81264</v>
      </c>
      <c r="AD36">
        <f t="shared" si="58"/>
        <v>100305.906</v>
      </c>
      <c r="AE36">
        <f t="shared" si="58"/>
        <v>57246.55626</v>
      </c>
      <c r="AF36">
        <f t="shared" si="58"/>
        <v>51459.33609</v>
      </c>
      <c r="AG36">
        <f t="shared" si="58"/>
        <v>0</v>
      </c>
      <c r="AH36">
        <f t="shared" si="58"/>
        <v>51459.33609</v>
      </c>
      <c r="AI36">
        <f t="shared" si="58"/>
        <v>1057810</v>
      </c>
      <c r="AJ36" s="2">
        <v>1057810.0</v>
      </c>
      <c r="AL36" s="2">
        <v>348984.0</v>
      </c>
      <c r="AM36" s="2">
        <v>7352.0</v>
      </c>
    </row>
    <row r="37">
      <c r="I37" s="2" t="s">
        <v>2797</v>
      </c>
      <c r="K37" s="2" t="s">
        <v>2798</v>
      </c>
      <c r="V37">
        <v>151093.369806299</v>
      </c>
      <c r="W37">
        <v>254481.2760609197</v>
      </c>
      <c r="X37">
        <v>98382.7428655922</v>
      </c>
      <c r="Y37" s="15">
        <f t="shared" ref="Y37:Z37" si="59">Y36+7351</f>
        <v>51928.23643</v>
      </c>
      <c r="Z37" s="15">
        <f t="shared" si="59"/>
        <v>81177.15999</v>
      </c>
      <c r="AA37" s="15"/>
      <c r="AB37" s="15">
        <f t="shared" ref="AB37:AF37" si="60">AB36+7351</f>
        <v>106672.211</v>
      </c>
      <c r="AC37" s="15">
        <f t="shared" si="60"/>
        <v>82225.81264</v>
      </c>
      <c r="AD37" s="15">
        <f t="shared" si="60"/>
        <v>107656.906</v>
      </c>
      <c r="AE37" s="15">
        <f t="shared" si="60"/>
        <v>64597.55626</v>
      </c>
      <c r="AF37" s="15">
        <f t="shared" si="60"/>
        <v>58810.33609</v>
      </c>
      <c r="AH37">
        <f>AH36/7</f>
        <v>7351.333728</v>
      </c>
      <c r="AI37">
        <f>SUM(V37:AF37)</f>
        <v>1057025.607</v>
      </c>
      <c r="AJ37" s="2" t="s">
        <v>2787</v>
      </c>
    </row>
    <row r="38">
      <c r="B38" s="2" t="s">
        <v>2799</v>
      </c>
      <c r="C38" s="2" t="s">
        <v>2756</v>
      </c>
      <c r="D38" s="2">
        <v>1600000.0</v>
      </c>
      <c r="E38" s="2">
        <v>2300000.0</v>
      </c>
      <c r="F38" s="2">
        <v>1600000.0</v>
      </c>
      <c r="G38" s="2">
        <v>1800000.0</v>
      </c>
      <c r="H38" s="2">
        <v>1900000.0</v>
      </c>
      <c r="J38" s="2">
        <v>2200000.0</v>
      </c>
      <c r="K38" s="2">
        <v>2300000.0</v>
      </c>
      <c r="L38" s="2">
        <v>1750000.0</v>
      </c>
      <c r="M38" s="2">
        <v>1730000.0</v>
      </c>
      <c r="N38" s="2">
        <v>1300000.0</v>
      </c>
      <c r="P38">
        <f>SUM(C38:O38)</f>
        <v>18480000</v>
      </c>
    </row>
    <row r="39">
      <c r="B39" s="2" t="s">
        <v>2737</v>
      </c>
      <c r="C39" s="2"/>
      <c r="D39" s="2">
        <f t="shared" ref="D39:H39" si="61">D38*0.1</f>
        <v>160000</v>
      </c>
      <c r="E39" s="2">
        <f t="shared" si="61"/>
        <v>230000</v>
      </c>
      <c r="F39" s="2">
        <f t="shared" si="61"/>
        <v>160000</v>
      </c>
      <c r="G39" s="2">
        <f t="shared" si="61"/>
        <v>180000</v>
      </c>
      <c r="H39" s="2">
        <f t="shared" si="61"/>
        <v>190000</v>
      </c>
      <c r="I39" s="2"/>
      <c r="J39" s="2">
        <f t="shared" ref="J39:N39" si="62">J38*0.1</f>
        <v>220000</v>
      </c>
      <c r="K39" s="2">
        <f t="shared" si="62"/>
        <v>230000</v>
      </c>
      <c r="L39" s="2">
        <f t="shared" si="62"/>
        <v>175000</v>
      </c>
      <c r="M39" s="2">
        <f t="shared" si="62"/>
        <v>173000</v>
      </c>
      <c r="N39" s="2">
        <f t="shared" si="62"/>
        <v>130000</v>
      </c>
      <c r="P39" s="2">
        <f>P38*0.1</f>
        <v>1848000</v>
      </c>
      <c r="T39" s="2" t="s">
        <v>1835</v>
      </c>
      <c r="U39" s="2">
        <v>4274.0</v>
      </c>
      <c r="W39" s="2">
        <v>9059.0</v>
      </c>
      <c r="Y39" s="2">
        <v>43298.0</v>
      </c>
      <c r="AA39" s="2">
        <v>30355.0</v>
      </c>
      <c r="AC39" s="2">
        <v>45420.0</v>
      </c>
      <c r="AE39" s="2">
        <v>73063.0</v>
      </c>
      <c r="AH39" s="2">
        <v>2330.0</v>
      </c>
    </row>
    <row r="40">
      <c r="B40" s="2" t="s">
        <v>2759</v>
      </c>
      <c r="D40">
        <f t="shared" ref="D40:N40" si="63">D38+D39</f>
        <v>1760000</v>
      </c>
      <c r="E40">
        <f t="shared" si="63"/>
        <v>2530000</v>
      </c>
      <c r="F40">
        <f t="shared" si="63"/>
        <v>1760000</v>
      </c>
      <c r="G40">
        <f t="shared" si="63"/>
        <v>1980000</v>
      </c>
      <c r="H40">
        <f t="shared" si="63"/>
        <v>2090000</v>
      </c>
      <c r="I40">
        <f t="shared" si="63"/>
        <v>0</v>
      </c>
      <c r="J40">
        <f t="shared" si="63"/>
        <v>2420000</v>
      </c>
      <c r="K40">
        <f t="shared" si="63"/>
        <v>2530000</v>
      </c>
      <c r="L40">
        <f t="shared" si="63"/>
        <v>1925000</v>
      </c>
      <c r="M40">
        <f t="shared" si="63"/>
        <v>1903000</v>
      </c>
      <c r="N40">
        <f t="shared" si="63"/>
        <v>1430000</v>
      </c>
      <c r="P40" s="15">
        <f>P38+P39</f>
        <v>20328000</v>
      </c>
      <c r="Q40" s="15">
        <f>SUM(P40,P41)</f>
        <v>21702481.39</v>
      </c>
      <c r="T40" s="2"/>
      <c r="U40" s="2">
        <v>3572.0</v>
      </c>
      <c r="V40" s="2">
        <v>9251.0</v>
      </c>
      <c r="W40" s="2">
        <v>30876.0</v>
      </c>
      <c r="Y40" s="2">
        <v>10393.0</v>
      </c>
      <c r="AA40" s="2">
        <v>34085.0</v>
      </c>
      <c r="AE40" s="2">
        <v>81832.0</v>
      </c>
      <c r="AG40" s="2">
        <v>4978.0</v>
      </c>
    </row>
    <row r="41">
      <c r="B41" s="2" t="s">
        <v>2784</v>
      </c>
      <c r="C41" s="15">
        <v>1623.9130434782608</v>
      </c>
      <c r="D41">
        <v>108477.39130434782</v>
      </c>
      <c r="E41">
        <v>321534.7826086957</v>
      </c>
      <c r="F41">
        <v>97110.0</v>
      </c>
      <c r="G41">
        <v>106668.08695652174</v>
      </c>
      <c r="H41">
        <v>141095.04347826086</v>
      </c>
      <c r="J41">
        <v>161231.5652173913</v>
      </c>
      <c r="K41">
        <v>110657.33407096335</v>
      </c>
      <c r="L41">
        <v>145712.53549425403</v>
      </c>
      <c r="M41">
        <v>83283.73913043478</v>
      </c>
      <c r="N41">
        <v>97087.0</v>
      </c>
      <c r="O41" s="1">
        <v>0.0</v>
      </c>
      <c r="P41" s="15">
        <f>SUM(C41:O41)</f>
        <v>1374481.391</v>
      </c>
    </row>
    <row r="42">
      <c r="D42">
        <f t="shared" ref="D42:N42" si="64">D41-D43</f>
        <v>98615.81028</v>
      </c>
      <c r="E42">
        <f t="shared" si="64"/>
        <v>292304.3478</v>
      </c>
      <c r="F42">
        <f t="shared" si="64"/>
        <v>88281.81818</v>
      </c>
      <c r="G42">
        <f t="shared" si="64"/>
        <v>96970.98814</v>
      </c>
      <c r="H42">
        <f t="shared" si="64"/>
        <v>128268.2213</v>
      </c>
      <c r="I42">
        <f t="shared" si="64"/>
        <v>0</v>
      </c>
      <c r="J42">
        <f t="shared" si="64"/>
        <v>146574.1502</v>
      </c>
      <c r="K42">
        <f t="shared" si="64"/>
        <v>100597.5764</v>
      </c>
      <c r="L42">
        <f t="shared" si="64"/>
        <v>132465.9414</v>
      </c>
      <c r="M42">
        <f t="shared" si="64"/>
        <v>75712.49012</v>
      </c>
      <c r="N42">
        <f t="shared" si="64"/>
        <v>88260.90909</v>
      </c>
      <c r="P42">
        <f>P41-P43</f>
        <v>1249528.538</v>
      </c>
      <c r="S42" s="2" t="s">
        <v>2771</v>
      </c>
      <c r="T42" s="2" t="s">
        <v>2800</v>
      </c>
      <c r="U42">
        <f t="shared" ref="U42:AH42" si="65">U39-U12</f>
        <v>844</v>
      </c>
      <c r="V42">
        <f t="shared" si="65"/>
        <v>0</v>
      </c>
      <c r="W42">
        <f t="shared" si="65"/>
        <v>589</v>
      </c>
      <c r="X42">
        <f t="shared" si="65"/>
        <v>0</v>
      </c>
      <c r="Y42">
        <f t="shared" si="65"/>
        <v>1434</v>
      </c>
      <c r="Z42">
        <f t="shared" si="65"/>
        <v>0</v>
      </c>
      <c r="AA42">
        <f t="shared" si="65"/>
        <v>947</v>
      </c>
      <c r="AB42">
        <f t="shared" si="65"/>
        <v>0</v>
      </c>
      <c r="AC42">
        <f t="shared" si="65"/>
        <v>1487</v>
      </c>
      <c r="AD42">
        <f t="shared" si="65"/>
        <v>0</v>
      </c>
      <c r="AE42">
        <f t="shared" si="65"/>
        <v>1019</v>
      </c>
      <c r="AF42">
        <f t="shared" si="65"/>
        <v>0</v>
      </c>
      <c r="AG42">
        <f t="shared" si="65"/>
        <v>0</v>
      </c>
      <c r="AH42">
        <f t="shared" si="65"/>
        <v>321</v>
      </c>
      <c r="AI42">
        <f t="shared" ref="AI42:AI43" si="68">SUM(U42:AH42)</f>
        <v>6641</v>
      </c>
    </row>
    <row r="43">
      <c r="B43" s="2" t="s">
        <v>2737</v>
      </c>
      <c r="D43">
        <f t="shared" ref="D43:N43" si="66">D41/11</f>
        <v>9861.581028</v>
      </c>
      <c r="E43">
        <f t="shared" si="66"/>
        <v>29230.43478</v>
      </c>
      <c r="F43">
        <f t="shared" si="66"/>
        <v>8828.181818</v>
      </c>
      <c r="G43">
        <f t="shared" si="66"/>
        <v>9697.098814</v>
      </c>
      <c r="H43">
        <f t="shared" si="66"/>
        <v>12826.82213</v>
      </c>
      <c r="I43">
        <f t="shared" si="66"/>
        <v>0</v>
      </c>
      <c r="J43">
        <f t="shared" si="66"/>
        <v>14657.41502</v>
      </c>
      <c r="K43">
        <f t="shared" si="66"/>
        <v>10059.75764</v>
      </c>
      <c r="L43">
        <f t="shared" si="66"/>
        <v>13246.59414</v>
      </c>
      <c r="M43">
        <f t="shared" si="66"/>
        <v>7571.249012</v>
      </c>
      <c r="N43">
        <f t="shared" si="66"/>
        <v>8826.090909</v>
      </c>
      <c r="P43">
        <f>P41/11</f>
        <v>124952.8538</v>
      </c>
      <c r="S43" s="48" t="s">
        <v>2773</v>
      </c>
      <c r="T43" s="29"/>
      <c r="U43" s="29">
        <f t="shared" ref="U43:W43" si="67">U40-U13</f>
        <v>10</v>
      </c>
      <c r="V43" s="29">
        <f t="shared" si="67"/>
        <v>668</v>
      </c>
      <c r="W43" s="29">
        <f t="shared" si="67"/>
        <v>1980</v>
      </c>
      <c r="X43" s="48">
        <v>598.0</v>
      </c>
      <c r="Y43" s="29">
        <f>Y40-Y13</f>
        <v>611</v>
      </c>
      <c r="Z43" s="29">
        <f>Y42-Y43</f>
        <v>823</v>
      </c>
      <c r="AA43" s="29">
        <f>AA40-AA13</f>
        <v>0</v>
      </c>
      <c r="AB43" s="29">
        <f>AA42-AA43</f>
        <v>947</v>
      </c>
      <c r="AC43" s="29">
        <f>AC42*73.9/(73.9+99)</f>
        <v>635.5656449</v>
      </c>
      <c r="AD43" s="29">
        <f>AC42*99/(73.9+99)</f>
        <v>851.4343551</v>
      </c>
      <c r="AE43" s="29">
        <f>AE40-AE13</f>
        <v>467</v>
      </c>
      <c r="AF43" s="29">
        <f>AE42-AE43</f>
        <v>552</v>
      </c>
      <c r="AG43" s="29">
        <f>AG40-AG13</f>
        <v>0</v>
      </c>
      <c r="AH43" s="48">
        <v>321.0</v>
      </c>
      <c r="AI43" s="29">
        <f t="shared" si="68"/>
        <v>8464</v>
      </c>
      <c r="AJ43" s="15">
        <f>1374480/8464</f>
        <v>162.3913043</v>
      </c>
    </row>
    <row r="44">
      <c r="B44" s="19" t="s">
        <v>2767</v>
      </c>
      <c r="C44" s="15">
        <v>1623.9130434782608</v>
      </c>
      <c r="D44" s="15">
        <f t="shared" ref="D44:N44" si="69">SUM(D40,D41)</f>
        <v>1868477.391</v>
      </c>
      <c r="E44" s="15">
        <f t="shared" si="69"/>
        <v>2851534.783</v>
      </c>
      <c r="F44" s="15">
        <f t="shared" si="69"/>
        <v>1857110</v>
      </c>
      <c r="G44" s="15">
        <f t="shared" si="69"/>
        <v>2086668.087</v>
      </c>
      <c r="H44" s="15">
        <f t="shared" si="69"/>
        <v>2231095.043</v>
      </c>
      <c r="I44" s="15">
        <f t="shared" si="69"/>
        <v>0</v>
      </c>
      <c r="J44" s="15">
        <f t="shared" si="69"/>
        <v>2581231.565</v>
      </c>
      <c r="K44" s="15">
        <f t="shared" si="69"/>
        <v>2640657.334</v>
      </c>
      <c r="L44" s="15">
        <f t="shared" si="69"/>
        <v>2070712.535</v>
      </c>
      <c r="M44" s="15">
        <f t="shared" si="69"/>
        <v>1986283.739</v>
      </c>
      <c r="N44" s="15">
        <f t="shared" si="69"/>
        <v>1527087</v>
      </c>
      <c r="O44" s="15"/>
      <c r="P44">
        <f>SUM(C44:O44)</f>
        <v>21702481.39</v>
      </c>
      <c r="AJ44" s="2">
        <v>1371980.0</v>
      </c>
      <c r="AK44" s="2">
        <v>2500.0</v>
      </c>
      <c r="AL44">
        <f>AL45-AL36</f>
        <v>8977</v>
      </c>
    </row>
    <row r="45">
      <c r="D45" s="2" t="s">
        <v>2747</v>
      </c>
      <c r="E45" s="2" t="s">
        <v>2801</v>
      </c>
      <c r="F45" s="2" t="s">
        <v>2747</v>
      </c>
      <c r="G45" s="2" t="s">
        <v>2802</v>
      </c>
      <c r="H45" s="2" t="s">
        <v>2746</v>
      </c>
      <c r="J45" s="2" t="s">
        <v>2747</v>
      </c>
      <c r="K45" s="2" t="s">
        <v>2803</v>
      </c>
      <c r="L45" s="2" t="s">
        <v>2746</v>
      </c>
      <c r="M45" s="2" t="s">
        <v>2747</v>
      </c>
      <c r="N45" s="2" t="s">
        <v>2804</v>
      </c>
      <c r="U45">
        <f t="shared" ref="U45:AH45" si="70">1374480*U43/8464</f>
        <v>1623.913043</v>
      </c>
      <c r="V45">
        <f t="shared" si="70"/>
        <v>108477.3913</v>
      </c>
      <c r="W45">
        <f t="shared" si="70"/>
        <v>321534.7826</v>
      </c>
      <c r="X45">
        <f t="shared" si="70"/>
        <v>97110</v>
      </c>
      <c r="Y45">
        <f t="shared" si="70"/>
        <v>99221.08696</v>
      </c>
      <c r="Z45">
        <f t="shared" si="70"/>
        <v>133648.0435</v>
      </c>
      <c r="AA45">
        <f t="shared" si="70"/>
        <v>0</v>
      </c>
      <c r="AB45">
        <f t="shared" si="70"/>
        <v>153784.5652</v>
      </c>
      <c r="AC45">
        <f t="shared" si="70"/>
        <v>103210.3341</v>
      </c>
      <c r="AD45">
        <f t="shared" si="70"/>
        <v>138265.5355</v>
      </c>
      <c r="AE45">
        <f t="shared" si="70"/>
        <v>75836.73913</v>
      </c>
      <c r="AF45">
        <f t="shared" si="70"/>
        <v>89640</v>
      </c>
      <c r="AG45">
        <f t="shared" si="70"/>
        <v>0</v>
      </c>
      <c r="AH45">
        <f t="shared" si="70"/>
        <v>52127.6087</v>
      </c>
      <c r="AJ45" s="2">
        <f>AJ44+AK44</f>
        <v>1374480</v>
      </c>
      <c r="AL45" s="2">
        <v>357961.0</v>
      </c>
    </row>
    <row r="46">
      <c r="K46">
        <f>230*3/31+238*28/31</f>
        <v>237.2258065</v>
      </c>
      <c r="T46" s="2" t="s">
        <v>2805</v>
      </c>
      <c r="U46" s="15">
        <v>1623.9130434782608</v>
      </c>
      <c r="V46" s="15">
        <v>108477.39130434782</v>
      </c>
      <c r="W46" s="15">
        <v>321534.7826086957</v>
      </c>
      <c r="X46" s="15">
        <v>97110.0</v>
      </c>
      <c r="Y46" s="15">
        <f t="shared" ref="Y46:Z46" si="71">Y45+7447</f>
        <v>106668.087</v>
      </c>
      <c r="Z46" s="15">
        <f t="shared" si="71"/>
        <v>141095.0435</v>
      </c>
      <c r="AA46" s="15"/>
      <c r="AB46" s="15">
        <f t="shared" ref="AB46:AF46" si="72">AB45+7447</f>
        <v>161231.5652</v>
      </c>
      <c r="AC46" s="15">
        <f t="shared" si="72"/>
        <v>110657.3341</v>
      </c>
      <c r="AD46" s="15">
        <f t="shared" si="72"/>
        <v>145712.5355</v>
      </c>
      <c r="AE46" s="15">
        <f t="shared" si="72"/>
        <v>83283.73913</v>
      </c>
      <c r="AF46" s="15">
        <f t="shared" si="72"/>
        <v>97087</v>
      </c>
      <c r="AG46" s="19">
        <v>0.0</v>
      </c>
      <c r="AH46">
        <f>AH45/7</f>
        <v>7446.801242</v>
      </c>
      <c r="AI46" s="15">
        <f>SUM(U46:AF46)</f>
        <v>1374481.391</v>
      </c>
    </row>
    <row r="47">
      <c r="B47" s="2" t="s">
        <v>2806</v>
      </c>
      <c r="C47" s="2"/>
      <c r="D47" s="2">
        <v>1600000.0</v>
      </c>
      <c r="E47" s="2">
        <v>2300000.0</v>
      </c>
      <c r="F47" s="2">
        <v>1600000.0</v>
      </c>
      <c r="G47" s="2">
        <v>1800000.0</v>
      </c>
      <c r="H47" s="2">
        <v>1900000.0</v>
      </c>
      <c r="I47" s="2">
        <v>3500000.0</v>
      </c>
      <c r="J47" s="2">
        <v>2200000.0</v>
      </c>
      <c r="K47" s="2">
        <v>2372258.0</v>
      </c>
      <c r="L47" s="2">
        <v>1750000.0</v>
      </c>
      <c r="M47" s="2">
        <v>1730000.0</v>
      </c>
      <c r="N47" s="2">
        <v>1300000.0</v>
      </c>
      <c r="P47">
        <f>SUM(C47:O47)</f>
        <v>22052258</v>
      </c>
    </row>
    <row r="48">
      <c r="B48" s="2" t="s">
        <v>2737</v>
      </c>
      <c r="C48" s="2"/>
      <c r="D48" s="2">
        <f t="shared" ref="D48:N48" si="73">D47*0.1</f>
        <v>160000</v>
      </c>
      <c r="E48" s="2">
        <f t="shared" si="73"/>
        <v>230000</v>
      </c>
      <c r="F48" s="2">
        <f t="shared" si="73"/>
        <v>160000</v>
      </c>
      <c r="G48" s="2">
        <f t="shared" si="73"/>
        <v>180000</v>
      </c>
      <c r="H48" s="2">
        <f t="shared" si="73"/>
        <v>190000</v>
      </c>
      <c r="I48" s="2">
        <f t="shared" si="73"/>
        <v>350000</v>
      </c>
      <c r="J48" s="2">
        <f t="shared" si="73"/>
        <v>220000</v>
      </c>
      <c r="K48" s="2">
        <f t="shared" si="73"/>
        <v>237225.8</v>
      </c>
      <c r="L48" s="2">
        <f t="shared" si="73"/>
        <v>175000</v>
      </c>
      <c r="M48" s="2">
        <f t="shared" si="73"/>
        <v>173000</v>
      </c>
      <c r="N48" s="2">
        <f t="shared" si="73"/>
        <v>130000</v>
      </c>
      <c r="P48" s="2">
        <f>P47*0.1</f>
        <v>2205225.8</v>
      </c>
      <c r="R48" s="2">
        <v>2017.0</v>
      </c>
      <c r="T48" s="2" t="s">
        <v>2807</v>
      </c>
      <c r="U48" s="2">
        <v>5204.0</v>
      </c>
      <c r="W48" s="2">
        <v>9598.0</v>
      </c>
      <c r="Y48" s="2">
        <v>45312.0</v>
      </c>
      <c r="AA48" s="2">
        <v>32370.0</v>
      </c>
      <c r="AC48" s="2">
        <v>47536.0</v>
      </c>
      <c r="AE48" s="2">
        <v>74296.0</v>
      </c>
      <c r="AH48" s="2">
        <v>2768.0</v>
      </c>
    </row>
    <row r="49">
      <c r="B49" s="2" t="s">
        <v>2759</v>
      </c>
      <c r="D49">
        <f t="shared" ref="D49:N49" si="74">D47+D48</f>
        <v>1760000</v>
      </c>
      <c r="E49">
        <f t="shared" si="74"/>
        <v>2530000</v>
      </c>
      <c r="F49">
        <f t="shared" si="74"/>
        <v>1760000</v>
      </c>
      <c r="G49">
        <f t="shared" si="74"/>
        <v>1980000</v>
      </c>
      <c r="H49">
        <f t="shared" si="74"/>
        <v>2090000</v>
      </c>
      <c r="I49">
        <f t="shared" si="74"/>
        <v>3850000</v>
      </c>
      <c r="J49">
        <f t="shared" si="74"/>
        <v>2420000</v>
      </c>
      <c r="K49">
        <f t="shared" si="74"/>
        <v>2609483.8</v>
      </c>
      <c r="L49">
        <f t="shared" si="74"/>
        <v>1925000</v>
      </c>
      <c r="M49">
        <f t="shared" si="74"/>
        <v>1903000</v>
      </c>
      <c r="N49">
        <f t="shared" si="74"/>
        <v>1430000</v>
      </c>
      <c r="P49" s="15">
        <f>P47+P48</f>
        <v>24257483.8</v>
      </c>
      <c r="U49" s="2">
        <v>3686.0</v>
      </c>
      <c r="V49" s="2">
        <v>9966.0</v>
      </c>
      <c r="W49" s="2">
        <v>32880.0</v>
      </c>
      <c r="Y49" s="2">
        <v>11235.0</v>
      </c>
      <c r="AA49" s="2">
        <v>253.0</v>
      </c>
      <c r="AE49" s="2">
        <v>82402.0</v>
      </c>
      <c r="AG49" s="2">
        <v>4978.0</v>
      </c>
    </row>
    <row r="50">
      <c r="B50" s="2" t="s">
        <v>2784</v>
      </c>
      <c r="C50" s="18">
        <v>18219.519127636755</v>
      </c>
      <c r="D50" s="18">
        <v>114271.54540579193</v>
      </c>
      <c r="E50" s="18">
        <v>320279.96782266715</v>
      </c>
      <c r="F50" s="18">
        <v>86143.16499821236</v>
      </c>
      <c r="G50" s="15">
        <v>143318.72899535217</v>
      </c>
      <c r="H50" s="15">
        <v>196059.44225956383</v>
      </c>
      <c r="I50" s="15">
        <v>178958.66553450126</v>
      </c>
      <c r="J50" s="15">
        <v>160579.3260636396</v>
      </c>
      <c r="K50" s="15">
        <v>153293.0343487497</v>
      </c>
      <c r="L50" s="15">
        <v>202386.81191510445</v>
      </c>
      <c r="M50" s="15">
        <v>99847.59563818378</v>
      </c>
      <c r="N50" s="15">
        <v>114710.88755809797</v>
      </c>
      <c r="Y50" s="2" t="s">
        <v>2808</v>
      </c>
    </row>
    <row r="51">
      <c r="C51">
        <f t="shared" ref="C51:N51" si="75">C50-C52</f>
        <v>16563.19921</v>
      </c>
      <c r="D51">
        <f t="shared" si="75"/>
        <v>103883.2231</v>
      </c>
      <c r="E51">
        <f t="shared" si="75"/>
        <v>291163.6071</v>
      </c>
      <c r="F51">
        <f t="shared" si="75"/>
        <v>78311.96818</v>
      </c>
      <c r="G51">
        <f t="shared" si="75"/>
        <v>130289.7536</v>
      </c>
      <c r="H51">
        <f t="shared" si="75"/>
        <v>178235.8566</v>
      </c>
      <c r="I51">
        <f t="shared" si="75"/>
        <v>162689.6959</v>
      </c>
      <c r="J51">
        <f t="shared" si="75"/>
        <v>145981.2055</v>
      </c>
      <c r="K51">
        <f t="shared" si="75"/>
        <v>139357.304</v>
      </c>
      <c r="L51">
        <f t="shared" si="75"/>
        <v>183988.0108</v>
      </c>
      <c r="M51">
        <f t="shared" si="75"/>
        <v>90770.54149</v>
      </c>
      <c r="N51">
        <f t="shared" si="75"/>
        <v>104282.6251</v>
      </c>
      <c r="S51" s="2" t="s">
        <v>2771</v>
      </c>
      <c r="T51" s="2" t="s">
        <v>2809</v>
      </c>
      <c r="U51">
        <f t="shared" ref="U51:U52" si="77">U48-U39</f>
        <v>930</v>
      </c>
      <c r="W51">
        <f>W48-W39</f>
        <v>539</v>
      </c>
      <c r="Y51">
        <f t="shared" ref="Y51:Y52" si="79">Y48-Y39</f>
        <v>2014</v>
      </c>
      <c r="AA51">
        <f>AA48-AA39</f>
        <v>2015</v>
      </c>
      <c r="AC51">
        <f>AC48-AC39</f>
        <v>2116</v>
      </c>
      <c r="AE51">
        <f t="shared" ref="AE51:AE52" si="80">AE48-AE39</f>
        <v>1233</v>
      </c>
      <c r="AH51">
        <f>AH48-AH39</f>
        <v>438</v>
      </c>
      <c r="AI51">
        <f t="shared" ref="AI51:AI52" si="81">SUM(U51:AH51)</f>
        <v>9285</v>
      </c>
    </row>
    <row r="52">
      <c r="B52" s="2" t="s">
        <v>2737</v>
      </c>
      <c r="C52">
        <f t="shared" ref="C52:N52" si="76">C50/11</f>
        <v>1656.319921</v>
      </c>
      <c r="D52">
        <f t="shared" si="76"/>
        <v>10388.32231</v>
      </c>
      <c r="E52">
        <f t="shared" si="76"/>
        <v>29116.36071</v>
      </c>
      <c r="F52">
        <f t="shared" si="76"/>
        <v>7831.196818</v>
      </c>
      <c r="G52">
        <f t="shared" si="76"/>
        <v>13028.97536</v>
      </c>
      <c r="H52">
        <f t="shared" si="76"/>
        <v>17823.58566</v>
      </c>
      <c r="I52">
        <f t="shared" si="76"/>
        <v>16268.96959</v>
      </c>
      <c r="J52">
        <f t="shared" si="76"/>
        <v>14598.12055</v>
      </c>
      <c r="K52">
        <f t="shared" si="76"/>
        <v>13935.7304</v>
      </c>
      <c r="L52">
        <f t="shared" si="76"/>
        <v>18398.80108</v>
      </c>
      <c r="M52">
        <f t="shared" si="76"/>
        <v>9077.054149</v>
      </c>
      <c r="N52">
        <f t="shared" si="76"/>
        <v>10428.26251</v>
      </c>
      <c r="S52" s="48" t="s">
        <v>2773</v>
      </c>
      <c r="T52" s="29"/>
      <c r="U52" s="29">
        <f t="shared" si="77"/>
        <v>114</v>
      </c>
      <c r="V52" s="29">
        <f t="shared" ref="V52:W52" si="78">V49-V40</f>
        <v>715</v>
      </c>
      <c r="W52" s="29">
        <f t="shared" si="78"/>
        <v>2004</v>
      </c>
      <c r="X52" s="48">
        <v>539.0</v>
      </c>
      <c r="Y52" s="29">
        <f t="shared" si="79"/>
        <v>842</v>
      </c>
      <c r="Z52" s="29">
        <f>Y51-Y52</f>
        <v>1172</v>
      </c>
      <c r="AA52" s="29">
        <f>AA51-AB52</f>
        <v>1065</v>
      </c>
      <c r="AB52" s="48">
        <v>950.0</v>
      </c>
      <c r="AC52" s="29">
        <f>AC51*73.9/(73.9+99)</f>
        <v>904.4094853</v>
      </c>
      <c r="AD52" s="29">
        <f>AC51*99/(73.9+99)</f>
        <v>1211.590515</v>
      </c>
      <c r="AE52" s="29">
        <f t="shared" si="80"/>
        <v>570</v>
      </c>
      <c r="AF52" s="29">
        <f>AE51-AE52</f>
        <v>663</v>
      </c>
      <c r="AG52" s="29">
        <f>AG49-AG40</f>
        <v>0</v>
      </c>
      <c r="AH52" s="48">
        <v>438.0</v>
      </c>
      <c r="AI52" s="29">
        <f t="shared" si="81"/>
        <v>11188</v>
      </c>
      <c r="AJ52" s="15">
        <f>1788070/11188</f>
        <v>159.8203432</v>
      </c>
    </row>
    <row r="53">
      <c r="B53" s="19" t="s">
        <v>2767</v>
      </c>
      <c r="D53" s="15">
        <f t="shared" ref="D53:H53" si="82">SUM(D49,D50)</f>
        <v>1874271.545</v>
      </c>
      <c r="E53" s="15">
        <f t="shared" si="82"/>
        <v>2850279.968</v>
      </c>
      <c r="F53" s="15">
        <f t="shared" si="82"/>
        <v>1846143.165</v>
      </c>
      <c r="G53" s="15">
        <f t="shared" si="82"/>
        <v>2123318.729</v>
      </c>
      <c r="H53" s="15">
        <f t="shared" si="82"/>
        <v>2286059.442</v>
      </c>
      <c r="I53" s="15">
        <f>SUM(I49,I50,C50)</f>
        <v>4047178.185</v>
      </c>
      <c r="J53" s="15">
        <f t="shared" ref="J53:N53" si="83">SUM(J49,J50)</f>
        <v>2580579.326</v>
      </c>
      <c r="K53" s="15">
        <f t="shared" si="83"/>
        <v>2762776.834</v>
      </c>
      <c r="L53" s="15">
        <f t="shared" si="83"/>
        <v>2127386.812</v>
      </c>
      <c r="M53" s="15">
        <f t="shared" si="83"/>
        <v>2002847.596</v>
      </c>
      <c r="N53" s="15">
        <f t="shared" si="83"/>
        <v>1544710.888</v>
      </c>
      <c r="AH53" s="2" t="s">
        <v>2316</v>
      </c>
      <c r="AJ53" s="2">
        <v>1785570.0</v>
      </c>
      <c r="AK53" s="2">
        <v>2500.0</v>
      </c>
      <c r="AL53">
        <f>AL54-AL45</f>
        <v>12918</v>
      </c>
    </row>
    <row r="54">
      <c r="B54" s="2" t="s">
        <v>2810</v>
      </c>
      <c r="D54">
        <v>78411.69624939292</v>
      </c>
      <c r="E54">
        <v>65302.869081545694</v>
      </c>
      <c r="F54">
        <v>65302.869081545694</v>
      </c>
      <c r="G54">
        <v>29957.28907989627</v>
      </c>
      <c r="H54">
        <v>43106.32737402524</v>
      </c>
      <c r="J54">
        <v>43548.64976312438</v>
      </c>
      <c r="K54">
        <v>29716.022322205834</v>
      </c>
      <c r="L54">
        <v>39809.01501892256</v>
      </c>
      <c r="M54">
        <v>20302.597659650506</v>
      </c>
      <c r="N54">
        <v>23362.664369690916</v>
      </c>
      <c r="U54" s="2">
        <f t="shared" ref="U54:AH54" si="84">1788070*U52/11188</f>
        <v>18219.51913</v>
      </c>
      <c r="V54" s="2">
        <f t="shared" si="84"/>
        <v>114271.5454</v>
      </c>
      <c r="W54" s="2">
        <f t="shared" si="84"/>
        <v>320279.9678</v>
      </c>
      <c r="X54" s="2">
        <f t="shared" si="84"/>
        <v>86143.165</v>
      </c>
      <c r="Y54" s="2">
        <f t="shared" si="84"/>
        <v>134568.729</v>
      </c>
      <c r="Z54" s="2">
        <f t="shared" si="84"/>
        <v>187309.4423</v>
      </c>
      <c r="AA54" s="2">
        <f t="shared" si="84"/>
        <v>170208.6655</v>
      </c>
      <c r="AB54" s="2">
        <f t="shared" si="84"/>
        <v>151829.3261</v>
      </c>
      <c r="AC54" s="2">
        <f t="shared" si="84"/>
        <v>144543.0343</v>
      </c>
      <c r="AD54" s="2">
        <f t="shared" si="84"/>
        <v>193636.8119</v>
      </c>
      <c r="AE54" s="2">
        <f t="shared" si="84"/>
        <v>91097.59564</v>
      </c>
      <c r="AF54" s="2">
        <f t="shared" si="84"/>
        <v>105960.8876</v>
      </c>
      <c r="AG54" s="2">
        <f t="shared" si="84"/>
        <v>0</v>
      </c>
      <c r="AH54" s="2">
        <f t="shared" si="84"/>
        <v>70001.31033</v>
      </c>
      <c r="AJ54" s="2">
        <f>AJ53+AK53</f>
        <v>1788070</v>
      </c>
      <c r="AL54" s="2">
        <v>370879.0</v>
      </c>
    </row>
    <row r="55">
      <c r="B55" s="19" t="s">
        <v>2790</v>
      </c>
      <c r="D55" s="19">
        <f t="shared" ref="D55:N55" si="85">SUM(D53:D54)</f>
        <v>1952683.242</v>
      </c>
      <c r="E55" s="19">
        <f t="shared" si="85"/>
        <v>2915582.837</v>
      </c>
      <c r="F55" s="19">
        <f t="shared" si="85"/>
        <v>1911446.034</v>
      </c>
      <c r="G55" s="19">
        <f t="shared" si="85"/>
        <v>2153276.018</v>
      </c>
      <c r="H55" s="19">
        <f t="shared" si="85"/>
        <v>2329165.77</v>
      </c>
      <c r="I55" s="19">
        <f t="shared" si="85"/>
        <v>4047178.185</v>
      </c>
      <c r="J55" s="19">
        <f t="shared" si="85"/>
        <v>2624127.976</v>
      </c>
      <c r="K55" s="19">
        <f t="shared" si="85"/>
        <v>2792492.857</v>
      </c>
      <c r="L55" s="19">
        <f t="shared" si="85"/>
        <v>2167195.827</v>
      </c>
      <c r="M55" s="19">
        <f t="shared" si="85"/>
        <v>2023150.193</v>
      </c>
      <c r="N55" s="19">
        <f t="shared" si="85"/>
        <v>1568073.552</v>
      </c>
      <c r="T55" s="2" t="s">
        <v>2811</v>
      </c>
      <c r="U55" s="18">
        <v>18219.519127636755</v>
      </c>
      <c r="V55" s="18">
        <v>114271.54540579193</v>
      </c>
      <c r="W55" s="18">
        <v>320279.96782266715</v>
      </c>
      <c r="X55" s="18">
        <v>86143.16499821236</v>
      </c>
      <c r="Y55" s="15">
        <f t="shared" ref="Y55:AF55" si="86">Y54+8750</f>
        <v>143318.729</v>
      </c>
      <c r="Z55" s="15">
        <f t="shared" si="86"/>
        <v>196059.4423</v>
      </c>
      <c r="AA55" s="15">
        <f t="shared" si="86"/>
        <v>178958.6655</v>
      </c>
      <c r="AB55" s="15">
        <f t="shared" si="86"/>
        <v>160579.3261</v>
      </c>
      <c r="AC55" s="15">
        <f t="shared" si="86"/>
        <v>153293.0343</v>
      </c>
      <c r="AD55" s="15">
        <f t="shared" si="86"/>
        <v>202386.8119</v>
      </c>
      <c r="AE55" s="15">
        <f t="shared" si="86"/>
        <v>99847.59564</v>
      </c>
      <c r="AF55" s="15">
        <f t="shared" si="86"/>
        <v>114710.8876</v>
      </c>
      <c r="AG55" s="15"/>
      <c r="AH55">
        <f>AH54/8</f>
        <v>8750.163792</v>
      </c>
      <c r="AI55" s="15">
        <f>SUM(U55:AF55)</f>
        <v>1788068.69</v>
      </c>
    </row>
    <row r="56">
      <c r="D56" s="2" t="s">
        <v>2804</v>
      </c>
      <c r="E56" s="2" t="s">
        <v>2804</v>
      </c>
      <c r="F56" s="2" t="s">
        <v>2804</v>
      </c>
      <c r="G56" s="2" t="s">
        <v>2804</v>
      </c>
      <c r="H56" s="2" t="s">
        <v>2812</v>
      </c>
      <c r="I56" s="2" t="s">
        <v>2804</v>
      </c>
      <c r="J56" s="2" t="s">
        <v>2804</v>
      </c>
      <c r="K56" s="2" t="s">
        <v>2804</v>
      </c>
      <c r="L56" s="2" t="s">
        <v>2804</v>
      </c>
      <c r="M56" s="2" t="s">
        <v>2812</v>
      </c>
      <c r="N56" s="2" t="s">
        <v>2812</v>
      </c>
    </row>
    <row r="57">
      <c r="T57" s="2" t="s">
        <v>2813</v>
      </c>
      <c r="U57" s="2">
        <v>6499.0</v>
      </c>
      <c r="W57" s="2">
        <v>10038.0</v>
      </c>
      <c r="Y57" s="2">
        <v>47302.0</v>
      </c>
      <c r="AA57" s="2">
        <v>35120.0</v>
      </c>
      <c r="AC57" s="2">
        <v>49380.0</v>
      </c>
      <c r="AE57" s="2">
        <v>75891.0</v>
      </c>
      <c r="AH57" s="2">
        <v>2993.0</v>
      </c>
    </row>
    <row r="58">
      <c r="B58" s="2" t="s">
        <v>2814</v>
      </c>
      <c r="C58" s="2"/>
      <c r="D58" s="2">
        <v>1600000.0</v>
      </c>
      <c r="E58" s="2">
        <v>2300000.0</v>
      </c>
      <c r="F58" s="2">
        <v>1600000.0</v>
      </c>
      <c r="G58" s="2">
        <v>1800000.0</v>
      </c>
      <c r="H58" s="2">
        <v>1900000.0</v>
      </c>
      <c r="I58" s="2">
        <v>3500000.0</v>
      </c>
      <c r="J58" s="2">
        <v>2200000.0</v>
      </c>
      <c r="K58" s="2">
        <v>2380000.0</v>
      </c>
      <c r="L58" s="2">
        <v>1750000.0</v>
      </c>
      <c r="M58" s="2">
        <v>1730000.0</v>
      </c>
      <c r="N58" s="2">
        <v>1300000.0</v>
      </c>
      <c r="P58">
        <f t="shared" ref="P58:P64" si="88">SUM(D58:O58)</f>
        <v>22060000</v>
      </c>
      <c r="U58" s="2">
        <v>3961.0</v>
      </c>
      <c r="V58" s="2">
        <v>10721.0</v>
      </c>
      <c r="W58" s="2">
        <v>34842.0</v>
      </c>
      <c r="Y58" s="2">
        <v>11975.0</v>
      </c>
      <c r="AA58" s="2">
        <v>1767.0</v>
      </c>
      <c r="AE58" s="2">
        <v>83064.0</v>
      </c>
      <c r="AG58" s="2">
        <v>4988.0</v>
      </c>
    </row>
    <row r="59">
      <c r="B59" s="2" t="s">
        <v>2737</v>
      </c>
      <c r="C59" s="2"/>
      <c r="D59" s="2">
        <f t="shared" ref="D59:N59" si="87">D58*0.1</f>
        <v>160000</v>
      </c>
      <c r="E59" s="2">
        <f t="shared" si="87"/>
        <v>230000</v>
      </c>
      <c r="F59" s="2">
        <f t="shared" si="87"/>
        <v>160000</v>
      </c>
      <c r="G59" s="2">
        <f t="shared" si="87"/>
        <v>180000</v>
      </c>
      <c r="H59" s="2">
        <f t="shared" si="87"/>
        <v>190000</v>
      </c>
      <c r="I59" s="2">
        <f t="shared" si="87"/>
        <v>350000</v>
      </c>
      <c r="J59" s="2">
        <f t="shared" si="87"/>
        <v>220000</v>
      </c>
      <c r="K59" s="2">
        <f t="shared" si="87"/>
        <v>238000</v>
      </c>
      <c r="L59" s="2">
        <f t="shared" si="87"/>
        <v>175000</v>
      </c>
      <c r="M59" s="2">
        <f t="shared" si="87"/>
        <v>173000</v>
      </c>
      <c r="N59" s="2">
        <f t="shared" si="87"/>
        <v>130000</v>
      </c>
      <c r="P59">
        <f t="shared" si="88"/>
        <v>2206000</v>
      </c>
      <c r="S59" s="2" t="s">
        <v>2815</v>
      </c>
      <c r="U59">
        <f t="shared" ref="U59:U60" si="90">U57-U48</f>
        <v>1295</v>
      </c>
      <c r="W59">
        <f>W57-W48</f>
        <v>440</v>
      </c>
      <c r="Y59">
        <f t="shared" ref="Y59:Y60" si="92">Y57-Y48</f>
        <v>1990</v>
      </c>
      <c r="AA59">
        <f t="shared" ref="AA59:AA60" si="93">AA57-AA48</f>
        <v>2750</v>
      </c>
      <c r="AC59">
        <f>AC57-AC48</f>
        <v>1844</v>
      </c>
      <c r="AE59">
        <f t="shared" ref="AE59:AE60" si="94">AE57-AE48</f>
        <v>1595</v>
      </c>
      <c r="AH59">
        <f>AH57-AH48</f>
        <v>225</v>
      </c>
      <c r="AI59">
        <f t="shared" ref="AI59:AI60" si="95">SUM(U59:AH59)</f>
        <v>10139</v>
      </c>
    </row>
    <row r="60">
      <c r="B60" s="2" t="s">
        <v>2759</v>
      </c>
      <c r="D60">
        <f t="shared" ref="D60:N60" si="89">D58+D59</f>
        <v>1760000</v>
      </c>
      <c r="E60">
        <f t="shared" si="89"/>
        <v>2530000</v>
      </c>
      <c r="F60">
        <f t="shared" si="89"/>
        <v>1760000</v>
      </c>
      <c r="G60">
        <f t="shared" si="89"/>
        <v>1980000</v>
      </c>
      <c r="H60">
        <f t="shared" si="89"/>
        <v>2090000</v>
      </c>
      <c r="I60">
        <f t="shared" si="89"/>
        <v>3850000</v>
      </c>
      <c r="J60">
        <f t="shared" si="89"/>
        <v>2420000</v>
      </c>
      <c r="K60">
        <f t="shared" si="89"/>
        <v>2618000</v>
      </c>
      <c r="L60">
        <f t="shared" si="89"/>
        <v>1925000</v>
      </c>
      <c r="M60">
        <f t="shared" si="89"/>
        <v>1903000</v>
      </c>
      <c r="N60">
        <f t="shared" si="89"/>
        <v>1430000</v>
      </c>
      <c r="P60">
        <f t="shared" si="88"/>
        <v>24266000</v>
      </c>
      <c r="S60" s="48" t="s">
        <v>2773</v>
      </c>
      <c r="T60" s="29"/>
      <c r="U60" s="29">
        <f t="shared" si="90"/>
        <v>275</v>
      </c>
      <c r="V60" s="29">
        <f t="shared" ref="V60:W60" si="91">V58-V49</f>
        <v>755</v>
      </c>
      <c r="W60" s="29">
        <f t="shared" si="91"/>
        <v>1962</v>
      </c>
      <c r="X60" s="48">
        <v>440.0</v>
      </c>
      <c r="Y60" s="29">
        <f t="shared" si="92"/>
        <v>740</v>
      </c>
      <c r="Z60" s="29">
        <f>Y59-Y60</f>
        <v>1250</v>
      </c>
      <c r="AA60" s="29">
        <f t="shared" si="93"/>
        <v>1514</v>
      </c>
      <c r="AB60" s="29">
        <f>AA59-AA60</f>
        <v>1236</v>
      </c>
      <c r="AC60" s="29">
        <f>AC59*73.9/(73.9+99)</f>
        <v>788.1526894</v>
      </c>
      <c r="AD60" s="29">
        <f>AC59*99/(73.9+99)</f>
        <v>1055.847311</v>
      </c>
      <c r="AE60" s="29">
        <f t="shared" si="94"/>
        <v>662</v>
      </c>
      <c r="AF60" s="29">
        <f>AE59-AE60-AG60</f>
        <v>923</v>
      </c>
      <c r="AG60" s="29">
        <f>AG58-AG49</f>
        <v>10</v>
      </c>
      <c r="AH60" s="48">
        <v>225.0</v>
      </c>
      <c r="AI60" s="29">
        <f t="shared" si="95"/>
        <v>11836</v>
      </c>
      <c r="AJ60" s="15">
        <f>2099750/11836</f>
        <v>177.4036837</v>
      </c>
    </row>
    <row r="61">
      <c r="B61" s="2" t="s">
        <v>2784</v>
      </c>
      <c r="C61" s="18"/>
      <c r="D61" s="18">
        <v>133939.781176073</v>
      </c>
      <c r="E61" s="18">
        <v>348066.02737411286</v>
      </c>
      <c r="F61" s="18">
        <v>78057.62081784387</v>
      </c>
      <c r="G61" s="15">
        <v>136268.72592091924</v>
      </c>
      <c r="H61" s="15">
        <v>226744.60459614734</v>
      </c>
      <c r="I61" s="15">
        <f>273579+48786</f>
        <v>322365</v>
      </c>
      <c r="J61" s="15">
        <v>224260.9530246705</v>
      </c>
      <c r="K61" s="15">
        <v>144811.19040224107</v>
      </c>
      <c r="L61" s="15">
        <v>192301.20229799548</v>
      </c>
      <c r="M61" s="15">
        <v>122431.23859411964</v>
      </c>
      <c r="N61" s="15">
        <v>168733.6000337952</v>
      </c>
      <c r="P61">
        <f t="shared" si="88"/>
        <v>2097979.944</v>
      </c>
      <c r="AJ61" s="2">
        <v>2097250.0</v>
      </c>
      <c r="AK61" s="2">
        <v>2500.0</v>
      </c>
      <c r="AL61">
        <f>AL62-AL54</f>
        <v>15888</v>
      </c>
    </row>
    <row r="62">
      <c r="D62">
        <f t="shared" ref="D62:N62" si="96">D61-D63</f>
        <v>121763.4374</v>
      </c>
      <c r="E62">
        <f t="shared" si="96"/>
        <v>316423.6612</v>
      </c>
      <c r="F62">
        <f t="shared" si="96"/>
        <v>70961.47347</v>
      </c>
      <c r="G62">
        <f t="shared" si="96"/>
        <v>123880.6599</v>
      </c>
      <c r="H62">
        <f t="shared" si="96"/>
        <v>206131.4587</v>
      </c>
      <c r="I62">
        <f t="shared" si="96"/>
        <v>293059.0909</v>
      </c>
      <c r="J62">
        <f t="shared" si="96"/>
        <v>203873.5937</v>
      </c>
      <c r="K62">
        <f t="shared" si="96"/>
        <v>131646.5367</v>
      </c>
      <c r="L62">
        <f t="shared" si="96"/>
        <v>174819.2748</v>
      </c>
      <c r="M62">
        <f t="shared" si="96"/>
        <v>111301.126</v>
      </c>
      <c r="N62">
        <f t="shared" si="96"/>
        <v>153394.1818</v>
      </c>
      <c r="P62">
        <f t="shared" si="88"/>
        <v>1907254.495</v>
      </c>
      <c r="U62" s="2">
        <f t="shared" ref="U62:AH62" si="97">2099750*U60/11836</f>
        <v>48786.01301</v>
      </c>
      <c r="V62" s="2">
        <f t="shared" si="97"/>
        <v>133939.7812</v>
      </c>
      <c r="W62" s="2">
        <f t="shared" si="97"/>
        <v>348066.0274</v>
      </c>
      <c r="X62" s="2">
        <f t="shared" si="97"/>
        <v>78057.62082</v>
      </c>
      <c r="Y62" s="2">
        <f t="shared" si="97"/>
        <v>131278.7259</v>
      </c>
      <c r="Z62" s="2">
        <f t="shared" si="97"/>
        <v>221754.6046</v>
      </c>
      <c r="AA62" s="2">
        <f t="shared" si="97"/>
        <v>268589.1771</v>
      </c>
      <c r="AB62" s="2">
        <f t="shared" si="97"/>
        <v>219270.953</v>
      </c>
      <c r="AC62" s="2">
        <f t="shared" si="97"/>
        <v>139821.1904</v>
      </c>
      <c r="AD62" s="2">
        <f t="shared" si="97"/>
        <v>187311.2023</v>
      </c>
      <c r="AE62" s="2">
        <f t="shared" si="97"/>
        <v>117441.2386</v>
      </c>
      <c r="AF62" s="2">
        <f t="shared" si="97"/>
        <v>163743.6</v>
      </c>
      <c r="AG62" s="2">
        <f t="shared" si="97"/>
        <v>1774.036837</v>
      </c>
      <c r="AH62" s="2">
        <f t="shared" si="97"/>
        <v>39915.82883</v>
      </c>
      <c r="AJ62" s="2">
        <f>AJ61+AK61</f>
        <v>2099750</v>
      </c>
      <c r="AL62" s="2">
        <v>386767.0</v>
      </c>
    </row>
    <row r="63">
      <c r="B63" s="2" t="s">
        <v>2737</v>
      </c>
      <c r="D63">
        <f t="shared" ref="D63:N63" si="98">D61/11</f>
        <v>12176.34374</v>
      </c>
      <c r="E63">
        <f t="shared" si="98"/>
        <v>31642.36612</v>
      </c>
      <c r="F63">
        <f t="shared" si="98"/>
        <v>7096.147347</v>
      </c>
      <c r="G63">
        <f t="shared" si="98"/>
        <v>12388.06599</v>
      </c>
      <c r="H63">
        <f t="shared" si="98"/>
        <v>20613.14587</v>
      </c>
      <c r="I63">
        <f t="shared" si="98"/>
        <v>29305.90909</v>
      </c>
      <c r="J63">
        <f t="shared" si="98"/>
        <v>20387.35937</v>
      </c>
      <c r="K63">
        <f t="shared" si="98"/>
        <v>13164.65367</v>
      </c>
      <c r="L63">
        <f t="shared" si="98"/>
        <v>17481.92748</v>
      </c>
      <c r="M63">
        <f t="shared" si="98"/>
        <v>11130.1126</v>
      </c>
      <c r="N63">
        <f t="shared" si="98"/>
        <v>15339.41818</v>
      </c>
      <c r="P63">
        <f t="shared" si="88"/>
        <v>190725.4495</v>
      </c>
      <c r="T63" s="19" t="s">
        <v>2811</v>
      </c>
      <c r="U63" s="18">
        <v>48786.01301115242</v>
      </c>
      <c r="V63" s="18">
        <v>133939.781176073</v>
      </c>
      <c r="W63" s="18">
        <v>348066.02737411286</v>
      </c>
      <c r="X63" s="19">
        <v>78057.62081784387</v>
      </c>
      <c r="Y63" s="15">
        <f t="shared" ref="Y63:AF63" si="99">Y62+4990</f>
        <v>136268.7259</v>
      </c>
      <c r="Z63" s="15">
        <f t="shared" si="99"/>
        <v>226744.6046</v>
      </c>
      <c r="AA63" s="15">
        <f t="shared" si="99"/>
        <v>273579.1771</v>
      </c>
      <c r="AB63" s="15">
        <f t="shared" si="99"/>
        <v>224260.953</v>
      </c>
      <c r="AC63" s="15">
        <f t="shared" si="99"/>
        <v>144811.1904</v>
      </c>
      <c r="AD63" s="15">
        <f t="shared" si="99"/>
        <v>192301.2023</v>
      </c>
      <c r="AE63" s="15">
        <f t="shared" si="99"/>
        <v>122431.2386</v>
      </c>
      <c r="AF63" s="15">
        <f t="shared" si="99"/>
        <v>168733.6</v>
      </c>
      <c r="AG63" s="2">
        <v>1774.0</v>
      </c>
      <c r="AH63">
        <f>AH62/8</f>
        <v>4989.478603</v>
      </c>
      <c r="AI63" s="15">
        <f>SUM(U63:AF63)</f>
        <v>2097980.134</v>
      </c>
    </row>
    <row r="64">
      <c r="B64" s="19" t="s">
        <v>2767</v>
      </c>
      <c r="D64" s="15">
        <f t="shared" ref="D64:H64" si="100">SUM(D60,D61)</f>
        <v>1893939.781</v>
      </c>
      <c r="E64" s="15">
        <f t="shared" si="100"/>
        <v>2878066.027</v>
      </c>
      <c r="F64" s="15">
        <f t="shared" si="100"/>
        <v>1838057.621</v>
      </c>
      <c r="G64" s="15">
        <f t="shared" si="100"/>
        <v>2116268.726</v>
      </c>
      <c r="H64" s="15">
        <f t="shared" si="100"/>
        <v>2316744.605</v>
      </c>
      <c r="I64" s="15">
        <f>SUM(I60,I61,C61)</f>
        <v>4172365</v>
      </c>
      <c r="J64" s="15">
        <f t="shared" ref="J64:N64" si="101">SUM(J60,J61)</f>
        <v>2644260.953</v>
      </c>
      <c r="K64" s="15">
        <f t="shared" si="101"/>
        <v>2762811.19</v>
      </c>
      <c r="L64" s="15">
        <f t="shared" si="101"/>
        <v>2117301.202</v>
      </c>
      <c r="M64" s="15">
        <f t="shared" si="101"/>
        <v>2025431.239</v>
      </c>
      <c r="N64" s="15">
        <f t="shared" si="101"/>
        <v>1598733.6</v>
      </c>
      <c r="P64">
        <f t="shared" si="88"/>
        <v>26363979.94</v>
      </c>
    </row>
    <row r="65">
      <c r="B65" s="2" t="s">
        <v>2816</v>
      </c>
      <c r="D65">
        <f t="shared" ref="D65:N65" si="102">D58+D62</f>
        <v>1721763.437</v>
      </c>
      <c r="E65">
        <f t="shared" si="102"/>
        <v>2616423.661</v>
      </c>
      <c r="F65">
        <f t="shared" si="102"/>
        <v>1670961.473</v>
      </c>
      <c r="G65">
        <f t="shared" si="102"/>
        <v>1923880.66</v>
      </c>
      <c r="H65">
        <f t="shared" si="102"/>
        <v>2106131.459</v>
      </c>
      <c r="I65">
        <f t="shared" si="102"/>
        <v>3793059.091</v>
      </c>
      <c r="J65">
        <f t="shared" si="102"/>
        <v>2403873.594</v>
      </c>
      <c r="K65">
        <f t="shared" si="102"/>
        <v>2511646.537</v>
      </c>
      <c r="L65">
        <f t="shared" si="102"/>
        <v>1924819.275</v>
      </c>
      <c r="M65">
        <f t="shared" si="102"/>
        <v>1841301.126</v>
      </c>
      <c r="N65">
        <f t="shared" si="102"/>
        <v>1453394.182</v>
      </c>
      <c r="T65" s="2" t="s">
        <v>2817</v>
      </c>
      <c r="U65" s="2">
        <v>7968.0</v>
      </c>
      <c r="W65" s="2">
        <v>10497.0</v>
      </c>
      <c r="Y65" s="2">
        <v>48803.0</v>
      </c>
      <c r="AA65" s="2">
        <v>37236.0</v>
      </c>
      <c r="AC65" s="2">
        <v>50948.0</v>
      </c>
      <c r="AE65" s="2">
        <v>77044.0</v>
      </c>
      <c r="AH65" s="2">
        <v>3143.0</v>
      </c>
    </row>
    <row r="66">
      <c r="B66" s="2" t="s">
        <v>2818</v>
      </c>
      <c r="D66">
        <f t="shared" ref="D66:N66" si="103">D59+D63</f>
        <v>172176.3437</v>
      </c>
      <c r="E66">
        <f t="shared" si="103"/>
        <v>261642.3661</v>
      </c>
      <c r="F66">
        <f t="shared" si="103"/>
        <v>167096.1473</v>
      </c>
      <c r="G66">
        <f t="shared" si="103"/>
        <v>192388.066</v>
      </c>
      <c r="H66">
        <f t="shared" si="103"/>
        <v>210613.1459</v>
      </c>
      <c r="I66">
        <f t="shared" si="103"/>
        <v>379305.9091</v>
      </c>
      <c r="J66">
        <f t="shared" si="103"/>
        <v>240387.3594</v>
      </c>
      <c r="K66">
        <f t="shared" si="103"/>
        <v>251164.6537</v>
      </c>
      <c r="L66">
        <f t="shared" si="103"/>
        <v>192481.9275</v>
      </c>
      <c r="M66">
        <f t="shared" si="103"/>
        <v>184130.1126</v>
      </c>
      <c r="N66">
        <f t="shared" si="103"/>
        <v>145339.4182</v>
      </c>
      <c r="U66" s="2">
        <v>4186.0</v>
      </c>
      <c r="V66" s="2">
        <v>11558.0</v>
      </c>
      <c r="W66" s="2">
        <v>36534.0</v>
      </c>
      <c r="Y66" s="2">
        <v>12500.0</v>
      </c>
      <c r="AA66" s="2">
        <v>2992.0</v>
      </c>
      <c r="AE66" s="2">
        <v>83493.0</v>
      </c>
      <c r="AG66" s="2">
        <v>4988.0</v>
      </c>
    </row>
    <row r="67">
      <c r="D67" s="2" t="s">
        <v>2804</v>
      </c>
      <c r="E67" s="2" t="s">
        <v>2804</v>
      </c>
      <c r="F67" s="2" t="s">
        <v>2804</v>
      </c>
      <c r="G67" s="2" t="s">
        <v>2819</v>
      </c>
      <c r="H67" s="2" t="s">
        <v>2804</v>
      </c>
      <c r="I67" s="2" t="s">
        <v>2804</v>
      </c>
      <c r="J67" s="2" t="s">
        <v>2804</v>
      </c>
      <c r="K67" s="2" t="s">
        <v>2804</v>
      </c>
      <c r="L67" s="2" t="s">
        <v>2804</v>
      </c>
      <c r="M67" s="2" t="s">
        <v>2804</v>
      </c>
      <c r="N67" s="2" t="s">
        <v>2804</v>
      </c>
      <c r="S67" s="2" t="s">
        <v>2771</v>
      </c>
      <c r="U67">
        <f t="shared" ref="U67:U68" si="104">U65-U57</f>
        <v>1469</v>
      </c>
      <c r="W67">
        <f>W65-W57</f>
        <v>459</v>
      </c>
      <c r="Y67">
        <f t="shared" ref="Y67:Y68" si="106">Y65-Y57</f>
        <v>1501</v>
      </c>
      <c r="AA67">
        <f t="shared" ref="AA67:AA68" si="107">AA65-AA57</f>
        <v>2116</v>
      </c>
      <c r="AC67">
        <f>AC65-AC57</f>
        <v>1568</v>
      </c>
      <c r="AE67">
        <f t="shared" ref="AE67:AE68" si="108">AE65-AE57</f>
        <v>1153</v>
      </c>
      <c r="AH67">
        <f>AH65-AH57</f>
        <v>150</v>
      </c>
      <c r="AI67">
        <f t="shared" ref="AI67:AI68" si="109">SUM(U67:AH67)</f>
        <v>8416</v>
      </c>
    </row>
    <row r="68">
      <c r="E68" s="2" t="s">
        <v>2820</v>
      </c>
      <c r="S68" s="48" t="s">
        <v>2773</v>
      </c>
      <c r="T68" s="29"/>
      <c r="U68" s="29">
        <f t="shared" si="104"/>
        <v>225</v>
      </c>
      <c r="V68" s="29">
        <f t="shared" ref="V68:W68" si="105">V66-V58</f>
        <v>837</v>
      </c>
      <c r="W68" s="29">
        <f t="shared" si="105"/>
        <v>1692</v>
      </c>
      <c r="X68" s="48">
        <v>459.0</v>
      </c>
      <c r="Y68" s="29">
        <f t="shared" si="106"/>
        <v>525</v>
      </c>
      <c r="Z68" s="29">
        <f>Y67-Y68</f>
        <v>976</v>
      </c>
      <c r="AA68" s="29">
        <f t="shared" si="107"/>
        <v>1225</v>
      </c>
      <c r="AB68" s="29">
        <f>AA67-AA68</f>
        <v>891</v>
      </c>
      <c r="AC68" s="29">
        <f>AC67*73.9/(73.9+99)</f>
        <v>670.1862348</v>
      </c>
      <c r="AD68" s="29">
        <f>AC67*99/(73.9+99)</f>
        <v>897.8137652</v>
      </c>
      <c r="AE68" s="29">
        <f t="shared" si="108"/>
        <v>429</v>
      </c>
      <c r="AF68" s="29">
        <f>AE67-AE68-AG68</f>
        <v>724</v>
      </c>
      <c r="AG68" s="29">
        <f>AG66-AG58</f>
        <v>0</v>
      </c>
      <c r="AH68" s="48">
        <v>150.0</v>
      </c>
      <c r="AI68" s="29">
        <f t="shared" si="109"/>
        <v>9701</v>
      </c>
    </row>
    <row r="69">
      <c r="B69" s="2" t="s">
        <v>2821</v>
      </c>
      <c r="D69" s="2">
        <v>1600000.0</v>
      </c>
      <c r="E69" s="19">
        <f>2300000*14/31</f>
        <v>1038709.677</v>
      </c>
      <c r="F69" s="2">
        <v>1600000.0</v>
      </c>
      <c r="G69" s="2">
        <v>1800000.0</v>
      </c>
      <c r="H69" s="2">
        <v>1900000.0</v>
      </c>
      <c r="I69" s="2">
        <v>3500000.0</v>
      </c>
      <c r="J69" s="2">
        <v>2200000.0</v>
      </c>
      <c r="K69" s="2">
        <v>2380000.0</v>
      </c>
      <c r="L69" s="2">
        <v>1750000.0</v>
      </c>
      <c r="M69" s="2">
        <v>1730000.0</v>
      </c>
      <c r="N69" s="2">
        <v>1300000.0</v>
      </c>
      <c r="AL69">
        <f>AL70-AL62</f>
        <v>12467</v>
      </c>
    </row>
    <row r="70">
      <c r="B70" s="2" t="s">
        <v>2737</v>
      </c>
      <c r="D70" s="2">
        <f t="shared" ref="D70:N70" si="110">D69*0.1</f>
        <v>160000</v>
      </c>
      <c r="E70" s="19">
        <f t="shared" si="110"/>
        <v>103870.9677</v>
      </c>
      <c r="F70" s="2">
        <f t="shared" si="110"/>
        <v>160000</v>
      </c>
      <c r="G70" s="2">
        <f t="shared" si="110"/>
        <v>180000</v>
      </c>
      <c r="H70" s="2">
        <f t="shared" si="110"/>
        <v>190000</v>
      </c>
      <c r="I70" s="2">
        <f t="shared" si="110"/>
        <v>350000</v>
      </c>
      <c r="J70" s="2">
        <f t="shared" si="110"/>
        <v>220000</v>
      </c>
      <c r="K70" s="2">
        <f t="shared" si="110"/>
        <v>238000</v>
      </c>
      <c r="L70" s="2">
        <f t="shared" si="110"/>
        <v>175000</v>
      </c>
      <c r="M70" s="2">
        <f t="shared" si="110"/>
        <v>173000</v>
      </c>
      <c r="N70" s="2">
        <f t="shared" si="110"/>
        <v>130000</v>
      </c>
      <c r="T70" s="2" t="s">
        <v>2822</v>
      </c>
      <c r="V70" s="2" t="s">
        <v>2719</v>
      </c>
      <c r="W70" s="2">
        <v>36894.0</v>
      </c>
      <c r="X70" s="2" t="s">
        <v>2823</v>
      </c>
      <c r="Y70" s="2" t="s">
        <v>2824</v>
      </c>
      <c r="Z70" s="15">
        <f>360*177.4</f>
        <v>63864</v>
      </c>
      <c r="AJ70" s="2">
        <v>1610830.0</v>
      </c>
      <c r="AL70" s="2">
        <v>399234.0</v>
      </c>
    </row>
    <row r="71">
      <c r="B71" s="2" t="s">
        <v>2759</v>
      </c>
      <c r="D71">
        <f t="shared" ref="D71:N71" si="111">D69+D70</f>
        <v>1760000</v>
      </c>
      <c r="E71" s="15">
        <f t="shared" si="111"/>
        <v>1142580.645</v>
      </c>
      <c r="F71">
        <f t="shared" si="111"/>
        <v>1760000</v>
      </c>
      <c r="G71">
        <f t="shared" si="111"/>
        <v>1980000</v>
      </c>
      <c r="H71">
        <f t="shared" si="111"/>
        <v>2090000</v>
      </c>
      <c r="I71">
        <f t="shared" si="111"/>
        <v>3850000</v>
      </c>
      <c r="J71">
        <f t="shared" si="111"/>
        <v>2420000</v>
      </c>
      <c r="K71">
        <f t="shared" si="111"/>
        <v>2618000</v>
      </c>
      <c r="L71">
        <f t="shared" si="111"/>
        <v>1925000</v>
      </c>
      <c r="M71">
        <f t="shared" si="111"/>
        <v>1903000</v>
      </c>
      <c r="N71">
        <f t="shared" si="111"/>
        <v>1430000</v>
      </c>
      <c r="W71" s="19" t="s">
        <v>2825</v>
      </c>
      <c r="X71" s="15">
        <f>1692*17/31</f>
        <v>927.8709677</v>
      </c>
      <c r="Y71" s="19">
        <v>177.4</v>
      </c>
      <c r="Z71" s="15">
        <f>X71*Y71</f>
        <v>164604.3097</v>
      </c>
    </row>
    <row r="72">
      <c r="B72" s="2" t="s">
        <v>2784</v>
      </c>
      <c r="D72">
        <v>138982.03381094732</v>
      </c>
      <c r="E72">
        <f>(14/31)*280952.928564066</f>
        <v>126881.9677</v>
      </c>
      <c r="F72">
        <v>76215.95402535821</v>
      </c>
      <c r="G72">
        <v>90288.11081331821</v>
      </c>
      <c r="H72">
        <v>165175.68219771158</v>
      </c>
      <c r="I72">
        <v>243882.3536748789</v>
      </c>
      <c r="J72">
        <v>151061.61663746004</v>
      </c>
      <c r="K72">
        <v>114395.97006819698</v>
      </c>
      <c r="L72">
        <v>152193.0275609134</v>
      </c>
      <c r="M72">
        <v>74347.51912174003</v>
      </c>
      <c r="N72">
        <v>123331.62900731883</v>
      </c>
    </row>
    <row r="73">
      <c r="D73">
        <f t="shared" ref="D73:N73" si="112">D72-D74</f>
        <v>126347.3035</v>
      </c>
      <c r="E73">
        <f t="shared" si="112"/>
        <v>115347.2434</v>
      </c>
      <c r="F73">
        <f t="shared" si="112"/>
        <v>69287.23093</v>
      </c>
      <c r="G73">
        <f t="shared" si="112"/>
        <v>82080.10074</v>
      </c>
      <c r="H73">
        <f t="shared" si="112"/>
        <v>150159.7111</v>
      </c>
      <c r="I73">
        <f t="shared" si="112"/>
        <v>221711.2306</v>
      </c>
      <c r="J73">
        <f t="shared" si="112"/>
        <v>137328.7424</v>
      </c>
      <c r="K73">
        <f t="shared" si="112"/>
        <v>103996.3364</v>
      </c>
      <c r="L73">
        <f t="shared" si="112"/>
        <v>138357.2978</v>
      </c>
      <c r="M73">
        <f t="shared" si="112"/>
        <v>67588.65375</v>
      </c>
      <c r="N73">
        <f t="shared" si="112"/>
        <v>112119.6627</v>
      </c>
      <c r="U73">
        <f t="shared" ref="U73:AH73" si="113">U68*1610830/9701</f>
        <v>37360.76178</v>
      </c>
      <c r="V73">
        <f t="shared" si="113"/>
        <v>138982.0338</v>
      </c>
      <c r="W73">
        <f t="shared" si="113"/>
        <v>280952.9286</v>
      </c>
      <c r="X73">
        <f t="shared" si="113"/>
        <v>76215.95403</v>
      </c>
      <c r="Y73">
        <f t="shared" si="113"/>
        <v>87175.11081</v>
      </c>
      <c r="Z73">
        <f t="shared" si="113"/>
        <v>162062.6822</v>
      </c>
      <c r="AA73">
        <f t="shared" si="113"/>
        <v>203408.5919</v>
      </c>
      <c r="AB73">
        <f t="shared" si="113"/>
        <v>147948.6166</v>
      </c>
      <c r="AC73">
        <f t="shared" si="113"/>
        <v>111282.9701</v>
      </c>
      <c r="AD73">
        <f t="shared" si="113"/>
        <v>149080.0276</v>
      </c>
      <c r="AE73">
        <f t="shared" si="113"/>
        <v>71234.51912</v>
      </c>
      <c r="AF73">
        <f t="shared" si="113"/>
        <v>120218.629</v>
      </c>
      <c r="AG73">
        <f t="shared" si="113"/>
        <v>0</v>
      </c>
      <c r="AH73">
        <f t="shared" si="113"/>
        <v>24907.17452</v>
      </c>
    </row>
    <row r="74">
      <c r="B74" s="2" t="s">
        <v>2737</v>
      </c>
      <c r="D74">
        <f t="shared" ref="D74:N74" si="114">D72/11</f>
        <v>12634.73035</v>
      </c>
      <c r="E74">
        <f t="shared" si="114"/>
        <v>11534.72434</v>
      </c>
      <c r="F74">
        <f t="shared" si="114"/>
        <v>6928.723093</v>
      </c>
      <c r="G74">
        <f t="shared" si="114"/>
        <v>8208.010074</v>
      </c>
      <c r="H74">
        <f t="shared" si="114"/>
        <v>15015.97111</v>
      </c>
      <c r="I74">
        <f t="shared" si="114"/>
        <v>22171.12306</v>
      </c>
      <c r="J74">
        <f t="shared" si="114"/>
        <v>13732.87424</v>
      </c>
      <c r="K74">
        <f t="shared" si="114"/>
        <v>10399.63364</v>
      </c>
      <c r="L74">
        <f t="shared" si="114"/>
        <v>13835.72978</v>
      </c>
      <c r="M74">
        <f t="shared" si="114"/>
        <v>6758.865375</v>
      </c>
      <c r="N74">
        <f t="shared" si="114"/>
        <v>11211.96627</v>
      </c>
      <c r="T74" s="2" t="s">
        <v>2811</v>
      </c>
      <c r="U74" s="15">
        <v>37360.76177713638</v>
      </c>
      <c r="V74" s="15">
        <v>138982.03381094732</v>
      </c>
      <c r="W74" s="15">
        <v>280952.92856406554</v>
      </c>
      <c r="X74" s="15">
        <v>76215.95402535821</v>
      </c>
      <c r="Y74" s="15">
        <f t="shared" ref="Y74:AF74" si="115">Y73+3113</f>
        <v>90288.11081</v>
      </c>
      <c r="Z74" s="15">
        <f t="shared" si="115"/>
        <v>165175.6822</v>
      </c>
      <c r="AA74" s="15">
        <f t="shared" si="115"/>
        <v>206521.5919</v>
      </c>
      <c r="AB74" s="15">
        <f t="shared" si="115"/>
        <v>151061.6166</v>
      </c>
      <c r="AC74" s="15">
        <f t="shared" si="115"/>
        <v>114395.9701</v>
      </c>
      <c r="AD74" s="15">
        <f t="shared" si="115"/>
        <v>152193.0276</v>
      </c>
      <c r="AE74" s="15">
        <f t="shared" si="115"/>
        <v>74347.51912</v>
      </c>
      <c r="AF74" s="15">
        <f t="shared" si="115"/>
        <v>123331.629</v>
      </c>
      <c r="AH74">
        <f>AH73/8</f>
        <v>3113.396815</v>
      </c>
      <c r="AI74" s="15">
        <f>SUM(U74:AF74)</f>
        <v>1610826.825</v>
      </c>
      <c r="AJ74">
        <f>1610830/9701</f>
        <v>166.0478301</v>
      </c>
    </row>
    <row r="75">
      <c r="B75" s="2" t="s">
        <v>2826</v>
      </c>
      <c r="D75">
        <v>43801.228334186344</v>
      </c>
      <c r="E75">
        <f>(14/60)*36478.5614434455</f>
        <v>8511.664337</v>
      </c>
      <c r="F75">
        <v>36478.56144344545</v>
      </c>
      <c r="G75">
        <v>16734.315440496834</v>
      </c>
      <c r="H75">
        <v>24079.444499614237</v>
      </c>
      <c r="I75">
        <v>48922.602724029675</v>
      </c>
      <c r="J75">
        <v>24326.528351755802</v>
      </c>
      <c r="K75">
        <v>16599.5424302378</v>
      </c>
      <c r="L75">
        <v>22237.546692740758</v>
      </c>
      <c r="M75">
        <v>11341.148813297788</v>
      </c>
      <c r="N75">
        <v>13050.51982674988</v>
      </c>
      <c r="AA75" s="15">
        <f>AA74+U74</f>
        <v>243882.3537</v>
      </c>
    </row>
    <row r="76">
      <c r="B76" s="19" t="s">
        <v>2827</v>
      </c>
      <c r="C76" s="15"/>
      <c r="D76" s="15">
        <f>SUM(D71,D72,D75)</f>
        <v>1942783.262</v>
      </c>
      <c r="E76" s="15">
        <f>SUM(E71)</f>
        <v>1142580.645</v>
      </c>
      <c r="F76" s="15">
        <f t="shared" ref="F76:N76" si="116">SUM(F71,F72,F75)</f>
        <v>1872694.515</v>
      </c>
      <c r="G76" s="15">
        <f t="shared" si="116"/>
        <v>2087022.426</v>
      </c>
      <c r="H76" s="15">
        <f t="shared" si="116"/>
        <v>2279255.127</v>
      </c>
      <c r="I76" s="15">
        <f t="shared" si="116"/>
        <v>4142804.956</v>
      </c>
      <c r="J76" s="15">
        <f t="shared" si="116"/>
        <v>2595388.145</v>
      </c>
      <c r="K76" s="15">
        <f t="shared" si="116"/>
        <v>2748995.512</v>
      </c>
      <c r="L76" s="15">
        <f t="shared" si="116"/>
        <v>2099430.574</v>
      </c>
      <c r="M76" s="15">
        <f t="shared" si="116"/>
        <v>1988688.668</v>
      </c>
      <c r="N76" s="15">
        <f t="shared" si="116"/>
        <v>1566382.149</v>
      </c>
      <c r="V76" s="2"/>
      <c r="X76" s="2"/>
    </row>
    <row r="77">
      <c r="B77" s="2" t="s">
        <v>2828</v>
      </c>
      <c r="D77">
        <f t="shared" ref="D77:N77" si="117">SUM(D69,D73,D75)</f>
        <v>1770148.532</v>
      </c>
      <c r="E77">
        <f t="shared" si="117"/>
        <v>1162568.585</v>
      </c>
      <c r="F77">
        <f t="shared" si="117"/>
        <v>1705765.792</v>
      </c>
      <c r="G77">
        <f t="shared" si="117"/>
        <v>1898814.416</v>
      </c>
      <c r="H77">
        <f t="shared" si="117"/>
        <v>2074239.156</v>
      </c>
      <c r="I77">
        <f t="shared" si="117"/>
        <v>3770633.833</v>
      </c>
      <c r="J77">
        <f t="shared" si="117"/>
        <v>2361655.271</v>
      </c>
      <c r="K77">
        <f t="shared" si="117"/>
        <v>2500595.879</v>
      </c>
      <c r="L77">
        <f t="shared" si="117"/>
        <v>1910594.844</v>
      </c>
      <c r="M77">
        <f t="shared" si="117"/>
        <v>1808929.803</v>
      </c>
      <c r="N77">
        <f t="shared" si="117"/>
        <v>1425170.183</v>
      </c>
      <c r="T77" s="2" t="s">
        <v>2829</v>
      </c>
      <c r="U77" s="2">
        <v>8996.0</v>
      </c>
      <c r="V77" s="2"/>
      <c r="W77" s="2">
        <v>10890.0</v>
      </c>
      <c r="X77" s="2"/>
      <c r="Y77" s="2">
        <v>49799.0</v>
      </c>
      <c r="AA77" s="2">
        <v>38915.0</v>
      </c>
      <c r="AC77" s="2">
        <v>52221.0</v>
      </c>
      <c r="AE77" s="2">
        <v>77730.0</v>
      </c>
      <c r="AH77" s="2">
        <v>3323.0</v>
      </c>
    </row>
    <row r="78">
      <c r="B78" s="2" t="s">
        <v>2830</v>
      </c>
      <c r="D78">
        <f t="shared" ref="D78:N78" si="118">SUM(D69,D73)</f>
        <v>1726347.303</v>
      </c>
      <c r="E78">
        <f t="shared" si="118"/>
        <v>1154056.921</v>
      </c>
      <c r="F78">
        <f t="shared" si="118"/>
        <v>1669287.231</v>
      </c>
      <c r="G78">
        <f t="shared" si="118"/>
        <v>1882080.101</v>
      </c>
      <c r="H78">
        <f t="shared" si="118"/>
        <v>2050159.711</v>
      </c>
      <c r="I78">
        <f t="shared" si="118"/>
        <v>3721711.231</v>
      </c>
      <c r="J78">
        <f t="shared" si="118"/>
        <v>2337328.742</v>
      </c>
      <c r="K78">
        <f t="shared" si="118"/>
        <v>2483996.336</v>
      </c>
      <c r="L78">
        <f t="shared" si="118"/>
        <v>1888357.298</v>
      </c>
      <c r="M78">
        <f t="shared" si="118"/>
        <v>1797588.654</v>
      </c>
      <c r="N78">
        <f t="shared" si="118"/>
        <v>1412119.663</v>
      </c>
      <c r="U78" s="2">
        <v>4343.0</v>
      </c>
      <c r="V78" s="2">
        <v>12299.0</v>
      </c>
      <c r="W78" s="2">
        <v>37251.0</v>
      </c>
      <c r="X78" s="2"/>
      <c r="Y78" s="2">
        <v>12952.0</v>
      </c>
      <c r="AA78" s="2">
        <v>4032.0</v>
      </c>
      <c r="AE78" s="2">
        <v>83782.0</v>
      </c>
      <c r="AG78" s="2">
        <v>4989.0</v>
      </c>
    </row>
    <row r="79">
      <c r="B79" s="2" t="s">
        <v>2818</v>
      </c>
      <c r="D79">
        <f t="shared" ref="D79:N79" si="119">SUM(D70,D74)</f>
        <v>172634.7303</v>
      </c>
      <c r="E79">
        <f t="shared" si="119"/>
        <v>115405.6921</v>
      </c>
      <c r="F79">
        <f t="shared" si="119"/>
        <v>166928.7231</v>
      </c>
      <c r="G79">
        <f t="shared" si="119"/>
        <v>188208.0101</v>
      </c>
      <c r="H79">
        <f t="shared" si="119"/>
        <v>205015.9711</v>
      </c>
      <c r="I79">
        <f t="shared" si="119"/>
        <v>372171.1231</v>
      </c>
      <c r="J79">
        <f t="shared" si="119"/>
        <v>233732.8742</v>
      </c>
      <c r="K79">
        <f t="shared" si="119"/>
        <v>248399.6336</v>
      </c>
      <c r="L79">
        <f t="shared" si="119"/>
        <v>188835.7298</v>
      </c>
      <c r="M79">
        <f t="shared" si="119"/>
        <v>179758.8654</v>
      </c>
      <c r="N79">
        <f t="shared" si="119"/>
        <v>141211.9663</v>
      </c>
      <c r="U79">
        <f t="shared" ref="U79:U80" si="121">U77-U65</f>
        <v>1028</v>
      </c>
      <c r="V79" s="2"/>
      <c r="W79">
        <f>W77-W65</f>
        <v>393</v>
      </c>
      <c r="X79" s="2"/>
      <c r="Y79">
        <f t="shared" ref="Y79:Y80" si="123">Y77-Y65</f>
        <v>996</v>
      </c>
      <c r="AA79">
        <f t="shared" ref="AA79:AA80" si="124">AA77-AA65</f>
        <v>1679</v>
      </c>
      <c r="AC79">
        <f>AC77-AC65</f>
        <v>1273</v>
      </c>
      <c r="AE79">
        <f t="shared" ref="AE79:AE80" si="125">AE77-AE65</f>
        <v>686</v>
      </c>
      <c r="AH79">
        <f>AH77-AH65</f>
        <v>180</v>
      </c>
    </row>
    <row r="80">
      <c r="B80" s="2" t="s">
        <v>2831</v>
      </c>
      <c r="D80">
        <f t="shared" ref="D80:N80" si="120">SUM(D78:D79)</f>
        <v>1898982.034</v>
      </c>
      <c r="E80">
        <f t="shared" si="120"/>
        <v>1269462.613</v>
      </c>
      <c r="F80">
        <f t="shared" si="120"/>
        <v>1836215.954</v>
      </c>
      <c r="G80">
        <f t="shared" si="120"/>
        <v>2070288.111</v>
      </c>
      <c r="H80">
        <f t="shared" si="120"/>
        <v>2255175.682</v>
      </c>
      <c r="I80">
        <f t="shared" si="120"/>
        <v>4093882.354</v>
      </c>
      <c r="J80">
        <f t="shared" si="120"/>
        <v>2571061.617</v>
      </c>
      <c r="K80">
        <f t="shared" si="120"/>
        <v>2732395.97</v>
      </c>
      <c r="L80">
        <f t="shared" si="120"/>
        <v>2077193.028</v>
      </c>
      <c r="M80">
        <f t="shared" si="120"/>
        <v>1977347.519</v>
      </c>
      <c r="N80">
        <f t="shared" si="120"/>
        <v>1553331.629</v>
      </c>
      <c r="S80" s="48" t="s">
        <v>2773</v>
      </c>
      <c r="T80" s="29"/>
      <c r="U80" s="29">
        <f t="shared" si="121"/>
        <v>157</v>
      </c>
      <c r="V80" s="29">
        <f t="shared" ref="V80:W80" si="122">V78-V66</f>
        <v>741</v>
      </c>
      <c r="W80" s="15">
        <f t="shared" si="122"/>
        <v>717</v>
      </c>
      <c r="X80" s="49">
        <v>393.0</v>
      </c>
      <c r="Y80" s="29">
        <f t="shared" si="123"/>
        <v>452</v>
      </c>
      <c r="Z80" s="29">
        <f>Y79-Y80</f>
        <v>544</v>
      </c>
      <c r="AA80" s="29">
        <f t="shared" si="124"/>
        <v>1040</v>
      </c>
      <c r="AB80" s="29">
        <f>AA79-AA80</f>
        <v>639</v>
      </c>
      <c r="AC80" s="29">
        <f>AC79*73.9/(73.9+99)</f>
        <v>544.0989011</v>
      </c>
      <c r="AD80" s="29">
        <f>AC79*99/(73.9+99)</f>
        <v>728.9010989</v>
      </c>
      <c r="AE80" s="29">
        <f t="shared" si="125"/>
        <v>289</v>
      </c>
      <c r="AF80" s="29">
        <f>AE79-AE80-AG80</f>
        <v>397</v>
      </c>
      <c r="AG80" s="19">
        <v>0.0</v>
      </c>
      <c r="AH80" s="29">
        <v>180.0</v>
      </c>
      <c r="AI80" s="29">
        <f>SUM(U80:AH80)</f>
        <v>6822</v>
      </c>
      <c r="AL80" s="2">
        <v>8295.0</v>
      </c>
    </row>
    <row r="81">
      <c r="D81" s="2" t="s">
        <v>2804</v>
      </c>
      <c r="E81" s="2" t="s">
        <v>2832</v>
      </c>
      <c r="F81" s="2" t="s">
        <v>2804</v>
      </c>
      <c r="G81" s="2" t="s">
        <v>2819</v>
      </c>
      <c r="H81" s="2" t="s">
        <v>2804</v>
      </c>
      <c r="I81" s="2" t="s">
        <v>2804</v>
      </c>
      <c r="J81" s="2" t="s">
        <v>2804</v>
      </c>
      <c r="K81" s="2" t="s">
        <v>2804</v>
      </c>
      <c r="L81" s="2" t="s">
        <v>2804</v>
      </c>
      <c r="M81" s="2" t="s">
        <v>2804</v>
      </c>
      <c r="N81" s="2" t="s">
        <v>2804</v>
      </c>
      <c r="U81">
        <f t="shared" ref="U81:AH81" si="126">U80*1047320/6822</f>
        <v>24102.79097</v>
      </c>
      <c r="V81">
        <f t="shared" si="126"/>
        <v>113759.0325</v>
      </c>
      <c r="W81">
        <f t="shared" si="126"/>
        <v>110074.5295</v>
      </c>
      <c r="X81">
        <f t="shared" si="126"/>
        <v>60333.73791</v>
      </c>
      <c r="Y81">
        <f t="shared" si="126"/>
        <v>69391.47464</v>
      </c>
      <c r="Z81">
        <f t="shared" si="126"/>
        <v>83515.40311</v>
      </c>
      <c r="AA81">
        <f t="shared" si="126"/>
        <v>159661.8001</v>
      </c>
      <c r="AB81">
        <f t="shared" si="126"/>
        <v>98099.89446</v>
      </c>
      <c r="AC81">
        <f t="shared" si="126"/>
        <v>83530.5865</v>
      </c>
      <c r="AD81">
        <f t="shared" si="126"/>
        <v>111901.5976</v>
      </c>
      <c r="AE81">
        <f t="shared" si="126"/>
        <v>44367.5579</v>
      </c>
      <c r="AF81">
        <f t="shared" si="126"/>
        <v>60947.82175</v>
      </c>
      <c r="AG81">
        <f t="shared" si="126"/>
        <v>0</v>
      </c>
      <c r="AH81">
        <f t="shared" si="126"/>
        <v>27633.77309</v>
      </c>
      <c r="AJ81" s="50">
        <v>1047320.0</v>
      </c>
      <c r="AL81" s="2">
        <v>407529.0</v>
      </c>
    </row>
    <row r="82">
      <c r="E82" s="2" t="s">
        <v>2804</v>
      </c>
      <c r="T82" s="2" t="s">
        <v>2811</v>
      </c>
      <c r="U82" s="15">
        <v>24102.790970389917</v>
      </c>
      <c r="V82" s="51">
        <v>113759.0325417766</v>
      </c>
      <c r="W82" s="15">
        <v>110074.52946350044</v>
      </c>
      <c r="X82" s="51">
        <v>60333.73790677221</v>
      </c>
      <c r="Y82" s="15">
        <f t="shared" ref="Y82:AF82" si="127">Y81+3454</f>
        <v>72845.47464</v>
      </c>
      <c r="Z82" s="15">
        <f t="shared" si="127"/>
        <v>86969.40311</v>
      </c>
      <c r="AA82" s="15">
        <f t="shared" si="127"/>
        <v>163115.8001</v>
      </c>
      <c r="AB82" s="15">
        <f t="shared" si="127"/>
        <v>101553.8945</v>
      </c>
      <c r="AC82" s="15">
        <f t="shared" si="127"/>
        <v>86984.5865</v>
      </c>
      <c r="AD82" s="15">
        <f t="shared" si="127"/>
        <v>115355.5976</v>
      </c>
      <c r="AE82" s="15">
        <f t="shared" si="127"/>
        <v>47821.5579</v>
      </c>
      <c r="AF82" s="15">
        <f t="shared" si="127"/>
        <v>64401.82175</v>
      </c>
      <c r="AH82">
        <f>AH81/8</f>
        <v>3454.221636</v>
      </c>
      <c r="AI82" s="15">
        <f>SUM(U82:AF82)</f>
        <v>1047318.227</v>
      </c>
      <c r="AJ82">
        <f>1047320/6822</f>
        <v>153.5209616</v>
      </c>
    </row>
    <row r="83">
      <c r="O83" s="2" t="s">
        <v>2833</v>
      </c>
      <c r="V83" s="2"/>
      <c r="X83" s="2"/>
      <c r="AA83" s="15">
        <f>AA82+U82</f>
        <v>187218.591</v>
      </c>
    </row>
    <row r="84">
      <c r="B84" s="2" t="s">
        <v>2834</v>
      </c>
      <c r="D84" s="2">
        <v>1600000.0</v>
      </c>
      <c r="E84" s="2">
        <v>2300000.0</v>
      </c>
      <c r="F84" s="2">
        <v>1600000.0</v>
      </c>
      <c r="G84" s="2">
        <v>1800000.0</v>
      </c>
      <c r="H84" s="2">
        <v>1900000.0</v>
      </c>
      <c r="I84" s="2">
        <v>3500000.0</v>
      </c>
      <c r="J84" s="2">
        <v>2200000.0</v>
      </c>
      <c r="K84" s="2">
        <v>2380000.0</v>
      </c>
      <c r="L84" s="2">
        <v>1750000.0</v>
      </c>
      <c r="M84" s="2">
        <v>1730000.0</v>
      </c>
      <c r="N84" s="2">
        <v>1300000.0</v>
      </c>
      <c r="O84">
        <f>1200000*11/30</f>
        <v>440000</v>
      </c>
      <c r="P84">
        <f t="shared" ref="P84:P92" si="129">SUM(D84:O84)</f>
        <v>22500000</v>
      </c>
      <c r="U84" s="2" t="s">
        <v>2835</v>
      </c>
      <c r="V84" s="2" t="s">
        <v>2820</v>
      </c>
      <c r="W84">
        <f>W74*14/31</f>
        <v>126881.9677</v>
      </c>
      <c r="X84" s="2" t="s">
        <v>2836</v>
      </c>
      <c r="Y84" s="15">
        <f>W84+W82</f>
        <v>236956.4972</v>
      </c>
    </row>
    <row r="85">
      <c r="B85" s="2" t="s">
        <v>2737</v>
      </c>
      <c r="D85" s="2">
        <f t="shared" ref="D85:O85" si="128">D84*0.1</f>
        <v>160000</v>
      </c>
      <c r="E85" s="2">
        <f t="shared" si="128"/>
        <v>230000</v>
      </c>
      <c r="F85" s="2">
        <f t="shared" si="128"/>
        <v>160000</v>
      </c>
      <c r="G85" s="2">
        <f t="shared" si="128"/>
        <v>180000</v>
      </c>
      <c r="H85" s="2">
        <f t="shared" si="128"/>
        <v>190000</v>
      </c>
      <c r="I85" s="2">
        <f t="shared" si="128"/>
        <v>350000</v>
      </c>
      <c r="J85" s="2">
        <f t="shared" si="128"/>
        <v>220000</v>
      </c>
      <c r="K85" s="2">
        <f t="shared" si="128"/>
        <v>238000</v>
      </c>
      <c r="L85" s="2">
        <f t="shared" si="128"/>
        <v>175000</v>
      </c>
      <c r="M85" s="2">
        <f t="shared" si="128"/>
        <v>173000</v>
      </c>
      <c r="N85" s="2">
        <f t="shared" si="128"/>
        <v>130000</v>
      </c>
      <c r="O85" s="2">
        <f t="shared" si="128"/>
        <v>44000</v>
      </c>
      <c r="P85">
        <f t="shared" si="129"/>
        <v>2250000</v>
      </c>
    </row>
    <row r="86">
      <c r="B86" s="2" t="s">
        <v>2759</v>
      </c>
      <c r="D86">
        <f t="shared" ref="D86:O86" si="130">D84+D85</f>
        <v>1760000</v>
      </c>
      <c r="E86">
        <f t="shared" si="130"/>
        <v>2530000</v>
      </c>
      <c r="F86">
        <f t="shared" si="130"/>
        <v>1760000</v>
      </c>
      <c r="G86">
        <f t="shared" si="130"/>
        <v>1980000</v>
      </c>
      <c r="H86">
        <f t="shared" si="130"/>
        <v>2090000</v>
      </c>
      <c r="I86">
        <f t="shared" si="130"/>
        <v>3850000</v>
      </c>
      <c r="J86">
        <f t="shared" si="130"/>
        <v>2420000</v>
      </c>
      <c r="K86">
        <f t="shared" si="130"/>
        <v>2618000</v>
      </c>
      <c r="L86">
        <f t="shared" si="130"/>
        <v>1925000</v>
      </c>
      <c r="M86">
        <f t="shared" si="130"/>
        <v>1903000</v>
      </c>
      <c r="N86">
        <f t="shared" si="130"/>
        <v>1430000</v>
      </c>
      <c r="O86">
        <f t="shared" si="130"/>
        <v>484000</v>
      </c>
      <c r="P86">
        <f t="shared" si="129"/>
        <v>24750000</v>
      </c>
      <c r="T86" s="2" t="s">
        <v>2837</v>
      </c>
      <c r="U86" s="2">
        <v>9811.0</v>
      </c>
      <c r="W86" s="2">
        <v>11862.0</v>
      </c>
      <c r="Y86" s="2">
        <v>50225.0</v>
      </c>
      <c r="AA86" s="2">
        <v>40052.0</v>
      </c>
      <c r="AC86" s="2">
        <v>52909.0</v>
      </c>
      <c r="AE86" s="2">
        <v>78436.0</v>
      </c>
      <c r="AH86" s="2">
        <v>3477.0</v>
      </c>
    </row>
    <row r="87">
      <c r="B87" s="2" t="s">
        <v>2784</v>
      </c>
      <c r="C87" s="15"/>
      <c r="D87" s="51">
        <v>113759.0325417766</v>
      </c>
      <c r="E87" s="15">
        <v>236956.49720211068</v>
      </c>
      <c r="F87" s="51">
        <v>60333.73790677221</v>
      </c>
      <c r="G87" s="15">
        <v>72845.47464086777</v>
      </c>
      <c r="H87" s="15">
        <v>86969.40310759308</v>
      </c>
      <c r="I87" s="15">
        <v>187218.59102902375</v>
      </c>
      <c r="J87" s="15">
        <v>101553.8944591029</v>
      </c>
      <c r="K87" s="15">
        <v>86984.58649939917</v>
      </c>
      <c r="L87" s="15">
        <v>115355.59761083242</v>
      </c>
      <c r="M87" s="15">
        <v>47821.557900908825</v>
      </c>
      <c r="N87" s="15">
        <v>64401.82175315157</v>
      </c>
      <c r="P87">
        <f t="shared" si="129"/>
        <v>1174200.195</v>
      </c>
      <c r="U87" s="2">
        <v>4470.0</v>
      </c>
      <c r="V87" s="2">
        <v>12882.0</v>
      </c>
      <c r="W87" s="2">
        <v>38610.0</v>
      </c>
      <c r="Y87" s="2">
        <v>13105.0</v>
      </c>
      <c r="AA87" s="2">
        <v>4692.0</v>
      </c>
      <c r="AE87" s="2">
        <v>84004.0</v>
      </c>
      <c r="AG87" s="2">
        <v>5082.0</v>
      </c>
    </row>
    <row r="88">
      <c r="D88">
        <f t="shared" ref="D88:N88" si="131">D87-D89</f>
        <v>103417.3023</v>
      </c>
      <c r="E88">
        <f t="shared" si="131"/>
        <v>215414.9975</v>
      </c>
      <c r="F88">
        <f t="shared" si="131"/>
        <v>54848.85264</v>
      </c>
      <c r="G88">
        <f t="shared" si="131"/>
        <v>66223.15876</v>
      </c>
      <c r="H88">
        <f t="shared" si="131"/>
        <v>79063.09373</v>
      </c>
      <c r="I88">
        <f t="shared" si="131"/>
        <v>170198.7191</v>
      </c>
      <c r="J88">
        <f t="shared" si="131"/>
        <v>92321.72224</v>
      </c>
      <c r="K88">
        <f t="shared" si="131"/>
        <v>79076.89682</v>
      </c>
      <c r="L88">
        <f t="shared" si="131"/>
        <v>104868.7251</v>
      </c>
      <c r="M88">
        <f t="shared" si="131"/>
        <v>43474.14355</v>
      </c>
      <c r="N88">
        <f t="shared" si="131"/>
        <v>58547.11068</v>
      </c>
      <c r="P88">
        <f t="shared" si="129"/>
        <v>1067454.722</v>
      </c>
      <c r="U88">
        <f t="shared" ref="U88:U89" si="133">U86-U77</f>
        <v>815</v>
      </c>
      <c r="W88">
        <f>W86-W77</f>
        <v>972</v>
      </c>
      <c r="Y88">
        <f t="shared" ref="Y88:Y89" si="135">Y86-Y77</f>
        <v>426</v>
      </c>
      <c r="AA88">
        <f t="shared" ref="AA88:AA89" si="136">AA86-AA77</f>
        <v>1137</v>
      </c>
      <c r="AC88">
        <f>AC86-AC77</f>
        <v>688</v>
      </c>
      <c r="AE88">
        <f t="shared" ref="AE88:AE89" si="137">AE86-AE77</f>
        <v>706</v>
      </c>
      <c r="AH88">
        <f>AH86-AH77</f>
        <v>154</v>
      </c>
    </row>
    <row r="89">
      <c r="B89" s="2" t="s">
        <v>2737</v>
      </c>
      <c r="D89">
        <f t="shared" ref="D89:N89" si="132">D87/11</f>
        <v>10341.73023</v>
      </c>
      <c r="E89">
        <f t="shared" si="132"/>
        <v>21541.49975</v>
      </c>
      <c r="F89">
        <f t="shared" si="132"/>
        <v>5484.885264</v>
      </c>
      <c r="G89">
        <f t="shared" si="132"/>
        <v>6622.315876</v>
      </c>
      <c r="H89">
        <f t="shared" si="132"/>
        <v>7906.309373</v>
      </c>
      <c r="I89">
        <f t="shared" si="132"/>
        <v>17019.87191</v>
      </c>
      <c r="J89">
        <f t="shared" si="132"/>
        <v>9232.172224</v>
      </c>
      <c r="K89">
        <f t="shared" si="132"/>
        <v>7907.689682</v>
      </c>
      <c r="L89">
        <f t="shared" si="132"/>
        <v>10486.87251</v>
      </c>
      <c r="M89">
        <f t="shared" si="132"/>
        <v>4347.414355</v>
      </c>
      <c r="N89">
        <f t="shared" si="132"/>
        <v>5854.711068</v>
      </c>
      <c r="P89">
        <f t="shared" si="129"/>
        <v>106745.4722</v>
      </c>
      <c r="S89" s="48" t="s">
        <v>2773</v>
      </c>
      <c r="T89" s="29"/>
      <c r="U89" s="29">
        <f t="shared" si="133"/>
        <v>127</v>
      </c>
      <c r="V89" s="29">
        <f t="shared" ref="V89:W89" si="134">V87-V78</f>
        <v>583</v>
      </c>
      <c r="W89" s="29">
        <f t="shared" si="134"/>
        <v>1359</v>
      </c>
      <c r="X89" s="29">
        <v>972.0</v>
      </c>
      <c r="Y89" s="29">
        <f t="shared" si="135"/>
        <v>153</v>
      </c>
      <c r="Z89" s="29">
        <f>Y88-Y89</f>
        <v>273</v>
      </c>
      <c r="AA89" s="29">
        <f t="shared" si="136"/>
        <v>660</v>
      </c>
      <c r="AB89" s="29">
        <f>AA88-AA89</f>
        <v>477</v>
      </c>
      <c r="AC89" s="29">
        <f>AC88*73.9/(73.9+99)</f>
        <v>294.0613071</v>
      </c>
      <c r="AD89" s="29">
        <f>AC88*99/(73.9+99)</f>
        <v>393.9386929</v>
      </c>
      <c r="AE89" s="29">
        <f t="shared" si="137"/>
        <v>222</v>
      </c>
      <c r="AF89" s="29">
        <f>AE88-AE89-AG89</f>
        <v>391</v>
      </c>
      <c r="AG89" s="29">
        <f>AG87-AG78</f>
        <v>93</v>
      </c>
      <c r="AH89" s="29">
        <v>154.0</v>
      </c>
      <c r="AI89" s="15">
        <f>SUM(U89:AH89)</f>
        <v>6152</v>
      </c>
      <c r="AL89" s="2">
        <v>6858.0</v>
      </c>
    </row>
    <row r="90">
      <c r="B90" s="19" t="s">
        <v>2767</v>
      </c>
      <c r="D90" s="15">
        <f t="shared" ref="D90:H90" si="138">SUM(D86,D87)</f>
        <v>1873759.033</v>
      </c>
      <c r="E90" s="15">
        <f t="shared" si="138"/>
        <v>2766956.497</v>
      </c>
      <c r="F90" s="15">
        <f t="shared" si="138"/>
        <v>1820333.738</v>
      </c>
      <c r="G90" s="15">
        <f t="shared" si="138"/>
        <v>2052845.475</v>
      </c>
      <c r="H90" s="15">
        <f t="shared" si="138"/>
        <v>2176969.403</v>
      </c>
      <c r="I90" s="15">
        <f>SUM(I86,I87,C87)</f>
        <v>4037218.591</v>
      </c>
      <c r="J90" s="15">
        <f t="shared" ref="J90:O90" si="139">SUM(J86,J87)</f>
        <v>2521553.894</v>
      </c>
      <c r="K90" s="15">
        <f t="shared" si="139"/>
        <v>2704984.586</v>
      </c>
      <c r="L90" s="15">
        <f t="shared" si="139"/>
        <v>2040355.598</v>
      </c>
      <c r="M90" s="15">
        <f t="shared" si="139"/>
        <v>1950821.558</v>
      </c>
      <c r="N90" s="15">
        <f t="shared" si="139"/>
        <v>1494401.822</v>
      </c>
      <c r="O90" s="15">
        <f t="shared" si="139"/>
        <v>484000</v>
      </c>
      <c r="P90">
        <f t="shared" si="129"/>
        <v>25924200.19</v>
      </c>
      <c r="U90">
        <f t="shared" ref="U90:AH90" si="140">U89*940790/6152</f>
        <v>19421.38004</v>
      </c>
      <c r="V90">
        <f t="shared" si="140"/>
        <v>89154.83908</v>
      </c>
      <c r="W90">
        <f t="shared" si="140"/>
        <v>207824.0588</v>
      </c>
      <c r="X90">
        <f t="shared" si="140"/>
        <v>148642.3732</v>
      </c>
      <c r="Y90">
        <f t="shared" si="140"/>
        <v>23397.4106</v>
      </c>
      <c r="Z90">
        <f t="shared" si="140"/>
        <v>41748.32087</v>
      </c>
      <c r="AA90">
        <f t="shared" si="140"/>
        <v>100930.0065</v>
      </c>
      <c r="AB90">
        <f t="shared" si="140"/>
        <v>72944.86834</v>
      </c>
      <c r="AC90">
        <f t="shared" si="140"/>
        <v>44969.10551</v>
      </c>
      <c r="AD90">
        <f t="shared" si="140"/>
        <v>60242.78005</v>
      </c>
      <c r="AE90">
        <f t="shared" si="140"/>
        <v>33949.18401</v>
      </c>
      <c r="AF90">
        <f t="shared" si="140"/>
        <v>59793.38264</v>
      </c>
      <c r="AG90">
        <f t="shared" si="140"/>
        <v>14221.95546</v>
      </c>
      <c r="AH90">
        <f t="shared" si="140"/>
        <v>23550.33485</v>
      </c>
      <c r="AJ90" s="50">
        <v>940790.0</v>
      </c>
      <c r="AL90" s="2">
        <v>414387.0</v>
      </c>
    </row>
    <row r="91">
      <c r="B91" s="2" t="s">
        <v>2816</v>
      </c>
      <c r="D91">
        <f t="shared" ref="D91:O91" si="141">D84+D88</f>
        <v>1703417.302</v>
      </c>
      <c r="E91">
        <f t="shared" si="141"/>
        <v>2515414.997</v>
      </c>
      <c r="F91">
        <f t="shared" si="141"/>
        <v>1654848.853</v>
      </c>
      <c r="G91">
        <f t="shared" si="141"/>
        <v>1866223.159</v>
      </c>
      <c r="H91">
        <f t="shared" si="141"/>
        <v>1979063.094</v>
      </c>
      <c r="I91">
        <f t="shared" si="141"/>
        <v>3670198.719</v>
      </c>
      <c r="J91">
        <f t="shared" si="141"/>
        <v>2292321.722</v>
      </c>
      <c r="K91">
        <f t="shared" si="141"/>
        <v>2459076.897</v>
      </c>
      <c r="L91">
        <f t="shared" si="141"/>
        <v>1854868.725</v>
      </c>
      <c r="M91">
        <f t="shared" si="141"/>
        <v>1773474.144</v>
      </c>
      <c r="N91">
        <f t="shared" si="141"/>
        <v>1358547.111</v>
      </c>
      <c r="O91">
        <f t="shared" si="141"/>
        <v>440000</v>
      </c>
      <c r="P91">
        <f t="shared" si="129"/>
        <v>23567454.72</v>
      </c>
      <c r="U91" s="15">
        <v>19421.380039011703</v>
      </c>
      <c r="V91" s="15">
        <v>89154.83907672302</v>
      </c>
      <c r="W91" s="15">
        <v>207824.0588426528</v>
      </c>
      <c r="X91" s="15">
        <v>148642.3732119636</v>
      </c>
      <c r="Y91" s="15">
        <f t="shared" ref="Y91:AG91" si="142">Y90+2617</f>
        <v>26014.4106</v>
      </c>
      <c r="Z91" s="15">
        <f t="shared" si="142"/>
        <v>44365.32087</v>
      </c>
      <c r="AA91" s="15">
        <f t="shared" si="142"/>
        <v>103547.0065</v>
      </c>
      <c r="AB91" s="15">
        <f t="shared" si="142"/>
        <v>75561.86834</v>
      </c>
      <c r="AC91" s="15">
        <f t="shared" si="142"/>
        <v>47586.10551</v>
      </c>
      <c r="AD91" s="15">
        <f t="shared" si="142"/>
        <v>62859.78005</v>
      </c>
      <c r="AE91" s="15">
        <f t="shared" si="142"/>
        <v>36566.18401</v>
      </c>
      <c r="AF91" s="15">
        <f t="shared" si="142"/>
        <v>62410.38264</v>
      </c>
      <c r="AG91" s="15">
        <f t="shared" si="142"/>
        <v>16838.95546</v>
      </c>
      <c r="AH91">
        <f>AH90/9</f>
        <v>2616.703872</v>
      </c>
      <c r="AI91" s="15">
        <f>SUM(U91:AG91)</f>
        <v>940792.6651</v>
      </c>
    </row>
    <row r="92">
      <c r="B92" s="2" t="s">
        <v>2818</v>
      </c>
      <c r="D92">
        <f t="shared" ref="D92:O92" si="143">D85+D89</f>
        <v>170341.7302</v>
      </c>
      <c r="E92">
        <f t="shared" si="143"/>
        <v>251541.4997</v>
      </c>
      <c r="F92">
        <f t="shared" si="143"/>
        <v>165484.8853</v>
      </c>
      <c r="G92">
        <f t="shared" si="143"/>
        <v>186622.3159</v>
      </c>
      <c r="H92">
        <f t="shared" si="143"/>
        <v>197906.3094</v>
      </c>
      <c r="I92">
        <f t="shared" si="143"/>
        <v>367019.8719</v>
      </c>
      <c r="J92">
        <f t="shared" si="143"/>
        <v>229232.1722</v>
      </c>
      <c r="K92">
        <f t="shared" si="143"/>
        <v>245907.6897</v>
      </c>
      <c r="L92">
        <f t="shared" si="143"/>
        <v>185486.8725</v>
      </c>
      <c r="M92">
        <f t="shared" si="143"/>
        <v>177347.4144</v>
      </c>
      <c r="N92">
        <f t="shared" si="143"/>
        <v>135854.7111</v>
      </c>
      <c r="O92">
        <f t="shared" si="143"/>
        <v>44000</v>
      </c>
      <c r="P92">
        <f t="shared" si="129"/>
        <v>2356745.472</v>
      </c>
      <c r="W92" s="40" t="s">
        <v>2765</v>
      </c>
      <c r="X92" s="40" t="s">
        <v>2766</v>
      </c>
      <c r="Y92" s="25">
        <f>(Y82+Y91)*(22/30)/2</f>
        <v>36248.62459</v>
      </c>
      <c r="AA92" s="15">
        <f>AA91+U91</f>
        <v>122968.3865</v>
      </c>
    </row>
    <row r="93">
      <c r="D93" s="2" t="s">
        <v>2804</v>
      </c>
      <c r="E93" s="2" t="s">
        <v>2804</v>
      </c>
      <c r="F93" s="2" t="s">
        <v>2804</v>
      </c>
      <c r="G93" s="2" t="s">
        <v>2819</v>
      </c>
      <c r="H93" s="2" t="s">
        <v>2804</v>
      </c>
      <c r="I93" s="2" t="s">
        <v>2804</v>
      </c>
      <c r="J93" s="2" t="s">
        <v>2804</v>
      </c>
      <c r="K93" s="2" t="s">
        <v>2804</v>
      </c>
      <c r="L93" s="2" t="s">
        <v>2804</v>
      </c>
      <c r="M93" s="2" t="s">
        <v>2804</v>
      </c>
      <c r="N93" s="2" t="s">
        <v>2804</v>
      </c>
      <c r="O93" s="2" t="s">
        <v>2804</v>
      </c>
    </row>
    <row r="94">
      <c r="T94" s="2" t="s">
        <v>2838</v>
      </c>
      <c r="U94" s="2">
        <v>10671.0</v>
      </c>
      <c r="W94" s="2">
        <v>12891.0</v>
      </c>
      <c r="Y94" s="2">
        <v>50570.0</v>
      </c>
      <c r="AA94" s="2">
        <v>41382.0</v>
      </c>
      <c r="AC94" s="2">
        <v>53565.0</v>
      </c>
      <c r="AE94" s="2">
        <v>79645.0</v>
      </c>
      <c r="AH94" s="2">
        <v>3645.0</v>
      </c>
    </row>
    <row r="95">
      <c r="B95" s="2" t="s">
        <v>2839</v>
      </c>
      <c r="D95" s="2">
        <v>1600000.0</v>
      </c>
      <c r="E95" s="2">
        <v>2300000.0</v>
      </c>
      <c r="F95" s="2">
        <v>1600000.0</v>
      </c>
      <c r="G95" s="2">
        <v>1800000.0</v>
      </c>
      <c r="H95" s="2">
        <v>1900000.0</v>
      </c>
      <c r="I95" s="2">
        <v>3500000.0</v>
      </c>
      <c r="J95" s="2">
        <v>2200000.0</v>
      </c>
      <c r="K95" s="2">
        <v>2380000.0</v>
      </c>
      <c r="L95" s="2">
        <v>1750000.0</v>
      </c>
      <c r="M95" s="2">
        <v>1730000.0</v>
      </c>
      <c r="N95" s="2">
        <v>1300000.0</v>
      </c>
      <c r="O95" s="2">
        <v>1200000.0</v>
      </c>
      <c r="P95">
        <f t="shared" ref="P95:P101" si="145">SUM(D95:O95)</f>
        <v>23260000</v>
      </c>
      <c r="U95" s="2">
        <v>4617.0</v>
      </c>
      <c r="V95" s="2">
        <v>13496.0</v>
      </c>
      <c r="W95" s="2">
        <v>40374.0</v>
      </c>
      <c r="Y95" s="2">
        <v>13248.0</v>
      </c>
      <c r="AA95" s="2">
        <v>5299.0</v>
      </c>
      <c r="AE95" s="2">
        <v>84276.0</v>
      </c>
      <c r="AG95" s="2">
        <v>5299.0</v>
      </c>
    </row>
    <row r="96">
      <c r="B96" s="2" t="s">
        <v>2737</v>
      </c>
      <c r="D96" s="2">
        <f t="shared" ref="D96:O96" si="144">D95*0.1</f>
        <v>160000</v>
      </c>
      <c r="E96" s="2">
        <f t="shared" si="144"/>
        <v>230000</v>
      </c>
      <c r="F96" s="2">
        <f t="shared" si="144"/>
        <v>160000</v>
      </c>
      <c r="G96" s="2">
        <f t="shared" si="144"/>
        <v>180000</v>
      </c>
      <c r="H96" s="2">
        <f t="shared" si="144"/>
        <v>190000</v>
      </c>
      <c r="I96" s="2">
        <f t="shared" si="144"/>
        <v>350000</v>
      </c>
      <c r="J96" s="2">
        <f t="shared" si="144"/>
        <v>220000</v>
      </c>
      <c r="K96" s="2">
        <f t="shared" si="144"/>
        <v>238000</v>
      </c>
      <c r="L96" s="2">
        <f t="shared" si="144"/>
        <v>175000</v>
      </c>
      <c r="M96" s="2">
        <f t="shared" si="144"/>
        <v>173000</v>
      </c>
      <c r="N96" s="2">
        <f t="shared" si="144"/>
        <v>130000</v>
      </c>
      <c r="O96" s="2">
        <f t="shared" si="144"/>
        <v>120000</v>
      </c>
      <c r="P96">
        <f t="shared" si="145"/>
        <v>2326000</v>
      </c>
      <c r="U96">
        <f t="shared" ref="U96:U97" si="147">U94-U86</f>
        <v>860</v>
      </c>
      <c r="W96">
        <f>W94-W86</f>
        <v>1029</v>
      </c>
      <c r="Y96">
        <f t="shared" ref="Y96:Y97" si="149">Y94-Y86</f>
        <v>345</v>
      </c>
      <c r="AA96">
        <f t="shared" ref="AA96:AA97" si="150">AA94-AA86</f>
        <v>1330</v>
      </c>
      <c r="AC96">
        <f>AC94-AC86</f>
        <v>656</v>
      </c>
      <c r="AE96">
        <f t="shared" ref="AE96:AE97" si="151">AE94-AE86</f>
        <v>1209</v>
      </c>
      <c r="AH96">
        <f>AH94-AH86</f>
        <v>168</v>
      </c>
    </row>
    <row r="97">
      <c r="B97" s="2" t="s">
        <v>2759</v>
      </c>
      <c r="D97">
        <f t="shared" ref="D97:O97" si="146">D95+D96</f>
        <v>1760000</v>
      </c>
      <c r="E97">
        <f t="shared" si="146"/>
        <v>2530000</v>
      </c>
      <c r="F97">
        <f t="shared" si="146"/>
        <v>1760000</v>
      </c>
      <c r="G97">
        <f t="shared" si="146"/>
        <v>1980000</v>
      </c>
      <c r="H97">
        <f t="shared" si="146"/>
        <v>2090000</v>
      </c>
      <c r="I97">
        <f t="shared" si="146"/>
        <v>3850000</v>
      </c>
      <c r="J97">
        <f t="shared" si="146"/>
        <v>2420000</v>
      </c>
      <c r="K97">
        <f t="shared" si="146"/>
        <v>2618000</v>
      </c>
      <c r="L97">
        <f t="shared" si="146"/>
        <v>1925000</v>
      </c>
      <c r="M97">
        <f t="shared" si="146"/>
        <v>1903000</v>
      </c>
      <c r="N97">
        <f t="shared" si="146"/>
        <v>1430000</v>
      </c>
      <c r="O97">
        <f t="shared" si="146"/>
        <v>1320000</v>
      </c>
      <c r="P97">
        <f t="shared" si="145"/>
        <v>25586000</v>
      </c>
      <c r="S97" s="48" t="s">
        <v>2773</v>
      </c>
      <c r="T97" s="29"/>
      <c r="U97" s="29">
        <f t="shared" si="147"/>
        <v>147</v>
      </c>
      <c r="V97" s="29">
        <f t="shared" ref="V97:W97" si="148">V95-V87</f>
        <v>614</v>
      </c>
      <c r="W97" s="29">
        <f t="shared" si="148"/>
        <v>1764</v>
      </c>
      <c r="X97" s="48">
        <v>1029.0</v>
      </c>
      <c r="Y97" s="29">
        <f t="shared" si="149"/>
        <v>143</v>
      </c>
      <c r="Z97" s="29">
        <f>Y96-Y97</f>
        <v>202</v>
      </c>
      <c r="AA97" s="29">
        <f t="shared" si="150"/>
        <v>607</v>
      </c>
      <c r="AB97" s="29">
        <f>AA96-AA97</f>
        <v>723</v>
      </c>
      <c r="AC97" s="29">
        <f>AC96*73.9/(73.9+99)</f>
        <v>280.384037</v>
      </c>
      <c r="AD97" s="29">
        <f>AC96*99/(73.9+99)</f>
        <v>375.615963</v>
      </c>
      <c r="AE97" s="29">
        <f t="shared" si="151"/>
        <v>272</v>
      </c>
      <c r="AF97" s="29">
        <f>AE96-AE97-AG97</f>
        <v>720</v>
      </c>
      <c r="AG97" s="29">
        <f>AG95-AG87</f>
        <v>217</v>
      </c>
      <c r="AH97" s="48">
        <v>168.0</v>
      </c>
      <c r="AI97" s="15">
        <f t="shared" ref="AI97:AI98" si="153">SUM(U97:AH97)</f>
        <v>7262</v>
      </c>
      <c r="AL97" s="2">
        <v>7423.0</v>
      </c>
    </row>
    <row r="98">
      <c r="B98" s="2" t="s">
        <v>2784</v>
      </c>
      <c r="D98">
        <v>89154.83907672302</v>
      </c>
      <c r="E98">
        <v>207824.0588426528</v>
      </c>
      <c r="F98">
        <v>148642.3732119636</v>
      </c>
      <c r="G98">
        <v>26014.410598179453</v>
      </c>
      <c r="H98">
        <v>44365.32087126138</v>
      </c>
      <c r="I98">
        <v>122968.3865409623</v>
      </c>
      <c r="J98">
        <v>75561.86833550065</v>
      </c>
      <c r="K98">
        <v>47586.10551360898</v>
      </c>
      <c r="L98">
        <v>62859.78005206073</v>
      </c>
      <c r="M98">
        <v>36566.18400520156</v>
      </c>
      <c r="N98">
        <v>62410.38263979194</v>
      </c>
      <c r="O98">
        <v>16838.955461638492</v>
      </c>
      <c r="P98">
        <f t="shared" si="145"/>
        <v>940792.6651</v>
      </c>
      <c r="U98">
        <f t="shared" ref="U98:AH98" si="152">U97*1103970/7262</f>
        <v>22346.95538</v>
      </c>
      <c r="V98">
        <f t="shared" si="152"/>
        <v>93340.34426</v>
      </c>
      <c r="W98">
        <f t="shared" si="152"/>
        <v>268163.4646</v>
      </c>
      <c r="X98">
        <f t="shared" si="152"/>
        <v>156428.6877</v>
      </c>
      <c r="Y98">
        <f t="shared" si="152"/>
        <v>21738.87497</v>
      </c>
      <c r="Z98">
        <f t="shared" si="152"/>
        <v>30708.06114</v>
      </c>
      <c r="AA98">
        <f t="shared" si="152"/>
        <v>92276.20353</v>
      </c>
      <c r="AB98">
        <f t="shared" si="152"/>
        <v>109910.5357</v>
      </c>
      <c r="AC98">
        <f t="shared" si="152"/>
        <v>42624.01065</v>
      </c>
      <c r="AD98">
        <f t="shared" si="152"/>
        <v>57101.178</v>
      </c>
      <c r="AE98">
        <f t="shared" si="152"/>
        <v>41349.46847</v>
      </c>
      <c r="AF98">
        <f t="shared" si="152"/>
        <v>109454.4754</v>
      </c>
      <c r="AG98">
        <f t="shared" si="152"/>
        <v>32988.36271</v>
      </c>
      <c r="AH98">
        <f t="shared" si="152"/>
        <v>25539.37758</v>
      </c>
      <c r="AI98" s="15">
        <f t="shared" si="153"/>
        <v>1103970</v>
      </c>
      <c r="AJ98" s="2">
        <v>1103970.0</v>
      </c>
      <c r="AL98" s="2">
        <v>421810.0</v>
      </c>
    </row>
    <row r="99">
      <c r="D99">
        <f t="shared" ref="D99:O99" si="154">D98-D100</f>
        <v>81049.85371</v>
      </c>
      <c r="E99">
        <f t="shared" si="154"/>
        <v>188930.9626</v>
      </c>
      <c r="F99">
        <f t="shared" si="154"/>
        <v>135129.4302</v>
      </c>
      <c r="G99">
        <f t="shared" si="154"/>
        <v>23649.46418</v>
      </c>
      <c r="H99">
        <f t="shared" si="154"/>
        <v>40332.10988</v>
      </c>
      <c r="I99">
        <f t="shared" si="154"/>
        <v>111789.4423</v>
      </c>
      <c r="J99">
        <f t="shared" si="154"/>
        <v>68692.60758</v>
      </c>
      <c r="K99">
        <f t="shared" si="154"/>
        <v>43260.09592</v>
      </c>
      <c r="L99">
        <f t="shared" si="154"/>
        <v>57145.25459</v>
      </c>
      <c r="M99">
        <f t="shared" si="154"/>
        <v>33241.98546</v>
      </c>
      <c r="N99">
        <f t="shared" si="154"/>
        <v>56736.71149</v>
      </c>
      <c r="O99">
        <f t="shared" si="154"/>
        <v>15308.14133</v>
      </c>
      <c r="P99">
        <f t="shared" si="145"/>
        <v>855266.0592</v>
      </c>
      <c r="U99" s="52">
        <v>22346.955384191682</v>
      </c>
      <c r="V99" s="52">
        <v>93340.34425778022</v>
      </c>
      <c r="W99" s="52">
        <v>268163.4646103002</v>
      </c>
      <c r="X99" s="52">
        <v>156428.68768934178</v>
      </c>
      <c r="Y99" s="52">
        <f t="shared" ref="Y99:AG99" si="155">Y98+2838</f>
        <v>24576.87497</v>
      </c>
      <c r="Z99" s="52">
        <f t="shared" si="155"/>
        <v>33546.06114</v>
      </c>
      <c r="AA99" s="52">
        <f t="shared" si="155"/>
        <v>95114.20353</v>
      </c>
      <c r="AB99" s="52">
        <f t="shared" si="155"/>
        <v>112748.5357</v>
      </c>
      <c r="AC99" s="52">
        <f t="shared" si="155"/>
        <v>45462.01065</v>
      </c>
      <c r="AD99" s="52">
        <f t="shared" si="155"/>
        <v>59939.178</v>
      </c>
      <c r="AE99" s="52">
        <f t="shared" si="155"/>
        <v>44187.46847</v>
      </c>
      <c r="AF99" s="52">
        <f t="shared" si="155"/>
        <v>112292.4754</v>
      </c>
      <c r="AG99" s="52">
        <f t="shared" si="155"/>
        <v>35826.36271</v>
      </c>
      <c r="AH99">
        <f>AH98/9</f>
        <v>2837.70862</v>
      </c>
      <c r="AI99" s="15">
        <f>SUM(U99:AG99)</f>
        <v>1103972.622</v>
      </c>
    </row>
    <row r="100">
      <c r="B100" s="2" t="s">
        <v>2737</v>
      </c>
      <c r="D100">
        <f t="shared" ref="D100:O100" si="156">D98/11</f>
        <v>8104.985371</v>
      </c>
      <c r="E100">
        <f t="shared" si="156"/>
        <v>18893.09626</v>
      </c>
      <c r="F100">
        <f t="shared" si="156"/>
        <v>13512.94302</v>
      </c>
      <c r="G100">
        <f t="shared" si="156"/>
        <v>2364.946418</v>
      </c>
      <c r="H100">
        <f t="shared" si="156"/>
        <v>4033.210988</v>
      </c>
      <c r="I100">
        <f t="shared" si="156"/>
        <v>11178.94423</v>
      </c>
      <c r="J100">
        <f t="shared" si="156"/>
        <v>6869.260758</v>
      </c>
      <c r="K100">
        <f t="shared" si="156"/>
        <v>4326.009592</v>
      </c>
      <c r="L100">
        <f t="shared" si="156"/>
        <v>5714.525459</v>
      </c>
      <c r="M100">
        <f t="shared" si="156"/>
        <v>3324.198546</v>
      </c>
      <c r="N100">
        <f t="shared" si="156"/>
        <v>5673.671149</v>
      </c>
      <c r="O100">
        <f t="shared" si="156"/>
        <v>1530.814133</v>
      </c>
      <c r="P100">
        <f t="shared" si="145"/>
        <v>85526.60592</v>
      </c>
      <c r="AA100" s="15">
        <f>AA99+U99</f>
        <v>117461.1589</v>
      </c>
    </row>
    <row r="101">
      <c r="B101" s="2" t="s">
        <v>2840</v>
      </c>
      <c r="D101">
        <v>49982.89606868171</v>
      </c>
      <c r="E101">
        <v>41626.78113617389</v>
      </c>
      <c r="F101">
        <v>41626.78113617389</v>
      </c>
      <c r="G101">
        <v>19096.029523675832</v>
      </c>
      <c r="H101">
        <v>27477.77671057784</v>
      </c>
      <c r="I101">
        <v>55827.05007055833</v>
      </c>
      <c r="J101">
        <v>27759.731508913992</v>
      </c>
      <c r="K101">
        <v>18942.235997310658</v>
      </c>
      <c r="L101">
        <v>25375.93185025379</v>
      </c>
      <c r="M101">
        <v>12941.725243629433</v>
      </c>
      <c r="N101">
        <v>14892.339803027728</v>
      </c>
      <c r="O101">
        <v>11380.720951022911</v>
      </c>
      <c r="P101">
        <f t="shared" si="145"/>
        <v>346930</v>
      </c>
    </row>
    <row r="102">
      <c r="B102" s="19" t="s">
        <v>2827</v>
      </c>
      <c r="C102" s="15"/>
      <c r="D102" s="15">
        <f t="shared" ref="D102:P102" si="157">SUM(D97,D98,D101)</f>
        <v>1899137.735</v>
      </c>
      <c r="E102" s="15">
        <f t="shared" si="157"/>
        <v>2779450.84</v>
      </c>
      <c r="F102" s="15">
        <f t="shared" si="157"/>
        <v>1950269.154</v>
      </c>
      <c r="G102" s="15">
        <f t="shared" si="157"/>
        <v>2025110.44</v>
      </c>
      <c r="H102" s="15">
        <f t="shared" si="157"/>
        <v>2161843.098</v>
      </c>
      <c r="I102" s="15">
        <f t="shared" si="157"/>
        <v>4028795.437</v>
      </c>
      <c r="J102" s="15">
        <f t="shared" si="157"/>
        <v>2523321.6</v>
      </c>
      <c r="K102" s="15">
        <f t="shared" si="157"/>
        <v>2684528.342</v>
      </c>
      <c r="L102" s="15">
        <f t="shared" si="157"/>
        <v>2013235.712</v>
      </c>
      <c r="M102" s="15">
        <f t="shared" si="157"/>
        <v>1952507.909</v>
      </c>
      <c r="N102" s="15">
        <f t="shared" si="157"/>
        <v>1507302.722</v>
      </c>
      <c r="O102" s="15">
        <f t="shared" si="157"/>
        <v>1348219.676</v>
      </c>
      <c r="P102" s="15">
        <f t="shared" si="157"/>
        <v>26873722.67</v>
      </c>
      <c r="T102" s="2" t="s">
        <v>1979</v>
      </c>
      <c r="U102" s="2">
        <v>11413.0</v>
      </c>
      <c r="W102" s="2">
        <v>13838.0</v>
      </c>
      <c r="Y102" s="2">
        <v>50904.0</v>
      </c>
      <c r="AA102" s="2">
        <v>43153.0</v>
      </c>
      <c r="AC102" s="2">
        <v>54642.0</v>
      </c>
      <c r="AE102" s="2">
        <v>81345.0</v>
      </c>
      <c r="AH102" s="2">
        <v>3802.0</v>
      </c>
    </row>
    <row r="103">
      <c r="B103" s="2" t="s">
        <v>2828</v>
      </c>
      <c r="D103">
        <f t="shared" ref="D103:O103" si="158">SUM(D95,D99,D101)</f>
        <v>1731032.75</v>
      </c>
      <c r="E103">
        <f t="shared" si="158"/>
        <v>2530557.744</v>
      </c>
      <c r="F103">
        <f t="shared" si="158"/>
        <v>1776756.211</v>
      </c>
      <c r="G103">
        <f t="shared" si="158"/>
        <v>1842745.494</v>
      </c>
      <c r="H103">
        <f t="shared" si="158"/>
        <v>1967809.887</v>
      </c>
      <c r="I103">
        <f t="shared" si="158"/>
        <v>3667616.492</v>
      </c>
      <c r="J103">
        <f t="shared" si="158"/>
        <v>2296452.339</v>
      </c>
      <c r="K103">
        <f t="shared" si="158"/>
        <v>2442202.332</v>
      </c>
      <c r="L103">
        <f t="shared" si="158"/>
        <v>1832521.186</v>
      </c>
      <c r="M103">
        <f t="shared" si="158"/>
        <v>1776183.711</v>
      </c>
      <c r="N103">
        <f t="shared" si="158"/>
        <v>1371629.051</v>
      </c>
      <c r="O103">
        <f t="shared" si="158"/>
        <v>1226688.862</v>
      </c>
      <c r="T103" s="2" t="s">
        <v>2841</v>
      </c>
      <c r="U103" s="2">
        <v>4761.0</v>
      </c>
      <c r="V103" s="2">
        <v>14009.0</v>
      </c>
      <c r="W103" s="2">
        <v>42378.0</v>
      </c>
      <c r="Y103" s="2">
        <v>13298.0</v>
      </c>
      <c r="AA103" s="2">
        <v>6118.0</v>
      </c>
      <c r="AE103" s="2">
        <v>84693.0</v>
      </c>
      <c r="AG103" s="2">
        <v>5619.0</v>
      </c>
    </row>
    <row r="104">
      <c r="B104" s="2" t="s">
        <v>2830</v>
      </c>
      <c r="D104">
        <f t="shared" ref="D104:O104" si="159">SUM(D95,D99)</f>
        <v>1681049.854</v>
      </c>
      <c r="E104">
        <f t="shared" si="159"/>
        <v>2488930.963</v>
      </c>
      <c r="F104">
        <f t="shared" si="159"/>
        <v>1735129.43</v>
      </c>
      <c r="G104">
        <f t="shared" si="159"/>
        <v>1823649.464</v>
      </c>
      <c r="H104">
        <f t="shared" si="159"/>
        <v>1940332.11</v>
      </c>
      <c r="I104">
        <f t="shared" si="159"/>
        <v>3611789.442</v>
      </c>
      <c r="J104">
        <f t="shared" si="159"/>
        <v>2268692.608</v>
      </c>
      <c r="K104">
        <f t="shared" si="159"/>
        <v>2423260.096</v>
      </c>
      <c r="L104">
        <f t="shared" si="159"/>
        <v>1807145.255</v>
      </c>
      <c r="M104">
        <f t="shared" si="159"/>
        <v>1763241.985</v>
      </c>
      <c r="N104">
        <f t="shared" si="159"/>
        <v>1356736.711</v>
      </c>
      <c r="O104">
        <f t="shared" si="159"/>
        <v>1215308.141</v>
      </c>
      <c r="U104">
        <f t="shared" ref="U104:U105" si="161">U102-U94</f>
        <v>742</v>
      </c>
      <c r="W104">
        <f>W102-W94</f>
        <v>947</v>
      </c>
      <c r="Y104">
        <f t="shared" ref="Y104:Y105" si="163">Y102-Y94</f>
        <v>334</v>
      </c>
      <c r="AA104">
        <f t="shared" ref="AA104:AA105" si="164">AA102-AA94</f>
        <v>1771</v>
      </c>
      <c r="AC104">
        <f>AC102-AC94</f>
        <v>1077</v>
      </c>
      <c r="AE104">
        <f t="shared" ref="AE104:AE105" si="165">AE102-AE94</f>
        <v>1700</v>
      </c>
      <c r="AH104">
        <f>AH102-AH94</f>
        <v>157</v>
      </c>
    </row>
    <row r="105">
      <c r="B105" s="2" t="s">
        <v>2818</v>
      </c>
      <c r="D105">
        <f t="shared" ref="D105:O105" si="160">SUM(D96,D100)</f>
        <v>168104.9854</v>
      </c>
      <c r="E105">
        <f t="shared" si="160"/>
        <v>248893.0963</v>
      </c>
      <c r="F105">
        <f t="shared" si="160"/>
        <v>173512.943</v>
      </c>
      <c r="G105">
        <f t="shared" si="160"/>
        <v>182364.9464</v>
      </c>
      <c r="H105">
        <f t="shared" si="160"/>
        <v>194033.211</v>
      </c>
      <c r="I105">
        <f t="shared" si="160"/>
        <v>361178.9442</v>
      </c>
      <c r="J105">
        <f t="shared" si="160"/>
        <v>226869.2608</v>
      </c>
      <c r="K105">
        <f t="shared" si="160"/>
        <v>242326.0096</v>
      </c>
      <c r="L105">
        <f t="shared" si="160"/>
        <v>180714.5255</v>
      </c>
      <c r="M105">
        <f t="shared" si="160"/>
        <v>176324.1985</v>
      </c>
      <c r="N105">
        <f t="shared" si="160"/>
        <v>135673.6711</v>
      </c>
      <c r="O105">
        <f t="shared" si="160"/>
        <v>121530.8141</v>
      </c>
      <c r="U105" s="29">
        <f t="shared" si="161"/>
        <v>144</v>
      </c>
      <c r="V105" s="29">
        <f t="shared" ref="V105:W105" si="162">V103-V95</f>
        <v>513</v>
      </c>
      <c r="W105" s="29">
        <f t="shared" si="162"/>
        <v>2004</v>
      </c>
      <c r="X105" s="48">
        <f>W104-50</f>
        <v>897</v>
      </c>
      <c r="Y105" s="29">
        <f t="shared" si="163"/>
        <v>50</v>
      </c>
      <c r="Z105" s="29">
        <f>Y104-Y105</f>
        <v>284</v>
      </c>
      <c r="AA105" s="29">
        <f t="shared" si="164"/>
        <v>819</v>
      </c>
      <c r="AB105" s="29">
        <f>AA104-AA105</f>
        <v>952</v>
      </c>
      <c r="AC105" s="29">
        <f>(AC104)*73.9/(73.9+99)</f>
        <v>460.3256217</v>
      </c>
      <c r="AD105" s="29">
        <f>(AC104)*99/(73.9+99)</f>
        <v>616.6743783</v>
      </c>
      <c r="AE105" s="29">
        <f t="shared" si="165"/>
        <v>417</v>
      </c>
      <c r="AF105" s="29">
        <f>AE104-AE105-AG105</f>
        <v>963</v>
      </c>
      <c r="AG105" s="29">
        <f>AG103-AG95</f>
        <v>320</v>
      </c>
      <c r="AH105" s="2">
        <v>157.0</v>
      </c>
      <c r="AI105" s="15">
        <f t="shared" ref="AI105:AI106" si="168">SUM(U105:AH105)</f>
        <v>8597</v>
      </c>
      <c r="AL105" s="2">
        <v>9642.0</v>
      </c>
    </row>
    <row r="106">
      <c r="B106" s="2" t="s">
        <v>2831</v>
      </c>
      <c r="D106">
        <f t="shared" ref="D106:O106" si="166">SUM(D104:D105)</f>
        <v>1849154.839</v>
      </c>
      <c r="E106">
        <f t="shared" si="166"/>
        <v>2737824.059</v>
      </c>
      <c r="F106">
        <f t="shared" si="166"/>
        <v>1908642.373</v>
      </c>
      <c r="G106">
        <f t="shared" si="166"/>
        <v>2006014.411</v>
      </c>
      <c r="H106">
        <f t="shared" si="166"/>
        <v>2134365.321</v>
      </c>
      <c r="I106">
        <f t="shared" si="166"/>
        <v>3972968.387</v>
      </c>
      <c r="J106">
        <f t="shared" si="166"/>
        <v>2495561.868</v>
      </c>
      <c r="K106">
        <f t="shared" si="166"/>
        <v>2665586.106</v>
      </c>
      <c r="L106">
        <f t="shared" si="166"/>
        <v>1987859.78</v>
      </c>
      <c r="M106">
        <f t="shared" si="166"/>
        <v>1939566.184</v>
      </c>
      <c r="N106">
        <f t="shared" si="166"/>
        <v>1492410.383</v>
      </c>
      <c r="O106">
        <f t="shared" si="166"/>
        <v>1336838.955</v>
      </c>
      <c r="U106">
        <f t="shared" ref="U106:AH106" si="167">U105*1591170/8597</f>
        <v>26652.14377</v>
      </c>
      <c r="V106">
        <f t="shared" si="167"/>
        <v>94948.26218</v>
      </c>
      <c r="W106">
        <f t="shared" si="167"/>
        <v>370909.0008</v>
      </c>
      <c r="X106">
        <f t="shared" si="167"/>
        <v>166020.6456</v>
      </c>
      <c r="Y106">
        <f t="shared" si="167"/>
        <v>9254.216587</v>
      </c>
      <c r="Z106">
        <f t="shared" si="167"/>
        <v>52563.95022</v>
      </c>
      <c r="AA106">
        <f t="shared" si="167"/>
        <v>151584.0677</v>
      </c>
      <c r="AB106">
        <f t="shared" si="167"/>
        <v>176200.2838</v>
      </c>
      <c r="AC106">
        <f t="shared" si="167"/>
        <v>85199.06009</v>
      </c>
      <c r="AD106">
        <f t="shared" si="167"/>
        <v>114136.7652</v>
      </c>
      <c r="AE106">
        <f t="shared" si="167"/>
        <v>77180.16634</v>
      </c>
      <c r="AF106">
        <f t="shared" si="167"/>
        <v>178236.2115</v>
      </c>
      <c r="AG106">
        <f t="shared" si="167"/>
        <v>59226.98616</v>
      </c>
      <c r="AH106">
        <f t="shared" si="167"/>
        <v>29058.24008</v>
      </c>
      <c r="AI106" s="15">
        <f t="shared" si="168"/>
        <v>1591170</v>
      </c>
      <c r="AJ106" s="2">
        <v>1591170.0</v>
      </c>
    </row>
    <row r="107">
      <c r="D107" s="2" t="s">
        <v>2819</v>
      </c>
      <c r="E107" s="2" t="s">
        <v>2804</v>
      </c>
      <c r="F107" s="2" t="s">
        <v>2804</v>
      </c>
      <c r="G107" s="2" t="s">
        <v>2842</v>
      </c>
      <c r="H107" s="2" t="s">
        <v>2804</v>
      </c>
      <c r="I107" s="2" t="s">
        <v>2804</v>
      </c>
      <c r="J107" s="2" t="s">
        <v>2804</v>
      </c>
      <c r="K107" s="2" t="s">
        <v>2804</v>
      </c>
      <c r="L107" s="2" t="s">
        <v>2804</v>
      </c>
      <c r="M107" s="2" t="s">
        <v>2804</v>
      </c>
      <c r="N107" s="2" t="s">
        <v>2804</v>
      </c>
      <c r="O107" s="2" t="s">
        <v>2804</v>
      </c>
      <c r="U107" s="53">
        <v>26652.143771082934</v>
      </c>
      <c r="V107" s="54">
        <v>94948.26218448296</v>
      </c>
      <c r="W107" s="54">
        <v>370909.0008142375</v>
      </c>
      <c r="X107" s="54">
        <v>166020.64557403745</v>
      </c>
      <c r="Y107" s="54">
        <f t="shared" ref="Y107:AG107" si="169">Y106+3229</f>
        <v>12483.21659</v>
      </c>
      <c r="Z107" s="54">
        <f t="shared" si="169"/>
        <v>55792.95022</v>
      </c>
      <c r="AA107" s="53">
        <f t="shared" si="169"/>
        <v>154813.0677</v>
      </c>
      <c r="AB107" s="54">
        <f t="shared" si="169"/>
        <v>179429.2838</v>
      </c>
      <c r="AC107" s="54">
        <f t="shared" si="169"/>
        <v>88428.06009</v>
      </c>
      <c r="AD107" s="54">
        <f t="shared" si="169"/>
        <v>117365.7652</v>
      </c>
      <c r="AE107" s="54">
        <f t="shared" si="169"/>
        <v>80409.16634</v>
      </c>
      <c r="AF107" s="54">
        <f t="shared" si="169"/>
        <v>181465.2115</v>
      </c>
      <c r="AG107" s="54">
        <f t="shared" si="169"/>
        <v>62455.98616</v>
      </c>
      <c r="AH107">
        <f>AH106/9</f>
        <v>3228.693343</v>
      </c>
      <c r="AI107" s="15">
        <f>SUM(U107:AG107)</f>
        <v>1591172.76</v>
      </c>
    </row>
    <row r="108">
      <c r="G108">
        <f>SUM(G102,G90,G76,G64)</f>
        <v>8281247.067</v>
      </c>
      <c r="AA108" s="54">
        <f>AA107+U107</f>
        <v>181465.2115</v>
      </c>
    </row>
    <row r="109">
      <c r="N109" s="2" t="s">
        <v>2843</v>
      </c>
    </row>
    <row r="110">
      <c r="B110" s="2" t="s">
        <v>2844</v>
      </c>
      <c r="D110" s="2">
        <v>1600000.0</v>
      </c>
      <c r="E110" s="2">
        <v>2300000.0</v>
      </c>
      <c r="F110" s="2">
        <v>1600000.0</v>
      </c>
      <c r="G110" s="2">
        <v>1320000.0</v>
      </c>
      <c r="H110" s="2">
        <v>1900000.0</v>
      </c>
      <c r="I110" s="2">
        <v>3500000.0</v>
      </c>
      <c r="J110" s="2">
        <v>2200000.0</v>
      </c>
      <c r="K110" s="2">
        <v>2380000.0</v>
      </c>
      <c r="L110" s="2">
        <v>1750000.0</v>
      </c>
      <c r="M110" s="2">
        <v>1730000.0</v>
      </c>
      <c r="N110" s="2">
        <v>1300000.0</v>
      </c>
      <c r="O110" s="2">
        <v>1200000.0</v>
      </c>
      <c r="P110">
        <f t="shared" ref="P110:P118" si="171">SUM(D110:O110)</f>
        <v>22780000</v>
      </c>
      <c r="T110" s="2" t="s">
        <v>2845</v>
      </c>
      <c r="U110" s="2">
        <v>12434.0</v>
      </c>
      <c r="W110" s="2">
        <v>15034.0</v>
      </c>
      <c r="Y110" s="2">
        <v>51459.0</v>
      </c>
      <c r="AA110" s="2">
        <v>45359.0</v>
      </c>
      <c r="AC110" s="2">
        <v>56509.0</v>
      </c>
      <c r="AE110" s="2">
        <v>83924.0</v>
      </c>
      <c r="AH110" s="2">
        <v>3965.0</v>
      </c>
    </row>
    <row r="111">
      <c r="B111" s="2" t="s">
        <v>2737</v>
      </c>
      <c r="D111" s="2">
        <f t="shared" ref="D111:O111" si="170">D110*0.1</f>
        <v>160000</v>
      </c>
      <c r="E111" s="2">
        <f t="shared" si="170"/>
        <v>230000</v>
      </c>
      <c r="F111" s="2">
        <f t="shared" si="170"/>
        <v>160000</v>
      </c>
      <c r="G111" s="2">
        <f t="shared" si="170"/>
        <v>132000</v>
      </c>
      <c r="H111" s="2">
        <f t="shared" si="170"/>
        <v>190000</v>
      </c>
      <c r="I111" s="2">
        <f t="shared" si="170"/>
        <v>350000</v>
      </c>
      <c r="J111" s="2">
        <f t="shared" si="170"/>
        <v>220000</v>
      </c>
      <c r="K111" s="2">
        <f t="shared" si="170"/>
        <v>238000</v>
      </c>
      <c r="L111" s="2">
        <f t="shared" si="170"/>
        <v>175000</v>
      </c>
      <c r="M111" s="2">
        <f t="shared" si="170"/>
        <v>173000</v>
      </c>
      <c r="N111" s="2">
        <f t="shared" si="170"/>
        <v>130000</v>
      </c>
      <c r="O111" s="2">
        <f t="shared" si="170"/>
        <v>120000</v>
      </c>
      <c r="P111">
        <f t="shared" si="171"/>
        <v>2278000</v>
      </c>
      <c r="U111" s="2">
        <v>4937.0</v>
      </c>
      <c r="V111" s="2">
        <v>14742.0</v>
      </c>
      <c r="W111" s="2">
        <v>45358.0</v>
      </c>
      <c r="Y111" s="2">
        <v>13425.0</v>
      </c>
      <c r="AA111" s="2">
        <v>7041.0</v>
      </c>
      <c r="AE111" s="2">
        <v>85280.0</v>
      </c>
      <c r="AG111" s="2">
        <v>6083.0</v>
      </c>
    </row>
    <row r="112">
      <c r="B112" s="2" t="s">
        <v>2759</v>
      </c>
      <c r="D112">
        <f t="shared" ref="D112:O112" si="172">D110+D111</f>
        <v>1760000</v>
      </c>
      <c r="E112">
        <f t="shared" si="172"/>
        <v>2530000</v>
      </c>
      <c r="F112">
        <f t="shared" si="172"/>
        <v>1760000</v>
      </c>
      <c r="G112">
        <f t="shared" si="172"/>
        <v>1452000</v>
      </c>
      <c r="H112">
        <f t="shared" si="172"/>
        <v>2090000</v>
      </c>
      <c r="I112">
        <f t="shared" si="172"/>
        <v>3850000</v>
      </c>
      <c r="J112">
        <f t="shared" si="172"/>
        <v>2420000</v>
      </c>
      <c r="K112">
        <f t="shared" si="172"/>
        <v>2618000</v>
      </c>
      <c r="L112">
        <f t="shared" si="172"/>
        <v>1925000</v>
      </c>
      <c r="M112">
        <f t="shared" si="172"/>
        <v>1903000</v>
      </c>
      <c r="N112">
        <f t="shared" si="172"/>
        <v>1430000</v>
      </c>
      <c r="O112">
        <f t="shared" si="172"/>
        <v>1320000</v>
      </c>
      <c r="P112">
        <f t="shared" si="171"/>
        <v>25058000</v>
      </c>
      <c r="U112">
        <f t="shared" ref="U112:U113" si="173">U110-U102</f>
        <v>1021</v>
      </c>
      <c r="W112">
        <f>W110-W102</f>
        <v>1196</v>
      </c>
      <c r="Y112">
        <f t="shared" ref="Y112:Y113" si="175">Y110-Y102</f>
        <v>555</v>
      </c>
      <c r="AA112">
        <f t="shared" ref="AA112:AA113" si="176">AA110-AA102</f>
        <v>2206</v>
      </c>
      <c r="AC112">
        <f>AC110-AC102</f>
        <v>1867</v>
      </c>
      <c r="AE112">
        <f t="shared" ref="AE112:AE113" si="177">AE110-AE102</f>
        <v>2579</v>
      </c>
      <c r="AG112" s="29"/>
      <c r="AH112">
        <f>AH110-AH102</f>
        <v>163</v>
      </c>
    </row>
    <row r="113">
      <c r="B113" s="2" t="s">
        <v>2784</v>
      </c>
      <c r="D113">
        <v>93340.34425778022</v>
      </c>
      <c r="E113">
        <v>268163.4646103002</v>
      </c>
      <c r="F113">
        <v>156428.68768934178</v>
      </c>
      <c r="G113" s="2">
        <v>36248.0</v>
      </c>
      <c r="H113">
        <v>33546.06114018177</v>
      </c>
      <c r="I113">
        <v>117461.15890939135</v>
      </c>
      <c r="J113">
        <v>112748.53566510603</v>
      </c>
      <c r="K113">
        <v>45462.01065052734</v>
      </c>
      <c r="L113">
        <v>59939.17800273621</v>
      </c>
      <c r="M113">
        <v>44187.46846598733</v>
      </c>
      <c r="N113">
        <v>112292.47535114293</v>
      </c>
      <c r="O113">
        <v>35826.362709997244</v>
      </c>
      <c r="P113">
        <f t="shared" si="171"/>
        <v>1115643.747</v>
      </c>
      <c r="S113" s="48" t="s">
        <v>2773</v>
      </c>
      <c r="T113" s="29"/>
      <c r="U113" s="55">
        <f t="shared" si="173"/>
        <v>176</v>
      </c>
      <c r="V113" s="29">
        <f t="shared" ref="V113:W113" si="174">V111-V103</f>
        <v>733</v>
      </c>
      <c r="W113" s="55">
        <f t="shared" si="174"/>
        <v>2980</v>
      </c>
      <c r="X113" s="48">
        <f>W112-50</f>
        <v>1146</v>
      </c>
      <c r="Y113" s="55">
        <f t="shared" si="175"/>
        <v>127</v>
      </c>
      <c r="Z113" s="29">
        <f>Y112-Y113</f>
        <v>428</v>
      </c>
      <c r="AA113" s="55">
        <f t="shared" si="176"/>
        <v>923</v>
      </c>
      <c r="AB113" s="29">
        <f>AA112-AA113</f>
        <v>1283</v>
      </c>
      <c r="AC113" s="55">
        <f>(AC112)*73.9/(73.9+99)</f>
        <v>797.9832273</v>
      </c>
      <c r="AD113" s="55">
        <f>(AC112)*99/(73.9+99)</f>
        <v>1069.016773</v>
      </c>
      <c r="AE113" s="29">
        <f t="shared" si="177"/>
        <v>587</v>
      </c>
      <c r="AF113" s="29">
        <f>AE112-AE113-AG113</f>
        <v>1528</v>
      </c>
      <c r="AG113" s="29">
        <f>AG111-AG103</f>
        <v>464</v>
      </c>
      <c r="AH113">
        <v>163.0</v>
      </c>
      <c r="AI113" s="15">
        <f t="shared" ref="AI113:AI114" si="180">SUM(U113:AH113)</f>
        <v>12405</v>
      </c>
      <c r="AL113" s="2">
        <v>12466.0</v>
      </c>
    </row>
    <row r="114">
      <c r="D114">
        <f t="shared" ref="D114:O114" si="178">D113-D115</f>
        <v>84854.85842</v>
      </c>
      <c r="E114">
        <f t="shared" si="178"/>
        <v>243784.9678</v>
      </c>
      <c r="F114">
        <f t="shared" si="178"/>
        <v>142207.8979</v>
      </c>
      <c r="G114">
        <f t="shared" si="178"/>
        <v>32952.72727</v>
      </c>
      <c r="H114">
        <f t="shared" si="178"/>
        <v>30496.41922</v>
      </c>
      <c r="I114">
        <f t="shared" si="178"/>
        <v>106782.8717</v>
      </c>
      <c r="J114">
        <f t="shared" si="178"/>
        <v>102498.6688</v>
      </c>
      <c r="K114">
        <f t="shared" si="178"/>
        <v>41329.10059</v>
      </c>
      <c r="L114">
        <f t="shared" si="178"/>
        <v>54490.16182</v>
      </c>
      <c r="M114">
        <f t="shared" si="178"/>
        <v>40170.42588</v>
      </c>
      <c r="N114">
        <f t="shared" si="178"/>
        <v>102084.0685</v>
      </c>
      <c r="O114">
        <f t="shared" si="178"/>
        <v>32569.42065</v>
      </c>
      <c r="P114">
        <f t="shared" si="171"/>
        <v>1014221.589</v>
      </c>
      <c r="U114">
        <f t="shared" ref="U114:AH114" si="179">U113*1930570/12405</f>
        <v>27390.59412</v>
      </c>
      <c r="V114">
        <f t="shared" si="179"/>
        <v>114075.5994</v>
      </c>
      <c r="W114">
        <f t="shared" si="179"/>
        <v>463772.5595</v>
      </c>
      <c r="X114">
        <f t="shared" si="179"/>
        <v>178350.1185</v>
      </c>
      <c r="Y114">
        <f t="shared" si="179"/>
        <v>19764.80371</v>
      </c>
      <c r="Z114">
        <f t="shared" si="179"/>
        <v>66608.94478</v>
      </c>
      <c r="AA114">
        <f t="shared" si="179"/>
        <v>143644.9907</v>
      </c>
      <c r="AB114">
        <f t="shared" si="179"/>
        <v>199671.206</v>
      </c>
      <c r="AC114">
        <f t="shared" si="179"/>
        <v>124188.8335</v>
      </c>
      <c r="AD114">
        <f t="shared" si="179"/>
        <v>166369.3439</v>
      </c>
      <c r="AE114">
        <f t="shared" si="179"/>
        <v>91353.85651</v>
      </c>
      <c r="AF114">
        <f t="shared" si="179"/>
        <v>237800.158</v>
      </c>
      <c r="AG114">
        <f t="shared" si="179"/>
        <v>72211.5663</v>
      </c>
      <c r="AH114">
        <f t="shared" si="179"/>
        <v>25367.42523</v>
      </c>
      <c r="AI114" s="15">
        <f t="shared" si="180"/>
        <v>1930570</v>
      </c>
      <c r="AJ114" s="2">
        <v>1930570.0</v>
      </c>
      <c r="AL114" s="2">
        <v>40929.0</v>
      </c>
    </row>
    <row r="115">
      <c r="B115" s="2" t="s">
        <v>2737</v>
      </c>
      <c r="D115">
        <f t="shared" ref="D115:O115" si="181">D113/11</f>
        <v>8485.485842</v>
      </c>
      <c r="E115">
        <f t="shared" si="181"/>
        <v>24378.49678</v>
      </c>
      <c r="F115">
        <f t="shared" si="181"/>
        <v>14220.78979</v>
      </c>
      <c r="G115">
        <f t="shared" si="181"/>
        <v>3295.272727</v>
      </c>
      <c r="H115">
        <f t="shared" si="181"/>
        <v>3049.641922</v>
      </c>
      <c r="I115">
        <f t="shared" si="181"/>
        <v>10678.28717</v>
      </c>
      <c r="J115">
        <f t="shared" si="181"/>
        <v>10249.86688</v>
      </c>
      <c r="K115">
        <f t="shared" si="181"/>
        <v>4132.910059</v>
      </c>
      <c r="L115">
        <f t="shared" si="181"/>
        <v>5449.016182</v>
      </c>
      <c r="M115">
        <f t="shared" si="181"/>
        <v>4017.042588</v>
      </c>
      <c r="N115">
        <f t="shared" si="181"/>
        <v>10208.40685</v>
      </c>
      <c r="O115">
        <f t="shared" si="181"/>
        <v>3256.942065</v>
      </c>
      <c r="P115">
        <f t="shared" si="171"/>
        <v>101422.1589</v>
      </c>
      <c r="U115">
        <v>27390.594115276097</v>
      </c>
      <c r="V115" s="54">
        <v>114075.59935509875</v>
      </c>
      <c r="W115" s="54">
        <v>463772.55945183395</v>
      </c>
      <c r="X115" s="54">
        <v>178350.11850060459</v>
      </c>
      <c r="Y115" s="54">
        <f t="shared" ref="Y115:AG115" si="182">Y114+2819</f>
        <v>22583.80371</v>
      </c>
      <c r="Z115" s="54">
        <f t="shared" si="182"/>
        <v>69427.94478</v>
      </c>
      <c r="AA115" s="53">
        <f t="shared" si="182"/>
        <v>146463.9907</v>
      </c>
      <c r="AB115" s="54">
        <f t="shared" si="182"/>
        <v>202490.206</v>
      </c>
      <c r="AC115" s="54">
        <f t="shared" si="182"/>
        <v>127007.8335</v>
      </c>
      <c r="AD115" s="54">
        <f t="shared" si="182"/>
        <v>169188.3439</v>
      </c>
      <c r="AE115" s="54">
        <f t="shared" si="182"/>
        <v>94172.85651</v>
      </c>
      <c r="AF115" s="54">
        <f t="shared" si="182"/>
        <v>240619.158</v>
      </c>
      <c r="AG115" s="54">
        <f t="shared" si="182"/>
        <v>75030.5663</v>
      </c>
      <c r="AH115">
        <f>AH114/9</f>
        <v>2818.602804</v>
      </c>
      <c r="AI115" s="15">
        <f>SUM(U115:AG115)</f>
        <v>1930573.575</v>
      </c>
    </row>
    <row r="116">
      <c r="B116" s="19" t="s">
        <v>2767</v>
      </c>
      <c r="D116" s="15">
        <f t="shared" ref="D116:F116" si="183">SUM(D112,D113)</f>
        <v>1853340.344</v>
      </c>
      <c r="E116" s="15">
        <f t="shared" si="183"/>
        <v>2798163.465</v>
      </c>
      <c r="F116" s="15">
        <f t="shared" si="183"/>
        <v>1916428.688</v>
      </c>
      <c r="G116" s="15">
        <f>SUM(G112,G113,G119)</f>
        <v>1494816</v>
      </c>
      <c r="H116" s="15">
        <f>SUM(H112,H113)</f>
        <v>2123546.061</v>
      </c>
      <c r="I116" s="15">
        <f>SUM(I112,I113,C113)</f>
        <v>3967461.159</v>
      </c>
      <c r="J116" s="15">
        <f t="shared" ref="J116:O116" si="184">SUM(J112,J113)</f>
        <v>2532748.536</v>
      </c>
      <c r="K116" s="15">
        <f t="shared" si="184"/>
        <v>2663462.011</v>
      </c>
      <c r="L116" s="15">
        <f t="shared" si="184"/>
        <v>1984939.178</v>
      </c>
      <c r="M116" s="15">
        <f t="shared" si="184"/>
        <v>1947187.468</v>
      </c>
      <c r="N116" s="15">
        <f t="shared" si="184"/>
        <v>1542292.475</v>
      </c>
      <c r="O116" s="15">
        <f t="shared" si="184"/>
        <v>1355826.363</v>
      </c>
      <c r="P116">
        <f t="shared" si="171"/>
        <v>26180211.75</v>
      </c>
      <c r="AA116" s="54">
        <f>AA115+U115</f>
        <v>173854.5848</v>
      </c>
    </row>
    <row r="117">
      <c r="B117" s="2" t="s">
        <v>2816</v>
      </c>
      <c r="D117">
        <f t="shared" ref="D117:O117" si="185">D110+D114</f>
        <v>1684854.858</v>
      </c>
      <c r="E117">
        <f t="shared" si="185"/>
        <v>2543784.968</v>
      </c>
      <c r="F117">
        <f t="shared" si="185"/>
        <v>1742207.898</v>
      </c>
      <c r="G117">
        <f t="shared" si="185"/>
        <v>1352952.727</v>
      </c>
      <c r="H117">
        <f t="shared" si="185"/>
        <v>1930496.419</v>
      </c>
      <c r="I117">
        <f t="shared" si="185"/>
        <v>3606782.872</v>
      </c>
      <c r="J117">
        <f t="shared" si="185"/>
        <v>2302498.669</v>
      </c>
      <c r="K117">
        <f t="shared" si="185"/>
        <v>2421329.101</v>
      </c>
      <c r="L117">
        <f t="shared" si="185"/>
        <v>1804490.162</v>
      </c>
      <c r="M117">
        <f t="shared" si="185"/>
        <v>1770170.426</v>
      </c>
      <c r="N117">
        <f t="shared" si="185"/>
        <v>1402084.069</v>
      </c>
      <c r="O117">
        <f t="shared" si="185"/>
        <v>1232569.421</v>
      </c>
      <c r="P117">
        <f t="shared" si="171"/>
        <v>23794221.59</v>
      </c>
    </row>
    <row r="118">
      <c r="B118" s="2" t="s">
        <v>2818</v>
      </c>
      <c r="D118">
        <f t="shared" ref="D118:O118" si="186">D111+D115</f>
        <v>168485.4858</v>
      </c>
      <c r="E118">
        <f t="shared" si="186"/>
        <v>254378.4968</v>
      </c>
      <c r="F118">
        <f t="shared" si="186"/>
        <v>174220.7898</v>
      </c>
      <c r="G118">
        <f t="shared" si="186"/>
        <v>135295.2727</v>
      </c>
      <c r="H118">
        <f t="shared" si="186"/>
        <v>193049.6419</v>
      </c>
      <c r="I118">
        <f t="shared" si="186"/>
        <v>360678.2872</v>
      </c>
      <c r="J118">
        <f t="shared" si="186"/>
        <v>230249.8669</v>
      </c>
      <c r="K118">
        <f t="shared" si="186"/>
        <v>242132.9101</v>
      </c>
      <c r="L118">
        <f t="shared" si="186"/>
        <v>180449.0162</v>
      </c>
      <c r="M118">
        <f t="shared" si="186"/>
        <v>177017.0426</v>
      </c>
      <c r="N118">
        <f t="shared" si="186"/>
        <v>140208.4069</v>
      </c>
      <c r="O118">
        <f t="shared" si="186"/>
        <v>123256.9421</v>
      </c>
      <c r="P118">
        <f t="shared" si="171"/>
        <v>2379422.159</v>
      </c>
      <c r="T118" s="2" t="s">
        <v>2846</v>
      </c>
      <c r="U118" s="2">
        <v>13274.0</v>
      </c>
      <c r="W118" s="2">
        <v>16116.0</v>
      </c>
      <c r="Y118" s="2">
        <v>51787.0</v>
      </c>
      <c r="AA118" s="2">
        <v>47063.0</v>
      </c>
      <c r="AC118" s="2">
        <v>57726.0</v>
      </c>
      <c r="AE118" s="2">
        <v>85743.0</v>
      </c>
      <c r="AH118" s="2">
        <v>4128.0</v>
      </c>
    </row>
    <row r="119">
      <c r="D119" s="2" t="s">
        <v>2819</v>
      </c>
      <c r="E119" s="2" t="s">
        <v>2804</v>
      </c>
      <c r="F119" s="2" t="s">
        <v>2804</v>
      </c>
      <c r="G119" s="2">
        <v>6568.0</v>
      </c>
      <c r="H119" s="2" t="s">
        <v>2847</v>
      </c>
      <c r="I119" s="2" t="s">
        <v>2804</v>
      </c>
      <c r="J119" s="2" t="s">
        <v>2804</v>
      </c>
      <c r="K119" s="2" t="s">
        <v>2804</v>
      </c>
      <c r="L119" s="2" t="s">
        <v>2804</v>
      </c>
      <c r="M119" s="2" t="s">
        <v>2804</v>
      </c>
      <c r="N119" s="2" t="s">
        <v>2804</v>
      </c>
      <c r="O119" s="2" t="s">
        <v>2804</v>
      </c>
      <c r="U119" s="2">
        <v>5095.0</v>
      </c>
      <c r="V119" s="2">
        <v>15333.0</v>
      </c>
      <c r="W119" s="2">
        <v>47751.0</v>
      </c>
      <c r="Y119" s="2">
        <v>13525.0</v>
      </c>
      <c r="AA119" s="2">
        <v>7891.0</v>
      </c>
      <c r="AE119" s="2">
        <v>85647.0</v>
      </c>
      <c r="AG119" s="2">
        <v>6313.0</v>
      </c>
    </row>
    <row r="120">
      <c r="G120" s="2" t="s">
        <v>2804</v>
      </c>
      <c r="H120" s="2" t="s">
        <v>2804</v>
      </c>
      <c r="J120" s="2" t="s">
        <v>2848</v>
      </c>
      <c r="L120" s="2" t="s">
        <v>2849</v>
      </c>
      <c r="U120">
        <f t="shared" ref="U120:U121" si="187">U118-U110</f>
        <v>840</v>
      </c>
      <c r="W120">
        <f>W118-W110</f>
        <v>1082</v>
      </c>
      <c r="Y120">
        <f t="shared" ref="Y120:Y121" si="189">Y118-Y110</f>
        <v>328</v>
      </c>
      <c r="AA120">
        <f t="shared" ref="AA120:AA121" si="190">AA118-AA110</f>
        <v>1704</v>
      </c>
      <c r="AC120">
        <f>AC118-AC110</f>
        <v>1217</v>
      </c>
      <c r="AE120">
        <f t="shared" ref="AE120:AE121" si="191">AE118-AE110</f>
        <v>1819</v>
      </c>
      <c r="AG120" s="29"/>
      <c r="AH120">
        <f>AH118-AH110</f>
        <v>163</v>
      </c>
    </row>
    <row r="121">
      <c r="B121" s="2" t="s">
        <v>2850</v>
      </c>
      <c r="D121" s="2">
        <v>1600000.0</v>
      </c>
      <c r="E121" s="2">
        <v>2300000.0</v>
      </c>
      <c r="F121" s="2">
        <v>1600000.0</v>
      </c>
      <c r="G121" s="2">
        <v>1800000.0</v>
      </c>
      <c r="H121" s="2">
        <v>1900000.0</v>
      </c>
      <c r="I121" s="2">
        <v>3500000.0</v>
      </c>
      <c r="J121" s="2">
        <v>2200000.0</v>
      </c>
      <c r="K121" s="2">
        <v>2380000.0</v>
      </c>
      <c r="L121" s="2">
        <v>1750000.0</v>
      </c>
      <c r="M121" s="2">
        <v>1730000.0</v>
      </c>
      <c r="N121" s="2">
        <v>1340000.0</v>
      </c>
      <c r="O121" s="2">
        <v>1200000.0</v>
      </c>
      <c r="P121">
        <f t="shared" ref="P121:P127" si="193">SUM(D121:O121)</f>
        <v>23300000</v>
      </c>
      <c r="U121" s="55">
        <f t="shared" si="187"/>
        <v>158</v>
      </c>
      <c r="V121" s="29">
        <f t="shared" ref="V121:W121" si="188">V119-V111</f>
        <v>591</v>
      </c>
      <c r="W121" s="55">
        <f t="shared" si="188"/>
        <v>2393</v>
      </c>
      <c r="X121" s="48">
        <f>W120-50</f>
        <v>1032</v>
      </c>
      <c r="Y121" s="55">
        <f t="shared" si="189"/>
        <v>100</v>
      </c>
      <c r="Z121" s="29">
        <f>Y120-Y121</f>
        <v>228</v>
      </c>
      <c r="AA121" s="55">
        <f t="shared" si="190"/>
        <v>850</v>
      </c>
      <c r="AB121" s="29">
        <f>AA120-AA121</f>
        <v>854</v>
      </c>
      <c r="AC121" s="55">
        <f>(AC120)*73.9/(73.9+99)</f>
        <v>520.1636784</v>
      </c>
      <c r="AD121" s="55">
        <f>(AC120)*99/(73.9+99)</f>
        <v>696.8363216</v>
      </c>
      <c r="AE121" s="29">
        <f t="shared" si="191"/>
        <v>367</v>
      </c>
      <c r="AF121" s="29">
        <f>AE120-AE121-AG121</f>
        <v>1222</v>
      </c>
      <c r="AG121" s="29">
        <f>AG119-AG111</f>
        <v>230</v>
      </c>
      <c r="AH121" s="2">
        <v>163.0</v>
      </c>
      <c r="AI121" s="15">
        <f t="shared" ref="AI121:AI122" si="195">SUM(U121:AH121)</f>
        <v>9405</v>
      </c>
      <c r="AL121" s="2">
        <v>9641.0</v>
      </c>
    </row>
    <row r="122">
      <c r="B122" s="2" t="s">
        <v>2737</v>
      </c>
      <c r="D122" s="2">
        <f t="shared" ref="D122:O122" si="192">D121*0.1</f>
        <v>160000</v>
      </c>
      <c r="E122" s="2">
        <f t="shared" si="192"/>
        <v>230000</v>
      </c>
      <c r="F122" s="2">
        <f t="shared" si="192"/>
        <v>160000</v>
      </c>
      <c r="G122" s="2">
        <f t="shared" si="192"/>
        <v>180000</v>
      </c>
      <c r="H122" s="2">
        <f t="shared" si="192"/>
        <v>190000</v>
      </c>
      <c r="I122" s="2">
        <f t="shared" si="192"/>
        <v>350000</v>
      </c>
      <c r="J122" s="2">
        <f t="shared" si="192"/>
        <v>220000</v>
      </c>
      <c r="K122" s="2">
        <f t="shared" si="192"/>
        <v>238000</v>
      </c>
      <c r="L122" s="2">
        <f t="shared" si="192"/>
        <v>175000</v>
      </c>
      <c r="M122" s="2">
        <f t="shared" si="192"/>
        <v>173000</v>
      </c>
      <c r="N122" s="2">
        <f t="shared" si="192"/>
        <v>134000</v>
      </c>
      <c r="O122" s="2">
        <f t="shared" si="192"/>
        <v>120000</v>
      </c>
      <c r="P122">
        <f t="shared" si="193"/>
        <v>2330000</v>
      </c>
      <c r="U122">
        <f t="shared" ref="U122:AH122" si="194">U121*1433520/9405</f>
        <v>24082.52632</v>
      </c>
      <c r="V122">
        <f t="shared" si="194"/>
        <v>90080.84211</v>
      </c>
      <c r="W122">
        <f t="shared" si="194"/>
        <v>364743.5789</v>
      </c>
      <c r="X122">
        <f t="shared" si="194"/>
        <v>157298.5263</v>
      </c>
      <c r="Y122">
        <f t="shared" si="194"/>
        <v>15242.10526</v>
      </c>
      <c r="Z122">
        <f t="shared" si="194"/>
        <v>34752</v>
      </c>
      <c r="AA122">
        <f t="shared" si="194"/>
        <v>129557.8947</v>
      </c>
      <c r="AB122">
        <f t="shared" si="194"/>
        <v>130167.5789</v>
      </c>
      <c r="AC122">
        <f t="shared" si="194"/>
        <v>79283.89541</v>
      </c>
      <c r="AD122">
        <f t="shared" si="194"/>
        <v>106212.5256</v>
      </c>
      <c r="AE122">
        <f t="shared" si="194"/>
        <v>55938.52632</v>
      </c>
      <c r="AF122">
        <f t="shared" si="194"/>
        <v>186258.5263</v>
      </c>
      <c r="AG122">
        <f t="shared" si="194"/>
        <v>35056.84211</v>
      </c>
      <c r="AH122">
        <f t="shared" si="194"/>
        <v>24844.63158</v>
      </c>
      <c r="AI122" s="15">
        <f t="shared" si="195"/>
        <v>1433520</v>
      </c>
      <c r="AJ122" s="2">
        <v>1433520.0</v>
      </c>
      <c r="AL122" s="2">
        <v>50370.0</v>
      </c>
    </row>
    <row r="123">
      <c r="B123" s="2" t="s">
        <v>2759</v>
      </c>
      <c r="D123">
        <f t="shared" ref="D123:O123" si="196">D121+D122</f>
        <v>1760000</v>
      </c>
      <c r="E123">
        <f t="shared" si="196"/>
        <v>2530000</v>
      </c>
      <c r="F123">
        <f t="shared" si="196"/>
        <v>1760000</v>
      </c>
      <c r="G123">
        <f t="shared" si="196"/>
        <v>1980000</v>
      </c>
      <c r="H123">
        <f t="shared" si="196"/>
        <v>2090000</v>
      </c>
      <c r="I123">
        <f t="shared" si="196"/>
        <v>3850000</v>
      </c>
      <c r="J123">
        <f t="shared" si="196"/>
        <v>2420000</v>
      </c>
      <c r="K123">
        <f t="shared" si="196"/>
        <v>2618000</v>
      </c>
      <c r="L123">
        <f t="shared" si="196"/>
        <v>1925000</v>
      </c>
      <c r="M123">
        <f t="shared" si="196"/>
        <v>1903000</v>
      </c>
      <c r="N123">
        <f t="shared" si="196"/>
        <v>1474000</v>
      </c>
      <c r="O123">
        <f t="shared" si="196"/>
        <v>1320000</v>
      </c>
      <c r="P123">
        <f t="shared" si="193"/>
        <v>25630000</v>
      </c>
      <c r="U123">
        <v>24082.526315789473</v>
      </c>
      <c r="V123" s="56">
        <v>90080.84210526316</v>
      </c>
      <c r="W123" s="56">
        <v>364743.5789473684</v>
      </c>
      <c r="X123" s="56">
        <v>157298.52631578947</v>
      </c>
      <c r="Y123" s="54">
        <f t="shared" ref="Y123:AG123" si="197">Y122+2761</f>
        <v>18003.10526</v>
      </c>
      <c r="Z123" s="54">
        <f t="shared" si="197"/>
        <v>37513</v>
      </c>
      <c r="AA123" s="53">
        <f t="shared" si="197"/>
        <v>132318.8947</v>
      </c>
      <c r="AB123" s="54">
        <f t="shared" si="197"/>
        <v>132928.5789</v>
      </c>
      <c r="AC123" s="54">
        <f t="shared" si="197"/>
        <v>82044.89541</v>
      </c>
      <c r="AD123" s="54">
        <f t="shared" si="197"/>
        <v>108973.5256</v>
      </c>
      <c r="AE123" s="54">
        <f t="shared" si="197"/>
        <v>58699.52632</v>
      </c>
      <c r="AF123" s="54">
        <f t="shared" si="197"/>
        <v>189019.5263</v>
      </c>
      <c r="AG123" s="54">
        <f t="shared" si="197"/>
        <v>37817.84211</v>
      </c>
      <c r="AH123">
        <f>AH122/9</f>
        <v>2760.51462</v>
      </c>
      <c r="AI123" s="15">
        <f>SUM(U123:AG123)</f>
        <v>1433524.368</v>
      </c>
    </row>
    <row r="124">
      <c r="B124" s="2" t="s">
        <v>2784</v>
      </c>
      <c r="D124">
        <v>94948.26218448296</v>
      </c>
      <c r="E124">
        <v>370909.0008142375</v>
      </c>
      <c r="F124">
        <v>166020.64557403745</v>
      </c>
      <c r="G124">
        <v>12483.216587181574</v>
      </c>
      <c r="H124">
        <v>55792.95021519135</v>
      </c>
      <c r="I124">
        <v>181465.21146911714</v>
      </c>
      <c r="J124">
        <v>179429.28381993718</v>
      </c>
      <c r="K124">
        <v>88428.0600854549</v>
      </c>
      <c r="L124">
        <v>117365.7652024362</v>
      </c>
      <c r="M124">
        <v>80409.16633709434</v>
      </c>
      <c r="N124">
        <v>181465.21146911714</v>
      </c>
      <c r="O124">
        <v>62455.98615796208</v>
      </c>
      <c r="P124">
        <f t="shared" si="193"/>
        <v>1591172.76</v>
      </c>
      <c r="AA124" s="54">
        <f>AA123+U123</f>
        <v>156401.4211</v>
      </c>
    </row>
    <row r="125">
      <c r="D125">
        <f t="shared" ref="D125:O125" si="198">D124-D126</f>
        <v>86316.60199</v>
      </c>
      <c r="E125">
        <f t="shared" si="198"/>
        <v>337190.0007</v>
      </c>
      <c r="F125">
        <f t="shared" si="198"/>
        <v>150927.8596</v>
      </c>
      <c r="G125">
        <f t="shared" si="198"/>
        <v>11348.37872</v>
      </c>
      <c r="H125">
        <f t="shared" si="198"/>
        <v>50720.86383</v>
      </c>
      <c r="I125">
        <f t="shared" si="198"/>
        <v>164968.3741</v>
      </c>
      <c r="J125">
        <f t="shared" si="198"/>
        <v>163117.5307</v>
      </c>
      <c r="K125">
        <f t="shared" si="198"/>
        <v>80389.14553</v>
      </c>
      <c r="L125">
        <f t="shared" si="198"/>
        <v>106696.1502</v>
      </c>
      <c r="M125">
        <f t="shared" si="198"/>
        <v>73099.24212</v>
      </c>
      <c r="N125">
        <f t="shared" si="198"/>
        <v>164968.3741</v>
      </c>
      <c r="O125">
        <f t="shared" si="198"/>
        <v>56778.16923</v>
      </c>
      <c r="P125">
        <f t="shared" si="193"/>
        <v>1446520.691</v>
      </c>
    </row>
    <row r="126">
      <c r="B126" s="2" t="s">
        <v>2737</v>
      </c>
      <c r="D126">
        <f t="shared" ref="D126:O126" si="199">D124/11</f>
        <v>8631.660199</v>
      </c>
      <c r="E126">
        <f t="shared" si="199"/>
        <v>33719.00007</v>
      </c>
      <c r="F126">
        <f t="shared" si="199"/>
        <v>15092.78596</v>
      </c>
      <c r="G126">
        <f t="shared" si="199"/>
        <v>1134.837872</v>
      </c>
      <c r="H126">
        <f t="shared" si="199"/>
        <v>5072.086383</v>
      </c>
      <c r="I126">
        <f t="shared" si="199"/>
        <v>16496.83741</v>
      </c>
      <c r="J126">
        <f t="shared" si="199"/>
        <v>16311.75307</v>
      </c>
      <c r="K126">
        <f t="shared" si="199"/>
        <v>8038.914553</v>
      </c>
      <c r="L126">
        <f t="shared" si="199"/>
        <v>10669.61502</v>
      </c>
      <c r="M126">
        <f t="shared" si="199"/>
        <v>7309.924212</v>
      </c>
      <c r="N126">
        <f t="shared" si="199"/>
        <v>16496.83741</v>
      </c>
      <c r="O126">
        <f t="shared" si="199"/>
        <v>5677.816923</v>
      </c>
      <c r="P126">
        <f t="shared" si="193"/>
        <v>144652.0691</v>
      </c>
      <c r="T126" s="2" t="s">
        <v>2851</v>
      </c>
      <c r="U126" s="2">
        <v>13884.0</v>
      </c>
      <c r="W126" s="2">
        <v>17112.0</v>
      </c>
      <c r="Y126" s="2">
        <v>52014.0</v>
      </c>
      <c r="AA126" s="2">
        <v>48435.0</v>
      </c>
      <c r="AC126" s="2">
        <v>58392.0</v>
      </c>
      <c r="AE126" s="2">
        <v>87026.0</v>
      </c>
      <c r="AH126" s="2">
        <v>4278.0</v>
      </c>
    </row>
    <row r="127">
      <c r="B127" s="2" t="s">
        <v>2840</v>
      </c>
      <c r="D127">
        <v>60461.25202254912</v>
      </c>
      <c r="E127">
        <v>50353.370915189626</v>
      </c>
      <c r="F127">
        <v>50353.370915189626</v>
      </c>
      <c r="G127">
        <v>16530.402272875574</v>
      </c>
      <c r="H127">
        <v>33238.18572726803</v>
      </c>
      <c r="I127">
        <v>67530.56764364717</v>
      </c>
      <c r="J127">
        <v>33579.24920021574</v>
      </c>
      <c r="K127">
        <v>22913.264228032716</v>
      </c>
      <c r="L127">
        <v>30695.712565294165</v>
      </c>
      <c r="M127">
        <v>15654.813408300026</v>
      </c>
      <c r="N127">
        <v>18014.352525692837</v>
      </c>
      <c r="O127">
        <v>13766.561998980413</v>
      </c>
      <c r="P127">
        <f t="shared" si="193"/>
        <v>413091.1034</v>
      </c>
      <c r="U127" s="2">
        <v>5238.0</v>
      </c>
      <c r="V127" s="2">
        <v>15740.0</v>
      </c>
      <c r="W127" s="2">
        <v>49623.0</v>
      </c>
      <c r="Y127" s="2">
        <v>13597.0</v>
      </c>
      <c r="AA127" s="2">
        <v>8552.0</v>
      </c>
      <c r="AE127" s="2">
        <v>85989.0</v>
      </c>
      <c r="AG127" s="2">
        <v>6480.0</v>
      </c>
    </row>
    <row r="128">
      <c r="B128" s="19" t="s">
        <v>2827</v>
      </c>
      <c r="D128" s="15">
        <f t="shared" ref="D128:P128" si="200">SUM(D123,D124,D127)</f>
        <v>1915409.514</v>
      </c>
      <c r="E128" s="15">
        <f t="shared" si="200"/>
        <v>2951262.372</v>
      </c>
      <c r="F128" s="15">
        <f t="shared" si="200"/>
        <v>1976374.016</v>
      </c>
      <c r="G128" s="15">
        <f t="shared" si="200"/>
        <v>2009013.619</v>
      </c>
      <c r="H128" s="15">
        <f t="shared" si="200"/>
        <v>2179031.136</v>
      </c>
      <c r="I128" s="15">
        <f t="shared" si="200"/>
        <v>4098995.779</v>
      </c>
      <c r="J128" s="15">
        <f t="shared" si="200"/>
        <v>2633008.533</v>
      </c>
      <c r="K128" s="15">
        <f t="shared" si="200"/>
        <v>2729341.324</v>
      </c>
      <c r="L128" s="15">
        <f t="shared" si="200"/>
        <v>2073061.478</v>
      </c>
      <c r="M128" s="15">
        <f t="shared" si="200"/>
        <v>1999063.98</v>
      </c>
      <c r="N128" s="15">
        <f t="shared" si="200"/>
        <v>1673479.564</v>
      </c>
      <c r="O128" s="15">
        <f t="shared" si="200"/>
        <v>1396222.548</v>
      </c>
      <c r="P128" s="15">
        <f t="shared" si="200"/>
        <v>27634263.86</v>
      </c>
      <c r="U128">
        <f t="shared" ref="U128:U129" si="202">U126-U118</f>
        <v>610</v>
      </c>
      <c r="W128">
        <f>W126-W118</f>
        <v>996</v>
      </c>
      <c r="Y128">
        <f t="shared" ref="Y128:Y129" si="204">Y126-Y118</f>
        <v>227</v>
      </c>
      <c r="AA128">
        <f t="shared" ref="AA128:AA129" si="205">AA126-AA118</f>
        <v>1372</v>
      </c>
      <c r="AC128">
        <f>AC126-AC118</f>
        <v>666</v>
      </c>
      <c r="AE128">
        <f t="shared" ref="AE128:AE129" si="206">AE126-AE118</f>
        <v>1283</v>
      </c>
      <c r="AG128" s="29"/>
      <c r="AH128">
        <f>AH126-AH118</f>
        <v>150</v>
      </c>
    </row>
    <row r="129">
      <c r="B129" s="2" t="s">
        <v>2828</v>
      </c>
      <c r="D129">
        <f t="shared" ref="D129:O129" si="201">SUM(D121,D125,D127)</f>
        <v>1746777.854</v>
      </c>
      <c r="E129">
        <f t="shared" si="201"/>
        <v>2687543.372</v>
      </c>
      <c r="F129">
        <f t="shared" si="201"/>
        <v>1801281.231</v>
      </c>
      <c r="G129">
        <f t="shared" si="201"/>
        <v>1827878.781</v>
      </c>
      <c r="H129">
        <f t="shared" si="201"/>
        <v>1983959.05</v>
      </c>
      <c r="I129">
        <f t="shared" si="201"/>
        <v>3732498.942</v>
      </c>
      <c r="J129">
        <f t="shared" si="201"/>
        <v>2396696.78</v>
      </c>
      <c r="K129">
        <f t="shared" si="201"/>
        <v>2483302.41</v>
      </c>
      <c r="L129">
        <f t="shared" si="201"/>
        <v>1887391.863</v>
      </c>
      <c r="M129">
        <f t="shared" si="201"/>
        <v>1818754.056</v>
      </c>
      <c r="N129">
        <f t="shared" si="201"/>
        <v>1522982.727</v>
      </c>
      <c r="O129">
        <f t="shared" si="201"/>
        <v>1270544.731</v>
      </c>
      <c r="U129" s="55">
        <f t="shared" si="202"/>
        <v>143</v>
      </c>
      <c r="V129" s="29">
        <f t="shared" ref="V129:W129" si="203">V127-V119</f>
        <v>407</v>
      </c>
      <c r="W129" s="55">
        <f t="shared" si="203"/>
        <v>1872</v>
      </c>
      <c r="X129" s="48">
        <f>W128-50</f>
        <v>946</v>
      </c>
      <c r="Y129" s="55">
        <f t="shared" si="204"/>
        <v>72</v>
      </c>
      <c r="Z129" s="29">
        <f>Y128-Y129</f>
        <v>155</v>
      </c>
      <c r="AA129" s="55">
        <f t="shared" si="205"/>
        <v>661</v>
      </c>
      <c r="AB129" s="29">
        <f>AA128-AA129</f>
        <v>711</v>
      </c>
      <c r="AC129" s="55">
        <f>(AC128)*73.9/(73.9+99)</f>
        <v>284.6581839</v>
      </c>
      <c r="AD129" s="55">
        <f>(AC128)*99/(73.9+99)</f>
        <v>381.3418161</v>
      </c>
      <c r="AE129" s="29">
        <f t="shared" si="206"/>
        <v>342</v>
      </c>
      <c r="AF129" s="29"/>
      <c r="AG129" s="29">
        <f>AG127-AG119</f>
        <v>167</v>
      </c>
      <c r="AH129">
        <v>150.0</v>
      </c>
      <c r="AI129" s="15">
        <f t="shared" ref="AI129:AI130" si="209">SUM(U129:AH129)</f>
        <v>6292</v>
      </c>
      <c r="AL129" s="2">
        <v>7121.0</v>
      </c>
    </row>
    <row r="130">
      <c r="B130" s="2" t="s">
        <v>2830</v>
      </c>
      <c r="D130">
        <f t="shared" ref="D130:O130" si="207">SUM(D121,D125)</f>
        <v>1686316.602</v>
      </c>
      <c r="E130">
        <f t="shared" si="207"/>
        <v>2637190.001</v>
      </c>
      <c r="F130">
        <f t="shared" si="207"/>
        <v>1750927.86</v>
      </c>
      <c r="G130">
        <f t="shared" si="207"/>
        <v>1811348.379</v>
      </c>
      <c r="H130">
        <f t="shared" si="207"/>
        <v>1950720.864</v>
      </c>
      <c r="I130">
        <f t="shared" si="207"/>
        <v>3664968.374</v>
      </c>
      <c r="J130">
        <f t="shared" si="207"/>
        <v>2363117.531</v>
      </c>
      <c r="K130">
        <f t="shared" si="207"/>
        <v>2460389.146</v>
      </c>
      <c r="L130">
        <f t="shared" si="207"/>
        <v>1856696.15</v>
      </c>
      <c r="M130">
        <f t="shared" si="207"/>
        <v>1803099.242</v>
      </c>
      <c r="N130">
        <f t="shared" si="207"/>
        <v>1504968.374</v>
      </c>
      <c r="O130">
        <f t="shared" si="207"/>
        <v>1256778.169</v>
      </c>
      <c r="U130">
        <f t="shared" ref="U130:AH130" si="208">U129*960280/6292</f>
        <v>21824.54545</v>
      </c>
      <c r="V130">
        <f t="shared" si="208"/>
        <v>62116.01399</v>
      </c>
      <c r="W130">
        <f t="shared" si="208"/>
        <v>285703.1405</v>
      </c>
      <c r="X130">
        <f t="shared" si="208"/>
        <v>144377.7622</v>
      </c>
      <c r="Y130">
        <f t="shared" si="208"/>
        <v>10988.58233</v>
      </c>
      <c r="Z130">
        <f t="shared" si="208"/>
        <v>23655.97584</v>
      </c>
      <c r="AA130">
        <f t="shared" si="208"/>
        <v>100881.2905</v>
      </c>
      <c r="AB130">
        <f t="shared" si="208"/>
        <v>108512.2505</v>
      </c>
      <c r="AC130">
        <f t="shared" si="208"/>
        <v>43444.30401</v>
      </c>
      <c r="AD130">
        <f t="shared" si="208"/>
        <v>58200.08251</v>
      </c>
      <c r="AE130">
        <f t="shared" si="208"/>
        <v>52195.76605</v>
      </c>
      <c r="AF130">
        <f t="shared" si="208"/>
        <v>0</v>
      </c>
      <c r="AG130">
        <f t="shared" si="208"/>
        <v>25487.40623</v>
      </c>
      <c r="AH130">
        <f t="shared" si="208"/>
        <v>22892.87985</v>
      </c>
      <c r="AI130" s="15">
        <f t="shared" si="209"/>
        <v>960280</v>
      </c>
      <c r="AJ130" s="2">
        <v>960280.0</v>
      </c>
      <c r="AL130" s="2">
        <v>57491.0</v>
      </c>
    </row>
    <row r="131">
      <c r="B131" s="2" t="s">
        <v>2818</v>
      </c>
      <c r="D131">
        <f t="shared" ref="D131:O131" si="210">SUM(D122,D126)</f>
        <v>168631.6602</v>
      </c>
      <c r="E131">
        <f t="shared" si="210"/>
        <v>263719.0001</v>
      </c>
      <c r="F131">
        <f t="shared" si="210"/>
        <v>175092.786</v>
      </c>
      <c r="G131">
        <f t="shared" si="210"/>
        <v>181134.8379</v>
      </c>
      <c r="H131">
        <f t="shared" si="210"/>
        <v>195072.0864</v>
      </c>
      <c r="I131">
        <f t="shared" si="210"/>
        <v>366496.8374</v>
      </c>
      <c r="J131">
        <f t="shared" si="210"/>
        <v>236311.7531</v>
      </c>
      <c r="K131">
        <f t="shared" si="210"/>
        <v>246038.9146</v>
      </c>
      <c r="L131">
        <f t="shared" si="210"/>
        <v>185669.615</v>
      </c>
      <c r="M131">
        <f t="shared" si="210"/>
        <v>180309.9242</v>
      </c>
      <c r="N131">
        <f t="shared" si="210"/>
        <v>150496.8374</v>
      </c>
      <c r="O131">
        <f t="shared" si="210"/>
        <v>125677.8169</v>
      </c>
      <c r="U131">
        <v>21824.545454545456</v>
      </c>
      <c r="V131" s="57">
        <v>62116.01398601398</v>
      </c>
      <c r="W131" s="57">
        <v>285703.14049586776</v>
      </c>
      <c r="X131" s="57">
        <v>144377.76223776225</v>
      </c>
      <c r="Y131" s="54">
        <f t="shared" ref="Y131:AE131" si="211">Y130+2862</f>
        <v>13850.58233</v>
      </c>
      <c r="Z131" s="54">
        <f t="shared" si="211"/>
        <v>26517.97584</v>
      </c>
      <c r="AA131" s="53">
        <f t="shared" si="211"/>
        <v>103743.2905</v>
      </c>
      <c r="AB131" s="54">
        <f t="shared" si="211"/>
        <v>111374.2505</v>
      </c>
      <c r="AC131" s="54">
        <f t="shared" si="211"/>
        <v>46306.30401</v>
      </c>
      <c r="AD131" s="54">
        <f t="shared" si="211"/>
        <v>61062.08251</v>
      </c>
      <c r="AE131" s="54">
        <f t="shared" si="211"/>
        <v>55057.76605</v>
      </c>
      <c r="AG131" s="54">
        <f>AG130+2862</f>
        <v>28349.40623</v>
      </c>
      <c r="AH131">
        <f>AH130/8</f>
        <v>2861.609981</v>
      </c>
      <c r="AI131" s="15">
        <f>SUM(U131:AG131)</f>
        <v>960283.1202</v>
      </c>
    </row>
    <row r="132">
      <c r="B132" s="2" t="s">
        <v>2831</v>
      </c>
      <c r="D132">
        <f t="shared" ref="D132:O132" si="212">SUM(D130:D131)</f>
        <v>1854948.262</v>
      </c>
      <c r="E132">
        <f t="shared" si="212"/>
        <v>2900909.001</v>
      </c>
      <c r="F132">
        <f t="shared" si="212"/>
        <v>1926020.646</v>
      </c>
      <c r="G132">
        <f t="shared" si="212"/>
        <v>1992483.217</v>
      </c>
      <c r="H132">
        <f t="shared" si="212"/>
        <v>2145792.95</v>
      </c>
      <c r="I132">
        <f t="shared" si="212"/>
        <v>4031465.211</v>
      </c>
      <c r="J132">
        <f t="shared" si="212"/>
        <v>2599429.284</v>
      </c>
      <c r="K132">
        <f t="shared" si="212"/>
        <v>2706428.06</v>
      </c>
      <c r="L132">
        <f t="shared" si="212"/>
        <v>2042365.765</v>
      </c>
      <c r="M132">
        <f t="shared" si="212"/>
        <v>1983409.166</v>
      </c>
      <c r="N132">
        <f t="shared" si="212"/>
        <v>1655465.211</v>
      </c>
      <c r="O132">
        <f t="shared" si="212"/>
        <v>1382455.986</v>
      </c>
      <c r="AA132" s="54">
        <f>AA131+U131</f>
        <v>125567.836</v>
      </c>
    </row>
    <row r="133">
      <c r="D133" s="2" t="s">
        <v>2819</v>
      </c>
      <c r="E133" s="2" t="s">
        <v>2804</v>
      </c>
      <c r="F133" s="2" t="s">
        <v>2804</v>
      </c>
      <c r="G133" s="2" t="s">
        <v>2804</v>
      </c>
      <c r="H133" s="2" t="s">
        <v>2804</v>
      </c>
      <c r="I133" s="2" t="s">
        <v>2804</v>
      </c>
      <c r="J133" s="2" t="s">
        <v>2804</v>
      </c>
      <c r="K133" s="2" t="s">
        <v>2804</v>
      </c>
      <c r="L133" s="2" t="s">
        <v>2804</v>
      </c>
      <c r="M133" s="2" t="s">
        <v>2804</v>
      </c>
      <c r="N133" s="2" t="s">
        <v>2804</v>
      </c>
      <c r="O133" s="2" t="s">
        <v>2852</v>
      </c>
    </row>
    <row r="135">
      <c r="J135">
        <f>(220*9/31)+(227*22/31)</f>
        <v>224.9677419</v>
      </c>
      <c r="K135" s="2" t="s">
        <v>2853</v>
      </c>
      <c r="L135">
        <f>(175*4/31)+(181*27/31)</f>
        <v>180.2258065</v>
      </c>
    </row>
    <row r="136">
      <c r="B136" s="2" t="s">
        <v>2854</v>
      </c>
      <c r="D136" s="2">
        <v>1600000.0</v>
      </c>
      <c r="E136" s="2">
        <v>2300000.0</v>
      </c>
      <c r="F136" s="2">
        <v>1600000.0</v>
      </c>
      <c r="G136" s="2">
        <v>1800000.0</v>
      </c>
      <c r="H136" s="2">
        <v>1900000.0</v>
      </c>
      <c r="I136" s="2">
        <v>3500000.0</v>
      </c>
      <c r="J136" s="2">
        <v>2249677.0</v>
      </c>
      <c r="K136" s="2">
        <v>2380000.0</v>
      </c>
      <c r="L136" s="2">
        <v>1802258.0</v>
      </c>
      <c r="M136" s="2">
        <v>1730000.0</v>
      </c>
      <c r="N136" s="2">
        <v>1340000.0</v>
      </c>
      <c r="O136" s="2">
        <v>1200000.0</v>
      </c>
      <c r="P136">
        <f t="shared" ref="P136:P144" si="214">SUM(D136:O136)</f>
        <v>23401935</v>
      </c>
    </row>
    <row r="137">
      <c r="B137" s="2" t="s">
        <v>2737</v>
      </c>
      <c r="D137" s="2">
        <f t="shared" ref="D137:O137" si="213">D136*0.1</f>
        <v>160000</v>
      </c>
      <c r="E137" s="2">
        <f t="shared" si="213"/>
        <v>230000</v>
      </c>
      <c r="F137" s="2">
        <f t="shared" si="213"/>
        <v>160000</v>
      </c>
      <c r="G137" s="2">
        <f t="shared" si="213"/>
        <v>180000</v>
      </c>
      <c r="H137" s="2">
        <f t="shared" si="213"/>
        <v>190000</v>
      </c>
      <c r="I137" s="2">
        <f t="shared" si="213"/>
        <v>350000</v>
      </c>
      <c r="J137" s="2">
        <f t="shared" si="213"/>
        <v>224967.7</v>
      </c>
      <c r="K137" s="2">
        <f t="shared" si="213"/>
        <v>238000</v>
      </c>
      <c r="L137" s="2">
        <f t="shared" si="213"/>
        <v>180225.8</v>
      </c>
      <c r="M137" s="2">
        <f t="shared" si="213"/>
        <v>173000</v>
      </c>
      <c r="N137" s="2">
        <f t="shared" si="213"/>
        <v>134000</v>
      </c>
      <c r="O137" s="2">
        <f t="shared" si="213"/>
        <v>120000</v>
      </c>
      <c r="P137">
        <f t="shared" si="214"/>
        <v>2340193.5</v>
      </c>
    </row>
    <row r="138">
      <c r="B138" s="2" t="s">
        <v>2759</v>
      </c>
      <c r="D138">
        <f t="shared" ref="D138:O138" si="215">D136+D137</f>
        <v>1760000</v>
      </c>
      <c r="E138">
        <f t="shared" si="215"/>
        <v>2530000</v>
      </c>
      <c r="F138">
        <f t="shared" si="215"/>
        <v>1760000</v>
      </c>
      <c r="G138">
        <f t="shared" si="215"/>
        <v>1980000</v>
      </c>
      <c r="H138">
        <f t="shared" si="215"/>
        <v>2090000</v>
      </c>
      <c r="I138">
        <f t="shared" si="215"/>
        <v>3850000</v>
      </c>
      <c r="J138">
        <f t="shared" si="215"/>
        <v>2474644.7</v>
      </c>
      <c r="K138">
        <f t="shared" si="215"/>
        <v>2618000</v>
      </c>
      <c r="L138">
        <f t="shared" si="215"/>
        <v>1982483.8</v>
      </c>
      <c r="M138">
        <f t="shared" si="215"/>
        <v>1903000</v>
      </c>
      <c r="N138">
        <f t="shared" si="215"/>
        <v>1474000</v>
      </c>
      <c r="O138">
        <f t="shared" si="215"/>
        <v>1320000</v>
      </c>
      <c r="P138">
        <f t="shared" si="214"/>
        <v>25742128.5</v>
      </c>
    </row>
    <row r="139">
      <c r="B139" s="2" t="s">
        <v>2784</v>
      </c>
      <c r="D139">
        <v>114075.59935509875</v>
      </c>
      <c r="E139">
        <v>463772.55945183395</v>
      </c>
      <c r="F139">
        <v>178350.11850060459</v>
      </c>
      <c r="G139">
        <v>22583.803708182186</v>
      </c>
      <c r="H139">
        <v>69427.94478033051</v>
      </c>
      <c r="I139">
        <v>173854.58484482064</v>
      </c>
      <c r="J139">
        <v>202490.20596533656</v>
      </c>
      <c r="K139">
        <v>127007.83346446295</v>
      </c>
      <c r="L139">
        <v>169188.34388338067</v>
      </c>
      <c r="M139">
        <v>94172.85650947198</v>
      </c>
      <c r="N139">
        <v>240619.1580008061</v>
      </c>
      <c r="O139">
        <v>75030.56630390971</v>
      </c>
      <c r="P139">
        <f t="shared" si="214"/>
        <v>1930573.575</v>
      </c>
      <c r="U139" s="19" t="s">
        <v>2705</v>
      </c>
      <c r="V139" s="19" t="s">
        <v>2706</v>
      </c>
      <c r="W139" s="19">
        <v>101.0</v>
      </c>
      <c r="X139" s="19">
        <v>102.0</v>
      </c>
      <c r="Y139" s="19">
        <v>201.0</v>
      </c>
      <c r="Z139" s="19">
        <v>202.0</v>
      </c>
      <c r="AA139" s="19">
        <v>301.0</v>
      </c>
      <c r="AB139" s="19">
        <v>302.0</v>
      </c>
      <c r="AC139" s="19">
        <v>401.0</v>
      </c>
      <c r="AD139" s="19">
        <v>402.0</v>
      </c>
      <c r="AE139" s="19">
        <v>501.0</v>
      </c>
      <c r="AF139" s="19">
        <v>502.0</v>
      </c>
      <c r="AG139" s="19">
        <v>503.0</v>
      </c>
      <c r="AH139" s="19" t="s">
        <v>2708</v>
      </c>
      <c r="AI139" s="19" t="s">
        <v>2709</v>
      </c>
    </row>
    <row r="140">
      <c r="D140">
        <f t="shared" ref="D140:O140" si="216">D139-D141</f>
        <v>103705.0903</v>
      </c>
      <c r="E140">
        <f t="shared" si="216"/>
        <v>421611.4177</v>
      </c>
      <c r="F140">
        <f t="shared" si="216"/>
        <v>162136.4714</v>
      </c>
      <c r="G140">
        <f t="shared" si="216"/>
        <v>20530.73064</v>
      </c>
      <c r="H140">
        <f t="shared" si="216"/>
        <v>63116.31344</v>
      </c>
      <c r="I140">
        <f t="shared" si="216"/>
        <v>158049.6226</v>
      </c>
      <c r="J140">
        <f t="shared" si="216"/>
        <v>184082.0054</v>
      </c>
      <c r="K140">
        <f t="shared" si="216"/>
        <v>115461.6668</v>
      </c>
      <c r="L140">
        <f t="shared" si="216"/>
        <v>153807.5853</v>
      </c>
      <c r="M140">
        <f t="shared" si="216"/>
        <v>85611.68774</v>
      </c>
      <c r="N140">
        <f t="shared" si="216"/>
        <v>218744.6891</v>
      </c>
      <c r="O140">
        <f t="shared" si="216"/>
        <v>68209.60573</v>
      </c>
      <c r="P140">
        <f t="shared" si="214"/>
        <v>1755066.886</v>
      </c>
    </row>
    <row r="141">
      <c r="B141" s="2" t="s">
        <v>2737</v>
      </c>
      <c r="D141">
        <f t="shared" ref="D141:O141" si="217">D139/11</f>
        <v>10370.50903</v>
      </c>
      <c r="E141">
        <f t="shared" si="217"/>
        <v>42161.14177</v>
      </c>
      <c r="F141">
        <f t="shared" si="217"/>
        <v>16213.64714</v>
      </c>
      <c r="G141">
        <f t="shared" si="217"/>
        <v>2053.073064</v>
      </c>
      <c r="H141">
        <f t="shared" si="217"/>
        <v>6311.631344</v>
      </c>
      <c r="I141">
        <f t="shared" si="217"/>
        <v>15804.96226</v>
      </c>
      <c r="J141">
        <f t="shared" si="217"/>
        <v>18408.20054</v>
      </c>
      <c r="K141">
        <f t="shared" si="217"/>
        <v>11546.16668</v>
      </c>
      <c r="L141">
        <f t="shared" si="217"/>
        <v>15380.75853</v>
      </c>
      <c r="M141">
        <f t="shared" si="217"/>
        <v>8561.168774</v>
      </c>
      <c r="N141">
        <f t="shared" si="217"/>
        <v>21874.46891</v>
      </c>
      <c r="O141">
        <f t="shared" si="217"/>
        <v>6820.960573</v>
      </c>
      <c r="P141">
        <f t="shared" si="214"/>
        <v>175506.6886</v>
      </c>
    </row>
    <row r="142">
      <c r="B142" s="19" t="s">
        <v>2767</v>
      </c>
      <c r="D142" s="15">
        <f t="shared" ref="D142:F142" si="218">SUM(D138,D139)</f>
        <v>1874075.599</v>
      </c>
      <c r="E142" s="15">
        <f t="shared" si="218"/>
        <v>2993772.559</v>
      </c>
      <c r="F142" s="15">
        <f t="shared" si="218"/>
        <v>1938350.119</v>
      </c>
      <c r="G142" s="15">
        <f>SUM(G138,G139,G145)</f>
        <v>2002583.804</v>
      </c>
      <c r="H142" s="15">
        <f>SUM(H138,H139)</f>
        <v>2159427.945</v>
      </c>
      <c r="I142" s="15">
        <f>SUM(I138,I139,C139)</f>
        <v>4023854.585</v>
      </c>
      <c r="J142" s="15">
        <f t="shared" ref="J142:O142" si="219">SUM(J138,J139)</f>
        <v>2677134.906</v>
      </c>
      <c r="K142" s="15">
        <f t="shared" si="219"/>
        <v>2745007.833</v>
      </c>
      <c r="L142" s="15">
        <f t="shared" si="219"/>
        <v>2151672.144</v>
      </c>
      <c r="M142" s="15">
        <f t="shared" si="219"/>
        <v>1997172.857</v>
      </c>
      <c r="N142" s="15">
        <f t="shared" si="219"/>
        <v>1714619.158</v>
      </c>
      <c r="O142" s="15">
        <f t="shared" si="219"/>
        <v>1395030.566</v>
      </c>
      <c r="P142">
        <f t="shared" si="214"/>
        <v>27672702.07</v>
      </c>
    </row>
    <row r="143">
      <c r="B143" s="2" t="s">
        <v>2816</v>
      </c>
      <c r="D143">
        <f t="shared" ref="D143:O143" si="220">D136+D140</f>
        <v>1703705.09</v>
      </c>
      <c r="E143">
        <f t="shared" si="220"/>
        <v>2721611.418</v>
      </c>
      <c r="F143">
        <f t="shared" si="220"/>
        <v>1762136.471</v>
      </c>
      <c r="G143">
        <f t="shared" si="220"/>
        <v>1820530.731</v>
      </c>
      <c r="H143">
        <f t="shared" si="220"/>
        <v>1963116.313</v>
      </c>
      <c r="I143">
        <f t="shared" si="220"/>
        <v>3658049.623</v>
      </c>
      <c r="J143">
        <f t="shared" si="220"/>
        <v>2433759.005</v>
      </c>
      <c r="K143">
        <f t="shared" si="220"/>
        <v>2495461.667</v>
      </c>
      <c r="L143">
        <f t="shared" si="220"/>
        <v>1956065.585</v>
      </c>
      <c r="M143">
        <f t="shared" si="220"/>
        <v>1815611.688</v>
      </c>
      <c r="N143">
        <f t="shared" si="220"/>
        <v>1558744.689</v>
      </c>
      <c r="O143">
        <f t="shared" si="220"/>
        <v>1268209.606</v>
      </c>
      <c r="P143">
        <f t="shared" si="214"/>
        <v>25157001.89</v>
      </c>
    </row>
    <row r="144">
      <c r="B144" s="2" t="s">
        <v>2818</v>
      </c>
      <c r="D144">
        <f t="shared" ref="D144:O144" si="221">D137+D141</f>
        <v>170370.509</v>
      </c>
      <c r="E144">
        <f t="shared" si="221"/>
        <v>272161.1418</v>
      </c>
      <c r="F144">
        <f t="shared" si="221"/>
        <v>176213.6471</v>
      </c>
      <c r="G144">
        <f t="shared" si="221"/>
        <v>182053.0731</v>
      </c>
      <c r="H144">
        <f t="shared" si="221"/>
        <v>196311.6313</v>
      </c>
      <c r="I144">
        <f t="shared" si="221"/>
        <v>365804.9623</v>
      </c>
      <c r="J144">
        <f t="shared" si="221"/>
        <v>243375.9005</v>
      </c>
      <c r="K144">
        <f t="shared" si="221"/>
        <v>249546.1667</v>
      </c>
      <c r="L144">
        <f t="shared" si="221"/>
        <v>195606.5585</v>
      </c>
      <c r="M144">
        <f t="shared" si="221"/>
        <v>181561.1688</v>
      </c>
      <c r="N144">
        <f t="shared" si="221"/>
        <v>155874.4689</v>
      </c>
      <c r="O144">
        <f t="shared" si="221"/>
        <v>126820.9606</v>
      </c>
      <c r="P144">
        <f t="shared" si="214"/>
        <v>2515700.189</v>
      </c>
    </row>
    <row r="145">
      <c r="D145" s="2" t="s">
        <v>2819</v>
      </c>
      <c r="E145" s="2" t="s">
        <v>2804</v>
      </c>
      <c r="F145" s="2" t="s">
        <v>2804</v>
      </c>
      <c r="G145" s="2" t="s">
        <v>2804</v>
      </c>
      <c r="H145" s="2" t="s">
        <v>2804</v>
      </c>
      <c r="I145" s="2" t="s">
        <v>2804</v>
      </c>
      <c r="J145" s="2" t="s">
        <v>2804</v>
      </c>
      <c r="K145" s="2" t="s">
        <v>2804</v>
      </c>
      <c r="L145" s="2" t="s">
        <v>2804</v>
      </c>
      <c r="M145" s="2" t="s">
        <v>2804</v>
      </c>
      <c r="N145" s="2" t="s">
        <v>2804</v>
      </c>
      <c r="O145" s="2" t="s">
        <v>2855</v>
      </c>
    </row>
    <row r="147">
      <c r="D147">
        <f>(160*11/30)+(168*19/30)</f>
        <v>165.0666667</v>
      </c>
      <c r="E147" s="2" t="s">
        <v>2856</v>
      </c>
    </row>
    <row r="148">
      <c r="B148" s="2" t="s">
        <v>2857</v>
      </c>
      <c r="D148" s="2">
        <v>1650667.0</v>
      </c>
      <c r="E148" s="2">
        <v>2300000.0</v>
      </c>
      <c r="F148" s="2">
        <v>1600000.0</v>
      </c>
      <c r="G148" s="2">
        <v>1800000.0</v>
      </c>
      <c r="H148" s="2">
        <v>1900000.0</v>
      </c>
      <c r="I148" s="2">
        <v>3500000.0</v>
      </c>
      <c r="J148" s="2">
        <v>2270000.0</v>
      </c>
      <c r="K148" s="2">
        <v>2380000.0</v>
      </c>
      <c r="L148" s="2">
        <v>1810000.0</v>
      </c>
      <c r="M148" s="2">
        <v>1730000.0</v>
      </c>
      <c r="N148" s="2">
        <v>1340000.0</v>
      </c>
      <c r="O148" s="2">
        <v>1200000.0</v>
      </c>
      <c r="P148">
        <f t="shared" ref="P148:P154" si="223">SUM(D148:O148)</f>
        <v>23480667</v>
      </c>
    </row>
    <row r="149">
      <c r="B149" s="2" t="s">
        <v>2737</v>
      </c>
      <c r="D149" s="2">
        <f t="shared" ref="D149:O149" si="222">D148*0.1</f>
        <v>165066.7</v>
      </c>
      <c r="E149" s="2">
        <f t="shared" si="222"/>
        <v>230000</v>
      </c>
      <c r="F149" s="2">
        <f t="shared" si="222"/>
        <v>160000</v>
      </c>
      <c r="G149" s="2">
        <f t="shared" si="222"/>
        <v>180000</v>
      </c>
      <c r="H149" s="2">
        <f t="shared" si="222"/>
        <v>190000</v>
      </c>
      <c r="I149" s="2">
        <f t="shared" si="222"/>
        <v>350000</v>
      </c>
      <c r="J149" s="2">
        <f t="shared" si="222"/>
        <v>227000</v>
      </c>
      <c r="K149" s="2">
        <f t="shared" si="222"/>
        <v>238000</v>
      </c>
      <c r="L149" s="2">
        <f t="shared" si="222"/>
        <v>181000</v>
      </c>
      <c r="M149" s="2">
        <f t="shared" si="222"/>
        <v>173000</v>
      </c>
      <c r="N149" s="2">
        <f t="shared" si="222"/>
        <v>134000</v>
      </c>
      <c r="O149" s="2">
        <f t="shared" si="222"/>
        <v>120000</v>
      </c>
      <c r="P149">
        <f t="shared" si="223"/>
        <v>2348066.7</v>
      </c>
    </row>
    <row r="150">
      <c r="B150" s="2" t="s">
        <v>2759</v>
      </c>
      <c r="D150">
        <f t="shared" ref="D150:O150" si="224">D148+D149</f>
        <v>1815733.7</v>
      </c>
      <c r="E150">
        <f t="shared" si="224"/>
        <v>2530000</v>
      </c>
      <c r="F150">
        <f t="shared" si="224"/>
        <v>1760000</v>
      </c>
      <c r="G150">
        <f t="shared" si="224"/>
        <v>1980000</v>
      </c>
      <c r="H150">
        <f t="shared" si="224"/>
        <v>2090000</v>
      </c>
      <c r="I150">
        <f t="shared" si="224"/>
        <v>3850000</v>
      </c>
      <c r="J150">
        <f t="shared" si="224"/>
        <v>2497000</v>
      </c>
      <c r="K150">
        <f t="shared" si="224"/>
        <v>2618000</v>
      </c>
      <c r="L150">
        <f t="shared" si="224"/>
        <v>1991000</v>
      </c>
      <c r="M150">
        <f t="shared" si="224"/>
        <v>1903000</v>
      </c>
      <c r="N150">
        <f t="shared" si="224"/>
        <v>1474000</v>
      </c>
      <c r="O150">
        <f t="shared" si="224"/>
        <v>1320000</v>
      </c>
      <c r="P150">
        <f t="shared" si="223"/>
        <v>25828733.7</v>
      </c>
    </row>
    <row r="151">
      <c r="B151" s="2" t="s">
        <v>2784</v>
      </c>
      <c r="D151">
        <v>90080.84210526316</v>
      </c>
      <c r="E151">
        <v>364743.5789473684</v>
      </c>
      <c r="F151">
        <v>157298.52631578947</v>
      </c>
      <c r="G151">
        <v>18003.105263157893</v>
      </c>
      <c r="H151">
        <v>37513.0</v>
      </c>
      <c r="I151">
        <v>156401.42105263157</v>
      </c>
      <c r="J151">
        <v>132928.57894736843</v>
      </c>
      <c r="K151">
        <v>82044.89540653252</v>
      </c>
      <c r="L151">
        <v>108973.52564609905</v>
      </c>
      <c r="M151">
        <v>58699.52631578947</v>
      </c>
      <c r="N151">
        <v>189019.52631578947</v>
      </c>
      <c r="O151">
        <v>37817.84210526316</v>
      </c>
      <c r="P151">
        <f t="shared" si="223"/>
        <v>1433524.368</v>
      </c>
    </row>
    <row r="152">
      <c r="D152">
        <f t="shared" ref="D152:O152" si="225">D151-D153</f>
        <v>81891.67464</v>
      </c>
      <c r="E152">
        <f t="shared" si="225"/>
        <v>331585.0718</v>
      </c>
      <c r="F152">
        <f t="shared" si="225"/>
        <v>142998.6603</v>
      </c>
      <c r="G152">
        <f t="shared" si="225"/>
        <v>16366.45933</v>
      </c>
      <c r="H152">
        <f t="shared" si="225"/>
        <v>34102.72727</v>
      </c>
      <c r="I152">
        <f t="shared" si="225"/>
        <v>142183.11</v>
      </c>
      <c r="J152">
        <f t="shared" si="225"/>
        <v>120844.1627</v>
      </c>
      <c r="K152">
        <f t="shared" si="225"/>
        <v>74586.26855</v>
      </c>
      <c r="L152">
        <f t="shared" si="225"/>
        <v>99066.8415</v>
      </c>
      <c r="M152">
        <f t="shared" si="225"/>
        <v>53363.20574</v>
      </c>
      <c r="N152">
        <f t="shared" si="225"/>
        <v>171835.933</v>
      </c>
      <c r="O152">
        <f t="shared" si="225"/>
        <v>34379.85646</v>
      </c>
      <c r="P152">
        <f t="shared" si="223"/>
        <v>1303203.971</v>
      </c>
    </row>
    <row r="153">
      <c r="B153" s="2" t="s">
        <v>2737</v>
      </c>
      <c r="D153">
        <f t="shared" ref="D153:O153" si="226">D151/11</f>
        <v>8189.167464</v>
      </c>
      <c r="E153">
        <f t="shared" si="226"/>
        <v>33158.50718</v>
      </c>
      <c r="F153">
        <f t="shared" si="226"/>
        <v>14299.86603</v>
      </c>
      <c r="G153">
        <f t="shared" si="226"/>
        <v>1636.645933</v>
      </c>
      <c r="H153">
        <f t="shared" si="226"/>
        <v>3410.272727</v>
      </c>
      <c r="I153">
        <f t="shared" si="226"/>
        <v>14218.311</v>
      </c>
      <c r="J153">
        <f t="shared" si="226"/>
        <v>12084.41627</v>
      </c>
      <c r="K153">
        <f t="shared" si="226"/>
        <v>7458.626855</v>
      </c>
      <c r="L153">
        <f t="shared" si="226"/>
        <v>9906.68415</v>
      </c>
      <c r="M153">
        <f t="shared" si="226"/>
        <v>5336.320574</v>
      </c>
      <c r="N153">
        <f t="shared" si="226"/>
        <v>17183.5933</v>
      </c>
      <c r="O153">
        <f t="shared" si="226"/>
        <v>3437.985646</v>
      </c>
      <c r="P153">
        <f t="shared" si="223"/>
        <v>130320.3971</v>
      </c>
    </row>
    <row r="154">
      <c r="B154" s="2" t="s">
        <v>2858</v>
      </c>
      <c r="D154">
        <v>57729.647060561954</v>
      </c>
      <c r="E154">
        <v>48078.43426992442</v>
      </c>
      <c r="F154">
        <v>48078.43426992442</v>
      </c>
      <c r="G154">
        <v>22055.68567185572</v>
      </c>
      <c r="H154">
        <v>31736.503409703804</v>
      </c>
      <c r="I154">
        <v>64479.57502456612</v>
      </c>
      <c r="J154">
        <v>32062.15782901979</v>
      </c>
      <c r="K154">
        <v>21878.055988592456</v>
      </c>
      <c r="L154">
        <v>29308.897738439147</v>
      </c>
      <c r="M154">
        <v>14947.537846603966</v>
      </c>
      <c r="N154">
        <v>17200.474329326407</v>
      </c>
      <c r="O154">
        <v>13144.596561481798</v>
      </c>
      <c r="P154">
        <f t="shared" si="223"/>
        <v>400700</v>
      </c>
    </row>
    <row r="155">
      <c r="B155" s="19" t="s">
        <v>2827</v>
      </c>
      <c r="D155" s="15">
        <f t="shared" ref="D155:P155" si="227">SUM(D150,D151,D154)</f>
        <v>1963544.189</v>
      </c>
      <c r="E155" s="15">
        <f t="shared" si="227"/>
        <v>2942822.013</v>
      </c>
      <c r="F155" s="15">
        <f t="shared" si="227"/>
        <v>1965376.961</v>
      </c>
      <c r="G155" s="15">
        <f t="shared" si="227"/>
        <v>2020058.791</v>
      </c>
      <c r="H155" s="15">
        <f t="shared" si="227"/>
        <v>2159249.503</v>
      </c>
      <c r="I155" s="15">
        <f t="shared" si="227"/>
        <v>4070880.996</v>
      </c>
      <c r="J155" s="15">
        <f t="shared" si="227"/>
        <v>2661990.737</v>
      </c>
      <c r="K155" s="15">
        <f t="shared" si="227"/>
        <v>2721922.951</v>
      </c>
      <c r="L155" s="15">
        <f t="shared" si="227"/>
        <v>2129282.423</v>
      </c>
      <c r="M155" s="15">
        <f t="shared" si="227"/>
        <v>1976647.064</v>
      </c>
      <c r="N155" s="15">
        <f t="shared" si="227"/>
        <v>1680220.001</v>
      </c>
      <c r="O155" s="15">
        <f t="shared" si="227"/>
        <v>1370962.439</v>
      </c>
      <c r="P155" s="15">
        <f t="shared" si="227"/>
        <v>27662958.07</v>
      </c>
    </row>
    <row r="156">
      <c r="B156" s="2" t="s">
        <v>2828</v>
      </c>
      <c r="D156">
        <f t="shared" ref="D156:O156" si="228">SUM(D148,D152,D154)</f>
        <v>1790288.322</v>
      </c>
      <c r="E156">
        <f t="shared" si="228"/>
        <v>2679663.506</v>
      </c>
      <c r="F156">
        <f t="shared" si="228"/>
        <v>1791077.095</v>
      </c>
      <c r="G156">
        <f t="shared" si="228"/>
        <v>1838422.145</v>
      </c>
      <c r="H156">
        <f t="shared" si="228"/>
        <v>1965839.231</v>
      </c>
      <c r="I156">
        <f t="shared" si="228"/>
        <v>3706662.685</v>
      </c>
      <c r="J156">
        <f t="shared" si="228"/>
        <v>2422906.321</v>
      </c>
      <c r="K156">
        <f t="shared" si="228"/>
        <v>2476464.325</v>
      </c>
      <c r="L156">
        <f t="shared" si="228"/>
        <v>1938375.739</v>
      </c>
      <c r="M156">
        <f t="shared" si="228"/>
        <v>1798310.744</v>
      </c>
      <c r="N156">
        <f t="shared" si="228"/>
        <v>1529036.407</v>
      </c>
      <c r="O156">
        <f t="shared" si="228"/>
        <v>1247524.453</v>
      </c>
    </row>
    <row r="157">
      <c r="B157" s="2" t="s">
        <v>2830</v>
      </c>
      <c r="D157">
        <f t="shared" ref="D157:O157" si="229">SUM(D148,D152)</f>
        <v>1732558.675</v>
      </c>
      <c r="E157">
        <f t="shared" si="229"/>
        <v>2631585.072</v>
      </c>
      <c r="F157">
        <f t="shared" si="229"/>
        <v>1742998.66</v>
      </c>
      <c r="G157">
        <f t="shared" si="229"/>
        <v>1816366.459</v>
      </c>
      <c r="H157">
        <f t="shared" si="229"/>
        <v>1934102.727</v>
      </c>
      <c r="I157">
        <f t="shared" si="229"/>
        <v>3642183.11</v>
      </c>
      <c r="J157">
        <f t="shared" si="229"/>
        <v>2390844.163</v>
      </c>
      <c r="K157">
        <f t="shared" si="229"/>
        <v>2454586.269</v>
      </c>
      <c r="L157">
        <f t="shared" si="229"/>
        <v>1909066.841</v>
      </c>
      <c r="M157">
        <f t="shared" si="229"/>
        <v>1783363.206</v>
      </c>
      <c r="N157">
        <f t="shared" si="229"/>
        <v>1511835.933</v>
      </c>
      <c r="O157">
        <f t="shared" si="229"/>
        <v>1234379.856</v>
      </c>
    </row>
    <row r="158">
      <c r="B158" s="2" t="s">
        <v>2818</v>
      </c>
      <c r="D158">
        <f t="shared" ref="D158:O158" si="230">SUM(D149,D153)</f>
        <v>173255.8675</v>
      </c>
      <c r="E158">
        <f t="shared" si="230"/>
        <v>263158.5072</v>
      </c>
      <c r="F158">
        <f t="shared" si="230"/>
        <v>174299.866</v>
      </c>
      <c r="G158">
        <f t="shared" si="230"/>
        <v>181636.6459</v>
      </c>
      <c r="H158">
        <f t="shared" si="230"/>
        <v>193410.2727</v>
      </c>
      <c r="I158">
        <f t="shared" si="230"/>
        <v>364218.311</v>
      </c>
      <c r="J158">
        <f t="shared" si="230"/>
        <v>239084.4163</v>
      </c>
      <c r="K158">
        <f t="shared" si="230"/>
        <v>245458.6269</v>
      </c>
      <c r="L158">
        <f t="shared" si="230"/>
        <v>190906.6841</v>
      </c>
      <c r="M158">
        <f t="shared" si="230"/>
        <v>178336.3206</v>
      </c>
      <c r="N158">
        <f t="shared" si="230"/>
        <v>151183.5933</v>
      </c>
      <c r="O158">
        <f t="shared" si="230"/>
        <v>123437.9856</v>
      </c>
    </row>
    <row r="159">
      <c r="B159" s="2" t="s">
        <v>2831</v>
      </c>
      <c r="D159">
        <f t="shared" ref="D159:O159" si="231">SUM(D157:D158)</f>
        <v>1905814.542</v>
      </c>
      <c r="E159">
        <f t="shared" si="231"/>
        <v>2894743.579</v>
      </c>
      <c r="F159">
        <f t="shared" si="231"/>
        <v>1917298.526</v>
      </c>
      <c r="G159">
        <f t="shared" si="231"/>
        <v>1998003.105</v>
      </c>
      <c r="H159">
        <f t="shared" si="231"/>
        <v>2127513</v>
      </c>
      <c r="I159">
        <f t="shared" si="231"/>
        <v>4006401.421</v>
      </c>
      <c r="J159">
        <f t="shared" si="231"/>
        <v>2629928.579</v>
      </c>
      <c r="K159">
        <f t="shared" si="231"/>
        <v>2700044.895</v>
      </c>
      <c r="L159">
        <f t="shared" si="231"/>
        <v>2099973.526</v>
      </c>
      <c r="M159">
        <f t="shared" si="231"/>
        <v>1961699.526</v>
      </c>
      <c r="N159">
        <f t="shared" si="231"/>
        <v>1663019.526</v>
      </c>
      <c r="O159">
        <f t="shared" si="231"/>
        <v>1357817.842</v>
      </c>
    </row>
    <row r="160">
      <c r="D160" s="2" t="s">
        <v>2819</v>
      </c>
      <c r="E160" s="2" t="s">
        <v>2804</v>
      </c>
      <c r="F160" s="2" t="s">
        <v>2804</v>
      </c>
      <c r="G160" s="2" t="s">
        <v>2804</v>
      </c>
      <c r="H160" s="2" t="s">
        <v>2804</v>
      </c>
      <c r="I160" s="2" t="s">
        <v>2804</v>
      </c>
      <c r="J160" s="2" t="s">
        <v>2804</v>
      </c>
      <c r="K160" s="2" t="s">
        <v>2804</v>
      </c>
      <c r="L160" s="2" t="s">
        <v>2804</v>
      </c>
      <c r="M160" s="2" t="s">
        <v>2804</v>
      </c>
      <c r="O160" s="2" t="s">
        <v>2804</v>
      </c>
    </row>
    <row r="163">
      <c r="B163" s="2" t="s">
        <v>2859</v>
      </c>
      <c r="D163" s="2">
        <v>1680000.0</v>
      </c>
      <c r="E163" s="2">
        <v>2300000.0</v>
      </c>
      <c r="F163" s="2">
        <v>1600000.0</v>
      </c>
      <c r="G163" s="2">
        <v>1800000.0</v>
      </c>
      <c r="H163" s="2">
        <v>1900000.0</v>
      </c>
      <c r="I163" s="2">
        <v>3500000.0</v>
      </c>
      <c r="J163" s="2">
        <v>2270000.0</v>
      </c>
      <c r="K163" s="2">
        <v>2380000.0</v>
      </c>
      <c r="L163" s="2">
        <v>1810000.0</v>
      </c>
      <c r="M163" s="2">
        <v>1730000.0</v>
      </c>
      <c r="N163" s="2">
        <v>1340000.0</v>
      </c>
      <c r="O163" s="2">
        <v>1200000.0</v>
      </c>
      <c r="P163">
        <f t="shared" ref="P163:P171" si="233">SUM(D163:O163)</f>
        <v>23510000</v>
      </c>
    </row>
    <row r="164">
      <c r="B164" s="2" t="s">
        <v>2737</v>
      </c>
      <c r="D164" s="2">
        <f t="shared" ref="D164:O164" si="232">D163*0.1</f>
        <v>168000</v>
      </c>
      <c r="E164" s="2">
        <f t="shared" si="232"/>
        <v>230000</v>
      </c>
      <c r="F164" s="2">
        <f t="shared" si="232"/>
        <v>160000</v>
      </c>
      <c r="G164" s="2">
        <f t="shared" si="232"/>
        <v>180000</v>
      </c>
      <c r="H164" s="2">
        <f t="shared" si="232"/>
        <v>190000</v>
      </c>
      <c r="I164" s="2">
        <f t="shared" si="232"/>
        <v>350000</v>
      </c>
      <c r="J164" s="2">
        <f t="shared" si="232"/>
        <v>227000</v>
      </c>
      <c r="K164" s="2">
        <f t="shared" si="232"/>
        <v>238000</v>
      </c>
      <c r="L164" s="2">
        <f t="shared" si="232"/>
        <v>181000</v>
      </c>
      <c r="M164" s="2">
        <f t="shared" si="232"/>
        <v>173000</v>
      </c>
      <c r="N164" s="2">
        <f t="shared" si="232"/>
        <v>134000</v>
      </c>
      <c r="O164" s="2">
        <f t="shared" si="232"/>
        <v>120000</v>
      </c>
      <c r="P164">
        <f t="shared" si="233"/>
        <v>2351000</v>
      </c>
    </row>
    <row r="165">
      <c r="B165" s="2" t="s">
        <v>2759</v>
      </c>
      <c r="D165">
        <f t="shared" ref="D165:O165" si="234">D163+D164</f>
        <v>1848000</v>
      </c>
      <c r="E165">
        <f t="shared" si="234"/>
        <v>2530000</v>
      </c>
      <c r="F165">
        <f t="shared" si="234"/>
        <v>1760000</v>
      </c>
      <c r="G165">
        <f t="shared" si="234"/>
        <v>1980000</v>
      </c>
      <c r="H165">
        <f t="shared" si="234"/>
        <v>2090000</v>
      </c>
      <c r="I165">
        <f t="shared" si="234"/>
        <v>3850000</v>
      </c>
      <c r="J165">
        <f t="shared" si="234"/>
        <v>2497000</v>
      </c>
      <c r="K165">
        <f t="shared" si="234"/>
        <v>2618000</v>
      </c>
      <c r="L165">
        <f t="shared" si="234"/>
        <v>1991000</v>
      </c>
      <c r="M165">
        <f t="shared" si="234"/>
        <v>1903000</v>
      </c>
      <c r="N165">
        <f t="shared" si="234"/>
        <v>1474000</v>
      </c>
      <c r="O165">
        <f t="shared" si="234"/>
        <v>1320000</v>
      </c>
      <c r="P165">
        <f t="shared" si="233"/>
        <v>25861000</v>
      </c>
    </row>
    <row r="166">
      <c r="B166" s="2" t="s">
        <v>2784</v>
      </c>
      <c r="D166">
        <v>62116.01398601398</v>
      </c>
      <c r="E166">
        <v>285703.14049586776</v>
      </c>
      <c r="F166">
        <v>144377.76223776225</v>
      </c>
      <c r="G166">
        <v>13850.582326764144</v>
      </c>
      <c r="H166">
        <v>26517.975842339478</v>
      </c>
      <c r="I166">
        <v>125567.83598219961</v>
      </c>
      <c r="J166">
        <v>111374.25047679593</v>
      </c>
      <c r="K166">
        <v>46306.304013983805</v>
      </c>
      <c r="L166">
        <v>61062.082508584535</v>
      </c>
      <c r="M166">
        <v>55057.766052129686</v>
      </c>
      <c r="O166">
        <v>28349.406230133503</v>
      </c>
      <c r="P166">
        <f t="shared" si="233"/>
        <v>960283.1202</v>
      </c>
    </row>
    <row r="167">
      <c r="D167">
        <f t="shared" ref="D167:O167" si="235">D166-D168</f>
        <v>56469.10362</v>
      </c>
      <c r="E167">
        <f t="shared" si="235"/>
        <v>259730.1277</v>
      </c>
      <c r="F167">
        <f t="shared" si="235"/>
        <v>131252.5111</v>
      </c>
      <c r="G167">
        <f t="shared" si="235"/>
        <v>12591.43848</v>
      </c>
      <c r="H167">
        <f t="shared" si="235"/>
        <v>24107.25077</v>
      </c>
      <c r="I167">
        <f t="shared" si="235"/>
        <v>114152.5782</v>
      </c>
      <c r="J167">
        <f t="shared" si="235"/>
        <v>101249.3186</v>
      </c>
      <c r="K167">
        <f t="shared" si="235"/>
        <v>42096.64001</v>
      </c>
      <c r="L167">
        <f t="shared" si="235"/>
        <v>55510.9841</v>
      </c>
      <c r="M167">
        <f t="shared" si="235"/>
        <v>50052.51459</v>
      </c>
      <c r="N167">
        <f t="shared" si="235"/>
        <v>0</v>
      </c>
      <c r="O167">
        <f t="shared" si="235"/>
        <v>25772.18748</v>
      </c>
      <c r="P167">
        <f t="shared" si="233"/>
        <v>872984.6547</v>
      </c>
    </row>
    <row r="168">
      <c r="B168" s="2" t="s">
        <v>2737</v>
      </c>
      <c r="D168">
        <f t="shared" ref="D168:O168" si="236">D166/11</f>
        <v>5646.910362</v>
      </c>
      <c r="E168">
        <f t="shared" si="236"/>
        <v>25973.01277</v>
      </c>
      <c r="F168">
        <f t="shared" si="236"/>
        <v>13125.25111</v>
      </c>
      <c r="G168">
        <f t="shared" si="236"/>
        <v>1259.143848</v>
      </c>
      <c r="H168">
        <f t="shared" si="236"/>
        <v>2410.725077</v>
      </c>
      <c r="I168">
        <f t="shared" si="236"/>
        <v>11415.25782</v>
      </c>
      <c r="J168">
        <f t="shared" si="236"/>
        <v>10124.93186</v>
      </c>
      <c r="K168">
        <f t="shared" si="236"/>
        <v>4209.664001</v>
      </c>
      <c r="L168">
        <f t="shared" si="236"/>
        <v>5551.09841</v>
      </c>
      <c r="M168">
        <f t="shared" si="236"/>
        <v>5005.251459</v>
      </c>
      <c r="N168">
        <f t="shared" si="236"/>
        <v>0</v>
      </c>
      <c r="O168">
        <f t="shared" si="236"/>
        <v>2577.218748</v>
      </c>
      <c r="P168">
        <f t="shared" si="233"/>
        <v>87298.46547</v>
      </c>
    </row>
    <row r="169">
      <c r="B169" s="19" t="s">
        <v>2767</v>
      </c>
      <c r="D169" s="15">
        <f t="shared" ref="D169:F169" si="237">SUM(D165,D166)</f>
        <v>1910116.014</v>
      </c>
      <c r="E169" s="15">
        <f t="shared" si="237"/>
        <v>2815703.14</v>
      </c>
      <c r="F169" s="15">
        <f t="shared" si="237"/>
        <v>1904377.762</v>
      </c>
      <c r="G169" s="15">
        <f>SUM(G165,G166,G172)</f>
        <v>1993850.582</v>
      </c>
      <c r="H169" s="15">
        <f>SUM(H165,H166)</f>
        <v>2116517.976</v>
      </c>
      <c r="I169" s="15">
        <f>SUM(I165,I166,C166)</f>
        <v>3975567.836</v>
      </c>
      <c r="J169" s="15">
        <f t="shared" ref="J169:O169" si="238">SUM(J165,J166)</f>
        <v>2608374.25</v>
      </c>
      <c r="K169" s="15">
        <f t="shared" si="238"/>
        <v>2664306.304</v>
      </c>
      <c r="L169" s="15">
        <f t="shared" si="238"/>
        <v>2052062.083</v>
      </c>
      <c r="M169" s="15">
        <f t="shared" si="238"/>
        <v>1958057.766</v>
      </c>
      <c r="N169" s="15">
        <f t="shared" si="238"/>
        <v>1474000</v>
      </c>
      <c r="O169" s="15">
        <f t="shared" si="238"/>
        <v>1348349.406</v>
      </c>
      <c r="P169">
        <f t="shared" si="233"/>
        <v>26821283.12</v>
      </c>
    </row>
    <row r="170">
      <c r="B170" s="2" t="s">
        <v>2816</v>
      </c>
      <c r="D170">
        <f t="shared" ref="D170:O170" si="239">D163+D167</f>
        <v>1736469.104</v>
      </c>
      <c r="E170">
        <f t="shared" si="239"/>
        <v>2559730.128</v>
      </c>
      <c r="F170">
        <f t="shared" si="239"/>
        <v>1731252.511</v>
      </c>
      <c r="G170">
        <f t="shared" si="239"/>
        <v>1812591.438</v>
      </c>
      <c r="H170">
        <f t="shared" si="239"/>
        <v>1924107.251</v>
      </c>
      <c r="I170">
        <f t="shared" si="239"/>
        <v>3614152.578</v>
      </c>
      <c r="J170">
        <f t="shared" si="239"/>
        <v>2371249.319</v>
      </c>
      <c r="K170">
        <f t="shared" si="239"/>
        <v>2422096.64</v>
      </c>
      <c r="L170">
        <f t="shared" si="239"/>
        <v>1865510.984</v>
      </c>
      <c r="M170">
        <f t="shared" si="239"/>
        <v>1780052.515</v>
      </c>
      <c r="N170">
        <f t="shared" si="239"/>
        <v>1340000</v>
      </c>
      <c r="O170">
        <f t="shared" si="239"/>
        <v>1225772.187</v>
      </c>
      <c r="P170">
        <f t="shared" si="233"/>
        <v>24382984.65</v>
      </c>
    </row>
    <row r="171">
      <c r="B171" s="2" t="s">
        <v>2818</v>
      </c>
      <c r="D171">
        <f t="shared" ref="D171:O171" si="240">D164+D168</f>
        <v>173646.9104</v>
      </c>
      <c r="E171">
        <f t="shared" si="240"/>
        <v>255973.0128</v>
      </c>
      <c r="F171">
        <f t="shared" si="240"/>
        <v>173125.2511</v>
      </c>
      <c r="G171">
        <f t="shared" si="240"/>
        <v>181259.1438</v>
      </c>
      <c r="H171">
        <f t="shared" si="240"/>
        <v>192410.7251</v>
      </c>
      <c r="I171">
        <f t="shared" si="240"/>
        <v>361415.2578</v>
      </c>
      <c r="J171">
        <f t="shared" si="240"/>
        <v>237124.9319</v>
      </c>
      <c r="K171">
        <f t="shared" si="240"/>
        <v>242209.664</v>
      </c>
      <c r="L171">
        <f t="shared" si="240"/>
        <v>186551.0984</v>
      </c>
      <c r="M171">
        <f t="shared" si="240"/>
        <v>178005.2515</v>
      </c>
      <c r="N171">
        <f t="shared" si="240"/>
        <v>134000</v>
      </c>
      <c r="O171">
        <f t="shared" si="240"/>
        <v>122577.2187</v>
      </c>
      <c r="P171">
        <f t="shared" si="233"/>
        <v>2438298.465</v>
      </c>
    </row>
    <row r="181">
      <c r="C181" s="19" t="s">
        <v>2705</v>
      </c>
      <c r="D181" s="19" t="s">
        <v>2706</v>
      </c>
      <c r="E181" s="19">
        <v>101.0</v>
      </c>
      <c r="F181" s="19">
        <v>102.0</v>
      </c>
      <c r="G181" s="19">
        <v>201.0</v>
      </c>
      <c r="H181" s="19">
        <v>202.0</v>
      </c>
      <c r="I181" s="19">
        <v>301.0</v>
      </c>
      <c r="J181" s="19">
        <v>302.0</v>
      </c>
      <c r="K181" s="19">
        <v>401.0</v>
      </c>
      <c r="L181" s="19">
        <v>402.0</v>
      </c>
      <c r="M181" s="19">
        <v>501.0</v>
      </c>
      <c r="N181" s="19">
        <v>502.0</v>
      </c>
      <c r="O181" s="19">
        <v>503.0</v>
      </c>
    </row>
    <row r="182">
      <c r="D182" s="2" t="s">
        <v>2718</v>
      </c>
      <c r="E182" s="2" t="s">
        <v>2860</v>
      </c>
      <c r="F182" s="2" t="s">
        <v>2720</v>
      </c>
      <c r="G182" s="2" t="s">
        <v>2861</v>
      </c>
      <c r="H182" s="2" t="s">
        <v>2862</v>
      </c>
      <c r="I182" s="2" t="s">
        <v>2723</v>
      </c>
      <c r="J182" s="2" t="s">
        <v>2724</v>
      </c>
      <c r="K182" s="2" t="s">
        <v>2725</v>
      </c>
      <c r="L182" s="2" t="s">
        <v>2726</v>
      </c>
      <c r="M182" s="2" t="s">
        <v>2727</v>
      </c>
      <c r="N182" s="2" t="s">
        <v>2728</v>
      </c>
      <c r="O182" s="2" t="s">
        <v>2729</v>
      </c>
    </row>
    <row r="184">
      <c r="F184" s="19" t="s">
        <v>2863</v>
      </c>
      <c r="G184" s="19" t="s">
        <v>2864</v>
      </c>
      <c r="H184" s="15"/>
      <c r="I184" s="15"/>
      <c r="J184" s="15"/>
      <c r="K184" s="15"/>
    </row>
    <row r="185">
      <c r="F185" s="19" t="s">
        <v>2217</v>
      </c>
      <c r="G185" s="19">
        <v>2116268.0</v>
      </c>
      <c r="H185" s="15"/>
      <c r="I185" s="15"/>
      <c r="J185" s="15"/>
      <c r="K185" s="15"/>
    </row>
    <row r="186">
      <c r="F186" s="19" t="s">
        <v>2219</v>
      </c>
      <c r="G186" s="19">
        <v>2087022.0</v>
      </c>
      <c r="H186" s="15"/>
      <c r="I186" s="15"/>
      <c r="J186" s="15"/>
      <c r="K186" s="15"/>
    </row>
    <row r="187">
      <c r="F187" s="19" t="s">
        <v>2220</v>
      </c>
      <c r="G187" s="19">
        <v>2052845.0</v>
      </c>
      <c r="H187" s="15"/>
      <c r="I187" s="15"/>
      <c r="J187" s="15"/>
      <c r="K187" s="15"/>
    </row>
    <row r="188">
      <c r="F188" s="19" t="s">
        <v>2221</v>
      </c>
      <c r="G188" s="19">
        <v>2025110.0</v>
      </c>
      <c r="H188" s="19" t="s">
        <v>2865</v>
      </c>
      <c r="I188" s="19" t="s">
        <v>2744</v>
      </c>
      <c r="J188" s="19" t="s">
        <v>2754</v>
      </c>
      <c r="K188" s="19" t="s">
        <v>2758</v>
      </c>
    </row>
    <row r="189">
      <c r="F189" s="19" t="s">
        <v>2223</v>
      </c>
      <c r="G189" s="15">
        <f>SUM(H189:K189)</f>
        <v>1494816</v>
      </c>
      <c r="H189" s="15">
        <f>G95*22/30</f>
        <v>1320000</v>
      </c>
      <c r="I189" s="19">
        <v>132000.0</v>
      </c>
      <c r="J189" s="19">
        <v>36248.0</v>
      </c>
      <c r="K189" s="19">
        <v>6568.0</v>
      </c>
    </row>
    <row r="190">
      <c r="F190" s="15"/>
      <c r="G190" s="15">
        <f>SUM(G185:G189)</f>
        <v>9776061</v>
      </c>
      <c r="H190" s="15"/>
      <c r="I190" s="15"/>
      <c r="J190" s="15"/>
      <c r="K190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3" max="3" width="16.5"/>
    <col customWidth="1" min="4" max="4" width="20.13"/>
    <col customWidth="1" min="5" max="5" width="18.13"/>
    <col customWidth="1" min="6" max="6" width="19.13"/>
    <col customWidth="1" min="7" max="7" width="18.25"/>
    <col customWidth="1" min="8" max="8" width="17.5"/>
    <col customWidth="1" min="10" max="10" width="18.13"/>
    <col customWidth="1" min="11" max="11" width="22.75"/>
    <col customWidth="1" min="12" max="12" width="18.63"/>
    <col customWidth="1" min="13" max="13" width="18.0"/>
    <col customWidth="1" min="14" max="14" width="16.13"/>
    <col customWidth="1" min="15" max="15" width="19.75"/>
  </cols>
  <sheetData>
    <row r="2">
      <c r="F2" s="2" t="s">
        <v>2866</v>
      </c>
    </row>
    <row r="3">
      <c r="B3" s="2" t="s">
        <v>2717</v>
      </c>
      <c r="C3" s="2" t="s">
        <v>2705</v>
      </c>
      <c r="D3" s="2" t="s">
        <v>2706</v>
      </c>
      <c r="E3" s="2">
        <v>101.0</v>
      </c>
      <c r="F3" s="11">
        <v>102.0</v>
      </c>
      <c r="G3" s="2">
        <v>201.0</v>
      </c>
      <c r="H3" s="2">
        <v>202.0</v>
      </c>
      <c r="I3" s="2">
        <v>301.0</v>
      </c>
      <c r="J3" s="19">
        <v>302.0</v>
      </c>
      <c r="K3" s="2">
        <v>401.0</v>
      </c>
      <c r="L3" s="2">
        <v>402.0</v>
      </c>
      <c r="M3" s="2">
        <v>501.0</v>
      </c>
      <c r="N3" s="19">
        <v>502.0</v>
      </c>
      <c r="O3" s="2">
        <v>503.0</v>
      </c>
      <c r="Q3" s="2" t="s">
        <v>2867</v>
      </c>
    </row>
    <row r="4">
      <c r="B4" s="2" t="s">
        <v>2868</v>
      </c>
      <c r="C4" s="2" t="s">
        <v>2869</v>
      </c>
      <c r="D4" s="2" t="s">
        <v>2718</v>
      </c>
      <c r="E4" s="2" t="s">
        <v>2860</v>
      </c>
      <c r="F4" s="2" t="s">
        <v>2720</v>
      </c>
      <c r="G4" s="2" t="s">
        <v>2870</v>
      </c>
      <c r="H4" s="2" t="s">
        <v>2722</v>
      </c>
      <c r="I4" s="2" t="s">
        <v>2869</v>
      </c>
      <c r="J4" s="2" t="s">
        <v>2724</v>
      </c>
      <c r="K4" s="2" t="s">
        <v>2725</v>
      </c>
      <c r="L4" s="2" t="s">
        <v>2871</v>
      </c>
      <c r="M4" s="2" t="s">
        <v>2872</v>
      </c>
      <c r="N4" s="2" t="s">
        <v>2728</v>
      </c>
      <c r="O4" s="2" t="s">
        <v>2873</v>
      </c>
    </row>
    <row r="5">
      <c r="B5" s="2" t="s">
        <v>2690</v>
      </c>
      <c r="D5" s="2" t="s">
        <v>2691</v>
      </c>
      <c r="E5" s="2" t="s">
        <v>2874</v>
      </c>
      <c r="F5" s="2" t="s">
        <v>2693</v>
      </c>
      <c r="G5" s="2" t="s">
        <v>2875</v>
      </c>
      <c r="H5" s="2" t="s">
        <v>2695</v>
      </c>
      <c r="J5" s="2" t="s">
        <v>2696</v>
      </c>
      <c r="K5" s="2" t="s">
        <v>2697</v>
      </c>
      <c r="L5" s="2" t="s">
        <v>2698</v>
      </c>
      <c r="M5" s="2" t="s">
        <v>2699</v>
      </c>
      <c r="N5" s="2" t="s">
        <v>2700</v>
      </c>
      <c r="O5" s="2" t="s">
        <v>2876</v>
      </c>
    </row>
    <row r="6">
      <c r="B6" s="2" t="s">
        <v>2877</v>
      </c>
      <c r="D6" s="2" t="s">
        <v>2878</v>
      </c>
      <c r="E6" s="2" t="s">
        <v>2879</v>
      </c>
      <c r="F6" s="2" t="s">
        <v>2880</v>
      </c>
      <c r="G6" s="2" t="s">
        <v>2881</v>
      </c>
      <c r="H6" s="2" t="s">
        <v>2882</v>
      </c>
      <c r="J6" s="2" t="s">
        <v>2883</v>
      </c>
      <c r="K6" s="2" t="s">
        <v>2884</v>
      </c>
      <c r="L6" s="2" t="s">
        <v>2885</v>
      </c>
      <c r="M6" s="2" t="s">
        <v>2886</v>
      </c>
      <c r="N6" s="2" t="s">
        <v>2887</v>
      </c>
      <c r="O6" s="2" t="s">
        <v>2888</v>
      </c>
    </row>
    <row r="7">
      <c r="B7" s="2" t="s">
        <v>2889</v>
      </c>
      <c r="D7" s="2" t="s">
        <v>2890</v>
      </c>
      <c r="E7" s="2" t="s">
        <v>2891</v>
      </c>
      <c r="F7" s="2" t="s">
        <v>2892</v>
      </c>
      <c r="G7" s="2" t="s">
        <v>2893</v>
      </c>
      <c r="H7" s="2" t="s">
        <v>2894</v>
      </c>
      <c r="J7" s="2" t="s">
        <v>2895</v>
      </c>
      <c r="K7" s="2" t="s">
        <v>2896</v>
      </c>
      <c r="L7" s="2" t="s">
        <v>2897</v>
      </c>
      <c r="M7" s="2" t="s">
        <v>2898</v>
      </c>
      <c r="N7" s="2" t="s">
        <v>2899</v>
      </c>
      <c r="O7" s="2" t="s">
        <v>2900</v>
      </c>
    </row>
    <row r="8">
      <c r="B8" s="2" t="s">
        <v>2901</v>
      </c>
      <c r="D8" s="2" t="s">
        <v>2902</v>
      </c>
      <c r="E8" s="2" t="s">
        <v>2903</v>
      </c>
      <c r="F8" s="2" t="s">
        <v>2904</v>
      </c>
      <c r="G8" s="58" t="s">
        <v>2905</v>
      </c>
      <c r="H8" s="2" t="s">
        <v>2906</v>
      </c>
      <c r="J8" s="2" t="s">
        <v>2907</v>
      </c>
      <c r="K8" s="2" t="s">
        <v>2908</v>
      </c>
      <c r="L8" s="2" t="s">
        <v>2909</v>
      </c>
      <c r="M8" s="2" t="s">
        <v>2910</v>
      </c>
      <c r="N8" s="2" t="s">
        <v>2911</v>
      </c>
      <c r="O8" s="2" t="s">
        <v>2912</v>
      </c>
    </row>
    <row r="9">
      <c r="B9" s="2" t="s">
        <v>2913</v>
      </c>
      <c r="C9" s="2" t="s">
        <v>2914</v>
      </c>
      <c r="D9" s="40" t="s">
        <v>2915</v>
      </c>
      <c r="E9" s="2" t="s">
        <v>2916</v>
      </c>
      <c r="F9" s="2" t="s">
        <v>2917</v>
      </c>
      <c r="G9" s="2" t="s">
        <v>2918</v>
      </c>
      <c r="H9" s="59" t="s">
        <v>2919</v>
      </c>
      <c r="I9" s="2" t="s">
        <v>2914</v>
      </c>
      <c r="J9" s="60" t="s">
        <v>2920</v>
      </c>
      <c r="K9" s="2" t="s">
        <v>2921</v>
      </c>
      <c r="L9" s="60" t="s">
        <v>2922</v>
      </c>
      <c r="M9" s="2" t="s">
        <v>2923</v>
      </c>
      <c r="N9" s="60" t="s">
        <v>2924</v>
      </c>
      <c r="O9" s="2" t="s">
        <v>2925</v>
      </c>
    </row>
    <row r="10">
      <c r="B10" s="2" t="s">
        <v>2926</v>
      </c>
      <c r="D10" s="2">
        <v>1000.0</v>
      </c>
      <c r="E10" s="2">
        <v>2000.0</v>
      </c>
      <c r="F10" s="2">
        <v>2000.0</v>
      </c>
      <c r="G10" s="2">
        <v>1000.0</v>
      </c>
      <c r="H10" s="2">
        <v>3000.0</v>
      </c>
      <c r="J10" s="2">
        <v>2000.0</v>
      </c>
      <c r="K10" s="2">
        <v>2000.0</v>
      </c>
      <c r="L10" s="2">
        <v>2000.0</v>
      </c>
      <c r="M10" s="2">
        <v>2000.0</v>
      </c>
      <c r="N10" s="2">
        <v>1500.0</v>
      </c>
      <c r="O10" s="2">
        <v>2000.0</v>
      </c>
      <c r="Q10">
        <f t="shared" ref="Q10:Q11" si="1">SUM(C10:O10)</f>
        <v>20500</v>
      </c>
      <c r="S10" s="2" t="s">
        <v>2927</v>
      </c>
      <c r="T10" s="2" t="s">
        <v>2928</v>
      </c>
    </row>
    <row r="11">
      <c r="B11" s="2" t="s">
        <v>2929</v>
      </c>
      <c r="C11" s="2">
        <v>100.0</v>
      </c>
      <c r="D11" s="2">
        <v>160.0</v>
      </c>
      <c r="E11" s="2">
        <v>230.0</v>
      </c>
      <c r="F11" s="2">
        <v>160.0</v>
      </c>
      <c r="G11" s="2">
        <v>180.0</v>
      </c>
      <c r="H11" s="2">
        <v>190.0</v>
      </c>
      <c r="I11" s="2">
        <v>250.0</v>
      </c>
      <c r="J11" s="2">
        <v>227.0</v>
      </c>
      <c r="K11" s="2">
        <v>238.0</v>
      </c>
      <c r="L11" s="2">
        <v>181.0</v>
      </c>
      <c r="M11" s="2">
        <v>173.0</v>
      </c>
      <c r="N11" s="2">
        <v>134.0</v>
      </c>
      <c r="O11" s="2">
        <v>120.0</v>
      </c>
      <c r="Q11">
        <f t="shared" si="1"/>
        <v>2343</v>
      </c>
      <c r="R11">
        <f>Q11*12</f>
        <v>28116</v>
      </c>
      <c r="S11">
        <f>R11/6500</f>
        <v>4.325538462</v>
      </c>
      <c r="T11">
        <f>R11/7000</f>
        <v>4.016571429</v>
      </c>
    </row>
    <row r="12">
      <c r="C12" s="2" t="s">
        <v>2930</v>
      </c>
      <c r="D12" s="19" t="s">
        <v>2931</v>
      </c>
      <c r="H12" s="2" t="s">
        <v>2932</v>
      </c>
      <c r="I12" s="2" t="s">
        <v>2933</v>
      </c>
      <c r="J12" s="19" t="s">
        <v>2934</v>
      </c>
      <c r="K12" s="2" t="s">
        <v>2935</v>
      </c>
      <c r="L12" s="19" t="s">
        <v>2936</v>
      </c>
      <c r="M12" s="61" t="s">
        <v>2937</v>
      </c>
      <c r="N12" s="2" t="s">
        <v>2938</v>
      </c>
    </row>
    <row r="14">
      <c r="B14" s="2" t="s">
        <v>2939</v>
      </c>
      <c r="C14" s="2">
        <v>249.46</v>
      </c>
      <c r="E14" s="2">
        <v>162.41</v>
      </c>
      <c r="G14" s="2">
        <v>181.81</v>
      </c>
      <c r="I14" s="2">
        <v>190.4</v>
      </c>
      <c r="K14" s="2">
        <v>172.98</v>
      </c>
      <c r="M14" s="2">
        <v>153.0</v>
      </c>
      <c r="Q14" s="15">
        <f t="shared" ref="Q14:Q16" si="2">SUM(C14:O14)</f>
        <v>1110.06</v>
      </c>
      <c r="V14" s="2" t="s">
        <v>2940</v>
      </c>
      <c r="W14" s="2" t="s">
        <v>2941</v>
      </c>
    </row>
    <row r="15">
      <c r="B15" s="2" t="s">
        <v>2942</v>
      </c>
      <c r="C15">
        <f>C14/3.3</f>
        <v>75.59393939</v>
      </c>
      <c r="E15">
        <f>E14/3.3</f>
        <v>49.21515152</v>
      </c>
      <c r="G15">
        <f>G14/3.3</f>
        <v>55.09393939</v>
      </c>
      <c r="I15">
        <f>I14/3.3</f>
        <v>57.6969697</v>
      </c>
      <c r="K15">
        <f>K14/3.3</f>
        <v>52.41818182</v>
      </c>
      <c r="M15">
        <f>M14/3.3</f>
        <v>46.36363636</v>
      </c>
      <c r="Q15" s="15">
        <f t="shared" si="2"/>
        <v>336.3818182</v>
      </c>
      <c r="V15" s="2" t="s">
        <v>2943</v>
      </c>
      <c r="W15" s="2" t="s">
        <v>2944</v>
      </c>
    </row>
    <row r="16">
      <c r="B16" s="19" t="s">
        <v>2945</v>
      </c>
      <c r="C16" s="19">
        <v>54.41</v>
      </c>
      <c r="D16" s="19">
        <v>195.05</v>
      </c>
      <c r="E16" s="19">
        <v>70.0</v>
      </c>
      <c r="F16" s="19">
        <v>81.9</v>
      </c>
      <c r="G16" s="19">
        <v>72.0</v>
      </c>
      <c r="H16" s="19">
        <v>107.2</v>
      </c>
      <c r="I16" s="19"/>
      <c r="J16" s="19">
        <v>82.5</v>
      </c>
      <c r="K16" s="19">
        <v>80.0</v>
      </c>
      <c r="L16" s="19">
        <v>73.94</v>
      </c>
      <c r="M16" s="19">
        <v>50.49</v>
      </c>
      <c r="N16" s="19">
        <v>58.1</v>
      </c>
      <c r="O16" s="19">
        <v>45.0</v>
      </c>
      <c r="P16" s="15"/>
      <c r="Q16" s="15">
        <f t="shared" si="2"/>
        <v>970.59</v>
      </c>
      <c r="W16" s="2" t="s">
        <v>2946</v>
      </c>
    </row>
    <row r="17">
      <c r="B17" s="2" t="s">
        <v>2947</v>
      </c>
      <c r="C17">
        <f>SUM(C16:D16)</f>
        <v>249.46</v>
      </c>
      <c r="E17">
        <f>SUM(E16:F16)</f>
        <v>151.9</v>
      </c>
      <c r="G17">
        <f>SUM(G16:H16)</f>
        <v>179.2</v>
      </c>
      <c r="I17">
        <f>SUM(I16:J16)</f>
        <v>82.5</v>
      </c>
      <c r="K17">
        <f>SUM(K16:L16)</f>
        <v>153.94</v>
      </c>
      <c r="M17">
        <f>SUM(M16:O16)</f>
        <v>153.59</v>
      </c>
      <c r="W17" s="2" t="s">
        <v>2948</v>
      </c>
    </row>
    <row r="18">
      <c r="B18" s="62" t="s">
        <v>2949</v>
      </c>
      <c r="C18" s="62">
        <v>54.4</v>
      </c>
      <c r="D18" s="62">
        <v>195.0</v>
      </c>
      <c r="E18" s="62">
        <v>81.2</v>
      </c>
      <c r="F18" s="62">
        <v>81.2</v>
      </c>
      <c r="G18" s="62">
        <v>74.5</v>
      </c>
      <c r="H18" s="62">
        <v>107.2</v>
      </c>
      <c r="I18" s="62">
        <v>81.7</v>
      </c>
      <c r="J18" s="62">
        <v>108.3</v>
      </c>
      <c r="K18" s="62">
        <v>73.9</v>
      </c>
      <c r="L18" s="62">
        <v>99.0</v>
      </c>
      <c r="M18" s="62">
        <v>50.49</v>
      </c>
      <c r="N18" s="62">
        <v>58.1</v>
      </c>
      <c r="O18" s="62">
        <v>44.4</v>
      </c>
      <c r="P18" s="63"/>
      <c r="Q18" s="63">
        <f>SUM(C18:O18)</f>
        <v>1109.39</v>
      </c>
      <c r="R18" s="63">
        <f>SUM(E18:O18)</f>
        <v>859.99</v>
      </c>
      <c r="V18" s="2" t="s">
        <v>2950</v>
      </c>
      <c r="W18" s="2" t="s">
        <v>2951</v>
      </c>
    </row>
    <row r="19">
      <c r="B19" s="2" t="s">
        <v>2947</v>
      </c>
      <c r="C19">
        <f>SUM(C18:D18)</f>
        <v>249.4</v>
      </c>
      <c r="E19">
        <f>SUM(E18:F18)</f>
        <v>162.4</v>
      </c>
      <c r="G19">
        <f>SUM(G18:H18)</f>
        <v>181.7</v>
      </c>
      <c r="I19">
        <f>SUM(I18:J18)</f>
        <v>190</v>
      </c>
      <c r="K19">
        <f>SUM(K18:L18)</f>
        <v>172.9</v>
      </c>
      <c r="M19">
        <f>SUM(M18:O18)</f>
        <v>152.99</v>
      </c>
      <c r="W19" s="59" t="s">
        <v>2952</v>
      </c>
    </row>
    <row r="20">
      <c r="B20" s="2" t="s">
        <v>2953</v>
      </c>
      <c r="C20">
        <f t="shared" ref="C20:O20" si="3">C18/3.3</f>
        <v>16.48484848</v>
      </c>
      <c r="D20">
        <f t="shared" si="3"/>
        <v>59.09090909</v>
      </c>
      <c r="E20">
        <f t="shared" si="3"/>
        <v>24.60606061</v>
      </c>
      <c r="F20">
        <f t="shared" si="3"/>
        <v>24.60606061</v>
      </c>
      <c r="G20">
        <f t="shared" si="3"/>
        <v>22.57575758</v>
      </c>
      <c r="H20">
        <f t="shared" si="3"/>
        <v>32.48484848</v>
      </c>
      <c r="I20">
        <f t="shared" si="3"/>
        <v>24.75757576</v>
      </c>
      <c r="J20">
        <f t="shared" si="3"/>
        <v>32.81818182</v>
      </c>
      <c r="K20">
        <f t="shared" si="3"/>
        <v>22.39393939</v>
      </c>
      <c r="L20">
        <f t="shared" si="3"/>
        <v>30</v>
      </c>
      <c r="M20">
        <f t="shared" si="3"/>
        <v>15.3</v>
      </c>
      <c r="N20">
        <f t="shared" si="3"/>
        <v>17.60606061</v>
      </c>
      <c r="O20">
        <f t="shared" si="3"/>
        <v>13.45454545</v>
      </c>
      <c r="Q20" s="15">
        <f t="shared" ref="Q20:Q21" si="5">SUM(C20:O20)</f>
        <v>336.1787879</v>
      </c>
      <c r="V20" s="2" t="s">
        <v>2954</v>
      </c>
      <c r="W20" s="2" t="s">
        <v>2955</v>
      </c>
    </row>
    <row r="21">
      <c r="B21" s="2" t="s">
        <v>2956</v>
      </c>
      <c r="C21">
        <f t="shared" ref="C21:O21" si="4">C20*0.85</f>
        <v>14.01212121</v>
      </c>
      <c r="D21">
        <f t="shared" si="4"/>
        <v>50.22727273</v>
      </c>
      <c r="E21">
        <f t="shared" si="4"/>
        <v>20.91515152</v>
      </c>
      <c r="F21">
        <f t="shared" si="4"/>
        <v>20.91515152</v>
      </c>
      <c r="G21">
        <f t="shared" si="4"/>
        <v>19.18939394</v>
      </c>
      <c r="H21">
        <f t="shared" si="4"/>
        <v>27.61212121</v>
      </c>
      <c r="I21">
        <f t="shared" si="4"/>
        <v>21.04393939</v>
      </c>
      <c r="J21">
        <f t="shared" si="4"/>
        <v>27.89545455</v>
      </c>
      <c r="K21">
        <f t="shared" si="4"/>
        <v>19.03484848</v>
      </c>
      <c r="L21">
        <f t="shared" si="4"/>
        <v>25.5</v>
      </c>
      <c r="M21">
        <f t="shared" si="4"/>
        <v>13.005</v>
      </c>
      <c r="N21">
        <f t="shared" si="4"/>
        <v>14.96515152</v>
      </c>
      <c r="O21">
        <f t="shared" si="4"/>
        <v>11.43636364</v>
      </c>
      <c r="Q21" s="15">
        <f t="shared" si="5"/>
        <v>285.7519697</v>
      </c>
      <c r="V21" s="2" t="s">
        <v>2957</v>
      </c>
      <c r="W21" s="2" t="s">
        <v>2958</v>
      </c>
    </row>
    <row r="22">
      <c r="W22" s="2" t="s">
        <v>2959</v>
      </c>
    </row>
    <row r="23">
      <c r="V23" s="2" t="s">
        <v>2960</v>
      </c>
      <c r="W23" s="2" t="s">
        <v>2961</v>
      </c>
    </row>
    <row r="24">
      <c r="W24" s="2" t="s">
        <v>2962</v>
      </c>
    </row>
    <row r="25">
      <c r="E25" s="32">
        <v>101.0</v>
      </c>
      <c r="G25" s="32">
        <v>201.0</v>
      </c>
      <c r="V25" s="2" t="s">
        <v>2963</v>
      </c>
      <c r="W25" s="2" t="s">
        <v>2964</v>
      </c>
    </row>
    <row r="26">
      <c r="E26" s="33" t="s">
        <v>2719</v>
      </c>
      <c r="G26" s="33" t="s">
        <v>2721</v>
      </c>
      <c r="V26" s="2" t="s">
        <v>2965</v>
      </c>
      <c r="W26" s="19" t="s">
        <v>2966</v>
      </c>
    </row>
    <row r="27">
      <c r="E27" s="33" t="s">
        <v>2692</v>
      </c>
      <c r="G27" s="33" t="s">
        <v>2694</v>
      </c>
    </row>
    <row r="28">
      <c r="E28" s="33" t="s">
        <v>2967</v>
      </c>
      <c r="G28" s="33" t="s">
        <v>2968</v>
      </c>
    </row>
    <row r="29">
      <c r="E29" s="33" t="s">
        <v>2969</v>
      </c>
      <c r="G29" s="33" t="s">
        <v>2970</v>
      </c>
    </row>
    <row r="30">
      <c r="E30" s="33" t="s">
        <v>2971</v>
      </c>
      <c r="G30" s="33" t="s">
        <v>2972</v>
      </c>
    </row>
    <row r="31">
      <c r="E31" s="33" t="s">
        <v>2973</v>
      </c>
      <c r="G31" s="64" t="s">
        <v>2974</v>
      </c>
    </row>
    <row r="32">
      <c r="E32" s="33">
        <v>2000.0</v>
      </c>
      <c r="G32" s="33">
        <v>1000.0</v>
      </c>
    </row>
    <row r="33">
      <c r="E33" s="21">
        <v>230.0</v>
      </c>
      <c r="G33" s="21">
        <v>180.0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1.5"/>
    <col customWidth="1" min="2" max="2" width="8.63"/>
    <col customWidth="1" min="3" max="3" width="2.5"/>
    <col customWidth="1" min="4" max="4" width="7.13"/>
    <col customWidth="1" min="5" max="5" width="11.25"/>
    <col customWidth="1" min="6" max="6" width="8.63"/>
    <col customWidth="1" min="7" max="7" width="11.38"/>
    <col customWidth="1" min="8" max="8" width="7.0"/>
    <col customWidth="1" min="10" max="10" width="15.13"/>
    <col customWidth="1" min="12" max="12" width="7.88"/>
    <col customWidth="1" min="13" max="13" width="5.25"/>
    <col customWidth="1" min="14" max="14" width="25.88"/>
    <col customWidth="1" min="18" max="18" width="7.63"/>
    <col customWidth="1" min="19" max="19" width="6.88"/>
    <col customWidth="1" min="20" max="20" width="7.25"/>
    <col customWidth="1" min="21" max="21" width="8.5"/>
    <col customWidth="1" min="22" max="22" width="7.75"/>
    <col customWidth="1" min="23" max="23" width="8.0"/>
    <col customWidth="1" min="24" max="24" width="12.13"/>
    <col customWidth="1" min="25" max="30" width="10.0"/>
    <col customWidth="1" min="31" max="38" width="14.0"/>
  </cols>
  <sheetData>
    <row r="3">
      <c r="B3" s="2" t="s">
        <v>2975</v>
      </c>
      <c r="C3" s="2"/>
      <c r="E3" s="2"/>
      <c r="F3" s="2" t="s">
        <v>2976</v>
      </c>
      <c r="K3" s="2" t="s">
        <v>2584</v>
      </c>
      <c r="U3" s="2">
        <v>20347.0</v>
      </c>
    </row>
    <row r="4">
      <c r="B4">
        <f>SUM(B5:B37)</f>
        <v>1981825</v>
      </c>
      <c r="D4">
        <f>B4-F4</f>
        <v>-28348.0303</v>
      </c>
      <c r="F4">
        <f>SUM(F5:F37)</f>
        <v>2010173.03</v>
      </c>
      <c r="G4" s="2" t="s">
        <v>2977</v>
      </c>
      <c r="H4" s="2" t="s">
        <v>2978</v>
      </c>
      <c r="J4" s="2" t="s">
        <v>2979</v>
      </c>
      <c r="K4" s="2" t="s">
        <v>2868</v>
      </c>
      <c r="L4" s="2" t="s">
        <v>2926</v>
      </c>
      <c r="M4" s="2" t="s">
        <v>2980</v>
      </c>
      <c r="O4" s="2" t="s">
        <v>2981</v>
      </c>
      <c r="P4" s="2" t="s">
        <v>2982</v>
      </c>
      <c r="R4" s="2" t="s">
        <v>2983</v>
      </c>
      <c r="S4" s="2" t="s">
        <v>2984</v>
      </c>
      <c r="T4" s="2" t="s">
        <v>2985</v>
      </c>
      <c r="U4" s="2" t="s">
        <v>7</v>
      </c>
      <c r="V4" s="2" t="s">
        <v>2986</v>
      </c>
      <c r="W4" s="2" t="s">
        <v>2987</v>
      </c>
      <c r="X4" s="2" t="s">
        <v>2988</v>
      </c>
      <c r="Y4" s="2" t="s">
        <v>2989</v>
      </c>
      <c r="Z4" s="2" t="s">
        <v>2990</v>
      </c>
      <c r="AA4" s="2" t="s">
        <v>2991</v>
      </c>
      <c r="AB4" s="2" t="s">
        <v>2990</v>
      </c>
      <c r="AC4" s="2" t="s">
        <v>2992</v>
      </c>
      <c r="AD4" s="2" t="s">
        <v>2990</v>
      </c>
      <c r="AE4" s="2" t="s">
        <v>2993</v>
      </c>
      <c r="AF4" s="2" t="s">
        <v>2994</v>
      </c>
      <c r="AG4" s="2"/>
      <c r="AH4" s="2"/>
      <c r="AI4" s="2"/>
      <c r="AJ4" s="2"/>
      <c r="AK4" s="2"/>
      <c r="AL4" s="2"/>
    </row>
    <row r="5">
      <c r="A5" s="2" t="s">
        <v>2995</v>
      </c>
      <c r="B5" s="2">
        <v>650000.0</v>
      </c>
      <c r="E5" s="2" t="s">
        <v>2996</v>
      </c>
      <c r="F5" s="2">
        <v>480000.0</v>
      </c>
      <c r="G5">
        <f>F5*0.03</f>
        <v>14400</v>
      </c>
      <c r="H5" s="2" t="s">
        <v>2997</v>
      </c>
      <c r="I5" s="2" t="s">
        <v>2998</v>
      </c>
      <c r="J5" s="2" t="s">
        <v>2999</v>
      </c>
      <c r="K5" s="2" t="s">
        <v>3000</v>
      </c>
      <c r="L5" s="2">
        <v>0.0</v>
      </c>
      <c r="M5" s="2">
        <v>160.0</v>
      </c>
      <c r="N5" s="2" t="s">
        <v>3001</v>
      </c>
      <c r="O5">
        <f>M5/(I6*0.7)</f>
        <v>3.023673993</v>
      </c>
      <c r="P5">
        <f>O5*0.7</f>
        <v>2.116571795</v>
      </c>
      <c r="R5" s="2">
        <v>340000.0</v>
      </c>
      <c r="S5" s="2">
        <v>2.9</v>
      </c>
      <c r="T5" s="2">
        <v>320000.0</v>
      </c>
      <c r="U5" s="2">
        <v>20347.0</v>
      </c>
      <c r="V5">
        <f t="shared" ref="V5:V17" si="1">R5*S5/100</f>
        <v>9860</v>
      </c>
      <c r="W5">
        <f t="shared" ref="W5:W17" si="2">U5-V5</f>
        <v>10487</v>
      </c>
      <c r="X5">
        <f t="shared" ref="X5:X17" si="3">W5*0.65</f>
        <v>6816.55</v>
      </c>
      <c r="Y5">
        <f t="shared" ref="Y5:Y16" si="4">T5*0.015</f>
        <v>4800</v>
      </c>
      <c r="Z5">
        <f t="shared" ref="Z5:Z16" si="5">X5-Y5</f>
        <v>2016.55</v>
      </c>
      <c r="AA5">
        <f t="shared" ref="AA5:AA16" si="6">T5*0.05</f>
        <v>16000</v>
      </c>
      <c r="AB5">
        <f t="shared" ref="AB5:AB16" si="7">X5-AA5</f>
        <v>-9183.45</v>
      </c>
      <c r="AC5">
        <f t="shared" ref="AC5:AC16" si="8">T5*0.03</f>
        <v>9600</v>
      </c>
      <c r="AD5">
        <f t="shared" ref="AD5:AD16" si="9">X5-AC5</f>
        <v>-2783.45</v>
      </c>
      <c r="AE5">
        <f t="shared" ref="AE5:AE17" si="10">X5*100/T5</f>
        <v>2.130171875</v>
      </c>
      <c r="AF5">
        <f t="shared" ref="AF5:AF17" si="11">W5*100/T5</f>
        <v>3.2771875</v>
      </c>
    </row>
    <row r="6">
      <c r="A6" s="2" t="s">
        <v>2926</v>
      </c>
      <c r="B6" s="2">
        <v>-21000.0</v>
      </c>
      <c r="E6" s="2" t="s">
        <v>3002</v>
      </c>
      <c r="F6" s="2">
        <v>53000.0</v>
      </c>
      <c r="H6" s="2" t="s">
        <v>3003</v>
      </c>
      <c r="I6">
        <f>J6/3.3</f>
        <v>75.59393939</v>
      </c>
      <c r="J6" s="2">
        <v>249.46</v>
      </c>
      <c r="K6" s="2" t="s">
        <v>3004</v>
      </c>
      <c r="L6" s="2">
        <v>1000.0</v>
      </c>
      <c r="M6" s="2">
        <v>80.0</v>
      </c>
      <c r="R6" s="2">
        <v>340000.0</v>
      </c>
      <c r="S6" s="2">
        <v>3.0</v>
      </c>
      <c r="T6" s="2">
        <v>320000.0</v>
      </c>
      <c r="U6" s="2">
        <v>20347.0</v>
      </c>
      <c r="V6">
        <f t="shared" si="1"/>
        <v>10200</v>
      </c>
      <c r="W6">
        <f t="shared" si="2"/>
        <v>10147</v>
      </c>
      <c r="X6">
        <f t="shared" si="3"/>
        <v>6595.55</v>
      </c>
      <c r="Y6">
        <f t="shared" si="4"/>
        <v>4800</v>
      </c>
      <c r="Z6">
        <f t="shared" si="5"/>
        <v>1795.55</v>
      </c>
      <c r="AA6">
        <f t="shared" si="6"/>
        <v>16000</v>
      </c>
      <c r="AB6">
        <f t="shared" si="7"/>
        <v>-9404.45</v>
      </c>
      <c r="AC6">
        <f t="shared" si="8"/>
        <v>9600</v>
      </c>
      <c r="AD6">
        <f t="shared" si="9"/>
        <v>-3004.45</v>
      </c>
      <c r="AE6">
        <f t="shared" si="10"/>
        <v>2.061109375</v>
      </c>
      <c r="AF6">
        <f t="shared" si="11"/>
        <v>3.1709375</v>
      </c>
    </row>
    <row r="7">
      <c r="E7" s="2" t="s">
        <v>3005</v>
      </c>
      <c r="F7" s="19">
        <v>30000.0</v>
      </c>
      <c r="H7" s="2" t="s">
        <v>3006</v>
      </c>
      <c r="I7" s="2" t="s">
        <v>3007</v>
      </c>
      <c r="J7" s="2" t="s">
        <v>3008</v>
      </c>
      <c r="K7" s="2" t="s">
        <v>3009</v>
      </c>
      <c r="L7" s="2">
        <v>2000.0</v>
      </c>
      <c r="M7" s="2">
        <v>230.0</v>
      </c>
      <c r="O7">
        <f>(M7+M8)/(I8*0.7)</f>
        <v>11.32055556</v>
      </c>
      <c r="P7">
        <f>O7*0.7</f>
        <v>7.924388892</v>
      </c>
      <c r="R7" s="2">
        <v>400000.0</v>
      </c>
      <c r="S7" s="2">
        <v>3.0</v>
      </c>
      <c r="T7" s="2">
        <v>260000.0</v>
      </c>
      <c r="U7" s="2">
        <v>20347.0</v>
      </c>
      <c r="V7">
        <f t="shared" si="1"/>
        <v>12000</v>
      </c>
      <c r="W7">
        <f t="shared" si="2"/>
        <v>8347</v>
      </c>
      <c r="X7">
        <f t="shared" si="3"/>
        <v>5425.55</v>
      </c>
      <c r="Y7">
        <f t="shared" si="4"/>
        <v>3900</v>
      </c>
      <c r="Z7">
        <f t="shared" si="5"/>
        <v>1525.55</v>
      </c>
      <c r="AA7">
        <f t="shared" si="6"/>
        <v>13000</v>
      </c>
      <c r="AB7">
        <f t="shared" si="7"/>
        <v>-7574.45</v>
      </c>
      <c r="AC7">
        <f t="shared" si="8"/>
        <v>7800</v>
      </c>
      <c r="AD7">
        <f t="shared" si="9"/>
        <v>-2374.45</v>
      </c>
      <c r="AE7">
        <f t="shared" si="10"/>
        <v>2.08675</v>
      </c>
      <c r="AF7">
        <f t="shared" si="11"/>
        <v>3.210384615</v>
      </c>
    </row>
    <row r="8">
      <c r="A8" s="2" t="s">
        <v>3010</v>
      </c>
      <c r="B8" s="2">
        <v>29900.0</v>
      </c>
      <c r="E8" s="2" t="s">
        <v>3011</v>
      </c>
      <c r="F8" s="32">
        <v>13000.0</v>
      </c>
      <c r="G8">
        <f>SUM(F8:F12)</f>
        <v>57000</v>
      </c>
      <c r="H8" s="2" t="s">
        <v>3006</v>
      </c>
      <c r="I8">
        <f>J8/3.3</f>
        <v>49.21515152</v>
      </c>
      <c r="J8" s="2">
        <v>162.41</v>
      </c>
      <c r="K8" s="2"/>
      <c r="L8" s="2">
        <v>2000.0</v>
      </c>
      <c r="M8" s="2">
        <v>160.0</v>
      </c>
      <c r="R8" s="2">
        <v>400000.0</v>
      </c>
      <c r="S8" s="2">
        <v>3.2</v>
      </c>
      <c r="T8" s="2">
        <v>260000.0</v>
      </c>
      <c r="U8" s="2">
        <v>20347.0</v>
      </c>
      <c r="V8">
        <f t="shared" si="1"/>
        <v>12800</v>
      </c>
      <c r="W8">
        <f t="shared" si="2"/>
        <v>7547</v>
      </c>
      <c r="X8">
        <f t="shared" si="3"/>
        <v>4905.55</v>
      </c>
      <c r="Y8">
        <f t="shared" si="4"/>
        <v>3900</v>
      </c>
      <c r="Z8">
        <f t="shared" si="5"/>
        <v>1005.55</v>
      </c>
      <c r="AA8">
        <f t="shared" si="6"/>
        <v>13000</v>
      </c>
      <c r="AB8">
        <f t="shared" si="7"/>
        <v>-8094.45</v>
      </c>
      <c r="AC8">
        <f t="shared" si="8"/>
        <v>7800</v>
      </c>
      <c r="AD8">
        <f t="shared" si="9"/>
        <v>-2894.45</v>
      </c>
      <c r="AE8">
        <f t="shared" si="10"/>
        <v>1.88675</v>
      </c>
      <c r="AF8">
        <f t="shared" si="11"/>
        <v>2.902692308</v>
      </c>
    </row>
    <row r="9">
      <c r="A9" s="2" t="s">
        <v>3012</v>
      </c>
      <c r="B9" s="2">
        <v>2925.0</v>
      </c>
      <c r="E9" s="2" t="s">
        <v>3013</v>
      </c>
      <c r="F9" s="33">
        <v>1000.0</v>
      </c>
      <c r="H9" s="2" t="s">
        <v>3014</v>
      </c>
      <c r="I9" s="2" t="s">
        <v>3007</v>
      </c>
      <c r="J9" s="2" t="s">
        <v>3015</v>
      </c>
      <c r="K9" s="2" t="s">
        <v>3016</v>
      </c>
      <c r="L9" s="2">
        <v>3000.0</v>
      </c>
      <c r="M9" s="2">
        <v>180.0</v>
      </c>
      <c r="N9" s="2" t="s">
        <v>3017</v>
      </c>
      <c r="O9">
        <f>(M9+M10)/(I10*0.7)</f>
        <v>9.334705776</v>
      </c>
      <c r="P9">
        <f>O9*0.7</f>
        <v>6.534294043</v>
      </c>
      <c r="R9" s="2">
        <v>400000.0</v>
      </c>
      <c r="S9" s="2">
        <v>3.4</v>
      </c>
      <c r="T9" s="2">
        <v>260000.0</v>
      </c>
      <c r="U9" s="2">
        <v>20347.0</v>
      </c>
      <c r="V9">
        <f t="shared" si="1"/>
        <v>13600</v>
      </c>
      <c r="W9">
        <f t="shared" si="2"/>
        <v>6747</v>
      </c>
      <c r="X9">
        <f t="shared" si="3"/>
        <v>4385.55</v>
      </c>
      <c r="Y9">
        <f t="shared" si="4"/>
        <v>3900</v>
      </c>
      <c r="Z9">
        <f t="shared" si="5"/>
        <v>485.55</v>
      </c>
      <c r="AA9">
        <f t="shared" si="6"/>
        <v>13000</v>
      </c>
      <c r="AB9">
        <f t="shared" si="7"/>
        <v>-8614.45</v>
      </c>
      <c r="AC9">
        <f t="shared" si="8"/>
        <v>7800</v>
      </c>
      <c r="AD9">
        <f t="shared" si="9"/>
        <v>-3414.45</v>
      </c>
      <c r="AE9">
        <f t="shared" si="10"/>
        <v>1.68675</v>
      </c>
      <c r="AF9">
        <f t="shared" si="11"/>
        <v>2.595</v>
      </c>
    </row>
    <row r="10">
      <c r="E10" s="2" t="s">
        <v>3018</v>
      </c>
      <c r="F10" s="33">
        <v>25000.0</v>
      </c>
      <c r="H10" s="2" t="s">
        <v>3019</v>
      </c>
      <c r="I10">
        <f>J10/3.3</f>
        <v>55.09393939</v>
      </c>
      <c r="J10" s="22">
        <v>181.81</v>
      </c>
      <c r="K10" s="2"/>
      <c r="L10" s="2">
        <v>1000.0</v>
      </c>
      <c r="M10" s="2">
        <v>180.0</v>
      </c>
      <c r="R10" s="2">
        <v>450000.0</v>
      </c>
      <c r="S10" s="2">
        <v>3.0</v>
      </c>
      <c r="T10" s="2">
        <v>210000.0</v>
      </c>
      <c r="U10" s="2">
        <v>20347.0</v>
      </c>
      <c r="V10">
        <f t="shared" si="1"/>
        <v>13500</v>
      </c>
      <c r="W10">
        <f t="shared" si="2"/>
        <v>6847</v>
      </c>
      <c r="X10">
        <f t="shared" si="3"/>
        <v>4450.55</v>
      </c>
      <c r="Y10">
        <f t="shared" si="4"/>
        <v>3150</v>
      </c>
      <c r="Z10">
        <f t="shared" si="5"/>
        <v>1300.55</v>
      </c>
      <c r="AA10">
        <f t="shared" si="6"/>
        <v>10500</v>
      </c>
      <c r="AB10">
        <f t="shared" si="7"/>
        <v>-6049.45</v>
      </c>
      <c r="AC10">
        <f t="shared" si="8"/>
        <v>6300</v>
      </c>
      <c r="AD10">
        <f t="shared" si="9"/>
        <v>-1849.45</v>
      </c>
      <c r="AE10">
        <f t="shared" si="10"/>
        <v>2.119309524</v>
      </c>
      <c r="AF10">
        <f t="shared" si="11"/>
        <v>3.26047619</v>
      </c>
    </row>
    <row r="11">
      <c r="E11" s="2" t="s">
        <v>3020</v>
      </c>
      <c r="F11" s="33">
        <v>14000.0</v>
      </c>
      <c r="H11" s="2" t="s">
        <v>3014</v>
      </c>
      <c r="I11" s="2" t="s">
        <v>3021</v>
      </c>
      <c r="J11" s="2" t="s">
        <v>3022</v>
      </c>
      <c r="K11" s="2" t="s">
        <v>3023</v>
      </c>
      <c r="L11" s="2">
        <v>2000.0</v>
      </c>
      <c r="M11" s="2">
        <v>220.0</v>
      </c>
      <c r="O11">
        <f>(M11+M12)/(I12*0.7)</f>
        <v>10.27536014</v>
      </c>
      <c r="P11">
        <f>O11*0.7</f>
        <v>7.192752101</v>
      </c>
      <c r="R11" s="2">
        <v>450000.0</v>
      </c>
      <c r="S11" s="2">
        <v>3.2</v>
      </c>
      <c r="T11" s="2">
        <v>210000.0</v>
      </c>
      <c r="U11" s="2">
        <v>20347.0</v>
      </c>
      <c r="V11">
        <f t="shared" si="1"/>
        <v>14400</v>
      </c>
      <c r="W11">
        <f t="shared" si="2"/>
        <v>5947</v>
      </c>
      <c r="X11">
        <f t="shared" si="3"/>
        <v>3865.55</v>
      </c>
      <c r="Y11">
        <f t="shared" si="4"/>
        <v>3150</v>
      </c>
      <c r="Z11">
        <f t="shared" si="5"/>
        <v>715.55</v>
      </c>
      <c r="AA11">
        <f t="shared" si="6"/>
        <v>10500</v>
      </c>
      <c r="AB11">
        <f t="shared" si="7"/>
        <v>-6634.45</v>
      </c>
      <c r="AC11">
        <f t="shared" si="8"/>
        <v>6300</v>
      </c>
      <c r="AD11">
        <f t="shared" si="9"/>
        <v>-2434.45</v>
      </c>
      <c r="AE11">
        <f t="shared" si="10"/>
        <v>1.840738095</v>
      </c>
      <c r="AF11">
        <f t="shared" si="11"/>
        <v>2.831904762</v>
      </c>
    </row>
    <row r="12">
      <c r="E12" s="2" t="s">
        <v>972</v>
      </c>
      <c r="F12" s="21">
        <v>4000.0</v>
      </c>
      <c r="H12" s="2" t="s">
        <v>3024</v>
      </c>
      <c r="I12">
        <f>J12/3.3</f>
        <v>57.6969697</v>
      </c>
      <c r="J12" s="2">
        <v>190.4</v>
      </c>
      <c r="K12" s="2" t="s">
        <v>3025</v>
      </c>
      <c r="L12" s="2">
        <v>2000.0</v>
      </c>
      <c r="M12" s="2">
        <v>195.0</v>
      </c>
      <c r="R12" s="2">
        <v>450000.0</v>
      </c>
      <c r="S12" s="2">
        <v>3.4</v>
      </c>
      <c r="T12" s="2">
        <v>210000.0</v>
      </c>
      <c r="U12" s="2">
        <v>20347.0</v>
      </c>
      <c r="V12">
        <f t="shared" si="1"/>
        <v>15300</v>
      </c>
      <c r="W12">
        <f t="shared" si="2"/>
        <v>5047</v>
      </c>
      <c r="X12">
        <f t="shared" si="3"/>
        <v>3280.55</v>
      </c>
      <c r="Y12">
        <f t="shared" si="4"/>
        <v>3150</v>
      </c>
      <c r="Z12">
        <f t="shared" si="5"/>
        <v>130.55</v>
      </c>
      <c r="AA12">
        <f t="shared" si="6"/>
        <v>10500</v>
      </c>
      <c r="AB12">
        <f t="shared" si="7"/>
        <v>-7219.45</v>
      </c>
      <c r="AC12">
        <f t="shared" si="8"/>
        <v>6300</v>
      </c>
      <c r="AD12">
        <f t="shared" si="9"/>
        <v>-3019.45</v>
      </c>
      <c r="AE12">
        <f t="shared" si="10"/>
        <v>1.562166667</v>
      </c>
      <c r="AF12">
        <f t="shared" si="11"/>
        <v>2.403333333</v>
      </c>
    </row>
    <row r="13">
      <c r="E13" s="2" t="s">
        <v>3026</v>
      </c>
      <c r="F13" s="19">
        <v>20000.0</v>
      </c>
      <c r="H13" s="2" t="s">
        <v>3027</v>
      </c>
      <c r="I13" s="2" t="s">
        <v>3028</v>
      </c>
      <c r="J13" s="2" t="s">
        <v>3029</v>
      </c>
      <c r="K13" s="2" t="s">
        <v>3030</v>
      </c>
      <c r="L13" s="2">
        <v>2000.0</v>
      </c>
      <c r="M13" s="2">
        <v>230.0</v>
      </c>
      <c r="O13">
        <f>(M13+M14)/(I14*0.7)</f>
        <v>10.90134285</v>
      </c>
      <c r="P13">
        <f>O13*0.7</f>
        <v>7.630939993</v>
      </c>
      <c r="R13" s="19">
        <v>500000.0</v>
      </c>
      <c r="S13" s="19">
        <v>3.0</v>
      </c>
      <c r="T13" s="19">
        <v>160000.0</v>
      </c>
      <c r="U13" s="19">
        <v>20347.0</v>
      </c>
      <c r="V13" s="15">
        <f t="shared" si="1"/>
        <v>15000</v>
      </c>
      <c r="W13" s="15">
        <f t="shared" si="2"/>
        <v>5347</v>
      </c>
      <c r="X13" s="15">
        <f t="shared" si="3"/>
        <v>3475.55</v>
      </c>
      <c r="Y13" s="15">
        <f t="shared" si="4"/>
        <v>2400</v>
      </c>
      <c r="Z13" s="15">
        <f t="shared" si="5"/>
        <v>1075.55</v>
      </c>
      <c r="AA13" s="15">
        <f t="shared" si="6"/>
        <v>8000</v>
      </c>
      <c r="AB13" s="15">
        <f t="shared" si="7"/>
        <v>-4524.45</v>
      </c>
      <c r="AC13" s="15">
        <f t="shared" si="8"/>
        <v>4800</v>
      </c>
      <c r="AD13" s="15">
        <f t="shared" si="9"/>
        <v>-1324.45</v>
      </c>
      <c r="AE13" s="15">
        <f t="shared" si="10"/>
        <v>2.17221875</v>
      </c>
      <c r="AF13" s="15">
        <f t="shared" si="11"/>
        <v>3.341875</v>
      </c>
    </row>
    <row r="14">
      <c r="E14" s="2" t="s">
        <v>3031</v>
      </c>
      <c r="F14" s="19">
        <v>10000.0</v>
      </c>
      <c r="G14" s="2" t="s">
        <v>3032</v>
      </c>
      <c r="H14" s="2" t="s">
        <v>3033</v>
      </c>
      <c r="I14">
        <f>J14/3.3</f>
        <v>52.41818182</v>
      </c>
      <c r="J14" s="2">
        <v>172.98</v>
      </c>
      <c r="K14" s="2"/>
      <c r="L14" s="2">
        <v>1500.0</v>
      </c>
      <c r="M14" s="2">
        <v>170.0</v>
      </c>
      <c r="R14" s="19">
        <v>500000.0</v>
      </c>
      <c r="S14" s="19">
        <v>3.2</v>
      </c>
      <c r="T14" s="19">
        <v>160000.0</v>
      </c>
      <c r="U14" s="19">
        <v>20347.0</v>
      </c>
      <c r="V14" s="15">
        <f t="shared" si="1"/>
        <v>16000</v>
      </c>
      <c r="W14" s="15">
        <f t="shared" si="2"/>
        <v>4347</v>
      </c>
      <c r="X14" s="15">
        <f t="shared" si="3"/>
        <v>2825.55</v>
      </c>
      <c r="Y14" s="15">
        <f t="shared" si="4"/>
        <v>2400</v>
      </c>
      <c r="Z14" s="15">
        <f t="shared" si="5"/>
        <v>425.55</v>
      </c>
      <c r="AA14" s="15">
        <f t="shared" si="6"/>
        <v>8000</v>
      </c>
      <c r="AB14" s="15">
        <f t="shared" si="7"/>
        <v>-5174.45</v>
      </c>
      <c r="AC14" s="15">
        <f t="shared" si="8"/>
        <v>4800</v>
      </c>
      <c r="AD14" s="15">
        <f t="shared" si="9"/>
        <v>-1974.45</v>
      </c>
      <c r="AE14" s="15">
        <f t="shared" si="10"/>
        <v>1.76596875</v>
      </c>
      <c r="AF14" s="15">
        <f t="shared" si="11"/>
        <v>2.716875</v>
      </c>
    </row>
    <row r="15">
      <c r="E15" s="2" t="s">
        <v>3034</v>
      </c>
      <c r="F15" s="2">
        <v>20000.0</v>
      </c>
      <c r="G15" s="2" t="s">
        <v>3035</v>
      </c>
      <c r="H15" s="2" t="s">
        <v>3036</v>
      </c>
      <c r="I15" s="2" t="s">
        <v>3028</v>
      </c>
      <c r="J15" s="2" t="s">
        <v>3037</v>
      </c>
      <c r="K15" s="2" t="s">
        <v>2727</v>
      </c>
      <c r="L15" s="2">
        <v>2000.0</v>
      </c>
      <c r="M15" s="2">
        <v>173.0</v>
      </c>
      <c r="O15">
        <f>(M15+M16+M17)/(I16*0.7)</f>
        <v>13.34173669</v>
      </c>
      <c r="P15">
        <f>O15*0.7</f>
        <v>9.339215686</v>
      </c>
      <c r="R15" s="19">
        <v>500000.0</v>
      </c>
      <c r="S15" s="19">
        <v>3.4</v>
      </c>
      <c r="T15" s="19">
        <v>160000.0</v>
      </c>
      <c r="U15" s="19">
        <v>20347.0</v>
      </c>
      <c r="V15" s="15">
        <f t="shared" si="1"/>
        <v>17000</v>
      </c>
      <c r="W15" s="15">
        <f t="shared" si="2"/>
        <v>3347</v>
      </c>
      <c r="X15" s="15">
        <f t="shared" si="3"/>
        <v>2175.55</v>
      </c>
      <c r="Y15" s="15">
        <f t="shared" si="4"/>
        <v>2400</v>
      </c>
      <c r="Z15" s="15">
        <f t="shared" si="5"/>
        <v>-224.45</v>
      </c>
      <c r="AA15" s="15">
        <f t="shared" si="6"/>
        <v>8000</v>
      </c>
      <c r="AB15" s="15">
        <f t="shared" si="7"/>
        <v>-5824.45</v>
      </c>
      <c r="AC15" s="15">
        <f t="shared" si="8"/>
        <v>4800</v>
      </c>
      <c r="AD15" s="15">
        <f t="shared" si="9"/>
        <v>-2624.45</v>
      </c>
      <c r="AE15" s="15">
        <f t="shared" si="10"/>
        <v>1.35971875</v>
      </c>
      <c r="AF15" s="15">
        <f t="shared" si="11"/>
        <v>2.091875</v>
      </c>
    </row>
    <row r="16">
      <c r="A16" s="2" t="s">
        <v>3038</v>
      </c>
      <c r="H16" s="2" t="s">
        <v>3039</v>
      </c>
      <c r="I16">
        <f>J16/3.3</f>
        <v>46.36363636</v>
      </c>
      <c r="J16" s="2">
        <v>153.0</v>
      </c>
      <c r="K16" s="2" t="s">
        <v>3040</v>
      </c>
      <c r="L16" s="2">
        <v>1000.0</v>
      </c>
      <c r="M16" s="2">
        <v>130.0</v>
      </c>
      <c r="R16" s="19">
        <v>500000.0</v>
      </c>
      <c r="S16" s="19">
        <v>3.5</v>
      </c>
      <c r="T16" s="19">
        <v>160000.0</v>
      </c>
      <c r="U16" s="19">
        <v>20347.0</v>
      </c>
      <c r="V16" s="15">
        <f t="shared" si="1"/>
        <v>17500</v>
      </c>
      <c r="W16" s="15">
        <f t="shared" si="2"/>
        <v>2847</v>
      </c>
      <c r="X16" s="15">
        <f t="shared" si="3"/>
        <v>1850.55</v>
      </c>
      <c r="Y16" s="15">
        <f t="shared" si="4"/>
        <v>2400</v>
      </c>
      <c r="Z16" s="15">
        <f t="shared" si="5"/>
        <v>-549.45</v>
      </c>
      <c r="AA16" s="15">
        <f t="shared" si="6"/>
        <v>8000</v>
      </c>
      <c r="AB16" s="15">
        <f t="shared" si="7"/>
        <v>-6149.45</v>
      </c>
      <c r="AC16" s="15">
        <f t="shared" si="8"/>
        <v>4800</v>
      </c>
      <c r="AD16" s="15">
        <f t="shared" si="9"/>
        <v>-2949.45</v>
      </c>
      <c r="AE16" s="15">
        <f t="shared" si="10"/>
        <v>1.15659375</v>
      </c>
      <c r="AF16" s="15">
        <f t="shared" si="11"/>
        <v>1.779375</v>
      </c>
    </row>
    <row r="17">
      <c r="A17" s="65"/>
      <c r="B17" s="6">
        <f>SUM(B18:B23)</f>
        <v>660000</v>
      </c>
      <c r="C17" s="6"/>
      <c r="D17" s="6"/>
      <c r="E17" s="6">
        <f>SUM(F18:F20)</f>
        <v>650000</v>
      </c>
      <c r="F17" s="66">
        <f>SUM(F18:F23)</f>
        <v>670000</v>
      </c>
      <c r="H17" s="2" t="s">
        <v>3041</v>
      </c>
      <c r="J17" s="2" t="s">
        <v>3042</v>
      </c>
      <c r="K17" s="2" t="s">
        <v>2728</v>
      </c>
      <c r="L17" s="2">
        <v>1500.0</v>
      </c>
      <c r="M17" s="2">
        <v>130.0</v>
      </c>
      <c r="R17" s="19">
        <v>500000.0</v>
      </c>
      <c r="S17" s="19">
        <v>4.0</v>
      </c>
      <c r="T17" s="19">
        <v>160000.0</v>
      </c>
      <c r="U17" s="19">
        <v>20347.0</v>
      </c>
      <c r="V17" s="15">
        <f t="shared" si="1"/>
        <v>20000</v>
      </c>
      <c r="W17" s="15">
        <f t="shared" si="2"/>
        <v>347</v>
      </c>
      <c r="X17" s="15">
        <f t="shared" si="3"/>
        <v>225.55</v>
      </c>
      <c r="Y17" s="15"/>
      <c r="Z17" s="15"/>
      <c r="AA17" s="15"/>
      <c r="AB17" s="15"/>
      <c r="AC17" s="15"/>
      <c r="AD17" s="15"/>
      <c r="AE17" s="15">
        <f t="shared" si="10"/>
        <v>0.14096875</v>
      </c>
      <c r="AF17" s="15">
        <f t="shared" si="11"/>
        <v>0.216875</v>
      </c>
    </row>
    <row r="18">
      <c r="A18" s="14" t="s">
        <v>3043</v>
      </c>
      <c r="B18" s="2">
        <v>630000.0</v>
      </c>
      <c r="E18" s="2" t="s">
        <v>3044</v>
      </c>
      <c r="F18" s="67">
        <v>480000.0</v>
      </c>
    </row>
    <row r="19">
      <c r="A19" s="14" t="s">
        <v>3045</v>
      </c>
      <c r="B19" s="2">
        <v>30000.0</v>
      </c>
      <c r="E19" s="2" t="s">
        <v>3046</v>
      </c>
      <c r="F19" s="67">
        <v>65000.0</v>
      </c>
      <c r="G19" s="2" t="s">
        <v>3047</v>
      </c>
      <c r="O19" s="2" t="s">
        <v>3048</v>
      </c>
    </row>
    <row r="20">
      <c r="A20" s="27"/>
      <c r="E20" s="2" t="s">
        <v>3049</v>
      </c>
      <c r="F20" s="67">
        <v>105000.0</v>
      </c>
      <c r="G20" s="2"/>
      <c r="O20" s="2" t="s">
        <v>3050</v>
      </c>
    </row>
    <row r="21">
      <c r="A21" s="27"/>
      <c r="E21" s="2" t="s">
        <v>3051</v>
      </c>
      <c r="F21" s="67"/>
      <c r="O21" s="2" t="s">
        <v>3052</v>
      </c>
      <c r="U21" s="2" t="s">
        <v>3053</v>
      </c>
    </row>
    <row r="22">
      <c r="A22" s="27"/>
      <c r="E22" s="2" t="s">
        <v>3034</v>
      </c>
      <c r="F22" s="67">
        <v>10000.0</v>
      </c>
      <c r="O22" s="2" t="s">
        <v>3054</v>
      </c>
      <c r="R22" s="2" t="s">
        <v>2983</v>
      </c>
      <c r="S22" s="2" t="s">
        <v>2984</v>
      </c>
      <c r="T22" s="2" t="s">
        <v>2985</v>
      </c>
      <c r="U22" s="2" t="s">
        <v>7</v>
      </c>
      <c r="V22" s="2" t="s">
        <v>2986</v>
      </c>
      <c r="W22" s="2" t="s">
        <v>2987</v>
      </c>
      <c r="X22" s="2" t="s">
        <v>2988</v>
      </c>
      <c r="Y22" s="2" t="s">
        <v>2989</v>
      </c>
      <c r="Z22" s="2" t="s">
        <v>2990</v>
      </c>
      <c r="AA22" s="2" t="s">
        <v>2991</v>
      </c>
      <c r="AB22" s="2" t="s">
        <v>2990</v>
      </c>
      <c r="AC22" s="2" t="s">
        <v>2992</v>
      </c>
      <c r="AD22" s="2" t="s">
        <v>2990</v>
      </c>
      <c r="AE22" s="2" t="s">
        <v>2993</v>
      </c>
      <c r="AF22" s="2" t="s">
        <v>2994</v>
      </c>
      <c r="AG22" s="2"/>
      <c r="AH22" s="2"/>
      <c r="AI22" s="2"/>
      <c r="AJ22" s="2"/>
      <c r="AK22" s="2"/>
      <c r="AL22" s="2"/>
    </row>
    <row r="23">
      <c r="A23" s="16"/>
      <c r="B23" s="29"/>
      <c r="C23" s="29"/>
      <c r="D23" s="29"/>
      <c r="E23" s="48" t="s">
        <v>3055</v>
      </c>
      <c r="F23" s="68">
        <v>10000.0</v>
      </c>
      <c r="J23" s="2" t="s">
        <v>3056</v>
      </c>
      <c r="K23" s="2" t="s">
        <v>2978</v>
      </c>
      <c r="R23" s="2">
        <v>340000.0</v>
      </c>
      <c r="S23" s="2">
        <v>2.9</v>
      </c>
      <c r="T23" s="2">
        <v>320000.0</v>
      </c>
      <c r="U23" s="2">
        <f t="shared" ref="U23:U33" si="13">U5*1.05</f>
        <v>21364.35</v>
      </c>
      <c r="V23">
        <f t="shared" ref="V23:V33" si="14">R23*S23/100</f>
        <v>9860</v>
      </c>
      <c r="W23">
        <f t="shared" ref="W23:W33" si="15">U23-V23</f>
        <v>11504.35</v>
      </c>
      <c r="X23">
        <f t="shared" ref="X23:X33" si="16">W23*0.65</f>
        <v>7477.8275</v>
      </c>
      <c r="Y23">
        <f t="shared" ref="Y23:Y33" si="17">T23*0.015</f>
        <v>4800</v>
      </c>
      <c r="Z23">
        <f t="shared" ref="Z23:Z33" si="18">X23-Y23</f>
        <v>2677.8275</v>
      </c>
      <c r="AA23">
        <f t="shared" ref="AA23:AA33" si="19">T23*0.05</f>
        <v>16000</v>
      </c>
      <c r="AB23">
        <f t="shared" ref="AB23:AB33" si="20">X23-AA23</f>
        <v>-8522.1725</v>
      </c>
      <c r="AC23">
        <f t="shared" ref="AC23:AC33" si="21">T23*0.03</f>
        <v>9600</v>
      </c>
      <c r="AD23">
        <f t="shared" ref="AD23:AD33" si="22">X23-AC23</f>
        <v>-2122.1725</v>
      </c>
      <c r="AE23">
        <f t="shared" ref="AE23:AE33" si="23">X23*100/T23</f>
        <v>2.336821094</v>
      </c>
      <c r="AF23">
        <f t="shared" ref="AF23:AF33" si="24">W23*100/T23</f>
        <v>3.595109375</v>
      </c>
    </row>
    <row r="24">
      <c r="I24" s="2" t="s">
        <v>3057</v>
      </c>
      <c r="J24">
        <f>SUM(J6,J8,J10,J12,J14,J16)</f>
        <v>1110.06</v>
      </c>
      <c r="K24">
        <f> J24/3.3</f>
        <v>336.3818182</v>
      </c>
      <c r="L24">
        <f t="shared" ref="L24:M24" si="12">SUM(L5:L17)</f>
        <v>21000</v>
      </c>
      <c r="M24">
        <f t="shared" si="12"/>
        <v>2238</v>
      </c>
      <c r="R24" s="2">
        <v>340000.0</v>
      </c>
      <c r="S24" s="2">
        <v>3.0</v>
      </c>
      <c r="T24" s="2">
        <v>320000.0</v>
      </c>
      <c r="U24" s="2">
        <f t="shared" si="13"/>
        <v>21364.35</v>
      </c>
      <c r="V24">
        <f t="shared" si="14"/>
        <v>10200</v>
      </c>
      <c r="W24">
        <f t="shared" si="15"/>
        <v>11164.35</v>
      </c>
      <c r="X24">
        <f t="shared" si="16"/>
        <v>7256.8275</v>
      </c>
      <c r="Y24">
        <f t="shared" si="17"/>
        <v>4800</v>
      </c>
      <c r="Z24">
        <f t="shared" si="18"/>
        <v>2456.8275</v>
      </c>
      <c r="AA24">
        <f t="shared" si="19"/>
        <v>16000</v>
      </c>
      <c r="AB24">
        <f t="shared" si="20"/>
        <v>-8743.1725</v>
      </c>
      <c r="AC24">
        <f t="shared" si="21"/>
        <v>9600</v>
      </c>
      <c r="AD24">
        <f t="shared" si="22"/>
        <v>-2343.1725</v>
      </c>
      <c r="AE24">
        <f t="shared" si="23"/>
        <v>2.267758594</v>
      </c>
      <c r="AF24">
        <f t="shared" si="24"/>
        <v>3.488859375</v>
      </c>
    </row>
    <row r="25">
      <c r="A25" s="2" t="s">
        <v>3058</v>
      </c>
      <c r="G25" s="2" t="s">
        <v>3059</v>
      </c>
      <c r="H25" s="2"/>
      <c r="I25" s="2" t="s">
        <v>3060</v>
      </c>
      <c r="J25">
        <f t="shared" ref="J25:J26" si="25">K25*3.3</f>
        <v>190.047</v>
      </c>
      <c r="K25" s="2">
        <v>57.59</v>
      </c>
      <c r="M25">
        <f>M24*12</f>
        <v>26856</v>
      </c>
      <c r="R25" s="2">
        <v>400000.0</v>
      </c>
      <c r="S25" s="2">
        <v>3.0</v>
      </c>
      <c r="T25" s="2">
        <v>260000.0</v>
      </c>
      <c r="U25" s="2">
        <f t="shared" si="13"/>
        <v>21364.35</v>
      </c>
      <c r="V25">
        <f t="shared" si="14"/>
        <v>12000</v>
      </c>
      <c r="W25">
        <f t="shared" si="15"/>
        <v>9364.35</v>
      </c>
      <c r="X25">
        <f t="shared" si="16"/>
        <v>6086.8275</v>
      </c>
      <c r="Y25">
        <f t="shared" si="17"/>
        <v>3900</v>
      </c>
      <c r="Z25">
        <f t="shared" si="18"/>
        <v>2186.8275</v>
      </c>
      <c r="AA25">
        <f t="shared" si="19"/>
        <v>13000</v>
      </c>
      <c r="AB25">
        <f t="shared" si="20"/>
        <v>-6913.1725</v>
      </c>
      <c r="AC25">
        <f t="shared" si="21"/>
        <v>7800</v>
      </c>
      <c r="AD25">
        <f t="shared" si="22"/>
        <v>-1713.1725</v>
      </c>
      <c r="AE25">
        <f t="shared" si="23"/>
        <v>2.3410875</v>
      </c>
      <c r="AF25">
        <f t="shared" si="24"/>
        <v>3.601673077</v>
      </c>
    </row>
    <row r="26">
      <c r="A26" s="2">
        <v>3217.5</v>
      </c>
      <c r="G26" s="2" t="s">
        <v>3061</v>
      </c>
      <c r="H26" s="2"/>
      <c r="I26" s="2" t="s">
        <v>3062</v>
      </c>
      <c r="J26">
        <f t="shared" si="25"/>
        <v>859.089</v>
      </c>
      <c r="K26" s="2">
        <v>260.33</v>
      </c>
      <c r="M26">
        <f>M25*0.9</f>
        <v>24170.4</v>
      </c>
      <c r="N26" s="2" t="s">
        <v>3063</v>
      </c>
      <c r="R26" s="2">
        <v>400000.0</v>
      </c>
      <c r="S26" s="2">
        <v>3.2</v>
      </c>
      <c r="T26" s="2">
        <v>260000.0</v>
      </c>
      <c r="U26" s="2">
        <f t="shared" si="13"/>
        <v>21364.35</v>
      </c>
      <c r="V26">
        <f t="shared" si="14"/>
        <v>12800</v>
      </c>
      <c r="W26">
        <f t="shared" si="15"/>
        <v>8564.35</v>
      </c>
      <c r="X26">
        <f t="shared" si="16"/>
        <v>5566.8275</v>
      </c>
      <c r="Y26">
        <f t="shared" si="17"/>
        <v>3900</v>
      </c>
      <c r="Z26">
        <f t="shared" si="18"/>
        <v>1666.8275</v>
      </c>
      <c r="AA26">
        <f t="shared" si="19"/>
        <v>13000</v>
      </c>
      <c r="AB26">
        <f t="shared" si="20"/>
        <v>-7433.1725</v>
      </c>
      <c r="AC26">
        <f t="shared" si="21"/>
        <v>7800</v>
      </c>
      <c r="AD26">
        <f t="shared" si="22"/>
        <v>-2233.1725</v>
      </c>
      <c r="AE26">
        <f t="shared" si="23"/>
        <v>2.1410875</v>
      </c>
      <c r="AF26">
        <f t="shared" si="24"/>
        <v>3.293980769</v>
      </c>
    </row>
    <row r="27">
      <c r="I27" s="2" t="s">
        <v>3064</v>
      </c>
      <c r="L27" s="2">
        <f>650000*0.7*0.0025</f>
        <v>1137.5</v>
      </c>
      <c r="M27">
        <f>M26-L27</f>
        <v>23032.9</v>
      </c>
      <c r="N27" s="2" t="s">
        <v>3065</v>
      </c>
      <c r="R27" s="2">
        <v>400000.0</v>
      </c>
      <c r="S27" s="2">
        <v>3.4</v>
      </c>
      <c r="T27" s="2">
        <v>260000.0</v>
      </c>
      <c r="U27" s="2">
        <f t="shared" si="13"/>
        <v>21364.35</v>
      </c>
      <c r="V27">
        <f t="shared" si="14"/>
        <v>13600</v>
      </c>
      <c r="W27">
        <f t="shared" si="15"/>
        <v>7764.35</v>
      </c>
      <c r="X27">
        <f t="shared" si="16"/>
        <v>5046.8275</v>
      </c>
      <c r="Y27">
        <f t="shared" si="17"/>
        <v>3900</v>
      </c>
      <c r="Z27">
        <f t="shared" si="18"/>
        <v>1146.8275</v>
      </c>
      <c r="AA27">
        <f t="shared" si="19"/>
        <v>13000</v>
      </c>
      <c r="AB27">
        <f t="shared" si="20"/>
        <v>-7953.1725</v>
      </c>
      <c r="AC27">
        <f t="shared" si="21"/>
        <v>7800</v>
      </c>
      <c r="AD27">
        <f t="shared" si="22"/>
        <v>-2753.1725</v>
      </c>
      <c r="AE27">
        <f t="shared" si="23"/>
        <v>1.9410875</v>
      </c>
      <c r="AF27">
        <f t="shared" si="24"/>
        <v>2.986288462</v>
      </c>
    </row>
    <row r="28">
      <c r="I28" s="2" t="s">
        <v>3066</v>
      </c>
      <c r="M28">
        <f>M27-1200</f>
        <v>21832.9</v>
      </c>
      <c r="R28" s="2">
        <v>450000.0</v>
      </c>
      <c r="S28" s="2">
        <v>3.0</v>
      </c>
      <c r="T28" s="2">
        <v>210000.0</v>
      </c>
      <c r="U28" s="2">
        <f t="shared" si="13"/>
        <v>21364.35</v>
      </c>
      <c r="V28">
        <f t="shared" si="14"/>
        <v>13500</v>
      </c>
      <c r="W28">
        <f t="shared" si="15"/>
        <v>7864.35</v>
      </c>
      <c r="X28">
        <f t="shared" si="16"/>
        <v>5111.8275</v>
      </c>
      <c r="Y28">
        <f t="shared" si="17"/>
        <v>3150</v>
      </c>
      <c r="Z28">
        <f t="shared" si="18"/>
        <v>1961.8275</v>
      </c>
      <c r="AA28">
        <f t="shared" si="19"/>
        <v>10500</v>
      </c>
      <c r="AB28">
        <f t="shared" si="20"/>
        <v>-5388.1725</v>
      </c>
      <c r="AC28">
        <f t="shared" si="21"/>
        <v>6300</v>
      </c>
      <c r="AD28">
        <f t="shared" si="22"/>
        <v>-1188.1725</v>
      </c>
      <c r="AE28">
        <f t="shared" si="23"/>
        <v>2.434203571</v>
      </c>
      <c r="AF28">
        <f t="shared" si="24"/>
        <v>3.744928571</v>
      </c>
    </row>
    <row r="29">
      <c r="I29" s="2" t="s">
        <v>3067</v>
      </c>
      <c r="N29" s="2"/>
      <c r="R29" s="2">
        <v>450000.0</v>
      </c>
      <c r="S29" s="2">
        <v>3.2</v>
      </c>
      <c r="T29" s="2">
        <v>210000.0</v>
      </c>
      <c r="U29" s="2">
        <f t="shared" si="13"/>
        <v>21364.35</v>
      </c>
      <c r="V29">
        <f t="shared" si="14"/>
        <v>14400</v>
      </c>
      <c r="W29">
        <f t="shared" si="15"/>
        <v>6964.35</v>
      </c>
      <c r="X29">
        <f t="shared" si="16"/>
        <v>4526.8275</v>
      </c>
      <c r="Y29">
        <f t="shared" si="17"/>
        <v>3150</v>
      </c>
      <c r="Z29">
        <f t="shared" si="18"/>
        <v>1376.8275</v>
      </c>
      <c r="AA29">
        <f t="shared" si="19"/>
        <v>10500</v>
      </c>
      <c r="AB29">
        <f t="shared" si="20"/>
        <v>-5973.1725</v>
      </c>
      <c r="AC29">
        <f t="shared" si="21"/>
        <v>6300</v>
      </c>
      <c r="AD29">
        <f t="shared" si="22"/>
        <v>-1773.1725</v>
      </c>
      <c r="AE29">
        <f t="shared" si="23"/>
        <v>2.155632143</v>
      </c>
      <c r="AF29">
        <f t="shared" si="24"/>
        <v>3.316357143</v>
      </c>
    </row>
    <row r="30">
      <c r="I30" s="2" t="s">
        <v>3068</v>
      </c>
      <c r="N30" s="19" t="s">
        <v>3069</v>
      </c>
      <c r="R30" s="2">
        <v>450000.0</v>
      </c>
      <c r="S30" s="2">
        <v>3.4</v>
      </c>
      <c r="T30" s="2">
        <v>210000.0</v>
      </c>
      <c r="U30" s="2">
        <f t="shared" si="13"/>
        <v>21364.35</v>
      </c>
      <c r="V30">
        <f t="shared" si="14"/>
        <v>15300</v>
      </c>
      <c r="W30">
        <f t="shared" si="15"/>
        <v>6064.35</v>
      </c>
      <c r="X30">
        <f t="shared" si="16"/>
        <v>3941.8275</v>
      </c>
      <c r="Y30">
        <f t="shared" si="17"/>
        <v>3150</v>
      </c>
      <c r="Z30">
        <f t="shared" si="18"/>
        <v>791.8275</v>
      </c>
      <c r="AA30">
        <f t="shared" si="19"/>
        <v>10500</v>
      </c>
      <c r="AB30">
        <f t="shared" si="20"/>
        <v>-6558.1725</v>
      </c>
      <c r="AC30">
        <f t="shared" si="21"/>
        <v>6300</v>
      </c>
      <c r="AD30">
        <f t="shared" si="22"/>
        <v>-2358.1725</v>
      </c>
      <c r="AE30">
        <f t="shared" si="23"/>
        <v>1.877060714</v>
      </c>
      <c r="AF30">
        <f t="shared" si="24"/>
        <v>2.887785714</v>
      </c>
    </row>
    <row r="31">
      <c r="I31" s="2" t="s">
        <v>3070</v>
      </c>
      <c r="N31" s="19" t="s">
        <v>3071</v>
      </c>
      <c r="R31" s="11">
        <v>500000.0</v>
      </c>
      <c r="S31" s="9">
        <v>3.0</v>
      </c>
      <c r="T31" s="9">
        <v>160000.0</v>
      </c>
      <c r="U31" s="9">
        <f t="shared" si="13"/>
        <v>21364.35</v>
      </c>
      <c r="V31" s="6">
        <f t="shared" si="14"/>
        <v>15000</v>
      </c>
      <c r="W31" s="6">
        <f t="shared" si="15"/>
        <v>6364.35</v>
      </c>
      <c r="X31" s="6">
        <f t="shared" si="16"/>
        <v>4136.8275</v>
      </c>
      <c r="Y31" s="6">
        <f t="shared" si="17"/>
        <v>2400</v>
      </c>
      <c r="Z31" s="6">
        <f t="shared" si="18"/>
        <v>1736.8275</v>
      </c>
      <c r="AA31" s="6">
        <f t="shared" si="19"/>
        <v>8000</v>
      </c>
      <c r="AB31" s="6">
        <f t="shared" si="20"/>
        <v>-3863.1725</v>
      </c>
      <c r="AC31" s="6">
        <f t="shared" si="21"/>
        <v>4800</v>
      </c>
      <c r="AD31" s="6">
        <f t="shared" si="22"/>
        <v>-663.1725</v>
      </c>
      <c r="AE31" s="6">
        <f t="shared" si="23"/>
        <v>2.585517188</v>
      </c>
      <c r="AF31" s="66">
        <f t="shared" si="24"/>
        <v>3.97771875</v>
      </c>
    </row>
    <row r="32">
      <c r="I32" s="2" t="s">
        <v>3072</v>
      </c>
      <c r="J32" s="2">
        <v>388.3</v>
      </c>
      <c r="K32">
        <f> J32/3.3</f>
        <v>117.6666667</v>
      </c>
      <c r="N32" s="19" t="s">
        <v>3073</v>
      </c>
      <c r="R32" s="2">
        <v>500000.0</v>
      </c>
      <c r="S32" s="2">
        <v>3.2</v>
      </c>
      <c r="T32" s="2">
        <v>160000.0</v>
      </c>
      <c r="U32" s="2">
        <f t="shared" si="13"/>
        <v>21364.35</v>
      </c>
      <c r="V32">
        <f t="shared" si="14"/>
        <v>16000</v>
      </c>
      <c r="W32">
        <f t="shared" si="15"/>
        <v>5364.35</v>
      </c>
      <c r="X32">
        <f t="shared" si="16"/>
        <v>3486.8275</v>
      </c>
      <c r="Y32">
        <f t="shared" si="17"/>
        <v>2400</v>
      </c>
      <c r="Z32">
        <f t="shared" si="18"/>
        <v>1086.8275</v>
      </c>
      <c r="AA32">
        <f t="shared" si="19"/>
        <v>8000</v>
      </c>
      <c r="AB32">
        <f t="shared" si="20"/>
        <v>-4513.1725</v>
      </c>
      <c r="AC32">
        <f t="shared" si="21"/>
        <v>4800</v>
      </c>
      <c r="AD32">
        <f t="shared" si="22"/>
        <v>-1313.1725</v>
      </c>
      <c r="AE32">
        <f t="shared" si="23"/>
        <v>2.179267188</v>
      </c>
      <c r="AF32">
        <f t="shared" si="24"/>
        <v>3.35271875</v>
      </c>
    </row>
    <row r="33">
      <c r="N33" s="19" t="s">
        <v>3074</v>
      </c>
      <c r="R33" s="2">
        <v>500000.0</v>
      </c>
      <c r="S33" s="2">
        <v>3.4</v>
      </c>
      <c r="T33" s="2">
        <v>160000.0</v>
      </c>
      <c r="U33" s="2">
        <f t="shared" si="13"/>
        <v>21364.35</v>
      </c>
      <c r="V33">
        <f t="shared" si="14"/>
        <v>17000</v>
      </c>
      <c r="W33">
        <f t="shared" si="15"/>
        <v>4364.35</v>
      </c>
      <c r="X33">
        <f t="shared" si="16"/>
        <v>2836.8275</v>
      </c>
      <c r="Y33">
        <f t="shared" si="17"/>
        <v>2400</v>
      </c>
      <c r="Z33">
        <f t="shared" si="18"/>
        <v>436.8275</v>
      </c>
      <c r="AA33">
        <f t="shared" si="19"/>
        <v>8000</v>
      </c>
      <c r="AB33">
        <f t="shared" si="20"/>
        <v>-5163.1725</v>
      </c>
      <c r="AC33">
        <f t="shared" si="21"/>
        <v>4800</v>
      </c>
      <c r="AD33">
        <f t="shared" si="22"/>
        <v>-1963.1725</v>
      </c>
      <c r="AE33">
        <f t="shared" si="23"/>
        <v>1.773017188</v>
      </c>
      <c r="AF33">
        <f t="shared" si="24"/>
        <v>2.72771875</v>
      </c>
    </row>
    <row r="35">
      <c r="F35" s="12" t="s">
        <v>2978</v>
      </c>
      <c r="G35" s="43" t="s">
        <v>3075</v>
      </c>
      <c r="H35" s="13" t="s">
        <v>3056</v>
      </c>
    </row>
    <row r="36">
      <c r="F36" s="27">
        <f t="shared" ref="F36:F38" si="26">H36/3.3</f>
        <v>107.8787879</v>
      </c>
      <c r="G36" s="2" t="s">
        <v>3076</v>
      </c>
      <c r="H36" s="67">
        <v>356.0</v>
      </c>
    </row>
    <row r="37">
      <c r="F37" s="27">
        <f t="shared" si="26"/>
        <v>65.15151515</v>
      </c>
      <c r="G37" s="2" t="s">
        <v>3077</v>
      </c>
      <c r="H37" s="67">
        <v>215.0</v>
      </c>
    </row>
    <row r="38">
      <c r="F38" s="16">
        <f t="shared" si="26"/>
        <v>43.63636364</v>
      </c>
      <c r="G38" s="48" t="s">
        <v>3078</v>
      </c>
      <c r="H38" s="68">
        <v>144.0</v>
      </c>
      <c r="U38" s="2" t="s">
        <v>3079</v>
      </c>
    </row>
    <row r="39">
      <c r="R39" s="2" t="s">
        <v>2983</v>
      </c>
      <c r="S39" s="2" t="s">
        <v>2984</v>
      </c>
      <c r="T39" s="2" t="s">
        <v>2985</v>
      </c>
      <c r="U39" s="2" t="s">
        <v>7</v>
      </c>
      <c r="V39" s="2" t="s">
        <v>2986</v>
      </c>
      <c r="W39" s="2" t="s">
        <v>2987</v>
      </c>
      <c r="X39" s="2" t="s">
        <v>2988</v>
      </c>
      <c r="Y39" s="2" t="s">
        <v>2989</v>
      </c>
      <c r="Z39" s="2" t="s">
        <v>2990</v>
      </c>
      <c r="AA39" s="2" t="s">
        <v>2991</v>
      </c>
      <c r="AB39" s="2" t="s">
        <v>2990</v>
      </c>
      <c r="AC39" s="2" t="s">
        <v>2992</v>
      </c>
      <c r="AD39" s="2" t="s">
        <v>2990</v>
      </c>
      <c r="AE39" s="2" t="s">
        <v>2993</v>
      </c>
      <c r="AF39" s="2" t="s">
        <v>2994</v>
      </c>
    </row>
    <row r="40">
      <c r="R40" s="2">
        <v>340000.0</v>
      </c>
      <c r="S40" s="2">
        <v>2.9</v>
      </c>
      <c r="T40" s="2">
        <v>320000.0</v>
      </c>
      <c r="U40" s="2">
        <f t="shared" ref="U40:U50" si="27">U5*1.1</f>
        <v>22381.7</v>
      </c>
      <c r="V40">
        <f t="shared" ref="V40:V50" si="28">R40*S40/100</f>
        <v>9860</v>
      </c>
      <c r="W40">
        <f t="shared" ref="W40:W50" si="29">U40-V40</f>
        <v>12521.7</v>
      </c>
      <c r="X40">
        <f t="shared" ref="X40:X50" si="30">W40*0.65</f>
        <v>8139.105</v>
      </c>
      <c r="Y40">
        <f t="shared" ref="Y40:Y50" si="31">T40*0.015</f>
        <v>4800</v>
      </c>
      <c r="Z40">
        <f t="shared" ref="Z40:Z50" si="32">X40-Y40</f>
        <v>3339.105</v>
      </c>
      <c r="AA40">
        <f t="shared" ref="AA40:AA50" si="33">T40*0.05</f>
        <v>16000</v>
      </c>
      <c r="AB40">
        <f t="shared" ref="AB40:AB50" si="34">X40-AA40</f>
        <v>-7860.895</v>
      </c>
      <c r="AC40">
        <f t="shared" ref="AC40:AC50" si="35">T40*0.03</f>
        <v>9600</v>
      </c>
      <c r="AD40">
        <f t="shared" ref="AD40:AD50" si="36">X40-AC40</f>
        <v>-1460.895</v>
      </c>
      <c r="AE40">
        <f t="shared" ref="AE40:AE50" si="37">X40*100/T40</f>
        <v>2.543470313</v>
      </c>
      <c r="AF40">
        <f t="shared" ref="AF40:AF50" si="38">W40*100/T40</f>
        <v>3.91303125</v>
      </c>
    </row>
    <row r="41">
      <c r="R41" s="2">
        <v>340000.0</v>
      </c>
      <c r="S41" s="2">
        <v>3.0</v>
      </c>
      <c r="T41" s="2">
        <v>320000.0</v>
      </c>
      <c r="U41" s="2">
        <f t="shared" si="27"/>
        <v>22381.7</v>
      </c>
      <c r="V41">
        <f t="shared" si="28"/>
        <v>10200</v>
      </c>
      <c r="W41">
        <f t="shared" si="29"/>
        <v>12181.7</v>
      </c>
      <c r="X41">
        <f t="shared" si="30"/>
        <v>7918.105</v>
      </c>
      <c r="Y41">
        <f t="shared" si="31"/>
        <v>4800</v>
      </c>
      <c r="Z41">
        <f t="shared" si="32"/>
        <v>3118.105</v>
      </c>
      <c r="AA41">
        <f t="shared" si="33"/>
        <v>16000</v>
      </c>
      <c r="AB41">
        <f t="shared" si="34"/>
        <v>-8081.895</v>
      </c>
      <c r="AC41">
        <f t="shared" si="35"/>
        <v>9600</v>
      </c>
      <c r="AD41">
        <f t="shared" si="36"/>
        <v>-1681.895</v>
      </c>
      <c r="AE41">
        <f t="shared" si="37"/>
        <v>2.474407813</v>
      </c>
      <c r="AF41">
        <f t="shared" si="38"/>
        <v>3.80678125</v>
      </c>
    </row>
    <row r="42">
      <c r="F42" s="2" t="s">
        <v>3075</v>
      </c>
      <c r="H42" s="2" t="s">
        <v>3080</v>
      </c>
      <c r="R42" s="2">
        <v>400000.0</v>
      </c>
      <c r="S42" s="2">
        <v>3.0</v>
      </c>
      <c r="T42" s="2">
        <v>260000.0</v>
      </c>
      <c r="U42" s="2">
        <f t="shared" si="27"/>
        <v>22381.7</v>
      </c>
      <c r="V42">
        <f t="shared" si="28"/>
        <v>12000</v>
      </c>
      <c r="W42">
        <f t="shared" si="29"/>
        <v>10381.7</v>
      </c>
      <c r="X42">
        <f t="shared" si="30"/>
        <v>6748.105</v>
      </c>
      <c r="Y42">
        <f t="shared" si="31"/>
        <v>3900</v>
      </c>
      <c r="Z42">
        <f t="shared" si="32"/>
        <v>2848.105</v>
      </c>
      <c r="AA42">
        <f t="shared" si="33"/>
        <v>13000</v>
      </c>
      <c r="AB42">
        <f t="shared" si="34"/>
        <v>-6251.895</v>
      </c>
      <c r="AC42">
        <f t="shared" si="35"/>
        <v>7800</v>
      </c>
      <c r="AD42">
        <f t="shared" si="36"/>
        <v>-1051.895</v>
      </c>
      <c r="AE42">
        <f t="shared" si="37"/>
        <v>2.595425</v>
      </c>
      <c r="AF42">
        <f t="shared" si="38"/>
        <v>3.992961538</v>
      </c>
    </row>
    <row r="43">
      <c r="F43" s="2">
        <v>600.0</v>
      </c>
      <c r="G43" s="2" t="s">
        <v>3081</v>
      </c>
      <c r="H43" s="2">
        <v>336.0</v>
      </c>
      <c r="R43" s="2">
        <v>400000.0</v>
      </c>
      <c r="S43" s="2">
        <v>3.2</v>
      </c>
      <c r="T43" s="2">
        <v>260000.0</v>
      </c>
      <c r="U43" s="2">
        <f t="shared" si="27"/>
        <v>22381.7</v>
      </c>
      <c r="V43">
        <f t="shared" si="28"/>
        <v>12800</v>
      </c>
      <c r="W43">
        <f t="shared" si="29"/>
        <v>9581.7</v>
      </c>
      <c r="X43">
        <f t="shared" si="30"/>
        <v>6228.105</v>
      </c>
      <c r="Y43">
        <f t="shared" si="31"/>
        <v>3900</v>
      </c>
      <c r="Z43">
        <f t="shared" si="32"/>
        <v>2328.105</v>
      </c>
      <c r="AA43">
        <f t="shared" si="33"/>
        <v>13000</v>
      </c>
      <c r="AB43">
        <f t="shared" si="34"/>
        <v>-6771.895</v>
      </c>
      <c r="AC43">
        <f t="shared" si="35"/>
        <v>7800</v>
      </c>
      <c r="AD43">
        <f t="shared" si="36"/>
        <v>-1571.895</v>
      </c>
      <c r="AE43">
        <f t="shared" si="37"/>
        <v>2.395425</v>
      </c>
      <c r="AF43">
        <f t="shared" si="38"/>
        <v>3.685269231</v>
      </c>
    </row>
    <row r="44">
      <c r="F44" s="2">
        <v>80.0</v>
      </c>
      <c r="G44" s="2" t="s">
        <v>3060</v>
      </c>
      <c r="H44" s="2">
        <v>57.0</v>
      </c>
      <c r="R44" s="2">
        <v>400000.0</v>
      </c>
      <c r="S44" s="2">
        <v>3.4</v>
      </c>
      <c r="T44" s="2">
        <v>260000.0</v>
      </c>
      <c r="U44" s="2">
        <f t="shared" si="27"/>
        <v>22381.7</v>
      </c>
      <c r="V44">
        <f t="shared" si="28"/>
        <v>13600</v>
      </c>
      <c r="W44">
        <f t="shared" si="29"/>
        <v>8781.7</v>
      </c>
      <c r="X44">
        <f t="shared" si="30"/>
        <v>5708.105</v>
      </c>
      <c r="Y44">
        <f t="shared" si="31"/>
        <v>3900</v>
      </c>
      <c r="Z44">
        <f t="shared" si="32"/>
        <v>1808.105</v>
      </c>
      <c r="AA44">
        <f t="shared" si="33"/>
        <v>13000</v>
      </c>
      <c r="AB44">
        <f t="shared" si="34"/>
        <v>-7291.895</v>
      </c>
      <c r="AC44">
        <f t="shared" si="35"/>
        <v>7800</v>
      </c>
      <c r="AD44">
        <f t="shared" si="36"/>
        <v>-2091.895</v>
      </c>
      <c r="AE44">
        <f t="shared" si="37"/>
        <v>2.195425</v>
      </c>
      <c r="AF44">
        <f t="shared" si="38"/>
        <v>3.377576923</v>
      </c>
    </row>
    <row r="45">
      <c r="F45" s="2">
        <v>500.0</v>
      </c>
      <c r="G45" s="2" t="s">
        <v>3062</v>
      </c>
      <c r="H45" s="2">
        <v>260.0</v>
      </c>
      <c r="R45" s="2">
        <v>450000.0</v>
      </c>
      <c r="S45" s="2">
        <v>3.0</v>
      </c>
      <c r="T45" s="2">
        <v>210000.0</v>
      </c>
      <c r="U45" s="2">
        <f t="shared" si="27"/>
        <v>22381.7</v>
      </c>
      <c r="V45">
        <f t="shared" si="28"/>
        <v>13500</v>
      </c>
      <c r="W45">
        <f t="shared" si="29"/>
        <v>8881.7</v>
      </c>
      <c r="X45">
        <f t="shared" si="30"/>
        <v>5773.105</v>
      </c>
      <c r="Y45">
        <f t="shared" si="31"/>
        <v>3150</v>
      </c>
      <c r="Z45">
        <f t="shared" si="32"/>
        <v>2623.105</v>
      </c>
      <c r="AA45">
        <f t="shared" si="33"/>
        <v>10500</v>
      </c>
      <c r="AB45">
        <f t="shared" si="34"/>
        <v>-4726.895</v>
      </c>
      <c r="AC45">
        <f t="shared" si="35"/>
        <v>6300</v>
      </c>
      <c r="AD45">
        <f t="shared" si="36"/>
        <v>-526.895</v>
      </c>
      <c r="AE45">
        <f t="shared" si="37"/>
        <v>2.749097619</v>
      </c>
      <c r="AF45">
        <f t="shared" si="38"/>
        <v>4.229380952</v>
      </c>
    </row>
    <row r="46">
      <c r="F46" s="2">
        <v>250.0</v>
      </c>
      <c r="G46" s="2" t="s">
        <v>3072</v>
      </c>
      <c r="H46" s="2">
        <v>118.0</v>
      </c>
      <c r="R46" s="2">
        <v>450000.0</v>
      </c>
      <c r="S46" s="2">
        <v>3.2</v>
      </c>
      <c r="T46" s="2">
        <v>210000.0</v>
      </c>
      <c r="U46" s="2">
        <f t="shared" si="27"/>
        <v>22381.7</v>
      </c>
      <c r="V46">
        <f t="shared" si="28"/>
        <v>14400</v>
      </c>
      <c r="W46">
        <f t="shared" si="29"/>
        <v>7981.7</v>
      </c>
      <c r="X46">
        <f t="shared" si="30"/>
        <v>5188.105</v>
      </c>
      <c r="Y46">
        <f t="shared" si="31"/>
        <v>3150</v>
      </c>
      <c r="Z46">
        <f t="shared" si="32"/>
        <v>2038.105</v>
      </c>
      <c r="AA46">
        <f t="shared" si="33"/>
        <v>10500</v>
      </c>
      <c r="AB46">
        <f t="shared" si="34"/>
        <v>-5311.895</v>
      </c>
      <c r="AC46">
        <f t="shared" si="35"/>
        <v>6300</v>
      </c>
      <c r="AD46">
        <f t="shared" si="36"/>
        <v>-1111.895</v>
      </c>
      <c r="AE46">
        <f t="shared" si="37"/>
        <v>2.47052619</v>
      </c>
      <c r="AF46">
        <f t="shared" si="38"/>
        <v>3.800809524</v>
      </c>
    </row>
    <row r="47">
      <c r="F47" s="2">
        <v>10.0</v>
      </c>
      <c r="G47" s="2" t="s">
        <v>3082</v>
      </c>
      <c r="H47" s="2">
        <v>6.0</v>
      </c>
      <c r="R47" s="2">
        <v>450000.0</v>
      </c>
      <c r="S47" s="2">
        <v>3.4</v>
      </c>
      <c r="T47" s="2">
        <v>210000.0</v>
      </c>
      <c r="U47" s="2">
        <f t="shared" si="27"/>
        <v>22381.7</v>
      </c>
      <c r="V47">
        <f t="shared" si="28"/>
        <v>15300</v>
      </c>
      <c r="W47">
        <f t="shared" si="29"/>
        <v>7081.7</v>
      </c>
      <c r="X47">
        <f t="shared" si="30"/>
        <v>4603.105</v>
      </c>
      <c r="Y47">
        <f t="shared" si="31"/>
        <v>3150</v>
      </c>
      <c r="Z47">
        <f t="shared" si="32"/>
        <v>1453.105</v>
      </c>
      <c r="AA47">
        <f t="shared" si="33"/>
        <v>10500</v>
      </c>
      <c r="AB47">
        <f t="shared" si="34"/>
        <v>-5896.895</v>
      </c>
      <c r="AC47">
        <f t="shared" si="35"/>
        <v>6300</v>
      </c>
      <c r="AD47">
        <f t="shared" si="36"/>
        <v>-1696.895</v>
      </c>
      <c r="AE47">
        <f t="shared" si="37"/>
        <v>2.191954762</v>
      </c>
      <c r="AF47">
        <f t="shared" si="38"/>
        <v>3.372238095</v>
      </c>
    </row>
    <row r="48">
      <c r="F48" s="2">
        <v>17.0</v>
      </c>
      <c r="G48" s="2" t="s">
        <v>3083</v>
      </c>
      <c r="H48" s="2">
        <v>7.0</v>
      </c>
      <c r="R48" s="11">
        <v>500000.0</v>
      </c>
      <c r="S48" s="9">
        <v>3.0</v>
      </c>
      <c r="T48" s="9">
        <v>160000.0</v>
      </c>
      <c r="U48" s="9">
        <f t="shared" si="27"/>
        <v>22381.7</v>
      </c>
      <c r="V48" s="6">
        <f t="shared" si="28"/>
        <v>15000</v>
      </c>
      <c r="W48" s="6">
        <f t="shared" si="29"/>
        <v>7381.7</v>
      </c>
      <c r="X48" s="6">
        <f t="shared" si="30"/>
        <v>4798.105</v>
      </c>
      <c r="Y48" s="6">
        <f t="shared" si="31"/>
        <v>2400</v>
      </c>
      <c r="Z48" s="6">
        <f t="shared" si="32"/>
        <v>2398.105</v>
      </c>
      <c r="AA48" s="6">
        <f t="shared" si="33"/>
        <v>8000</v>
      </c>
      <c r="AB48" s="6">
        <f t="shared" si="34"/>
        <v>-3201.895</v>
      </c>
      <c r="AC48" s="6">
        <f t="shared" si="35"/>
        <v>4800</v>
      </c>
      <c r="AD48" s="6">
        <f t="shared" si="36"/>
        <v>-1.895</v>
      </c>
      <c r="AE48" s="6">
        <f t="shared" si="37"/>
        <v>2.998815625</v>
      </c>
      <c r="AF48" s="66">
        <f t="shared" si="38"/>
        <v>4.6135625</v>
      </c>
    </row>
    <row r="49">
      <c r="R49" s="2">
        <v>500000.0</v>
      </c>
      <c r="S49" s="2">
        <v>3.2</v>
      </c>
      <c r="T49" s="2">
        <v>160000.0</v>
      </c>
      <c r="U49" s="2">
        <f t="shared" si="27"/>
        <v>22381.7</v>
      </c>
      <c r="V49">
        <f t="shared" si="28"/>
        <v>16000</v>
      </c>
      <c r="W49">
        <f t="shared" si="29"/>
        <v>6381.7</v>
      </c>
      <c r="X49">
        <f t="shared" si="30"/>
        <v>4148.105</v>
      </c>
      <c r="Y49">
        <f t="shared" si="31"/>
        <v>2400</v>
      </c>
      <c r="Z49">
        <f t="shared" si="32"/>
        <v>1748.105</v>
      </c>
      <c r="AA49">
        <f t="shared" si="33"/>
        <v>8000</v>
      </c>
      <c r="AB49">
        <f t="shared" si="34"/>
        <v>-3851.895</v>
      </c>
      <c r="AC49">
        <f t="shared" si="35"/>
        <v>4800</v>
      </c>
      <c r="AD49">
        <f t="shared" si="36"/>
        <v>-651.895</v>
      </c>
      <c r="AE49">
        <f t="shared" si="37"/>
        <v>2.592565625</v>
      </c>
      <c r="AF49">
        <f t="shared" si="38"/>
        <v>3.9885625</v>
      </c>
    </row>
    <row r="50">
      <c r="R50" s="2">
        <v>500000.0</v>
      </c>
      <c r="S50" s="2">
        <v>3.4</v>
      </c>
      <c r="T50" s="2">
        <v>160000.0</v>
      </c>
      <c r="U50" s="2">
        <f t="shared" si="27"/>
        <v>22381.7</v>
      </c>
      <c r="V50">
        <f t="shared" si="28"/>
        <v>17000</v>
      </c>
      <c r="W50">
        <f t="shared" si="29"/>
        <v>5381.7</v>
      </c>
      <c r="X50">
        <f t="shared" si="30"/>
        <v>3498.105</v>
      </c>
      <c r="Y50">
        <f t="shared" si="31"/>
        <v>2400</v>
      </c>
      <c r="Z50">
        <f t="shared" si="32"/>
        <v>1098.105</v>
      </c>
      <c r="AA50">
        <f t="shared" si="33"/>
        <v>8000</v>
      </c>
      <c r="AB50">
        <f t="shared" si="34"/>
        <v>-4501.895</v>
      </c>
      <c r="AC50">
        <f t="shared" si="35"/>
        <v>4800</v>
      </c>
      <c r="AD50">
        <f t="shared" si="36"/>
        <v>-1301.895</v>
      </c>
      <c r="AE50">
        <f t="shared" si="37"/>
        <v>2.186315625</v>
      </c>
      <c r="AF50">
        <f t="shared" si="38"/>
        <v>3.3635625</v>
      </c>
    </row>
    <row r="51">
      <c r="F51" s="2" t="s">
        <v>3084</v>
      </c>
      <c r="G51" s="2" t="s">
        <v>3085</v>
      </c>
      <c r="H51" s="2" t="s">
        <v>2927</v>
      </c>
    </row>
    <row r="52">
      <c r="F52" s="2">
        <v>10000.0</v>
      </c>
      <c r="G52" s="2" t="s">
        <v>3086</v>
      </c>
      <c r="H52" s="2">
        <v>5508.0</v>
      </c>
    </row>
    <row r="56">
      <c r="U56" s="2" t="s">
        <v>3087</v>
      </c>
    </row>
    <row r="57">
      <c r="R57" s="2" t="s">
        <v>2983</v>
      </c>
      <c r="S57" s="2" t="s">
        <v>2984</v>
      </c>
      <c r="T57" s="2" t="s">
        <v>2985</v>
      </c>
      <c r="U57" s="2" t="s">
        <v>7</v>
      </c>
      <c r="V57" s="2" t="s">
        <v>2986</v>
      </c>
      <c r="W57" s="2" t="s">
        <v>2987</v>
      </c>
      <c r="X57" s="2" t="s">
        <v>2988</v>
      </c>
      <c r="Y57" s="2" t="s">
        <v>2989</v>
      </c>
      <c r="Z57" s="2" t="s">
        <v>2990</v>
      </c>
      <c r="AA57" s="2" t="s">
        <v>2991</v>
      </c>
      <c r="AB57" s="2" t="s">
        <v>2990</v>
      </c>
      <c r="AC57" s="2" t="s">
        <v>2992</v>
      </c>
      <c r="AD57" s="2" t="s">
        <v>2990</v>
      </c>
      <c r="AE57" s="2" t="s">
        <v>2993</v>
      </c>
      <c r="AF57" s="2" t="s">
        <v>2994</v>
      </c>
    </row>
    <row r="58">
      <c r="R58" s="2">
        <v>340000.0</v>
      </c>
      <c r="S58" s="2">
        <v>2.9</v>
      </c>
      <c r="T58" s="2">
        <v>320000.0</v>
      </c>
      <c r="U58" s="2">
        <f t="shared" ref="U58:U68" si="39">U5*1.2</f>
        <v>24416.4</v>
      </c>
      <c r="V58">
        <f t="shared" ref="V58:V68" si="40">R58*S58/100</f>
        <v>9860</v>
      </c>
      <c r="W58">
        <f t="shared" ref="W58:W68" si="41">U58-V58</f>
        <v>14556.4</v>
      </c>
      <c r="X58">
        <f t="shared" ref="X58:X68" si="42">W58*0.65</f>
        <v>9461.66</v>
      </c>
      <c r="Y58">
        <f t="shared" ref="Y58:Y68" si="43">T58*0.015</f>
        <v>4800</v>
      </c>
      <c r="Z58">
        <f t="shared" ref="Z58:Z68" si="44">X58-Y58</f>
        <v>4661.66</v>
      </c>
      <c r="AA58">
        <f t="shared" ref="AA58:AA68" si="45">T58*0.05</f>
        <v>16000</v>
      </c>
      <c r="AB58">
        <f t="shared" ref="AB58:AB68" si="46">X58-AA58</f>
        <v>-6538.34</v>
      </c>
      <c r="AC58">
        <f t="shared" ref="AC58:AC68" si="47">T58*0.03</f>
        <v>9600</v>
      </c>
      <c r="AD58">
        <f t="shared" ref="AD58:AD68" si="48">X58-AC58</f>
        <v>-138.34</v>
      </c>
      <c r="AE58">
        <f t="shared" ref="AE58:AE68" si="49">X58*100/T58</f>
        <v>2.95676875</v>
      </c>
      <c r="AF58">
        <f t="shared" ref="AF58:AF68" si="50">W58*100/T58</f>
        <v>4.548875</v>
      </c>
    </row>
    <row r="59">
      <c r="R59" s="2">
        <v>340000.0</v>
      </c>
      <c r="S59" s="2">
        <v>3.0</v>
      </c>
      <c r="T59" s="2">
        <v>320000.0</v>
      </c>
      <c r="U59" s="2">
        <f t="shared" si="39"/>
        <v>24416.4</v>
      </c>
      <c r="V59">
        <f t="shared" si="40"/>
        <v>10200</v>
      </c>
      <c r="W59">
        <f t="shared" si="41"/>
        <v>14216.4</v>
      </c>
      <c r="X59">
        <f t="shared" si="42"/>
        <v>9240.66</v>
      </c>
      <c r="Y59">
        <f t="shared" si="43"/>
        <v>4800</v>
      </c>
      <c r="Z59">
        <f t="shared" si="44"/>
        <v>4440.66</v>
      </c>
      <c r="AA59">
        <f t="shared" si="45"/>
        <v>16000</v>
      </c>
      <c r="AB59">
        <f t="shared" si="46"/>
        <v>-6759.34</v>
      </c>
      <c r="AC59">
        <f t="shared" si="47"/>
        <v>9600</v>
      </c>
      <c r="AD59">
        <f t="shared" si="48"/>
        <v>-359.34</v>
      </c>
      <c r="AE59">
        <f t="shared" si="49"/>
        <v>2.88770625</v>
      </c>
      <c r="AF59">
        <f t="shared" si="50"/>
        <v>4.442625</v>
      </c>
    </row>
    <row r="60">
      <c r="R60" s="2">
        <v>400000.0</v>
      </c>
      <c r="S60" s="2">
        <v>3.0</v>
      </c>
      <c r="T60" s="2">
        <v>260000.0</v>
      </c>
      <c r="U60" s="2">
        <f t="shared" si="39"/>
        <v>24416.4</v>
      </c>
      <c r="V60">
        <f t="shared" si="40"/>
        <v>12000</v>
      </c>
      <c r="W60">
        <f t="shared" si="41"/>
        <v>12416.4</v>
      </c>
      <c r="X60">
        <f t="shared" si="42"/>
        <v>8070.66</v>
      </c>
      <c r="Y60">
        <f t="shared" si="43"/>
        <v>3900</v>
      </c>
      <c r="Z60">
        <f t="shared" si="44"/>
        <v>4170.66</v>
      </c>
      <c r="AA60">
        <f t="shared" si="45"/>
        <v>13000</v>
      </c>
      <c r="AB60">
        <f t="shared" si="46"/>
        <v>-4929.34</v>
      </c>
      <c r="AC60">
        <f t="shared" si="47"/>
        <v>7800</v>
      </c>
      <c r="AD60">
        <f t="shared" si="48"/>
        <v>270.66</v>
      </c>
      <c r="AE60">
        <f t="shared" si="49"/>
        <v>3.1041</v>
      </c>
      <c r="AF60">
        <f t="shared" si="50"/>
        <v>4.775538462</v>
      </c>
    </row>
    <row r="61">
      <c r="R61" s="2">
        <v>400000.0</v>
      </c>
      <c r="S61" s="2">
        <v>3.2</v>
      </c>
      <c r="T61" s="2">
        <v>260000.0</v>
      </c>
      <c r="U61" s="2">
        <f t="shared" si="39"/>
        <v>24416.4</v>
      </c>
      <c r="V61">
        <f t="shared" si="40"/>
        <v>12800</v>
      </c>
      <c r="W61">
        <f t="shared" si="41"/>
        <v>11616.4</v>
      </c>
      <c r="X61">
        <f t="shared" si="42"/>
        <v>7550.66</v>
      </c>
      <c r="Y61">
        <f t="shared" si="43"/>
        <v>3900</v>
      </c>
      <c r="Z61">
        <f t="shared" si="44"/>
        <v>3650.66</v>
      </c>
      <c r="AA61">
        <f t="shared" si="45"/>
        <v>13000</v>
      </c>
      <c r="AB61">
        <f t="shared" si="46"/>
        <v>-5449.34</v>
      </c>
      <c r="AC61">
        <f t="shared" si="47"/>
        <v>7800</v>
      </c>
      <c r="AD61">
        <f t="shared" si="48"/>
        <v>-249.34</v>
      </c>
      <c r="AE61">
        <f t="shared" si="49"/>
        <v>2.9041</v>
      </c>
      <c r="AF61">
        <f t="shared" si="50"/>
        <v>4.467846154</v>
      </c>
    </row>
    <row r="62">
      <c r="R62" s="2">
        <v>400000.0</v>
      </c>
      <c r="S62" s="2">
        <v>3.4</v>
      </c>
      <c r="T62" s="2">
        <v>260000.0</v>
      </c>
      <c r="U62" s="2">
        <f t="shared" si="39"/>
        <v>24416.4</v>
      </c>
      <c r="V62">
        <f t="shared" si="40"/>
        <v>13600</v>
      </c>
      <c r="W62">
        <f t="shared" si="41"/>
        <v>10816.4</v>
      </c>
      <c r="X62">
        <f t="shared" si="42"/>
        <v>7030.66</v>
      </c>
      <c r="Y62">
        <f t="shared" si="43"/>
        <v>3900</v>
      </c>
      <c r="Z62">
        <f t="shared" si="44"/>
        <v>3130.66</v>
      </c>
      <c r="AA62">
        <f t="shared" si="45"/>
        <v>13000</v>
      </c>
      <c r="AB62">
        <f t="shared" si="46"/>
        <v>-5969.34</v>
      </c>
      <c r="AC62">
        <f t="shared" si="47"/>
        <v>7800</v>
      </c>
      <c r="AD62">
        <f t="shared" si="48"/>
        <v>-769.34</v>
      </c>
      <c r="AE62">
        <f t="shared" si="49"/>
        <v>2.7041</v>
      </c>
      <c r="AF62">
        <f t="shared" si="50"/>
        <v>4.160153846</v>
      </c>
    </row>
    <row r="63">
      <c r="R63" s="2">
        <v>450000.0</v>
      </c>
      <c r="S63" s="2">
        <v>3.0</v>
      </c>
      <c r="T63" s="2">
        <v>210000.0</v>
      </c>
      <c r="U63" s="2">
        <f t="shared" si="39"/>
        <v>24416.4</v>
      </c>
      <c r="V63">
        <f t="shared" si="40"/>
        <v>13500</v>
      </c>
      <c r="W63">
        <f t="shared" si="41"/>
        <v>10916.4</v>
      </c>
      <c r="X63">
        <f t="shared" si="42"/>
        <v>7095.66</v>
      </c>
      <c r="Y63">
        <f t="shared" si="43"/>
        <v>3150</v>
      </c>
      <c r="Z63">
        <f t="shared" si="44"/>
        <v>3945.66</v>
      </c>
      <c r="AA63">
        <f t="shared" si="45"/>
        <v>10500</v>
      </c>
      <c r="AB63">
        <f t="shared" si="46"/>
        <v>-3404.34</v>
      </c>
      <c r="AC63">
        <f t="shared" si="47"/>
        <v>6300</v>
      </c>
      <c r="AD63">
        <f t="shared" si="48"/>
        <v>795.66</v>
      </c>
      <c r="AE63">
        <f t="shared" si="49"/>
        <v>3.378885714</v>
      </c>
      <c r="AF63">
        <f t="shared" si="50"/>
        <v>5.198285714</v>
      </c>
    </row>
    <row r="64">
      <c r="R64" s="2">
        <v>450000.0</v>
      </c>
      <c r="S64" s="2">
        <v>3.2</v>
      </c>
      <c r="T64" s="2">
        <v>210000.0</v>
      </c>
      <c r="U64" s="2">
        <f t="shared" si="39"/>
        <v>24416.4</v>
      </c>
      <c r="V64">
        <f t="shared" si="40"/>
        <v>14400</v>
      </c>
      <c r="W64">
        <f t="shared" si="41"/>
        <v>10016.4</v>
      </c>
      <c r="X64">
        <f t="shared" si="42"/>
        <v>6510.66</v>
      </c>
      <c r="Y64">
        <f t="shared" si="43"/>
        <v>3150</v>
      </c>
      <c r="Z64">
        <f t="shared" si="44"/>
        <v>3360.66</v>
      </c>
      <c r="AA64">
        <f t="shared" si="45"/>
        <v>10500</v>
      </c>
      <c r="AB64">
        <f t="shared" si="46"/>
        <v>-3989.34</v>
      </c>
      <c r="AC64">
        <f t="shared" si="47"/>
        <v>6300</v>
      </c>
      <c r="AD64">
        <f t="shared" si="48"/>
        <v>210.66</v>
      </c>
      <c r="AE64">
        <f t="shared" si="49"/>
        <v>3.100314286</v>
      </c>
      <c r="AF64">
        <f t="shared" si="50"/>
        <v>4.769714286</v>
      </c>
    </row>
    <row r="65">
      <c r="R65" s="2">
        <v>450000.0</v>
      </c>
      <c r="S65" s="2">
        <v>3.4</v>
      </c>
      <c r="T65" s="2">
        <v>210000.0</v>
      </c>
      <c r="U65" s="2">
        <f t="shared" si="39"/>
        <v>24416.4</v>
      </c>
      <c r="V65">
        <f t="shared" si="40"/>
        <v>15300</v>
      </c>
      <c r="W65">
        <f t="shared" si="41"/>
        <v>9116.4</v>
      </c>
      <c r="X65">
        <f t="shared" si="42"/>
        <v>5925.66</v>
      </c>
      <c r="Y65">
        <f t="shared" si="43"/>
        <v>3150</v>
      </c>
      <c r="Z65">
        <f t="shared" si="44"/>
        <v>2775.66</v>
      </c>
      <c r="AA65">
        <f t="shared" si="45"/>
        <v>10500</v>
      </c>
      <c r="AB65">
        <f t="shared" si="46"/>
        <v>-4574.34</v>
      </c>
      <c r="AC65">
        <f t="shared" si="47"/>
        <v>6300</v>
      </c>
      <c r="AD65">
        <f t="shared" si="48"/>
        <v>-374.34</v>
      </c>
      <c r="AE65">
        <f t="shared" si="49"/>
        <v>2.821742857</v>
      </c>
      <c r="AF65">
        <f t="shared" si="50"/>
        <v>4.341142857</v>
      </c>
    </row>
    <row r="66">
      <c r="R66" s="11">
        <v>500000.0</v>
      </c>
      <c r="S66" s="9">
        <v>3.0</v>
      </c>
      <c r="T66" s="9">
        <v>160000.0</v>
      </c>
      <c r="U66" s="9">
        <f t="shared" si="39"/>
        <v>24416.4</v>
      </c>
      <c r="V66" s="6">
        <f t="shared" si="40"/>
        <v>15000</v>
      </c>
      <c r="W66" s="6">
        <f t="shared" si="41"/>
        <v>9416.4</v>
      </c>
      <c r="X66" s="6">
        <f t="shared" si="42"/>
        <v>6120.66</v>
      </c>
      <c r="Y66" s="6">
        <f t="shared" si="43"/>
        <v>2400</v>
      </c>
      <c r="Z66" s="6">
        <f t="shared" si="44"/>
        <v>3720.66</v>
      </c>
      <c r="AA66" s="6">
        <f t="shared" si="45"/>
        <v>8000</v>
      </c>
      <c r="AB66" s="6">
        <f t="shared" si="46"/>
        <v>-1879.34</v>
      </c>
      <c r="AC66" s="6">
        <f t="shared" si="47"/>
        <v>4800</v>
      </c>
      <c r="AD66" s="6">
        <f t="shared" si="48"/>
        <v>1320.66</v>
      </c>
      <c r="AE66" s="6">
        <f t="shared" si="49"/>
        <v>3.8254125</v>
      </c>
      <c r="AF66" s="66">
        <f t="shared" si="50"/>
        <v>5.88525</v>
      </c>
    </row>
    <row r="67">
      <c r="R67" s="2">
        <v>500000.0</v>
      </c>
      <c r="S67" s="2">
        <v>3.2</v>
      </c>
      <c r="T67" s="2">
        <v>160000.0</v>
      </c>
      <c r="U67" s="2">
        <f t="shared" si="39"/>
        <v>24416.4</v>
      </c>
      <c r="V67">
        <f t="shared" si="40"/>
        <v>16000</v>
      </c>
      <c r="W67">
        <f t="shared" si="41"/>
        <v>8416.4</v>
      </c>
      <c r="X67">
        <f t="shared" si="42"/>
        <v>5470.66</v>
      </c>
      <c r="Y67">
        <f t="shared" si="43"/>
        <v>2400</v>
      </c>
      <c r="Z67">
        <f t="shared" si="44"/>
        <v>3070.66</v>
      </c>
      <c r="AA67">
        <f t="shared" si="45"/>
        <v>8000</v>
      </c>
      <c r="AB67">
        <f t="shared" si="46"/>
        <v>-2529.34</v>
      </c>
      <c r="AC67">
        <f t="shared" si="47"/>
        <v>4800</v>
      </c>
      <c r="AD67">
        <f t="shared" si="48"/>
        <v>670.66</v>
      </c>
      <c r="AE67">
        <f t="shared" si="49"/>
        <v>3.4191625</v>
      </c>
      <c r="AF67">
        <f t="shared" si="50"/>
        <v>5.26025</v>
      </c>
    </row>
    <row r="68">
      <c r="R68" s="2">
        <v>500000.0</v>
      </c>
      <c r="S68" s="2">
        <v>3.4</v>
      </c>
      <c r="T68" s="2">
        <v>160000.0</v>
      </c>
      <c r="U68" s="2">
        <f t="shared" si="39"/>
        <v>24416.4</v>
      </c>
      <c r="V68">
        <f t="shared" si="40"/>
        <v>17000</v>
      </c>
      <c r="W68">
        <f t="shared" si="41"/>
        <v>7416.4</v>
      </c>
      <c r="X68">
        <f t="shared" si="42"/>
        <v>4820.66</v>
      </c>
      <c r="Y68">
        <f t="shared" si="43"/>
        <v>2400</v>
      </c>
      <c r="Z68">
        <f t="shared" si="44"/>
        <v>2420.66</v>
      </c>
      <c r="AA68">
        <f t="shared" si="45"/>
        <v>8000</v>
      </c>
      <c r="AB68">
        <f t="shared" si="46"/>
        <v>-3179.34</v>
      </c>
      <c r="AC68">
        <f t="shared" si="47"/>
        <v>4800</v>
      </c>
      <c r="AD68">
        <f t="shared" si="48"/>
        <v>20.66</v>
      </c>
      <c r="AE68">
        <f t="shared" si="49"/>
        <v>3.0129125</v>
      </c>
      <c r="AF68">
        <f t="shared" si="50"/>
        <v>4.63525</v>
      </c>
    </row>
    <row r="70">
      <c r="R70" s="19">
        <v>340000.0</v>
      </c>
      <c r="S70" s="19">
        <v>0.0255</v>
      </c>
      <c r="T70" s="15">
        <f t="shared" ref="T70:T71" si="51">R70*S70</f>
        <v>8670</v>
      </c>
      <c r="X70" s="19">
        <v>70000.0</v>
      </c>
      <c r="Y70" s="19">
        <v>0.0421</v>
      </c>
      <c r="Z70" s="15">
        <f t="shared" ref="Z70:Z72" si="52">X70*Y70</f>
        <v>2947</v>
      </c>
    </row>
    <row r="71">
      <c r="R71" s="19">
        <v>140000.0</v>
      </c>
      <c r="S71" s="19">
        <v>0.0395</v>
      </c>
      <c r="T71" s="15">
        <f t="shared" si="51"/>
        <v>5530</v>
      </c>
      <c r="X71" s="19">
        <v>340000.0</v>
      </c>
      <c r="Y71" s="19">
        <v>0.0258</v>
      </c>
      <c r="Z71" s="15">
        <f t="shared" si="52"/>
        <v>8772</v>
      </c>
    </row>
    <row r="72">
      <c r="R72" s="15">
        <f>SUM(R70:R71)</f>
        <v>480000</v>
      </c>
      <c r="S72" s="15">
        <f>T72/R72</f>
        <v>0.02958333333</v>
      </c>
      <c r="T72" s="15">
        <f>SUM(T70:T71)</f>
        <v>14200</v>
      </c>
      <c r="X72" s="19">
        <v>70000.0</v>
      </c>
      <c r="Y72" s="19">
        <v>0.0378</v>
      </c>
      <c r="Z72" s="15">
        <f t="shared" si="52"/>
        <v>2646</v>
      </c>
    </row>
    <row r="73">
      <c r="X73" s="15">
        <f>SUM(X70:X72)</f>
        <v>480000</v>
      </c>
      <c r="Y73" s="15">
        <f>Z73/X73</f>
        <v>0.02992708333</v>
      </c>
      <c r="Z73" s="15">
        <f>SUM(Z70:Z72)</f>
        <v>14365</v>
      </c>
    </row>
    <row r="74">
      <c r="U74" s="2">
        <v>23032.0</v>
      </c>
    </row>
    <row r="75">
      <c r="M75" s="2" t="s">
        <v>2980</v>
      </c>
      <c r="N75" s="2" t="s">
        <v>3088</v>
      </c>
      <c r="O75" s="2" t="s">
        <v>3089</v>
      </c>
      <c r="R75" s="2" t="s">
        <v>2983</v>
      </c>
      <c r="S75" s="2" t="s">
        <v>2984</v>
      </c>
      <c r="T75" s="2" t="s">
        <v>2985</v>
      </c>
      <c r="U75" s="2" t="s">
        <v>7</v>
      </c>
      <c r="V75" s="2" t="s">
        <v>2986</v>
      </c>
      <c r="W75" s="2" t="s">
        <v>2987</v>
      </c>
      <c r="X75" s="2" t="s">
        <v>2988</v>
      </c>
      <c r="Y75" s="2" t="s">
        <v>2989</v>
      </c>
      <c r="Z75" s="2" t="s">
        <v>2990</v>
      </c>
      <c r="AA75" s="2" t="s">
        <v>2991</v>
      </c>
      <c r="AB75" s="2" t="s">
        <v>2990</v>
      </c>
      <c r="AC75" s="2" t="s">
        <v>2992</v>
      </c>
      <c r="AD75" s="2" t="s">
        <v>2990</v>
      </c>
      <c r="AE75" s="2" t="s">
        <v>2993</v>
      </c>
      <c r="AF75" s="2" t="s">
        <v>2994</v>
      </c>
    </row>
    <row r="76">
      <c r="K76" s="2">
        <v>630000.0</v>
      </c>
      <c r="L76">
        <f t="shared" ref="L76:L79" si="53">N76*100/630000</f>
        <v>4.262857143</v>
      </c>
      <c r="M76" s="2">
        <v>2238.0</v>
      </c>
      <c r="N76" s="2">
        <f>M76*12</f>
        <v>26856</v>
      </c>
      <c r="O76" s="2">
        <v>630000.0</v>
      </c>
      <c r="P76" s="2"/>
      <c r="Q76" s="2">
        <v>1.0</v>
      </c>
      <c r="R76" s="2">
        <v>480000.0</v>
      </c>
      <c r="S76" s="2">
        <v>3.0</v>
      </c>
      <c r="T76" s="2">
        <v>180000.0</v>
      </c>
      <c r="U76" s="2">
        <v>23032.0</v>
      </c>
      <c r="V76">
        <f t="shared" ref="V76:V79" si="55">R76*S76/100</f>
        <v>14400</v>
      </c>
      <c r="W76">
        <f t="shared" ref="W76:W79" si="56">U76-V76</f>
        <v>8632</v>
      </c>
      <c r="X76">
        <f t="shared" ref="X76:X79" si="57">W76*0.65</f>
        <v>5610.8</v>
      </c>
      <c r="Y76">
        <f t="shared" ref="Y76:Y79" si="58">T76*0.015</f>
        <v>2700</v>
      </c>
      <c r="Z76">
        <f t="shared" ref="Z76:Z79" si="59">X76-Y76</f>
        <v>2910.8</v>
      </c>
      <c r="AA76">
        <f t="shared" ref="AA76:AA79" si="60">T76*0.05</f>
        <v>9000</v>
      </c>
      <c r="AB76">
        <f t="shared" ref="AB76:AB79" si="61">X76-AA76</f>
        <v>-3389.2</v>
      </c>
      <c r="AC76">
        <f t="shared" ref="AC76:AC79" si="62">T76*0.03</f>
        <v>5400</v>
      </c>
      <c r="AD76">
        <f t="shared" ref="AD76:AD79" si="63">X76-AC76</f>
        <v>210.8</v>
      </c>
      <c r="AE76">
        <f t="shared" ref="AE76:AE79" si="64">X76*100/T76</f>
        <v>3.117111111</v>
      </c>
      <c r="AF76">
        <f t="shared" ref="AF76:AF79" si="65">W76*100/T76</f>
        <v>4.795555556</v>
      </c>
    </row>
    <row r="77">
      <c r="K77">
        <f>630000*L77/L76</f>
        <v>661500</v>
      </c>
      <c r="L77">
        <f t="shared" si="53"/>
        <v>4.476</v>
      </c>
      <c r="M77">
        <f t="shared" ref="M77:N77" si="54">M76*1.05</f>
        <v>2349.9</v>
      </c>
      <c r="N77">
        <f t="shared" si="54"/>
        <v>28198.8</v>
      </c>
      <c r="O77" s="2">
        <v>630000.0</v>
      </c>
      <c r="P77" s="2"/>
      <c r="Q77" s="2">
        <v>1.05</v>
      </c>
      <c r="R77" s="2">
        <v>480000.0</v>
      </c>
      <c r="S77" s="2">
        <v>3.0</v>
      </c>
      <c r="T77" s="2">
        <v>180000.0</v>
      </c>
      <c r="U77" s="2">
        <f>U76*1.05</f>
        <v>24183.6</v>
      </c>
      <c r="V77">
        <f t="shared" si="55"/>
        <v>14400</v>
      </c>
      <c r="W77">
        <f t="shared" si="56"/>
        <v>9783.6</v>
      </c>
      <c r="X77">
        <f t="shared" si="57"/>
        <v>6359.34</v>
      </c>
      <c r="Y77">
        <f t="shared" si="58"/>
        <v>2700</v>
      </c>
      <c r="Z77">
        <f t="shared" si="59"/>
        <v>3659.34</v>
      </c>
      <c r="AA77">
        <f t="shared" si="60"/>
        <v>9000</v>
      </c>
      <c r="AB77">
        <f t="shared" si="61"/>
        <v>-2640.66</v>
      </c>
      <c r="AC77">
        <f t="shared" si="62"/>
        <v>5400</v>
      </c>
      <c r="AD77">
        <f t="shared" si="63"/>
        <v>959.34</v>
      </c>
      <c r="AE77">
        <f t="shared" si="64"/>
        <v>3.532966667</v>
      </c>
      <c r="AF77">
        <f t="shared" si="65"/>
        <v>5.435333333</v>
      </c>
    </row>
    <row r="78">
      <c r="K78">
        <f>630000*L78/L76</f>
        <v>693000</v>
      </c>
      <c r="L78">
        <f t="shared" si="53"/>
        <v>4.689142857</v>
      </c>
      <c r="M78">
        <f t="shared" ref="M78:N78" si="66">M76*1.1</f>
        <v>2461.8</v>
      </c>
      <c r="N78">
        <f t="shared" si="66"/>
        <v>29541.6</v>
      </c>
      <c r="O78" s="2">
        <v>630000.0</v>
      </c>
      <c r="P78" s="2"/>
      <c r="Q78" s="2">
        <v>1.1</v>
      </c>
      <c r="R78" s="2">
        <v>480000.0</v>
      </c>
      <c r="S78" s="2">
        <v>3.0</v>
      </c>
      <c r="T78" s="2">
        <v>180000.0</v>
      </c>
      <c r="U78" s="2">
        <f>U76*1.1</f>
        <v>25335.2</v>
      </c>
      <c r="V78">
        <f t="shared" si="55"/>
        <v>14400</v>
      </c>
      <c r="W78">
        <f t="shared" si="56"/>
        <v>10935.2</v>
      </c>
      <c r="X78">
        <f t="shared" si="57"/>
        <v>7107.88</v>
      </c>
      <c r="Y78">
        <f t="shared" si="58"/>
        <v>2700</v>
      </c>
      <c r="Z78">
        <f t="shared" si="59"/>
        <v>4407.88</v>
      </c>
      <c r="AA78">
        <f t="shared" si="60"/>
        <v>9000</v>
      </c>
      <c r="AB78">
        <f t="shared" si="61"/>
        <v>-1892.12</v>
      </c>
      <c r="AC78">
        <f t="shared" si="62"/>
        <v>5400</v>
      </c>
      <c r="AD78">
        <f t="shared" si="63"/>
        <v>1707.88</v>
      </c>
      <c r="AE78">
        <f t="shared" si="64"/>
        <v>3.948822222</v>
      </c>
      <c r="AF78">
        <f t="shared" si="65"/>
        <v>6.075111111</v>
      </c>
    </row>
    <row r="79">
      <c r="K79">
        <f>630000*L79/L76</f>
        <v>756000</v>
      </c>
      <c r="L79">
        <f t="shared" si="53"/>
        <v>5.115428571</v>
      </c>
      <c r="M79">
        <f t="shared" ref="M79:N79" si="67">M76*1.2</f>
        <v>2685.6</v>
      </c>
      <c r="N79">
        <f t="shared" si="67"/>
        <v>32227.2</v>
      </c>
      <c r="O79" s="2">
        <v>630000.0</v>
      </c>
      <c r="P79" s="2"/>
      <c r="Q79" s="2">
        <v>1.2</v>
      </c>
      <c r="R79" s="2">
        <v>480000.0</v>
      </c>
      <c r="S79" s="2">
        <v>3.0</v>
      </c>
      <c r="T79" s="2">
        <v>180000.0</v>
      </c>
      <c r="U79" s="2">
        <f>U76*1.2</f>
        <v>27638.4</v>
      </c>
      <c r="V79">
        <f t="shared" si="55"/>
        <v>14400</v>
      </c>
      <c r="W79">
        <f t="shared" si="56"/>
        <v>13238.4</v>
      </c>
      <c r="X79">
        <f t="shared" si="57"/>
        <v>8604.96</v>
      </c>
      <c r="Y79">
        <f t="shared" si="58"/>
        <v>2700</v>
      </c>
      <c r="Z79">
        <f t="shared" si="59"/>
        <v>5904.96</v>
      </c>
      <c r="AA79">
        <f t="shared" si="60"/>
        <v>9000</v>
      </c>
      <c r="AB79">
        <f t="shared" si="61"/>
        <v>-395.04</v>
      </c>
      <c r="AC79">
        <f t="shared" si="62"/>
        <v>5400</v>
      </c>
      <c r="AD79">
        <f t="shared" si="63"/>
        <v>3204.96</v>
      </c>
      <c r="AE79">
        <f t="shared" si="64"/>
        <v>4.780533333</v>
      </c>
      <c r="AF79">
        <f t="shared" si="65"/>
        <v>7.354666667</v>
      </c>
    </row>
    <row r="80">
      <c r="R80" s="2"/>
      <c r="S80" s="2"/>
      <c r="T80" s="2"/>
      <c r="U80" s="2"/>
    </row>
    <row r="81">
      <c r="R81" s="2"/>
      <c r="S81" s="2"/>
      <c r="T81" s="2"/>
      <c r="U81" s="2"/>
    </row>
    <row r="82">
      <c r="Q82" s="2">
        <v>1.0</v>
      </c>
      <c r="R82" s="2">
        <v>480000.0</v>
      </c>
      <c r="S82" s="2">
        <v>3.5</v>
      </c>
      <c r="T82" s="2">
        <v>180000.0</v>
      </c>
      <c r="U82" s="2">
        <v>23032.0</v>
      </c>
      <c r="V82">
        <f t="shared" ref="V82:V84" si="68">R82*S82/100</f>
        <v>16800</v>
      </c>
      <c r="W82">
        <f t="shared" ref="W82:W84" si="69">U82-V82</f>
        <v>6232</v>
      </c>
      <c r="X82">
        <f t="shared" ref="X82:X84" si="70">W82*0.65</f>
        <v>4050.8</v>
      </c>
      <c r="Y82">
        <f t="shared" ref="Y82:Y84" si="71">T82*0.015</f>
        <v>2700</v>
      </c>
      <c r="Z82">
        <f t="shared" ref="Z82:Z84" si="72">X82-Y82</f>
        <v>1350.8</v>
      </c>
      <c r="AA82">
        <f t="shared" ref="AA82:AA84" si="73">T82*0.05</f>
        <v>9000</v>
      </c>
      <c r="AB82">
        <f t="shared" ref="AB82:AB84" si="74">X82-AA82</f>
        <v>-4949.2</v>
      </c>
      <c r="AC82">
        <f t="shared" ref="AC82:AC84" si="75">T82*0.03</f>
        <v>5400</v>
      </c>
      <c r="AD82">
        <f t="shared" ref="AD82:AD84" si="76">X82-AC82</f>
        <v>-1349.2</v>
      </c>
      <c r="AE82">
        <f t="shared" ref="AE82:AE84" si="77">X82*100/T82</f>
        <v>2.250444444</v>
      </c>
      <c r="AF82">
        <f t="shared" ref="AF82:AF84" si="78">W82*100/T82</f>
        <v>3.462222222</v>
      </c>
    </row>
    <row r="83">
      <c r="Q83" s="2">
        <v>1.0</v>
      </c>
      <c r="R83" s="2">
        <v>480000.0</v>
      </c>
      <c r="S83" s="2">
        <v>4.0</v>
      </c>
      <c r="T83" s="2">
        <v>180000.0</v>
      </c>
      <c r="U83" s="2">
        <v>23032.0</v>
      </c>
      <c r="V83">
        <f t="shared" si="68"/>
        <v>19200</v>
      </c>
      <c r="W83">
        <f t="shared" si="69"/>
        <v>3832</v>
      </c>
      <c r="X83">
        <f t="shared" si="70"/>
        <v>2490.8</v>
      </c>
      <c r="Y83">
        <f t="shared" si="71"/>
        <v>2700</v>
      </c>
      <c r="Z83">
        <f t="shared" si="72"/>
        <v>-209.2</v>
      </c>
      <c r="AA83">
        <f t="shared" si="73"/>
        <v>9000</v>
      </c>
      <c r="AB83">
        <f t="shared" si="74"/>
        <v>-6509.2</v>
      </c>
      <c r="AC83">
        <f t="shared" si="75"/>
        <v>5400</v>
      </c>
      <c r="AD83">
        <f t="shared" si="76"/>
        <v>-2909.2</v>
      </c>
      <c r="AE83">
        <f t="shared" si="77"/>
        <v>1.383777778</v>
      </c>
      <c r="AF83">
        <f t="shared" si="78"/>
        <v>2.128888889</v>
      </c>
    </row>
    <row r="84">
      <c r="Q84" s="2">
        <v>1.0</v>
      </c>
      <c r="R84" s="2">
        <v>480000.0</v>
      </c>
      <c r="S84" s="2">
        <v>4.1</v>
      </c>
      <c r="T84" s="2">
        <v>180000.0</v>
      </c>
      <c r="U84" s="2">
        <v>23032.0</v>
      </c>
      <c r="V84">
        <f t="shared" si="68"/>
        <v>19680</v>
      </c>
      <c r="W84">
        <f t="shared" si="69"/>
        <v>3352</v>
      </c>
      <c r="X84">
        <f t="shared" si="70"/>
        <v>2178.8</v>
      </c>
      <c r="Y84">
        <f t="shared" si="71"/>
        <v>2700</v>
      </c>
      <c r="Z84">
        <f t="shared" si="72"/>
        <v>-521.2</v>
      </c>
      <c r="AA84">
        <f t="shared" si="73"/>
        <v>9000</v>
      </c>
      <c r="AB84">
        <f t="shared" si="74"/>
        <v>-6821.2</v>
      </c>
      <c r="AC84">
        <f t="shared" si="75"/>
        <v>5400</v>
      </c>
      <c r="AD84">
        <f t="shared" si="76"/>
        <v>-3221.2</v>
      </c>
      <c r="AE84">
        <f t="shared" si="77"/>
        <v>1.210444444</v>
      </c>
      <c r="AF84">
        <f t="shared" si="78"/>
        <v>1.862222222</v>
      </c>
    </row>
    <row r="85">
      <c r="R85" s="2"/>
      <c r="S85" s="2"/>
      <c r="T85" s="2"/>
      <c r="U85" s="2"/>
    </row>
    <row r="87">
      <c r="Q87" s="2">
        <v>1.05</v>
      </c>
      <c r="R87" s="2">
        <v>480000.0</v>
      </c>
      <c r="S87" s="2">
        <v>3.5</v>
      </c>
      <c r="T87" s="2">
        <v>180000.0</v>
      </c>
      <c r="U87" s="2">
        <f t="shared" ref="U87:U89" si="79">U82*1.05</f>
        <v>24183.6</v>
      </c>
      <c r="V87">
        <f t="shared" ref="V87:V89" si="80">R87*S87/100</f>
        <v>16800</v>
      </c>
      <c r="W87">
        <f t="shared" ref="W87:W89" si="81">U87-V87</f>
        <v>7383.6</v>
      </c>
      <c r="X87">
        <f t="shared" ref="X87:X89" si="82">W87*0.65</f>
        <v>4799.34</v>
      </c>
      <c r="Y87">
        <f t="shared" ref="Y87:Y89" si="83">T87*0.015</f>
        <v>2700</v>
      </c>
      <c r="Z87">
        <f t="shared" ref="Z87:Z89" si="84">X87-Y87</f>
        <v>2099.34</v>
      </c>
      <c r="AA87">
        <f t="shared" ref="AA87:AA89" si="85">T87*0.05</f>
        <v>9000</v>
      </c>
      <c r="AB87">
        <f t="shared" ref="AB87:AB89" si="86">X87-AA87</f>
        <v>-4200.66</v>
      </c>
      <c r="AC87">
        <f t="shared" ref="AC87:AC89" si="87">T87*0.03</f>
        <v>5400</v>
      </c>
      <c r="AD87">
        <f t="shared" ref="AD87:AD89" si="88">X87-AC87</f>
        <v>-600.66</v>
      </c>
      <c r="AE87">
        <f t="shared" ref="AE87:AE89" si="89">X87*100/T87</f>
        <v>2.6663</v>
      </c>
      <c r="AF87">
        <f t="shared" ref="AF87:AF89" si="90">W87*100/T87</f>
        <v>4.102</v>
      </c>
    </row>
    <row r="88">
      <c r="Q88" s="2">
        <v>1.05</v>
      </c>
      <c r="R88" s="2">
        <v>480000.0</v>
      </c>
      <c r="S88" s="2">
        <v>4.0</v>
      </c>
      <c r="T88" s="2">
        <v>180000.0</v>
      </c>
      <c r="U88" s="2">
        <f t="shared" si="79"/>
        <v>24183.6</v>
      </c>
      <c r="V88">
        <f t="shared" si="80"/>
        <v>19200</v>
      </c>
      <c r="W88">
        <f t="shared" si="81"/>
        <v>4983.6</v>
      </c>
      <c r="X88">
        <f t="shared" si="82"/>
        <v>3239.34</v>
      </c>
      <c r="Y88">
        <f t="shared" si="83"/>
        <v>2700</v>
      </c>
      <c r="Z88">
        <f t="shared" si="84"/>
        <v>539.34</v>
      </c>
      <c r="AA88">
        <f t="shared" si="85"/>
        <v>9000</v>
      </c>
      <c r="AB88">
        <f t="shared" si="86"/>
        <v>-5760.66</v>
      </c>
      <c r="AC88">
        <f t="shared" si="87"/>
        <v>5400</v>
      </c>
      <c r="AD88">
        <f t="shared" si="88"/>
        <v>-2160.66</v>
      </c>
      <c r="AE88">
        <f t="shared" si="89"/>
        <v>1.799633333</v>
      </c>
      <c r="AF88">
        <f t="shared" si="90"/>
        <v>2.768666667</v>
      </c>
    </row>
    <row r="89">
      <c r="Q89" s="2">
        <v>1.05</v>
      </c>
      <c r="R89" s="2">
        <v>480000.0</v>
      </c>
      <c r="S89" s="2">
        <v>4.3</v>
      </c>
      <c r="T89" s="2">
        <v>180000.0</v>
      </c>
      <c r="U89" s="2">
        <f t="shared" si="79"/>
        <v>24183.6</v>
      </c>
      <c r="V89">
        <f t="shared" si="80"/>
        <v>20640</v>
      </c>
      <c r="W89">
        <f t="shared" si="81"/>
        <v>3543.6</v>
      </c>
      <c r="X89">
        <f t="shared" si="82"/>
        <v>2303.34</v>
      </c>
      <c r="Y89">
        <f t="shared" si="83"/>
        <v>2700</v>
      </c>
      <c r="Z89">
        <f t="shared" si="84"/>
        <v>-396.66</v>
      </c>
      <c r="AA89">
        <f t="shared" si="85"/>
        <v>9000</v>
      </c>
      <c r="AB89">
        <f t="shared" si="86"/>
        <v>-6696.66</v>
      </c>
      <c r="AC89">
        <f t="shared" si="87"/>
        <v>5400</v>
      </c>
      <c r="AD89">
        <f t="shared" si="88"/>
        <v>-3096.66</v>
      </c>
      <c r="AE89">
        <f t="shared" si="89"/>
        <v>1.279633333</v>
      </c>
      <c r="AF89">
        <f t="shared" si="90"/>
        <v>1.968666667</v>
      </c>
    </row>
    <row r="92">
      <c r="Q92" s="2">
        <v>1.1</v>
      </c>
      <c r="R92" s="2">
        <v>480000.0</v>
      </c>
      <c r="S92" s="2">
        <v>3.5</v>
      </c>
      <c r="T92" s="2">
        <v>180000.0</v>
      </c>
      <c r="U92" s="2">
        <f t="shared" ref="U92:U94" si="91">U82*1.1</f>
        <v>25335.2</v>
      </c>
      <c r="V92">
        <f t="shared" ref="V92:V94" si="92">R92*S92/100</f>
        <v>16800</v>
      </c>
      <c r="W92">
        <f t="shared" ref="W92:W94" si="93">U92-V92</f>
        <v>8535.2</v>
      </c>
      <c r="X92">
        <f t="shared" ref="X92:X94" si="94">W92*0.65</f>
        <v>5547.88</v>
      </c>
      <c r="Y92">
        <f t="shared" ref="Y92:Y94" si="95">T92*0.015</f>
        <v>2700</v>
      </c>
      <c r="Z92">
        <f t="shared" ref="Z92:Z94" si="96">X92-Y92</f>
        <v>2847.88</v>
      </c>
      <c r="AA92">
        <f t="shared" ref="AA92:AA94" si="97">T92*0.05</f>
        <v>9000</v>
      </c>
      <c r="AB92">
        <f t="shared" ref="AB92:AB94" si="98">X92-AA92</f>
        <v>-3452.12</v>
      </c>
      <c r="AC92">
        <f t="shared" ref="AC92:AC94" si="99">T92*0.03</f>
        <v>5400</v>
      </c>
      <c r="AD92">
        <f t="shared" ref="AD92:AD94" si="100">X92-AC92</f>
        <v>147.88</v>
      </c>
      <c r="AE92">
        <f t="shared" ref="AE92:AE94" si="101">X92*100/T92</f>
        <v>3.082155556</v>
      </c>
      <c r="AF92">
        <f t="shared" ref="AF92:AF94" si="102">W92*100/T92</f>
        <v>4.741777778</v>
      </c>
    </row>
    <row r="93">
      <c r="Q93" s="2">
        <v>1.1</v>
      </c>
      <c r="R93" s="2">
        <v>480000.0</v>
      </c>
      <c r="S93" s="2">
        <v>4.0</v>
      </c>
      <c r="T93" s="2">
        <v>180000.0</v>
      </c>
      <c r="U93" s="2">
        <f t="shared" si="91"/>
        <v>25335.2</v>
      </c>
      <c r="V93">
        <f t="shared" si="92"/>
        <v>19200</v>
      </c>
      <c r="W93">
        <f t="shared" si="93"/>
        <v>6135.2</v>
      </c>
      <c r="X93">
        <f t="shared" si="94"/>
        <v>3987.88</v>
      </c>
      <c r="Y93">
        <f t="shared" si="95"/>
        <v>2700</v>
      </c>
      <c r="Z93">
        <f t="shared" si="96"/>
        <v>1287.88</v>
      </c>
      <c r="AA93">
        <f t="shared" si="97"/>
        <v>9000</v>
      </c>
      <c r="AB93">
        <f t="shared" si="98"/>
        <v>-5012.12</v>
      </c>
      <c r="AC93">
        <f t="shared" si="99"/>
        <v>5400</v>
      </c>
      <c r="AD93">
        <f t="shared" si="100"/>
        <v>-1412.12</v>
      </c>
      <c r="AE93">
        <f t="shared" si="101"/>
        <v>2.215488889</v>
      </c>
      <c r="AF93">
        <f t="shared" si="102"/>
        <v>3.408444444</v>
      </c>
    </row>
    <row r="94">
      <c r="Q94" s="2">
        <v>1.1</v>
      </c>
      <c r="R94" s="2">
        <v>480000.0</v>
      </c>
      <c r="S94" s="2">
        <v>4.5</v>
      </c>
      <c r="T94" s="2">
        <v>180000.0</v>
      </c>
      <c r="U94" s="2">
        <f t="shared" si="91"/>
        <v>25335.2</v>
      </c>
      <c r="V94">
        <f t="shared" si="92"/>
        <v>21600</v>
      </c>
      <c r="W94">
        <f t="shared" si="93"/>
        <v>3735.2</v>
      </c>
      <c r="X94">
        <f t="shared" si="94"/>
        <v>2427.88</v>
      </c>
      <c r="Y94">
        <f t="shared" si="95"/>
        <v>2700</v>
      </c>
      <c r="Z94">
        <f t="shared" si="96"/>
        <v>-272.12</v>
      </c>
      <c r="AA94">
        <f t="shared" si="97"/>
        <v>9000</v>
      </c>
      <c r="AB94">
        <f t="shared" si="98"/>
        <v>-6572.12</v>
      </c>
      <c r="AC94">
        <f t="shared" si="99"/>
        <v>5400</v>
      </c>
      <c r="AD94">
        <f t="shared" si="100"/>
        <v>-2972.12</v>
      </c>
      <c r="AE94">
        <f t="shared" si="101"/>
        <v>1.348822222</v>
      </c>
      <c r="AF94">
        <f t="shared" si="102"/>
        <v>2.075111111</v>
      </c>
    </row>
    <row r="97">
      <c r="Q97" s="2">
        <v>1.2</v>
      </c>
      <c r="R97" s="2">
        <v>480000.0</v>
      </c>
      <c r="S97" s="2">
        <v>3.5</v>
      </c>
      <c r="T97" s="2">
        <v>180000.0</v>
      </c>
      <c r="U97" s="2">
        <f t="shared" ref="U97:U99" si="103">U82*1.2</f>
        <v>27638.4</v>
      </c>
      <c r="V97">
        <f t="shared" ref="V97:V99" si="104">R97*S97/100</f>
        <v>16800</v>
      </c>
      <c r="W97">
        <f t="shared" ref="W97:W99" si="105">U97-V97</f>
        <v>10838.4</v>
      </c>
      <c r="X97">
        <f t="shared" ref="X97:X99" si="106">W97*0.65</f>
        <v>7044.96</v>
      </c>
      <c r="Y97">
        <f t="shared" ref="Y97:Y99" si="107">T97*0.015</f>
        <v>2700</v>
      </c>
      <c r="Z97">
        <f t="shared" ref="Z97:Z99" si="108">X97-Y97</f>
        <v>4344.96</v>
      </c>
      <c r="AA97">
        <f t="shared" ref="AA97:AA99" si="109">T97*0.05</f>
        <v>9000</v>
      </c>
      <c r="AB97">
        <f t="shared" ref="AB97:AB99" si="110">X97-AA97</f>
        <v>-1955.04</v>
      </c>
      <c r="AC97">
        <f t="shared" ref="AC97:AC99" si="111">T97*0.03</f>
        <v>5400</v>
      </c>
      <c r="AD97">
        <f t="shared" ref="AD97:AD99" si="112">X97-AC97</f>
        <v>1644.96</v>
      </c>
      <c r="AE97">
        <f t="shared" ref="AE97:AE99" si="113">X97*100/T97</f>
        <v>3.913866667</v>
      </c>
      <c r="AF97">
        <f t="shared" ref="AF97:AF99" si="114">W97*100/T97</f>
        <v>6.021333333</v>
      </c>
    </row>
    <row r="98">
      <c r="Q98" s="2">
        <v>1.2</v>
      </c>
      <c r="R98" s="2">
        <v>480000.0</v>
      </c>
      <c r="S98" s="2">
        <v>4.0</v>
      </c>
      <c r="T98" s="2">
        <v>180000.0</v>
      </c>
      <c r="U98" s="2">
        <f t="shared" si="103"/>
        <v>27638.4</v>
      </c>
      <c r="V98">
        <f t="shared" si="104"/>
        <v>19200</v>
      </c>
      <c r="W98">
        <f t="shared" si="105"/>
        <v>8438.4</v>
      </c>
      <c r="X98">
        <f t="shared" si="106"/>
        <v>5484.96</v>
      </c>
      <c r="Y98">
        <f t="shared" si="107"/>
        <v>2700</v>
      </c>
      <c r="Z98">
        <f t="shared" si="108"/>
        <v>2784.96</v>
      </c>
      <c r="AA98">
        <f t="shared" si="109"/>
        <v>9000</v>
      </c>
      <c r="AB98">
        <f t="shared" si="110"/>
        <v>-3515.04</v>
      </c>
      <c r="AC98">
        <f t="shared" si="111"/>
        <v>5400</v>
      </c>
      <c r="AD98">
        <f t="shared" si="112"/>
        <v>84.96</v>
      </c>
      <c r="AE98">
        <f t="shared" si="113"/>
        <v>3.0472</v>
      </c>
      <c r="AF98">
        <f t="shared" si="114"/>
        <v>4.688</v>
      </c>
    </row>
    <row r="99">
      <c r="Q99" s="2">
        <v>1.2</v>
      </c>
      <c r="R99" s="2">
        <v>480000.0</v>
      </c>
      <c r="S99" s="2">
        <v>4.9</v>
      </c>
      <c r="T99" s="2">
        <v>180000.0</v>
      </c>
      <c r="U99" s="2">
        <f t="shared" si="103"/>
        <v>27638.4</v>
      </c>
      <c r="V99">
        <f t="shared" si="104"/>
        <v>23520</v>
      </c>
      <c r="W99">
        <f t="shared" si="105"/>
        <v>4118.4</v>
      </c>
      <c r="X99">
        <f t="shared" si="106"/>
        <v>2676.96</v>
      </c>
      <c r="Y99">
        <f t="shared" si="107"/>
        <v>2700</v>
      </c>
      <c r="Z99">
        <f t="shared" si="108"/>
        <v>-23.04</v>
      </c>
      <c r="AA99">
        <f t="shared" si="109"/>
        <v>9000</v>
      </c>
      <c r="AB99">
        <f t="shared" si="110"/>
        <v>-6323.04</v>
      </c>
      <c r="AC99">
        <f t="shared" si="111"/>
        <v>5400</v>
      </c>
      <c r="AD99">
        <f t="shared" si="112"/>
        <v>-2723.04</v>
      </c>
      <c r="AE99">
        <f t="shared" si="113"/>
        <v>1.4872</v>
      </c>
      <c r="AF99">
        <f t="shared" si="114"/>
        <v>2.288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" width="15.13"/>
    <col customWidth="1" min="3" max="3" width="18.5"/>
    <col customWidth="1" min="4" max="20" width="15.13"/>
  </cols>
  <sheetData>
    <row r="1">
      <c r="A1" s="1" t="s">
        <v>3090</v>
      </c>
    </row>
    <row r="2">
      <c r="A2" s="1" t="s">
        <v>2496</v>
      </c>
      <c r="B2" s="1">
        <v>60170.0</v>
      </c>
    </row>
    <row r="3">
      <c r="A3" s="1" t="s">
        <v>768</v>
      </c>
      <c r="B3" s="1">
        <v>26400.0</v>
      </c>
    </row>
    <row r="4">
      <c r="A4" s="1" t="s">
        <v>2545</v>
      </c>
      <c r="B4" s="1">
        <v>12250.0</v>
      </c>
      <c r="C4" s="1" t="s">
        <v>3091</v>
      </c>
    </row>
    <row r="5">
      <c r="A5" s="1" t="s">
        <v>3092</v>
      </c>
      <c r="B5" s="1">
        <v>1000.0</v>
      </c>
    </row>
    <row r="6">
      <c r="A6" s="1" t="s">
        <v>2550</v>
      </c>
      <c r="B6" s="1">
        <v>810.0</v>
      </c>
    </row>
    <row r="7">
      <c r="A7" s="1" t="s">
        <v>3093</v>
      </c>
      <c r="B7" s="1">
        <v>14410.0</v>
      </c>
    </row>
    <row r="8">
      <c r="A8" s="1" t="s">
        <v>3094</v>
      </c>
      <c r="B8" s="1">
        <v>0.0</v>
      </c>
      <c r="C8" s="1" t="s">
        <v>3095</v>
      </c>
    </row>
    <row r="9">
      <c r="A9" s="1" t="s">
        <v>3096</v>
      </c>
      <c r="B9" s="1">
        <v>330.0</v>
      </c>
      <c r="C9" s="1" t="s">
        <v>3097</v>
      </c>
    </row>
    <row r="10">
      <c r="A10" s="1" t="s">
        <v>972</v>
      </c>
      <c r="B10" s="1">
        <v>4000.0</v>
      </c>
    </row>
    <row r="12">
      <c r="A12" s="1" t="s">
        <v>2740</v>
      </c>
      <c r="B12">
        <f>SUM(B2:B11)</f>
        <v>119370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0" width="15.13"/>
  </cols>
  <sheetData>
    <row r="2">
      <c r="A2" s="1" t="s">
        <v>3098</v>
      </c>
      <c r="E2" s="1" t="s">
        <v>3099</v>
      </c>
      <c r="I2" s="1" t="s">
        <v>3100</v>
      </c>
    </row>
    <row r="4">
      <c r="A4" s="1" t="s">
        <v>3101</v>
      </c>
      <c r="E4" s="1" t="s">
        <v>3101</v>
      </c>
      <c r="I4" s="1" t="s">
        <v>3101</v>
      </c>
    </row>
    <row r="5">
      <c r="A5" s="1" t="s">
        <v>3102</v>
      </c>
      <c r="E5" s="1" t="s">
        <v>3102</v>
      </c>
      <c r="I5" s="1" t="s">
        <v>3102</v>
      </c>
    </row>
    <row r="7">
      <c r="B7" s="1" t="s">
        <v>3103</v>
      </c>
      <c r="C7" s="1" t="s">
        <v>3104</v>
      </c>
      <c r="F7" s="1" t="s">
        <v>3103</v>
      </c>
      <c r="J7" s="1" t="s">
        <v>3103</v>
      </c>
    </row>
    <row r="8">
      <c r="A8" s="1" t="s">
        <v>3105</v>
      </c>
      <c r="B8" s="69">
        <v>39930.0</v>
      </c>
      <c r="C8" s="69">
        <v>40203.0</v>
      </c>
      <c r="E8" s="1" t="s">
        <v>3105</v>
      </c>
      <c r="F8" s="69">
        <v>39930.0</v>
      </c>
      <c r="I8" s="1" t="s">
        <v>3105</v>
      </c>
      <c r="J8" s="69">
        <v>39930.0</v>
      </c>
    </row>
    <row r="9">
      <c r="A9" s="1" t="s">
        <v>3106</v>
      </c>
      <c r="B9" s="69">
        <v>40294.0</v>
      </c>
      <c r="C9" s="69">
        <v>40294.0</v>
      </c>
      <c r="E9" s="1" t="s">
        <v>3106</v>
      </c>
      <c r="F9" s="69">
        <v>40294.0</v>
      </c>
      <c r="I9" s="1" t="s">
        <v>3106</v>
      </c>
      <c r="J9" s="69">
        <v>40294.0</v>
      </c>
    </row>
    <row r="10">
      <c r="A10" s="1" t="s">
        <v>3107</v>
      </c>
      <c r="B10" s="1" t="s">
        <v>3108</v>
      </c>
      <c r="C10" s="1" t="s">
        <v>3109</v>
      </c>
      <c r="E10" s="1" t="s">
        <v>3107</v>
      </c>
      <c r="F10" s="1" t="s">
        <v>3108</v>
      </c>
      <c r="I10" s="1" t="s">
        <v>3107</v>
      </c>
      <c r="J10" s="1" t="s">
        <v>3108</v>
      </c>
    </row>
    <row r="11">
      <c r="A11" s="1" t="s">
        <v>3110</v>
      </c>
      <c r="B11" s="1" t="s">
        <v>3111</v>
      </c>
      <c r="C11" s="1" t="s">
        <v>3112</v>
      </c>
      <c r="E11" s="1" t="s">
        <v>3110</v>
      </c>
      <c r="F11" s="1" t="s">
        <v>3113</v>
      </c>
      <c r="I11" s="1" t="s">
        <v>3110</v>
      </c>
      <c r="J11" s="1" t="s">
        <v>3114</v>
      </c>
    </row>
    <row r="12">
      <c r="A12" s="1" t="s">
        <v>3115</v>
      </c>
      <c r="B12" s="1" t="s">
        <v>3116</v>
      </c>
      <c r="C12" s="1" t="s">
        <v>3117</v>
      </c>
      <c r="E12" s="1" t="s">
        <v>3115</v>
      </c>
      <c r="F12" s="1" t="s">
        <v>3118</v>
      </c>
      <c r="I12" s="1" t="s">
        <v>3115</v>
      </c>
      <c r="J12" s="1" t="s">
        <v>3119</v>
      </c>
    </row>
    <row r="13">
      <c r="A13" s="1" t="s">
        <v>3120</v>
      </c>
      <c r="B13" s="70">
        <v>0.7339</v>
      </c>
      <c r="C13" s="70">
        <v>0.1454</v>
      </c>
      <c r="E13" s="1" t="s">
        <v>3120</v>
      </c>
      <c r="F13" s="70">
        <v>0.7026</v>
      </c>
      <c r="I13" s="1" t="s">
        <v>3120</v>
      </c>
      <c r="J13" s="70">
        <v>0.6996</v>
      </c>
    </row>
    <row r="14">
      <c r="A14" s="1" t="s">
        <v>3121</v>
      </c>
      <c r="B14" s="1" t="s">
        <v>3122</v>
      </c>
      <c r="C14" s="1" t="s">
        <v>3123</v>
      </c>
      <c r="E14" s="1" t="s">
        <v>3121</v>
      </c>
      <c r="F14" s="1" t="s">
        <v>3124</v>
      </c>
      <c r="I14" s="1" t="s">
        <v>3121</v>
      </c>
      <c r="J14" s="1" t="s">
        <v>3125</v>
      </c>
    </row>
    <row r="15">
      <c r="A15" s="1" t="s">
        <v>3126</v>
      </c>
      <c r="B15" s="70">
        <v>0.05</v>
      </c>
      <c r="C15" s="70">
        <v>0.0126</v>
      </c>
      <c r="E15" s="1" t="s">
        <v>3126</v>
      </c>
      <c r="F15" s="70">
        <v>0.05</v>
      </c>
      <c r="I15" s="1" t="s">
        <v>3126</v>
      </c>
      <c r="J15" s="70">
        <v>0.05</v>
      </c>
    </row>
    <row r="16">
      <c r="A16" s="1" t="s">
        <v>3127</v>
      </c>
      <c r="B16" s="1" t="s">
        <v>3128</v>
      </c>
      <c r="C16" s="1" t="s">
        <v>3129</v>
      </c>
      <c r="E16" s="1" t="s">
        <v>3127</v>
      </c>
      <c r="F16" s="1" t="s">
        <v>3130</v>
      </c>
      <c r="I16" s="1" t="s">
        <v>3127</v>
      </c>
      <c r="J16" s="1" t="s">
        <v>3131</v>
      </c>
    </row>
    <row r="17">
      <c r="A17" s="1" t="s">
        <v>3132</v>
      </c>
      <c r="B17" s="1" t="s">
        <v>3133</v>
      </c>
      <c r="C17" s="1" t="s">
        <v>3134</v>
      </c>
      <c r="E17" s="1" t="s">
        <v>3132</v>
      </c>
      <c r="F17" s="1" t="s">
        <v>3135</v>
      </c>
      <c r="I17" s="1" t="s">
        <v>3132</v>
      </c>
      <c r="J17" s="1" t="s">
        <v>3136</v>
      </c>
    </row>
    <row r="18">
      <c r="A18" s="1" t="s">
        <v>3137</v>
      </c>
      <c r="B18" s="1" t="s">
        <v>3138</v>
      </c>
      <c r="C18" s="1" t="s">
        <v>3139</v>
      </c>
      <c r="E18" s="1" t="s">
        <v>3137</v>
      </c>
      <c r="F18" s="1" t="s">
        <v>3140</v>
      </c>
      <c r="I18" s="1" t="s">
        <v>3137</v>
      </c>
      <c r="J18" s="1" t="s">
        <v>3141</v>
      </c>
    </row>
    <row r="19">
      <c r="A19" s="1" t="s">
        <v>3142</v>
      </c>
      <c r="B19" s="1" t="s">
        <v>3143</v>
      </c>
      <c r="E19" s="1" t="s">
        <v>3142</v>
      </c>
      <c r="F19" s="1" t="s">
        <v>3124</v>
      </c>
      <c r="I19" s="1" t="s">
        <v>3142</v>
      </c>
      <c r="J19" s="1" t="s">
        <v>3125</v>
      </c>
    </row>
    <row r="20">
      <c r="A20" s="1" t="s">
        <v>3144</v>
      </c>
      <c r="B20" s="1" t="s">
        <v>3145</v>
      </c>
      <c r="E20" s="1" t="s">
        <v>3144</v>
      </c>
      <c r="F20" s="1" t="s">
        <v>3146</v>
      </c>
      <c r="I20" s="1" t="s">
        <v>3144</v>
      </c>
      <c r="J20" s="1" t="s">
        <v>3147</v>
      </c>
    </row>
    <row r="21">
      <c r="A21" s="1" t="s">
        <v>3137</v>
      </c>
      <c r="B21" s="1">
        <v>2.0726423E7</v>
      </c>
      <c r="E21" s="1" t="s">
        <v>3137</v>
      </c>
      <c r="F21" s="1">
        <v>1.0731452E7</v>
      </c>
      <c r="G21" s="1" t="s">
        <v>3148</v>
      </c>
      <c r="I21" s="1" t="s">
        <v>3137</v>
      </c>
      <c r="J21" s="1">
        <v>8935627.0</v>
      </c>
      <c r="K21" s="1" t="s">
        <v>3148</v>
      </c>
    </row>
    <row r="23">
      <c r="A23" s="1" t="s">
        <v>3149</v>
      </c>
      <c r="E23" s="1" t="s">
        <v>3149</v>
      </c>
      <c r="I23" s="1" t="s">
        <v>3149</v>
      </c>
    </row>
    <row r="24">
      <c r="A24" s="1" t="s">
        <v>3150</v>
      </c>
      <c r="B24" s="1" t="s">
        <v>3151</v>
      </c>
      <c r="E24" s="1" t="s">
        <v>3150</v>
      </c>
      <c r="F24" s="1" t="s">
        <v>3118</v>
      </c>
      <c r="I24" s="1" t="s">
        <v>3150</v>
      </c>
      <c r="J24" s="1" t="s">
        <v>3119</v>
      </c>
    </row>
    <row r="25">
      <c r="A25" s="1" t="s">
        <v>3152</v>
      </c>
      <c r="B25" s="1">
        <v>3436148.0</v>
      </c>
      <c r="C25">
        <f>SUM(B21,B25)</f>
        <v>24162571</v>
      </c>
      <c r="E25" s="1" t="s">
        <v>3152</v>
      </c>
      <c r="F25" s="1">
        <v>1399928.0</v>
      </c>
      <c r="G25">
        <f>SUM(F21,F25)</f>
        <v>12131380</v>
      </c>
      <c r="I25" s="1" t="s">
        <v>3152</v>
      </c>
      <c r="J25" s="1">
        <v>1168924.0</v>
      </c>
      <c r="K25">
        <f>SUM(J21,J25)</f>
        <v>10104551</v>
      </c>
    </row>
    <row r="26">
      <c r="I26">
        <f>SUM(G25,K25)</f>
        <v>22235931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5.38"/>
    <col customWidth="1" min="2" max="2" width="5.88"/>
    <col customWidth="1" min="3" max="3" width="11.63"/>
    <col customWidth="1" min="4" max="4" width="7.38"/>
    <col customWidth="1" min="5" max="5" width="5.0"/>
    <col customWidth="1" min="6" max="6" width="8.25"/>
    <col customWidth="1" min="7" max="7" width="6.75"/>
    <col customWidth="1" min="8" max="8" width="21.0"/>
    <col customWidth="1" min="9" max="9" width="4.63"/>
    <col customWidth="1" min="10" max="10" width="7.88"/>
    <col customWidth="1" min="11" max="11" width="6.88"/>
    <col customWidth="1" min="12" max="12" width="21.25"/>
    <col customWidth="1" min="13" max="13" width="5.13"/>
    <col customWidth="1" min="14" max="14" width="7.63"/>
    <col customWidth="1" min="15" max="15" width="7.13"/>
    <col customWidth="1" min="16" max="23" width="13.38"/>
  </cols>
  <sheetData>
    <row r="1">
      <c r="A1" s="1">
        <v>120.0</v>
      </c>
      <c r="B1" s="1" t="s">
        <v>3153</v>
      </c>
      <c r="C1" s="1" t="s">
        <v>3154</v>
      </c>
      <c r="D1" s="1" t="s">
        <v>3155</v>
      </c>
      <c r="F1" s="1" t="s">
        <v>3156</v>
      </c>
      <c r="G1" s="1" t="s">
        <v>3157</v>
      </c>
      <c r="H1" s="1" t="s">
        <v>3158</v>
      </c>
      <c r="J1" s="1" t="s">
        <v>3156</v>
      </c>
      <c r="K1" s="1" t="s">
        <v>3157</v>
      </c>
      <c r="L1" s="1" t="s">
        <v>3159</v>
      </c>
      <c r="N1" s="1" t="s">
        <v>3156</v>
      </c>
      <c r="O1" s="1" t="s">
        <v>3157</v>
      </c>
    </row>
    <row r="2">
      <c r="B2" s="1">
        <v>1.0</v>
      </c>
      <c r="C2">
        <f>A1*(1+0.04)</f>
        <v>124.8</v>
      </c>
      <c r="D2">
        <f>A1*(1+0.04*0.84)</f>
        <v>124.032</v>
      </c>
      <c r="F2">
        <f>A1*1.035</f>
        <v>124.2</v>
      </c>
      <c r="H2">
        <f>A1*0.8*(1+0.04)</f>
        <v>99.84</v>
      </c>
      <c r="L2">
        <f>A1*0.8*(1+0.047)</f>
        <v>100.512</v>
      </c>
    </row>
    <row r="3">
      <c r="B3" s="1">
        <v>2.0</v>
      </c>
      <c r="C3">
        <f t="shared" ref="C3:C31" si="1">D2*(1+0.04)</f>
        <v>128.99328</v>
      </c>
      <c r="D3">
        <f t="shared" ref="D3:D31" si="2">D2*(1+0.04*0.84)</f>
        <v>128.1994752</v>
      </c>
      <c r="H3">
        <f t="shared" ref="H3:H31" si="3">H2*(1+0.04)</f>
        <v>103.8336</v>
      </c>
      <c r="L3">
        <f t="shared" ref="L3:L31" si="4">L2*(1+0.047)</f>
        <v>105.236064</v>
      </c>
    </row>
    <row r="4">
      <c r="B4" s="1">
        <v>3.0</v>
      </c>
      <c r="C4">
        <f t="shared" si="1"/>
        <v>133.3274542</v>
      </c>
      <c r="D4">
        <f t="shared" si="2"/>
        <v>132.5069776</v>
      </c>
      <c r="H4">
        <f t="shared" si="3"/>
        <v>107.986944</v>
      </c>
      <c r="L4">
        <f t="shared" si="4"/>
        <v>110.182159</v>
      </c>
    </row>
    <row r="5">
      <c r="B5" s="1">
        <v>4.0</v>
      </c>
      <c r="C5">
        <f t="shared" si="1"/>
        <v>137.8072567</v>
      </c>
      <c r="D5">
        <f t="shared" si="2"/>
        <v>136.959212</v>
      </c>
      <c r="H5">
        <f t="shared" si="3"/>
        <v>112.3064218</v>
      </c>
      <c r="L5">
        <f t="shared" si="4"/>
        <v>115.3607205</v>
      </c>
    </row>
    <row r="6">
      <c r="B6" s="1">
        <v>5.0</v>
      </c>
      <c r="C6">
        <f t="shared" si="1"/>
        <v>142.4375805</v>
      </c>
      <c r="D6">
        <f t="shared" si="2"/>
        <v>141.5610415</v>
      </c>
      <c r="E6">
        <f>SUM(D2:D6)</f>
        <v>663.2587063</v>
      </c>
      <c r="F6">
        <f>SUM(D2:D6)</f>
        <v>663.2587063</v>
      </c>
      <c r="H6">
        <f t="shared" si="3"/>
        <v>116.7986786</v>
      </c>
      <c r="I6">
        <f>SUM(H2:H6)</f>
        <v>540.7656444</v>
      </c>
      <c r="J6">
        <f>SUM(H2:H6)</f>
        <v>540.7656444</v>
      </c>
      <c r="L6">
        <f t="shared" si="4"/>
        <v>120.7826743</v>
      </c>
      <c r="M6">
        <f>SUM(L2:L6)</f>
        <v>552.0736178</v>
      </c>
      <c r="N6">
        <f>SUM(L2:L6)</f>
        <v>552.0736178</v>
      </c>
    </row>
    <row r="7">
      <c r="B7" s="1">
        <v>6.0</v>
      </c>
      <c r="C7">
        <f t="shared" si="1"/>
        <v>147.2234832</v>
      </c>
      <c r="D7">
        <f t="shared" si="2"/>
        <v>146.3174925</v>
      </c>
      <c r="F7">
        <f t="shared" ref="F7:F31" si="5">F6*(1+0.04*0.84)</f>
        <v>685.5441988</v>
      </c>
      <c r="H7">
        <f t="shared" si="3"/>
        <v>121.4706258</v>
      </c>
      <c r="J7">
        <f t="shared" ref="J7:J31" si="6">J6*(1+0.04)</f>
        <v>562.3962702</v>
      </c>
      <c r="L7">
        <f t="shared" si="4"/>
        <v>126.45946</v>
      </c>
      <c r="N7">
        <f t="shared" ref="N7:N31" si="7">N6*(1+0.047)</f>
        <v>578.0210779</v>
      </c>
    </row>
    <row r="8">
      <c r="B8" s="1">
        <v>7.0</v>
      </c>
      <c r="C8">
        <f t="shared" si="1"/>
        <v>152.1701922</v>
      </c>
      <c r="D8">
        <f t="shared" si="2"/>
        <v>151.2337603</v>
      </c>
      <c r="E8">
        <f>SUM(D2:D8)</f>
        <v>960.8099591</v>
      </c>
      <c r="F8">
        <f t="shared" si="5"/>
        <v>708.5784839</v>
      </c>
      <c r="G8">
        <f>SUM(D2:D8)</f>
        <v>960.8099591</v>
      </c>
      <c r="H8">
        <f t="shared" si="3"/>
        <v>126.3294508</v>
      </c>
      <c r="I8">
        <f>SUM(H2:H8)</f>
        <v>788.565721</v>
      </c>
      <c r="J8">
        <f t="shared" si="6"/>
        <v>584.892121</v>
      </c>
      <c r="K8">
        <f>SUM(H2:H8)</f>
        <v>788.565721</v>
      </c>
      <c r="L8">
        <f t="shared" si="4"/>
        <v>132.4030547</v>
      </c>
      <c r="M8">
        <f>SUM(L2:L8)</f>
        <v>810.9361325</v>
      </c>
      <c r="N8">
        <f t="shared" si="7"/>
        <v>605.1880685</v>
      </c>
      <c r="O8">
        <f>SUM(L2:L8)</f>
        <v>810.9361325</v>
      </c>
    </row>
    <row r="9">
      <c r="B9" s="1">
        <v>8.0</v>
      </c>
      <c r="C9">
        <f t="shared" si="1"/>
        <v>157.2831107</v>
      </c>
      <c r="D9">
        <f t="shared" si="2"/>
        <v>156.3152146</v>
      </c>
      <c r="F9">
        <f t="shared" si="5"/>
        <v>732.386721</v>
      </c>
      <c r="G9">
        <f t="shared" ref="G9:G31" si="8">G8*(1+0.04*0.84)</f>
        <v>993.0931738</v>
      </c>
      <c r="H9">
        <f t="shared" si="3"/>
        <v>131.3826288</v>
      </c>
      <c r="J9">
        <f t="shared" si="6"/>
        <v>608.2878058</v>
      </c>
      <c r="K9">
        <f t="shared" ref="K9:K31" si="9">K8*(1+0.04)</f>
        <v>820.1083498</v>
      </c>
      <c r="L9">
        <f t="shared" si="4"/>
        <v>138.6259982</v>
      </c>
      <c r="N9">
        <f t="shared" si="7"/>
        <v>633.6319078</v>
      </c>
      <c r="O9">
        <f t="shared" ref="O9:O31" si="10">O8*(1+0.047)</f>
        <v>849.0501308</v>
      </c>
    </row>
    <row r="10">
      <c r="B10" s="1">
        <v>9.0</v>
      </c>
      <c r="C10">
        <f t="shared" si="1"/>
        <v>162.5678232</v>
      </c>
      <c r="D10">
        <f t="shared" si="2"/>
        <v>161.5674058</v>
      </c>
      <c r="E10">
        <f>SUM(D2:D10)</f>
        <v>1278.69258</v>
      </c>
      <c r="F10">
        <f t="shared" si="5"/>
        <v>756.9949148</v>
      </c>
      <c r="G10">
        <f t="shared" si="8"/>
        <v>1026.461104</v>
      </c>
      <c r="H10">
        <f t="shared" si="3"/>
        <v>136.637934</v>
      </c>
      <c r="I10">
        <f>SUM(H2:H10)</f>
        <v>1056.586284</v>
      </c>
      <c r="J10">
        <f t="shared" si="6"/>
        <v>632.619318</v>
      </c>
      <c r="K10">
        <f t="shared" si="9"/>
        <v>852.9126838</v>
      </c>
      <c r="L10">
        <f t="shared" si="4"/>
        <v>145.1414201</v>
      </c>
      <c r="M10">
        <f>SUM(L2:L10)</f>
        <v>1094.703551</v>
      </c>
      <c r="N10">
        <f t="shared" si="7"/>
        <v>663.4126074</v>
      </c>
      <c r="O10">
        <f t="shared" si="10"/>
        <v>888.9554869</v>
      </c>
    </row>
    <row r="11">
      <c r="B11" s="1">
        <v>10.0</v>
      </c>
      <c r="C11">
        <f t="shared" si="1"/>
        <v>168.0301021</v>
      </c>
      <c r="D11">
        <f t="shared" si="2"/>
        <v>166.9960707</v>
      </c>
      <c r="E11">
        <f>SUM(D2:D11)</f>
        <v>1445.68865</v>
      </c>
      <c r="F11">
        <f t="shared" si="5"/>
        <v>782.429944</v>
      </c>
      <c r="G11">
        <f t="shared" si="8"/>
        <v>1060.950198</v>
      </c>
      <c r="H11">
        <f t="shared" si="3"/>
        <v>142.1034514</v>
      </c>
      <c r="I11">
        <f>SUM(H2:H11)</f>
        <v>1198.689735</v>
      </c>
      <c r="J11">
        <f t="shared" si="6"/>
        <v>657.9240908</v>
      </c>
      <c r="K11">
        <f t="shared" si="9"/>
        <v>887.0291912</v>
      </c>
      <c r="L11">
        <f t="shared" si="4"/>
        <v>151.9630669</v>
      </c>
      <c r="M11">
        <f>SUM(L2:L11)</f>
        <v>1246.666618</v>
      </c>
      <c r="N11">
        <f t="shared" si="7"/>
        <v>694.593</v>
      </c>
      <c r="O11">
        <f t="shared" si="10"/>
        <v>930.7363948</v>
      </c>
    </row>
    <row r="12">
      <c r="B12" s="1">
        <v>11.0</v>
      </c>
      <c r="C12">
        <f t="shared" si="1"/>
        <v>173.6759135</v>
      </c>
      <c r="D12">
        <f t="shared" si="2"/>
        <v>172.6071386</v>
      </c>
      <c r="F12">
        <f t="shared" si="5"/>
        <v>808.7195901</v>
      </c>
      <c r="G12">
        <f t="shared" si="8"/>
        <v>1096.598124</v>
      </c>
      <c r="H12">
        <f t="shared" si="3"/>
        <v>147.7875894</v>
      </c>
      <c r="J12">
        <f t="shared" si="6"/>
        <v>684.2410544</v>
      </c>
      <c r="K12">
        <f t="shared" si="9"/>
        <v>922.5103588</v>
      </c>
      <c r="L12">
        <f t="shared" si="4"/>
        <v>159.105331</v>
      </c>
      <c r="N12">
        <f t="shared" si="7"/>
        <v>727.238871</v>
      </c>
      <c r="O12">
        <f t="shared" si="10"/>
        <v>974.4810053</v>
      </c>
    </row>
    <row r="13">
      <c r="B13" s="1">
        <v>12.0</v>
      </c>
      <c r="C13">
        <f t="shared" si="1"/>
        <v>179.5114242</v>
      </c>
      <c r="D13">
        <f t="shared" si="2"/>
        <v>178.4067385</v>
      </c>
      <c r="F13">
        <f t="shared" si="5"/>
        <v>835.8925683</v>
      </c>
      <c r="G13">
        <f t="shared" si="8"/>
        <v>1133.443821</v>
      </c>
      <c r="H13">
        <f t="shared" si="3"/>
        <v>153.699093</v>
      </c>
      <c r="J13">
        <f t="shared" si="6"/>
        <v>711.6106966</v>
      </c>
      <c r="K13">
        <f t="shared" si="9"/>
        <v>959.4107732</v>
      </c>
      <c r="L13">
        <f t="shared" si="4"/>
        <v>166.5832816</v>
      </c>
      <c r="N13">
        <f t="shared" si="7"/>
        <v>761.4190979</v>
      </c>
      <c r="O13">
        <f t="shared" si="10"/>
        <v>1020.281613</v>
      </c>
    </row>
    <row r="14">
      <c r="B14" s="1">
        <v>13.0</v>
      </c>
      <c r="C14">
        <f t="shared" si="1"/>
        <v>185.543008</v>
      </c>
      <c r="D14">
        <f t="shared" si="2"/>
        <v>184.4012049</v>
      </c>
      <c r="F14">
        <f t="shared" si="5"/>
        <v>863.9785586</v>
      </c>
      <c r="G14">
        <f t="shared" si="8"/>
        <v>1171.527533</v>
      </c>
      <c r="H14">
        <f t="shared" si="3"/>
        <v>159.8470567</v>
      </c>
      <c r="J14">
        <f t="shared" si="6"/>
        <v>740.0751244</v>
      </c>
      <c r="K14">
        <f t="shared" si="9"/>
        <v>997.7872041</v>
      </c>
      <c r="L14">
        <f t="shared" si="4"/>
        <v>174.4126958</v>
      </c>
      <c r="N14">
        <f t="shared" si="7"/>
        <v>797.2057955</v>
      </c>
      <c r="O14">
        <f t="shared" si="10"/>
        <v>1068.234848</v>
      </c>
    </row>
    <row r="15">
      <c r="B15" s="1">
        <v>14.0</v>
      </c>
      <c r="C15">
        <f t="shared" si="1"/>
        <v>191.7772531</v>
      </c>
      <c r="D15">
        <f t="shared" si="2"/>
        <v>190.5970854</v>
      </c>
      <c r="F15">
        <f t="shared" si="5"/>
        <v>893.0082382</v>
      </c>
      <c r="G15">
        <f t="shared" si="8"/>
        <v>1210.890859</v>
      </c>
      <c r="H15">
        <f t="shared" si="3"/>
        <v>166.240939</v>
      </c>
      <c r="J15">
        <f t="shared" si="6"/>
        <v>769.6781294</v>
      </c>
      <c r="K15">
        <f t="shared" si="9"/>
        <v>1037.698692</v>
      </c>
      <c r="L15">
        <f t="shared" si="4"/>
        <v>182.6100925</v>
      </c>
      <c r="N15">
        <f t="shared" si="7"/>
        <v>834.6744679</v>
      </c>
      <c r="O15">
        <f t="shared" si="10"/>
        <v>1118.441886</v>
      </c>
    </row>
    <row r="16">
      <c r="B16" s="1">
        <v>15.0</v>
      </c>
      <c r="C16">
        <f t="shared" si="1"/>
        <v>198.2209688</v>
      </c>
      <c r="D16">
        <f t="shared" si="2"/>
        <v>197.0011475</v>
      </c>
      <c r="E16">
        <f>SUM(D2:D16)</f>
        <v>2368.701965</v>
      </c>
      <c r="F16">
        <f t="shared" si="5"/>
        <v>923.013315</v>
      </c>
      <c r="G16">
        <f t="shared" si="8"/>
        <v>1251.576791</v>
      </c>
      <c r="H16">
        <f t="shared" si="3"/>
        <v>172.8905765</v>
      </c>
      <c r="I16">
        <f>SUM(H2:H16)</f>
        <v>1999.15499</v>
      </c>
      <c r="J16">
        <f t="shared" si="6"/>
        <v>800.4652546</v>
      </c>
      <c r="K16">
        <f t="shared" si="9"/>
        <v>1079.20664</v>
      </c>
      <c r="L16">
        <f t="shared" si="4"/>
        <v>191.1927669</v>
      </c>
      <c r="M16">
        <f>SUM(L2:L16)</f>
        <v>2120.570786</v>
      </c>
      <c r="N16">
        <f t="shared" si="7"/>
        <v>873.9041679</v>
      </c>
      <c r="O16">
        <f t="shared" si="10"/>
        <v>1171.008655</v>
      </c>
    </row>
    <row r="17">
      <c r="B17" s="1">
        <v>16.0</v>
      </c>
      <c r="C17">
        <f t="shared" si="1"/>
        <v>204.8811934</v>
      </c>
      <c r="D17">
        <f t="shared" si="2"/>
        <v>203.620386</v>
      </c>
      <c r="F17">
        <f t="shared" si="5"/>
        <v>954.0265623</v>
      </c>
      <c r="G17">
        <f t="shared" si="8"/>
        <v>1293.629772</v>
      </c>
      <c r="H17">
        <f t="shared" si="3"/>
        <v>179.8061996</v>
      </c>
      <c r="J17">
        <f t="shared" si="6"/>
        <v>832.4838648</v>
      </c>
      <c r="K17">
        <f t="shared" si="9"/>
        <v>1122.374906</v>
      </c>
      <c r="L17">
        <f t="shared" si="4"/>
        <v>200.1788269</v>
      </c>
      <c r="N17">
        <f t="shared" si="7"/>
        <v>914.9776638</v>
      </c>
      <c r="O17">
        <f t="shared" si="10"/>
        <v>1226.046062</v>
      </c>
    </row>
    <row r="18">
      <c r="B18" s="1">
        <v>17.0</v>
      </c>
      <c r="C18">
        <f t="shared" si="1"/>
        <v>211.7652015</v>
      </c>
      <c r="D18">
        <f t="shared" si="2"/>
        <v>210.462031</v>
      </c>
      <c r="F18">
        <f t="shared" si="5"/>
        <v>986.0818548</v>
      </c>
      <c r="G18">
        <f t="shared" si="8"/>
        <v>1337.095732</v>
      </c>
      <c r="H18">
        <f t="shared" si="3"/>
        <v>186.9984476</v>
      </c>
      <c r="J18">
        <f t="shared" si="6"/>
        <v>865.7832194</v>
      </c>
      <c r="K18">
        <f t="shared" si="9"/>
        <v>1167.269902</v>
      </c>
      <c r="L18">
        <f t="shared" si="4"/>
        <v>209.5872318</v>
      </c>
      <c r="N18">
        <f t="shared" si="7"/>
        <v>957.981614</v>
      </c>
      <c r="O18">
        <f t="shared" si="10"/>
        <v>1283.670227</v>
      </c>
    </row>
    <row r="19">
      <c r="B19" s="1">
        <v>18.0</v>
      </c>
      <c r="C19">
        <f t="shared" si="1"/>
        <v>218.8805122</v>
      </c>
      <c r="D19">
        <f t="shared" si="2"/>
        <v>217.5335552</v>
      </c>
      <c r="F19">
        <f t="shared" si="5"/>
        <v>1019.214205</v>
      </c>
      <c r="G19">
        <f t="shared" si="8"/>
        <v>1382.022149</v>
      </c>
      <c r="H19">
        <f t="shared" si="3"/>
        <v>194.4783855</v>
      </c>
      <c r="J19">
        <f t="shared" si="6"/>
        <v>900.4145481</v>
      </c>
      <c r="K19">
        <f t="shared" si="9"/>
        <v>1213.960698</v>
      </c>
      <c r="L19">
        <f t="shared" si="4"/>
        <v>219.4378317</v>
      </c>
      <c r="N19">
        <f t="shared" si="7"/>
        <v>1003.00675</v>
      </c>
      <c r="O19">
        <f t="shared" si="10"/>
        <v>1344.002727</v>
      </c>
    </row>
    <row r="20">
      <c r="B20" s="1">
        <v>19.0</v>
      </c>
      <c r="C20">
        <f t="shared" si="1"/>
        <v>226.2348975</v>
      </c>
      <c r="D20">
        <f t="shared" si="2"/>
        <v>224.8426827</v>
      </c>
      <c r="F20">
        <f t="shared" si="5"/>
        <v>1053.459802</v>
      </c>
      <c r="G20">
        <f t="shared" si="8"/>
        <v>1428.458093</v>
      </c>
      <c r="H20">
        <f t="shared" si="3"/>
        <v>202.2575209</v>
      </c>
      <c r="J20">
        <f t="shared" si="6"/>
        <v>936.4311301</v>
      </c>
      <c r="K20">
        <f t="shared" si="9"/>
        <v>1262.519126</v>
      </c>
      <c r="L20">
        <f t="shared" si="4"/>
        <v>229.7514098</v>
      </c>
      <c r="N20">
        <f t="shared" si="7"/>
        <v>1050.148067</v>
      </c>
      <c r="O20">
        <f t="shared" si="10"/>
        <v>1407.170855</v>
      </c>
    </row>
    <row r="21">
      <c r="B21" s="1">
        <v>20.0</v>
      </c>
      <c r="C21">
        <f t="shared" si="1"/>
        <v>233.83639</v>
      </c>
      <c r="D21">
        <f t="shared" si="2"/>
        <v>232.3973968</v>
      </c>
      <c r="E21">
        <f>SUM(D2:D21)</f>
        <v>3457.558017</v>
      </c>
      <c r="F21">
        <f t="shared" si="5"/>
        <v>1088.856052</v>
      </c>
      <c r="G21">
        <f t="shared" si="8"/>
        <v>1476.454285</v>
      </c>
      <c r="H21">
        <f t="shared" si="3"/>
        <v>210.3478217</v>
      </c>
      <c r="I21">
        <f>SUM(H2:H21)</f>
        <v>2973.043365</v>
      </c>
      <c r="J21">
        <f t="shared" si="6"/>
        <v>973.8883753</v>
      </c>
      <c r="K21">
        <f t="shared" si="9"/>
        <v>1313.019891</v>
      </c>
      <c r="L21">
        <f t="shared" si="4"/>
        <v>240.549726</v>
      </c>
      <c r="M21">
        <f>SUM(L2:L21)</f>
        <v>3220.075812</v>
      </c>
      <c r="N21">
        <f t="shared" si="7"/>
        <v>1099.505026</v>
      </c>
      <c r="O21">
        <f t="shared" si="10"/>
        <v>1473.307886</v>
      </c>
    </row>
    <row r="22">
      <c r="B22" s="1">
        <v>21.0</v>
      </c>
      <c r="C22">
        <f t="shared" si="1"/>
        <v>241.6932927</v>
      </c>
      <c r="D22">
        <f t="shared" si="2"/>
        <v>240.2059494</v>
      </c>
      <c r="F22">
        <f t="shared" si="5"/>
        <v>1125.441615</v>
      </c>
      <c r="G22">
        <f t="shared" si="8"/>
        <v>1526.063149</v>
      </c>
      <c r="H22">
        <f t="shared" si="3"/>
        <v>218.7617346</v>
      </c>
      <c r="J22">
        <f t="shared" si="6"/>
        <v>1012.84391</v>
      </c>
      <c r="K22">
        <f t="shared" si="9"/>
        <v>1365.540686</v>
      </c>
      <c r="L22">
        <f t="shared" si="4"/>
        <v>251.8555632</v>
      </c>
      <c r="N22">
        <f t="shared" si="7"/>
        <v>1151.181762</v>
      </c>
      <c r="O22">
        <f t="shared" si="10"/>
        <v>1542.553356</v>
      </c>
    </row>
    <row r="23">
      <c r="B23" s="1">
        <v>22.0</v>
      </c>
      <c r="C23">
        <f t="shared" si="1"/>
        <v>249.8141873</v>
      </c>
      <c r="D23">
        <f t="shared" si="2"/>
        <v>248.2768693</v>
      </c>
      <c r="F23">
        <f t="shared" si="5"/>
        <v>1163.256453</v>
      </c>
      <c r="G23">
        <f t="shared" si="8"/>
        <v>1577.33887</v>
      </c>
      <c r="H23">
        <f t="shared" si="3"/>
        <v>227.512204</v>
      </c>
      <c r="J23">
        <f t="shared" si="6"/>
        <v>1053.357667</v>
      </c>
      <c r="K23">
        <f t="shared" si="9"/>
        <v>1420.162314</v>
      </c>
      <c r="L23">
        <f t="shared" si="4"/>
        <v>263.6927746</v>
      </c>
      <c r="N23">
        <f t="shared" si="7"/>
        <v>1205.287305</v>
      </c>
      <c r="O23">
        <f t="shared" si="10"/>
        <v>1615.053364</v>
      </c>
    </row>
    <row r="24">
      <c r="B24" s="1">
        <v>23.0</v>
      </c>
      <c r="C24">
        <f t="shared" si="1"/>
        <v>258.207944</v>
      </c>
      <c r="D24">
        <f t="shared" si="2"/>
        <v>256.6189721</v>
      </c>
      <c r="F24">
        <f t="shared" si="5"/>
        <v>1202.34187</v>
      </c>
      <c r="G24">
        <f t="shared" si="8"/>
        <v>1630.337457</v>
      </c>
      <c r="H24">
        <f t="shared" si="3"/>
        <v>236.6126921</v>
      </c>
      <c r="J24">
        <f t="shared" si="6"/>
        <v>1095.491973</v>
      </c>
      <c r="K24">
        <f t="shared" si="9"/>
        <v>1476.968806</v>
      </c>
      <c r="L24">
        <f t="shared" si="4"/>
        <v>276.086335</v>
      </c>
      <c r="N24">
        <f t="shared" si="7"/>
        <v>1261.935809</v>
      </c>
      <c r="O24">
        <f t="shared" si="10"/>
        <v>1690.960872</v>
      </c>
    </row>
    <row r="25">
      <c r="B25" s="1">
        <v>24.0</v>
      </c>
      <c r="C25">
        <f t="shared" si="1"/>
        <v>266.883731</v>
      </c>
      <c r="D25">
        <f t="shared" si="2"/>
        <v>265.2413695</v>
      </c>
      <c r="F25">
        <f t="shared" si="5"/>
        <v>1242.740557</v>
      </c>
      <c r="G25">
        <f t="shared" si="8"/>
        <v>1685.116795</v>
      </c>
      <c r="H25">
        <f t="shared" si="3"/>
        <v>246.0771998</v>
      </c>
      <c r="J25">
        <f t="shared" si="6"/>
        <v>1139.311652</v>
      </c>
      <c r="K25">
        <f t="shared" si="9"/>
        <v>1536.047559</v>
      </c>
      <c r="L25">
        <f t="shared" si="4"/>
        <v>289.0623928</v>
      </c>
      <c r="N25">
        <f t="shared" si="7"/>
        <v>1321.246792</v>
      </c>
      <c r="O25">
        <f t="shared" si="10"/>
        <v>1770.436033</v>
      </c>
    </row>
    <row r="26">
      <c r="B26" s="1">
        <v>25.0</v>
      </c>
      <c r="C26">
        <f t="shared" si="1"/>
        <v>275.8510243</v>
      </c>
      <c r="D26">
        <f t="shared" si="2"/>
        <v>274.1534796</v>
      </c>
      <c r="E26">
        <f>SUM(D2:D26)</f>
        <v>4742.054657</v>
      </c>
      <c r="F26">
        <f t="shared" si="5"/>
        <v>1284.49664</v>
      </c>
      <c r="G26">
        <f t="shared" si="8"/>
        <v>1741.736719</v>
      </c>
      <c r="H26">
        <f t="shared" si="3"/>
        <v>255.9202878</v>
      </c>
      <c r="I26">
        <f>SUM(H2:H26)</f>
        <v>4157.927483</v>
      </c>
      <c r="J26">
        <f t="shared" si="6"/>
        <v>1184.884118</v>
      </c>
      <c r="K26">
        <f t="shared" si="9"/>
        <v>1597.489461</v>
      </c>
      <c r="L26">
        <f t="shared" si="4"/>
        <v>302.6483252</v>
      </c>
      <c r="M26">
        <f>SUM(L2:L26)</f>
        <v>4603.421203</v>
      </c>
      <c r="N26">
        <f t="shared" si="7"/>
        <v>1383.345391</v>
      </c>
      <c r="O26">
        <f t="shared" si="10"/>
        <v>1853.646527</v>
      </c>
    </row>
    <row r="27">
      <c r="B27" s="1">
        <v>26.0</v>
      </c>
      <c r="C27">
        <f t="shared" si="1"/>
        <v>285.1196187</v>
      </c>
      <c r="D27">
        <f t="shared" si="2"/>
        <v>283.3650365</v>
      </c>
      <c r="E27">
        <f>SUM(D2:D27)</f>
        <v>5025.419693</v>
      </c>
      <c r="F27">
        <f t="shared" si="5"/>
        <v>1327.655727</v>
      </c>
      <c r="G27">
        <f t="shared" si="8"/>
        <v>1800.259073</v>
      </c>
      <c r="H27">
        <f t="shared" si="3"/>
        <v>266.1570993</v>
      </c>
      <c r="I27">
        <f>SUM(H2:H27)</f>
        <v>4424.084583</v>
      </c>
      <c r="J27">
        <f t="shared" si="6"/>
        <v>1232.279483</v>
      </c>
      <c r="K27">
        <f t="shared" si="9"/>
        <v>1661.389039</v>
      </c>
      <c r="L27">
        <f t="shared" si="4"/>
        <v>316.8727965</v>
      </c>
      <c r="M27">
        <f>SUM(L2:L27)</f>
        <v>4920.293999</v>
      </c>
      <c r="N27">
        <f t="shared" si="7"/>
        <v>1448.362624</v>
      </c>
      <c r="O27">
        <f t="shared" si="10"/>
        <v>1940.767913</v>
      </c>
    </row>
    <row r="28">
      <c r="B28" s="1">
        <v>27.0</v>
      </c>
      <c r="C28">
        <f t="shared" si="1"/>
        <v>294.6996379</v>
      </c>
      <c r="D28">
        <f t="shared" si="2"/>
        <v>292.8861017</v>
      </c>
      <c r="E28">
        <f>SUM(D2:D28)</f>
        <v>5318.305795</v>
      </c>
      <c r="F28">
        <f t="shared" si="5"/>
        <v>1372.264959</v>
      </c>
      <c r="G28">
        <f t="shared" si="8"/>
        <v>1860.747778</v>
      </c>
      <c r="H28">
        <f t="shared" si="3"/>
        <v>276.8033833</v>
      </c>
      <c r="I28">
        <f>SUM(H2:H28)</f>
        <v>4700.887966</v>
      </c>
      <c r="J28">
        <f t="shared" si="6"/>
        <v>1281.570662</v>
      </c>
      <c r="K28">
        <f t="shared" si="9"/>
        <v>1727.844601</v>
      </c>
      <c r="L28">
        <f t="shared" si="4"/>
        <v>331.765818</v>
      </c>
      <c r="M28">
        <f>SUM(L2:L28)</f>
        <v>5252.059817</v>
      </c>
      <c r="N28">
        <f t="shared" si="7"/>
        <v>1516.435668</v>
      </c>
      <c r="O28">
        <f t="shared" si="10"/>
        <v>2031.984005</v>
      </c>
    </row>
    <row r="29">
      <c r="B29" s="1">
        <v>28.0</v>
      </c>
      <c r="C29">
        <f t="shared" si="1"/>
        <v>304.6015458</v>
      </c>
      <c r="D29">
        <f t="shared" si="2"/>
        <v>302.7270747</v>
      </c>
      <c r="E29">
        <f>SUM(D2:D29)</f>
        <v>5621.03287</v>
      </c>
      <c r="F29">
        <f t="shared" si="5"/>
        <v>1418.373062</v>
      </c>
      <c r="G29">
        <f t="shared" si="8"/>
        <v>1923.268903</v>
      </c>
      <c r="H29">
        <f t="shared" si="3"/>
        <v>287.8755186</v>
      </c>
      <c r="I29">
        <f>SUM(H2:H29)</f>
        <v>4988.763485</v>
      </c>
      <c r="J29">
        <f t="shared" si="6"/>
        <v>1332.833489</v>
      </c>
      <c r="K29">
        <f t="shared" si="9"/>
        <v>1796.958385</v>
      </c>
      <c r="L29">
        <f t="shared" si="4"/>
        <v>347.3588114</v>
      </c>
      <c r="M29">
        <f>SUM(L2:L29)</f>
        <v>5599.418629</v>
      </c>
      <c r="N29">
        <f t="shared" si="7"/>
        <v>1587.708144</v>
      </c>
      <c r="O29">
        <f t="shared" si="10"/>
        <v>2127.487254</v>
      </c>
    </row>
    <row r="30">
      <c r="B30" s="1">
        <v>29.0</v>
      </c>
      <c r="C30">
        <f t="shared" si="1"/>
        <v>314.8361577</v>
      </c>
      <c r="D30" s="29">
        <f t="shared" si="2"/>
        <v>312.8987044</v>
      </c>
      <c r="E30">
        <f>SUM(D2:D30)</f>
        <v>5933.931574</v>
      </c>
      <c r="F30">
        <f t="shared" si="5"/>
        <v>1466.030397</v>
      </c>
      <c r="G30">
        <f t="shared" si="8"/>
        <v>1987.890738</v>
      </c>
      <c r="H30" s="29">
        <f t="shared" si="3"/>
        <v>299.3905394</v>
      </c>
      <c r="I30">
        <f>SUM(H2:H30)</f>
        <v>5288.154024</v>
      </c>
      <c r="J30">
        <f t="shared" si="6"/>
        <v>1386.146828</v>
      </c>
      <c r="K30">
        <f t="shared" si="9"/>
        <v>1868.83672</v>
      </c>
      <c r="L30" s="29">
        <f t="shared" si="4"/>
        <v>363.6846755</v>
      </c>
      <c r="M30">
        <f>SUM(L2:L30)</f>
        <v>5963.103304</v>
      </c>
      <c r="N30">
        <f t="shared" si="7"/>
        <v>1662.330427</v>
      </c>
      <c r="O30">
        <f t="shared" si="10"/>
        <v>2227.479155</v>
      </c>
    </row>
    <row r="31">
      <c r="B31" s="1">
        <v>30.0</v>
      </c>
      <c r="C31" s="26">
        <f t="shared" si="1"/>
        <v>325.4146526</v>
      </c>
      <c r="D31" s="65">
        <f t="shared" si="2"/>
        <v>323.4121009</v>
      </c>
      <c r="E31" s="71">
        <f>SUM(D2:D31)</f>
        <v>6257.343675</v>
      </c>
      <c r="F31" s="72">
        <f t="shared" si="5"/>
        <v>1515.289018</v>
      </c>
      <c r="G31" s="73">
        <f t="shared" si="8"/>
        <v>2054.683867</v>
      </c>
      <c r="H31" s="15">
        <f t="shared" si="3"/>
        <v>311.366161</v>
      </c>
      <c r="I31" s="74">
        <f>SUM(H2:H31)</f>
        <v>5599.520185</v>
      </c>
      <c r="J31" s="75">
        <f t="shared" si="6"/>
        <v>1441.592702</v>
      </c>
      <c r="K31" s="73">
        <f t="shared" si="9"/>
        <v>1943.590189</v>
      </c>
      <c r="L31" s="15">
        <f t="shared" si="4"/>
        <v>380.7778553</v>
      </c>
      <c r="M31" s="74">
        <f>SUM(L2:L31)</f>
        <v>6343.881159</v>
      </c>
      <c r="N31" s="75">
        <f t="shared" si="7"/>
        <v>1740.459957</v>
      </c>
      <c r="O31" s="76">
        <f t="shared" si="10"/>
        <v>2332.170675</v>
      </c>
    </row>
    <row r="32">
      <c r="D32" s="30"/>
      <c r="H32" s="30"/>
      <c r="L32" s="30"/>
    </row>
    <row r="33">
      <c r="H33" s="1" t="s">
        <v>3160</v>
      </c>
    </row>
  </sheetData>
  <drawing r:id="rId1"/>
</worksheet>
</file>