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icar\OneDrive\Documentos\TRABAJO FIN DE GRADO\MaterialesTFG\presupuesto\"/>
    </mc:Choice>
  </mc:AlternateContent>
  <xr:revisionPtr revIDLastSave="0" documentId="13_ncr:1_{64BCC815-25A8-4209-AE57-C18AC71FB993}" xr6:coauthVersionLast="47" xr6:coauthVersionMax="47" xr10:uidLastSave="{00000000-0000-0000-0000-000000000000}"/>
  <bookViews>
    <workbookView xWindow="28680" yWindow="-120" windowWidth="38640" windowHeight="21120" activeTab="1" xr2:uid="{D0D78B5F-A6EA-4DC6-8F90-439BD919CD3E}"/>
  </bookViews>
  <sheets>
    <sheet name="Individual" sheetId="1" r:id="rId1"/>
    <sheet name="Promedio_parcelas" sheetId="3" r:id="rId2"/>
    <sheet name="Tablas resumen" sheetId="8" r:id="rId3"/>
    <sheet name="Tabla producción" sheetId="9" r:id="rId4"/>
    <sheet name="Precios" sheetId="7" r:id="rId5"/>
    <sheet name="VAN" sheetId="6" r:id="rId6"/>
    <sheet name="Tragsa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0" i="3" l="1"/>
  <c r="W46" i="8" s="1"/>
  <c r="AD56" i="3"/>
  <c r="W45" i="8" s="1"/>
  <c r="AD41" i="3"/>
  <c r="AD27" i="3"/>
  <c r="W43" i="8" s="1"/>
  <c r="AD18" i="3"/>
  <c r="AD3" i="3"/>
  <c r="W42" i="8" s="1"/>
  <c r="W62" i="3"/>
  <c r="G22" i="8" s="1"/>
  <c r="W65" i="3"/>
  <c r="W14" i="3"/>
  <c r="W11" i="3"/>
  <c r="W3" i="3"/>
  <c r="G3" i="8" s="1"/>
  <c r="AC3" i="3"/>
  <c r="G84" i="3"/>
  <c r="U84" i="3" s="1"/>
  <c r="E30" i="8" s="1"/>
  <c r="G81" i="3"/>
  <c r="W81" i="3" s="1"/>
  <c r="G29" i="8" s="1"/>
  <c r="G78" i="3"/>
  <c r="W78" i="3" s="1"/>
  <c r="G75" i="3"/>
  <c r="W75" i="3" s="1"/>
  <c r="G72" i="3"/>
  <c r="W72" i="3" s="1"/>
  <c r="G70" i="3"/>
  <c r="U70" i="3" s="1"/>
  <c r="E25" i="8" s="1"/>
  <c r="G68" i="3"/>
  <c r="W68" i="3" s="1"/>
  <c r="G65" i="3"/>
  <c r="U65" i="3" s="1"/>
  <c r="E23" i="8" s="1"/>
  <c r="G62" i="3"/>
  <c r="U62" i="3" s="1"/>
  <c r="E22" i="8" s="1"/>
  <c r="G59" i="3"/>
  <c r="W59" i="3" s="1"/>
  <c r="G56" i="3"/>
  <c r="W56" i="3" s="1"/>
  <c r="G55" i="3"/>
  <c r="G52" i="3"/>
  <c r="W52" i="3" s="1"/>
  <c r="G18" i="8" s="1"/>
  <c r="G49" i="3"/>
  <c r="W49" i="3" s="1"/>
  <c r="G17" i="8" s="1"/>
  <c r="G46" i="3"/>
  <c r="W46" i="3" s="1"/>
  <c r="G16" i="8" s="1"/>
  <c r="G43" i="3"/>
  <c r="U43" i="3" s="1"/>
  <c r="E15" i="8" s="1"/>
  <c r="G41" i="3"/>
  <c r="W41" i="3" s="1"/>
  <c r="G39" i="3"/>
  <c r="W39" i="3" s="1"/>
  <c r="G13" i="8" s="1"/>
  <c r="G36" i="3"/>
  <c r="W36" i="3" s="1"/>
  <c r="G33" i="3"/>
  <c r="W33" i="3" s="1"/>
  <c r="G11" i="8" s="1"/>
  <c r="G30" i="3"/>
  <c r="W30" i="3" s="1"/>
  <c r="G27" i="3"/>
  <c r="U27" i="3" s="1"/>
  <c r="E9" i="8" s="1"/>
  <c r="G17" i="3"/>
  <c r="W17" i="3" s="1"/>
  <c r="G14" i="3"/>
  <c r="G11" i="3"/>
  <c r="G8" i="3"/>
  <c r="W8" i="3" s="1"/>
  <c r="G5" i="8" s="1"/>
  <c r="G5" i="3"/>
  <c r="W5" i="3" s="1"/>
  <c r="G4" i="8" s="1"/>
  <c r="G3" i="3"/>
  <c r="U3" i="3" s="1"/>
  <c r="E3" i="8" s="1"/>
  <c r="U30" i="3"/>
  <c r="E10" i="8" s="1"/>
  <c r="U14" i="3"/>
  <c r="E7" i="8" s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4" i="9"/>
  <c r="V3" i="9"/>
  <c r="C44" i="6"/>
  <c r="C43" i="6"/>
  <c r="C42" i="6"/>
  <c r="C41" i="6"/>
  <c r="C40" i="6"/>
  <c r="C35" i="6"/>
  <c r="C34" i="6"/>
  <c r="C33" i="6"/>
  <c r="C32" i="6"/>
  <c r="C27" i="6"/>
  <c r="C26" i="6"/>
  <c r="C25" i="6"/>
  <c r="C24" i="6"/>
  <c r="C23" i="6"/>
  <c r="C18" i="6"/>
  <c r="C17" i="6"/>
  <c r="C16" i="6"/>
  <c r="C15" i="6"/>
  <c r="C10" i="6"/>
  <c r="C9" i="6"/>
  <c r="C8" i="6"/>
  <c r="C7" i="6"/>
  <c r="C6" i="6"/>
  <c r="V46" i="8"/>
  <c r="U46" i="8"/>
  <c r="X46" i="8" s="1"/>
  <c r="T46" i="8"/>
  <c r="V45" i="8"/>
  <c r="T45" i="8"/>
  <c r="W44" i="8"/>
  <c r="V44" i="8"/>
  <c r="T44" i="8"/>
  <c r="V43" i="8"/>
  <c r="T43" i="8"/>
  <c r="V42" i="8"/>
  <c r="T42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X84" i="3"/>
  <c r="T84" i="3"/>
  <c r="D30" i="8" s="1"/>
  <c r="P84" i="3"/>
  <c r="X81" i="3"/>
  <c r="P81" i="3"/>
  <c r="T81" i="3" s="1"/>
  <c r="D29" i="8" s="1"/>
  <c r="X78" i="3"/>
  <c r="T78" i="3"/>
  <c r="D28" i="8" s="1"/>
  <c r="P78" i="3"/>
  <c r="X75" i="3"/>
  <c r="P75" i="3"/>
  <c r="T75" i="3" s="1"/>
  <c r="D27" i="8" s="1"/>
  <c r="X72" i="3"/>
  <c r="T72" i="3"/>
  <c r="D26" i="8" s="1"/>
  <c r="P72" i="3"/>
  <c r="AH70" i="3"/>
  <c r="AC70" i="3"/>
  <c r="X70" i="3"/>
  <c r="P70" i="3"/>
  <c r="T70" i="3" s="1"/>
  <c r="D25" i="8" s="1"/>
  <c r="X68" i="3"/>
  <c r="U68" i="3"/>
  <c r="E24" i="8" s="1"/>
  <c r="M68" i="3"/>
  <c r="O68" i="3" s="1"/>
  <c r="Q68" i="3" s="1"/>
  <c r="T68" i="3" s="1"/>
  <c r="D24" i="8" s="1"/>
  <c r="X65" i="3"/>
  <c r="M65" i="3"/>
  <c r="O65" i="3" s="1"/>
  <c r="Q65" i="3" s="1"/>
  <c r="T65" i="3" s="1"/>
  <c r="D23" i="8" s="1"/>
  <c r="X62" i="3"/>
  <c r="Q62" i="3"/>
  <c r="T62" i="3" s="1"/>
  <c r="D22" i="8" s="1"/>
  <c r="O62" i="3"/>
  <c r="M62" i="3"/>
  <c r="X59" i="3"/>
  <c r="M59" i="3"/>
  <c r="O59" i="3" s="1"/>
  <c r="Q59" i="3" s="1"/>
  <c r="T59" i="3" s="1"/>
  <c r="D21" i="8" s="1"/>
  <c r="AH56" i="3"/>
  <c r="AC56" i="3"/>
  <c r="U45" i="8" s="1"/>
  <c r="X45" i="8" s="1"/>
  <c r="X56" i="3"/>
  <c r="Q56" i="3"/>
  <c r="T56" i="3" s="1"/>
  <c r="D20" i="8" s="1"/>
  <c r="X55" i="3"/>
  <c r="T55" i="3"/>
  <c r="D19" i="8" s="1"/>
  <c r="P55" i="3"/>
  <c r="X52" i="3"/>
  <c r="U52" i="3"/>
  <c r="E18" i="8" s="1"/>
  <c r="P52" i="3"/>
  <c r="T52" i="3" s="1"/>
  <c r="D18" i="8" s="1"/>
  <c r="X49" i="3"/>
  <c r="U49" i="3"/>
  <c r="E17" i="8" s="1"/>
  <c r="T49" i="3"/>
  <c r="D17" i="8" s="1"/>
  <c r="P49" i="3"/>
  <c r="X46" i="3"/>
  <c r="U46" i="3"/>
  <c r="E16" i="8" s="1"/>
  <c r="T46" i="3"/>
  <c r="D16" i="8" s="1"/>
  <c r="P46" i="3"/>
  <c r="X43" i="3"/>
  <c r="P43" i="3"/>
  <c r="T43" i="3" s="1"/>
  <c r="D15" i="8" s="1"/>
  <c r="AC41" i="3"/>
  <c r="AH41" i="3" s="1"/>
  <c r="X41" i="3"/>
  <c r="P41" i="3"/>
  <c r="T41" i="3" s="1"/>
  <c r="D14" i="8" s="1"/>
  <c r="X39" i="3"/>
  <c r="M39" i="3"/>
  <c r="O39" i="3" s="1"/>
  <c r="Q39" i="3" s="1"/>
  <c r="T39" i="3" s="1"/>
  <c r="D13" i="8" s="1"/>
  <c r="X36" i="3"/>
  <c r="U36" i="3"/>
  <c r="E12" i="8" s="1"/>
  <c r="O36" i="3"/>
  <c r="Q36" i="3" s="1"/>
  <c r="T36" i="3" s="1"/>
  <c r="D12" i="8" s="1"/>
  <c r="M36" i="3"/>
  <c r="X33" i="3"/>
  <c r="U33" i="3"/>
  <c r="E11" i="8" s="1"/>
  <c r="M33" i="3"/>
  <c r="O33" i="3" s="1"/>
  <c r="Q33" i="3" s="1"/>
  <c r="T33" i="3" s="1"/>
  <c r="D11" i="8" s="1"/>
  <c r="X30" i="3"/>
  <c r="M30" i="3"/>
  <c r="O30" i="3" s="1"/>
  <c r="Q30" i="3" s="1"/>
  <c r="T30" i="3" s="1"/>
  <c r="D10" i="8" s="1"/>
  <c r="AH27" i="3"/>
  <c r="AC27" i="3"/>
  <c r="U43" i="8" s="1"/>
  <c r="X27" i="3"/>
  <c r="M27" i="3"/>
  <c r="O27" i="3" s="1"/>
  <c r="Q27" i="3" s="1"/>
  <c r="T27" i="3" s="1"/>
  <c r="D9" i="8" s="1"/>
  <c r="AC18" i="3"/>
  <c r="AH18" i="3" s="1"/>
  <c r="Y17" i="3"/>
  <c r="X17" i="3"/>
  <c r="P17" i="3"/>
  <c r="T17" i="3" s="1"/>
  <c r="D8" i="8" s="1"/>
  <c r="O17" i="3"/>
  <c r="O16" i="3"/>
  <c r="O15" i="3"/>
  <c r="Y14" i="3"/>
  <c r="X14" i="3"/>
  <c r="P14" i="3"/>
  <c r="T14" i="3" s="1"/>
  <c r="D7" i="8" s="1"/>
  <c r="O14" i="3"/>
  <c r="O13" i="3"/>
  <c r="O12" i="3"/>
  <c r="Y11" i="3"/>
  <c r="X11" i="3"/>
  <c r="U11" i="3"/>
  <c r="E6" i="8" s="1"/>
  <c r="P11" i="3"/>
  <c r="T11" i="3" s="1"/>
  <c r="D6" i="8" s="1"/>
  <c r="O11" i="3"/>
  <c r="O10" i="3"/>
  <c r="O9" i="3"/>
  <c r="Y8" i="3"/>
  <c r="X8" i="3"/>
  <c r="U8" i="3"/>
  <c r="T8" i="3"/>
  <c r="D5" i="8" s="1"/>
  <c r="P8" i="3"/>
  <c r="O8" i="3"/>
  <c r="O7" i="3"/>
  <c r="O6" i="3"/>
  <c r="Y5" i="3"/>
  <c r="X5" i="3"/>
  <c r="T5" i="3"/>
  <c r="D4" i="8" s="1"/>
  <c r="P5" i="3"/>
  <c r="O5" i="3"/>
  <c r="O4" i="3"/>
  <c r="Y3" i="3"/>
  <c r="X3" i="3"/>
  <c r="P3" i="3"/>
  <c r="T3" i="3" s="1"/>
  <c r="K71" i="1"/>
  <c r="I71" i="1"/>
  <c r="L70" i="1"/>
  <c r="K70" i="1"/>
  <c r="J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L62" i="1"/>
  <c r="K62" i="1"/>
  <c r="J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L54" i="1"/>
  <c r="K54" i="1"/>
  <c r="J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L46" i="1"/>
  <c r="K46" i="1"/>
  <c r="J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L37" i="1"/>
  <c r="K37" i="1"/>
  <c r="J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7" i="1"/>
  <c r="I27" i="1"/>
  <c r="L26" i="1"/>
  <c r="K26" i="1"/>
  <c r="J26" i="1"/>
  <c r="I26" i="1"/>
  <c r="K25" i="1"/>
  <c r="I25" i="1"/>
  <c r="K24" i="1"/>
  <c r="I24" i="1"/>
  <c r="K23" i="1"/>
  <c r="I23" i="1"/>
  <c r="K22" i="1"/>
  <c r="I22" i="1"/>
  <c r="L21" i="1"/>
  <c r="K21" i="1"/>
  <c r="J21" i="1"/>
  <c r="I21" i="1"/>
  <c r="K20" i="1"/>
  <c r="I20" i="1"/>
  <c r="K19" i="1"/>
  <c r="I19" i="1"/>
  <c r="K18" i="1"/>
  <c r="I18" i="1"/>
  <c r="L17" i="1"/>
  <c r="K17" i="1"/>
  <c r="J17" i="1"/>
  <c r="I17" i="1"/>
  <c r="K16" i="1"/>
  <c r="I16" i="1"/>
  <c r="K15" i="1"/>
  <c r="I15" i="1"/>
  <c r="K14" i="1"/>
  <c r="I14" i="1"/>
  <c r="L13" i="1"/>
  <c r="K13" i="1"/>
  <c r="J13" i="1"/>
  <c r="I13" i="1"/>
  <c r="K12" i="1"/>
  <c r="I12" i="1"/>
  <c r="K11" i="1"/>
  <c r="I11" i="1"/>
  <c r="K10" i="1"/>
  <c r="I10" i="1"/>
  <c r="K9" i="1"/>
  <c r="I9" i="1"/>
  <c r="K8" i="1"/>
  <c r="I8" i="1"/>
  <c r="L7" i="1"/>
  <c r="K7" i="1"/>
  <c r="J7" i="1"/>
  <c r="I7" i="1"/>
  <c r="K6" i="1"/>
  <c r="I6" i="1"/>
  <c r="K5" i="1"/>
  <c r="I5" i="1"/>
  <c r="K4" i="1"/>
  <c r="I4" i="1"/>
  <c r="K3" i="1"/>
  <c r="I3" i="1"/>
  <c r="K2" i="1"/>
  <c r="I2" i="1"/>
  <c r="X43" i="8" l="1"/>
  <c r="W43" i="3"/>
  <c r="U75" i="3"/>
  <c r="E27" i="8" s="1"/>
  <c r="W70" i="3"/>
  <c r="U78" i="3"/>
  <c r="E28" i="8" s="1"/>
  <c r="U44" i="8"/>
  <c r="X44" i="8" s="1"/>
  <c r="W27" i="3"/>
  <c r="Z27" i="3" s="1"/>
  <c r="G20" i="8"/>
  <c r="W55" i="3"/>
  <c r="G19" i="8" s="1"/>
  <c r="G21" i="8"/>
  <c r="W84" i="3"/>
  <c r="G30" i="8" s="1"/>
  <c r="H30" i="8" s="1"/>
  <c r="U72" i="3"/>
  <c r="E26" i="8" s="1"/>
  <c r="M37" i="8" s="1"/>
  <c r="U81" i="3"/>
  <c r="E29" i="8" s="1"/>
  <c r="H29" i="8" s="1"/>
  <c r="U5" i="3"/>
  <c r="E4" i="8" s="1"/>
  <c r="H4" i="8" s="1"/>
  <c r="G12" i="8"/>
  <c r="H12" i="8" s="1"/>
  <c r="G14" i="8"/>
  <c r="G8" i="8"/>
  <c r="Z3" i="3"/>
  <c r="AH3" i="3"/>
  <c r="U42" i="8"/>
  <c r="X42" i="8" s="1"/>
  <c r="D3" i="8"/>
  <c r="H3" i="8" s="1"/>
  <c r="U41" i="3"/>
  <c r="E14" i="8" s="1"/>
  <c r="U17" i="3"/>
  <c r="E8" i="8" s="1"/>
  <c r="G9" i="8"/>
  <c r="H9" i="8" s="1"/>
  <c r="H22" i="8"/>
  <c r="U55" i="3"/>
  <c r="E19" i="8" s="1"/>
  <c r="Z43" i="3"/>
  <c r="B23" i="6" s="1"/>
  <c r="D24" i="6" s="1"/>
  <c r="Z11" i="3"/>
  <c r="B8" i="6" s="1"/>
  <c r="D9" i="6" s="1"/>
  <c r="Z36" i="3"/>
  <c r="B17" i="6" s="1"/>
  <c r="D18" i="6" s="1"/>
  <c r="Z8" i="3"/>
  <c r="B7" i="6" s="1"/>
  <c r="D8" i="6" s="1"/>
  <c r="U59" i="3"/>
  <c r="E21" i="8" s="1"/>
  <c r="Z30" i="3"/>
  <c r="B15" i="6" s="1"/>
  <c r="D16" i="6" s="1"/>
  <c r="Z75" i="3"/>
  <c r="B41" i="6" s="1"/>
  <c r="D42" i="6" s="1"/>
  <c r="U39" i="3"/>
  <c r="E13" i="8" s="1"/>
  <c r="H13" i="8" s="1"/>
  <c r="G25" i="8"/>
  <c r="H25" i="8" s="1"/>
  <c r="U56" i="3"/>
  <c r="Z56" i="3" s="1"/>
  <c r="B31" i="6" s="1"/>
  <c r="H11" i="8"/>
  <c r="Z33" i="3"/>
  <c r="B16" i="6" s="1"/>
  <c r="D17" i="6" s="1"/>
  <c r="Z68" i="3"/>
  <c r="B35" i="6" s="1"/>
  <c r="H18" i="8"/>
  <c r="Z65" i="3"/>
  <c r="B34" i="6" s="1"/>
  <c r="D35" i="6" s="1"/>
  <c r="G10" i="8"/>
  <c r="H10" i="8" s="1"/>
  <c r="G28" i="8"/>
  <c r="H28" i="8" s="1"/>
  <c r="Z46" i="3"/>
  <c r="B24" i="6" s="1"/>
  <c r="D25" i="6" s="1"/>
  <c r="Z70" i="3"/>
  <c r="B39" i="6" s="1"/>
  <c r="D40" i="6" s="1"/>
  <c r="H16" i="8"/>
  <c r="H17" i="8"/>
  <c r="Z52" i="3"/>
  <c r="B26" i="6" s="1"/>
  <c r="D27" i="6" s="1"/>
  <c r="Z62" i="3"/>
  <c r="B33" i="6" s="1"/>
  <c r="D34" i="6" s="1"/>
  <c r="G6" i="8"/>
  <c r="H6" i="8" s="1"/>
  <c r="G24" i="8"/>
  <c r="H24" i="8" s="1"/>
  <c r="G26" i="8"/>
  <c r="G15" i="8"/>
  <c r="H15" i="8" s="1"/>
  <c r="Z49" i="3"/>
  <c r="B25" i="6" s="1"/>
  <c r="D26" i="6" s="1"/>
  <c r="E5" i="8"/>
  <c r="H5" i="8" s="1"/>
  <c r="G27" i="8"/>
  <c r="H27" i="8" s="1"/>
  <c r="G23" i="8"/>
  <c r="H23" i="8" s="1"/>
  <c r="M35" i="8" l="1"/>
  <c r="Z78" i="3"/>
  <c r="B42" i="6" s="1"/>
  <c r="D43" i="6" s="1"/>
  <c r="E20" i="8"/>
  <c r="Z55" i="3"/>
  <c r="B27" i="6" s="1"/>
  <c r="Z72" i="3"/>
  <c r="B40" i="6" s="1"/>
  <c r="D41" i="6" s="1"/>
  <c r="M33" i="8"/>
  <c r="Z84" i="3"/>
  <c r="B44" i="6" s="1"/>
  <c r="Z81" i="3"/>
  <c r="B43" i="6" s="1"/>
  <c r="D44" i="6" s="1"/>
  <c r="H21" i="8"/>
  <c r="Z17" i="3"/>
  <c r="B10" i="6" s="1"/>
  <c r="H8" i="8"/>
  <c r="H14" i="8"/>
  <c r="Z41" i="3"/>
  <c r="Z5" i="3"/>
  <c r="B6" i="6" s="1"/>
  <c r="D7" i="6" s="1"/>
  <c r="N34" i="8"/>
  <c r="H19" i="8"/>
  <c r="G7" i="8"/>
  <c r="H7" i="8" s="1"/>
  <c r="Z14" i="3"/>
  <c r="B9" i="6" s="1"/>
  <c r="D10" i="6" s="1"/>
  <c r="M34" i="8"/>
  <c r="D39" i="6"/>
  <c r="M36" i="8"/>
  <c r="Z59" i="3"/>
  <c r="B32" i="6" s="1"/>
  <c r="D33" i="6" s="1"/>
  <c r="H20" i="8"/>
  <c r="I20" i="8" s="1"/>
  <c r="Z39" i="3"/>
  <c r="B18" i="6" s="1"/>
  <c r="I9" i="8"/>
  <c r="N37" i="8"/>
  <c r="O37" i="8" s="1"/>
  <c r="H26" i="8"/>
  <c r="I25" i="8" s="1"/>
  <c r="N35" i="8"/>
  <c r="O35" i="8" s="1"/>
  <c r="AA70" i="3"/>
  <c r="N36" i="8"/>
  <c r="B5" i="6"/>
  <c r="B14" i="6"/>
  <c r="D32" i="6"/>
  <c r="D31" i="6"/>
  <c r="O36" i="8" l="1"/>
  <c r="AA56" i="3"/>
  <c r="AA41" i="3"/>
  <c r="I3" i="8"/>
  <c r="B22" i="6"/>
  <c r="D45" i="6"/>
  <c r="J25" i="8" s="1"/>
  <c r="P37" i="8" s="1"/>
  <c r="I14" i="8"/>
  <c r="O34" i="8"/>
  <c r="AA3" i="3"/>
  <c r="N33" i="8"/>
  <c r="O33" i="8" s="1"/>
  <c r="AB70" i="3"/>
  <c r="AE70" i="3" s="1"/>
  <c r="AA27" i="3"/>
  <c r="D36" i="6"/>
  <c r="J20" i="8" s="1"/>
  <c r="P36" i="8" s="1"/>
  <c r="D15" i="6"/>
  <c r="D14" i="6"/>
  <c r="D6" i="6"/>
  <c r="D5" i="6"/>
  <c r="D22" i="6"/>
  <c r="D23" i="6"/>
  <c r="AB56" i="3" l="1"/>
  <c r="AE56" i="3" s="1"/>
  <c r="D11" i="6"/>
  <c r="AB3" i="3" s="1"/>
  <c r="AE3" i="3" s="1"/>
  <c r="D19" i="6"/>
  <c r="J9" i="8" s="1"/>
  <c r="P34" i="8" s="1"/>
  <c r="D28" i="6"/>
  <c r="AB27" i="3" l="1"/>
  <c r="AE27" i="3" s="1"/>
  <c r="J3" i="8"/>
  <c r="P33" i="8" s="1"/>
  <c r="J14" i="8"/>
  <c r="P35" i="8" s="1"/>
  <c r="AB41" i="3"/>
  <c r="AE41" i="3" s="1"/>
</calcChain>
</file>

<file path=xl/sharedStrings.xml><?xml version="1.0" encoding="utf-8"?>
<sst xmlns="http://schemas.openxmlformats.org/spreadsheetml/2006/main" count="1031" uniqueCount="477">
  <si>
    <t>Escenario</t>
  </si>
  <si>
    <t>id_parcela</t>
  </si>
  <si>
    <t>Corta</t>
  </si>
  <si>
    <t>Edad_parcela (años)</t>
  </si>
  <si>
    <t>dbh_lim (cm)</t>
  </si>
  <si>
    <t>N (pies/ha)</t>
  </si>
  <si>
    <t>N_extr (pies/ha)</t>
  </si>
  <si>
    <t>V_extr (m3)</t>
  </si>
  <si>
    <t>Precio/ha apeo</t>
  </si>
  <si>
    <t>Precio/ha prep</t>
  </si>
  <si>
    <t>Resumen (sin mat y pte.&lt;25%)</t>
  </si>
  <si>
    <t>Precio_unitario</t>
  </si>
  <si>
    <t>gal</t>
  </si>
  <si>
    <t>Por lo bajo 1</t>
  </si>
  <si>
    <t>Por lo bajo 2</t>
  </si>
  <si>
    <t>Apeo árboles Ø normal &lt;=12 cm</t>
  </si>
  <si>
    <t>Por lo bajo 3</t>
  </si>
  <si>
    <t>Apeo árboles Ø &gt;12-&lt;=20 cm, densidad &gt; 1.500 pies/ha</t>
  </si>
  <si>
    <t>Por lo bajo 4</t>
  </si>
  <si>
    <t>Apeo árboles Ø &gt;12-&lt;=20 cm, densidad &gt;750 &lt;=1.500 pies/ha</t>
  </si>
  <si>
    <t>Por lo bajo 5</t>
  </si>
  <si>
    <t>Apeo árboles Ø &gt;12-&lt;=20 cm, densidad &lt;= 750 pies/ha sin matorral</t>
  </si>
  <si>
    <t>Por lo bajo 6</t>
  </si>
  <si>
    <t>Apeo árboles Ø &gt;20-&lt;=30 cm, densidad &gt; 750 pies/ha</t>
  </si>
  <si>
    <t>Apeo árboles Ø &gt;20-&lt;=30 cm, densidad &lt;= 750 pies/ha sin matorral</t>
  </si>
  <si>
    <t>Apeo árboles Ø &gt; 30 cm</t>
  </si>
  <si>
    <t>Prep. madera árboles cort, Ø &lt;12 cm, pte&lt;=25%</t>
  </si>
  <si>
    <t>Prep. madera árboles cort, Ø &gt;12-&lt;=20 cm, d&gt;1.500 pte&lt;=25%</t>
  </si>
  <si>
    <t>Prep. madera árboles cort, Ø &gt;12-&lt;=20cm, d 750-1.500 pte&lt;=25%</t>
  </si>
  <si>
    <t>Prep. madera árboles cort, Ø &gt;12-&lt;=20cm, d&lt;750 con mat.pte&lt;=25%</t>
  </si>
  <si>
    <t>Prep. madera árboles cort, Ø &gt;12-&lt;=20cm, d&lt;750 sin mat.pte&lt;=25%</t>
  </si>
  <si>
    <t>Prep. madera árboles cort, Ø &gt;20-&lt;=30cm, d&gt;750 pte&lt;=25%</t>
  </si>
  <si>
    <t>Prep. madera árboles cort, Ø &gt;20-&lt;=30cm, d&lt;750 con mat.pte&lt;=25%</t>
  </si>
  <si>
    <t>Prep. madera árboles cort, Ø &gt;20-&lt;=30cm, d&lt;750 sin mat.pte&lt;=25%</t>
  </si>
  <si>
    <t>Señalamiento de pies</t>
  </si>
  <si>
    <t>Saca mecanizada (…)</t>
  </si>
  <si>
    <t>Carga madera</t>
  </si>
  <si>
    <t>mix</t>
  </si>
  <si>
    <t>Sistemática* 1</t>
  </si>
  <si>
    <t>Sistemática* 2</t>
  </si>
  <si>
    <t>Sistemática* 3</t>
  </si>
  <si>
    <t>Sistemática* 4</t>
  </si>
  <si>
    <t>Sistemática* 5</t>
  </si>
  <si>
    <t>Acción</t>
  </si>
  <si>
    <t>Tiempo_simulado (-10)</t>
  </si>
  <si>
    <t>N</t>
  </si>
  <si>
    <t>V_sierra</t>
  </si>
  <si>
    <t>V_sierra_canter</t>
  </si>
  <si>
    <t>WT  (tn/ha)</t>
  </si>
  <si>
    <t>CT (tn/ha)</t>
  </si>
  <si>
    <t>Int</t>
  </si>
  <si>
    <t>N_extr</t>
  </si>
  <si>
    <t>dbh_lim</t>
  </si>
  <si>
    <t>Preparación</t>
  </si>
  <si>
    <t>Fijos</t>
  </si>
  <si>
    <t>Leñas</t>
  </si>
  <si>
    <t>Carbono</t>
  </si>
  <si>
    <t>Carbono aitor</t>
  </si>
  <si>
    <t>TOTAL</t>
  </si>
  <si>
    <t>TOTAL sin VAN</t>
  </si>
  <si>
    <t>TOTAL con VAN</t>
  </si>
  <si>
    <t xml:space="preserve"> SIERRA</t>
  </si>
  <si>
    <t>LEÑA</t>
  </si>
  <si>
    <t>TOTAL con VAN + Valoración FINAL</t>
  </si>
  <si>
    <t>Sierra + leña</t>
  </si>
  <si>
    <t>above</t>
  </si>
  <si>
    <t>Ejecución</t>
  </si>
  <si>
    <t>Control</t>
  </si>
  <si>
    <t>cyl</t>
  </si>
  <si>
    <t>system</t>
  </si>
  <si>
    <t>GENERAL</t>
  </si>
  <si>
    <t>LEÑAS</t>
  </si>
  <si>
    <t>ESPECIE</t>
  </si>
  <si>
    <t>Propiedad</t>
  </si>
  <si>
    <t>TOTAL m3 cc</t>
  </si>
  <si>
    <t>Precio CC.AA. €/m3 cc</t>
  </si>
  <si>
    <t>Precios licitación pública €/m3</t>
  </si>
  <si>
    <t>Privada</t>
  </si>
  <si>
    <t>TOTAL (t)</t>
  </si>
  <si>
    <r>
      <t xml:space="preserve">Precio CC.AA </t>
    </r>
    <r>
      <rPr>
        <b/>
        <sz val="11"/>
        <color theme="0"/>
        <rFont val="Aptos Narrow"/>
        <family val="2"/>
      </rPr>
      <t>€</t>
    </r>
    <r>
      <rPr>
        <b/>
        <sz val="11"/>
        <color theme="0"/>
        <rFont val="Arial"/>
        <family val="2"/>
      </rPr>
      <t>/t</t>
    </r>
  </si>
  <si>
    <t>Precio en cargadero (€/t)</t>
  </si>
  <si>
    <t>Pública</t>
  </si>
  <si>
    <t>En pie</t>
  </si>
  <si>
    <t>En cargadero</t>
  </si>
  <si>
    <t>Pinus radiata</t>
  </si>
  <si>
    <t>4.365.423</t>
  </si>
  <si>
    <t>4.663.534</t>
  </si>
  <si>
    <t>26,9</t>
  </si>
  <si>
    <t>54,8</t>
  </si>
  <si>
    <t>24,6</t>
  </si>
  <si>
    <t>Pinus spp.</t>
  </si>
  <si>
    <t>11,1</t>
  </si>
  <si>
    <t>31,5</t>
  </si>
  <si>
    <t>Pinus pinaster</t>
  </si>
  <si>
    <t>2.754.638</t>
  </si>
  <si>
    <t>3.568.718</t>
  </si>
  <si>
    <t>22,2</t>
  </si>
  <si>
    <t>44,8</t>
  </si>
  <si>
    <t>12,3</t>
  </si>
  <si>
    <t>Pinus halepensis</t>
  </si>
  <si>
    <t>13,8</t>
  </si>
  <si>
    <t>36,7</t>
  </si>
  <si>
    <t>Pinus sylvestris</t>
  </si>
  <si>
    <t>1 .117.197</t>
  </si>
  <si>
    <t>1.850.978</t>
  </si>
  <si>
    <t>33,7</t>
  </si>
  <si>
    <t>56,8</t>
  </si>
  <si>
    <t>15,9</t>
  </si>
  <si>
    <t>Pinus nigra</t>
  </si>
  <si>
    <t>15,7</t>
  </si>
  <si>
    <t>44,6</t>
  </si>
  <si>
    <t>26,3</t>
  </si>
  <si>
    <t>43,7</t>
  </si>
  <si>
    <t>12,2</t>
  </si>
  <si>
    <t>14,9</t>
  </si>
  <si>
    <t>16,0</t>
  </si>
  <si>
    <t>25,3</t>
  </si>
  <si>
    <t>46,4</t>
  </si>
  <si>
    <t>3,6</t>
  </si>
  <si>
    <t>12,1</t>
  </si>
  <si>
    <t>27,4</t>
  </si>
  <si>
    <t>Pinus pinea</t>
  </si>
  <si>
    <t>16,6</t>
  </si>
  <si>
    <t>39,5</t>
  </si>
  <si>
    <t>7,3</t>
  </si>
  <si>
    <t>21,9</t>
  </si>
  <si>
    <t>34,9</t>
  </si>
  <si>
    <t>Otros pinos</t>
  </si>
  <si>
    <t>33,0</t>
  </si>
  <si>
    <t>53,0</t>
  </si>
  <si>
    <t>13,1</t>
  </si>
  <si>
    <t>Coníferas sin especif.</t>
  </si>
  <si>
    <t>9,8</t>
  </si>
  <si>
    <t>30,5</t>
  </si>
  <si>
    <t>Otras coníferas alóctonas</t>
  </si>
  <si>
    <t>32,8</t>
  </si>
  <si>
    <t>48,5</t>
  </si>
  <si>
    <t>15,8</t>
  </si>
  <si>
    <t>Resto de coníferas</t>
  </si>
  <si>
    <t>10,0</t>
  </si>
  <si>
    <t>33,6</t>
  </si>
  <si>
    <t>Otras coníferas</t>
  </si>
  <si>
    <t>12,8</t>
  </si>
  <si>
    <t>53,8</t>
  </si>
  <si>
    <t>11,9</t>
  </si>
  <si>
    <t>TOTAL CONÍFERAS</t>
  </si>
  <si>
    <t>14,1</t>
  </si>
  <si>
    <t>3.177.386</t>
  </si>
  <si>
    <t>8.652.633</t>
  </si>
  <si>
    <t>11.830.019</t>
  </si>
  <si>
    <t>50,8</t>
  </si>
  <si>
    <t>116,9</t>
  </si>
  <si>
    <t>Quercus spp.</t>
  </si>
  <si>
    <t>38,3</t>
  </si>
  <si>
    <t>58,2</t>
  </si>
  <si>
    <t>Eucalyptus spp.</t>
  </si>
  <si>
    <t>7.382.459</t>
  </si>
  <si>
    <t>7.545.238</t>
  </si>
  <si>
    <t>29,9</t>
  </si>
  <si>
    <t>42,4</t>
  </si>
  <si>
    <t>19,0</t>
  </si>
  <si>
    <t>Quercus ilex</t>
  </si>
  <si>
    <t>96,4</t>
  </si>
  <si>
    <t>28,9</t>
  </si>
  <si>
    <t>Populus spp.</t>
  </si>
  <si>
    <t>117,9</t>
  </si>
  <si>
    <t>158,5</t>
  </si>
  <si>
    <t>71 ,2</t>
  </si>
  <si>
    <t>Quercus pyrenaica</t>
  </si>
  <si>
    <t>99,9</t>
  </si>
  <si>
    <t>Fagus sylvatica</t>
  </si>
  <si>
    <t>38,9</t>
  </si>
  <si>
    <t>59,2</t>
  </si>
  <si>
    <t>17,0</t>
  </si>
  <si>
    <t>16,8</t>
  </si>
  <si>
    <t>35,7</t>
  </si>
  <si>
    <t>Quercus robur</t>
  </si>
  <si>
    <t>71,3</t>
  </si>
  <si>
    <t>98,1</t>
  </si>
  <si>
    <t>6,2</t>
  </si>
  <si>
    <t>33,2</t>
  </si>
  <si>
    <t>Castanea sativa</t>
  </si>
  <si>
    <t>40,0</t>
  </si>
  <si>
    <t>60,1</t>
  </si>
  <si>
    <t>15,6</t>
  </si>
  <si>
    <t>-</t>
  </si>
  <si>
    <t>6,1</t>
  </si>
  <si>
    <t>30,0</t>
  </si>
  <si>
    <t>Quercus rubra</t>
  </si>
  <si>
    <t>41,9</t>
  </si>
  <si>
    <t>63,9</t>
  </si>
  <si>
    <t>19,8</t>
  </si>
  <si>
    <r>
      <rPr>
        <sz val="11"/>
        <color theme="1"/>
        <rFont val="Arial"/>
        <family val="2"/>
      </rPr>
      <t>Otros</t>
    </r>
    <r>
      <rPr>
        <i/>
        <sz val="11"/>
        <color theme="1"/>
        <rFont val="Arial"/>
        <family val="2"/>
      </rPr>
      <t xml:space="preserve"> Quercus</t>
    </r>
  </si>
  <si>
    <t>50,6</t>
  </si>
  <si>
    <t>38,1</t>
  </si>
  <si>
    <t>3.41 5</t>
  </si>
  <si>
    <t>55,2</t>
  </si>
  <si>
    <t>5,6</t>
  </si>
  <si>
    <t>Frondosas sin especif.</t>
  </si>
  <si>
    <t>3.842</t>
  </si>
  <si>
    <t>39.129</t>
  </si>
  <si>
    <t>26,2</t>
  </si>
  <si>
    <t>46,5</t>
  </si>
  <si>
    <t>Otras frondosas alóctonas</t>
  </si>
  <si>
    <t>20,5</t>
  </si>
  <si>
    <t>39,8</t>
  </si>
  <si>
    <t>7,5</t>
  </si>
  <si>
    <t>Resto de frondosas</t>
  </si>
  <si>
    <t>9,4</t>
  </si>
  <si>
    <t>23,7</t>
  </si>
  <si>
    <r>
      <rPr>
        <sz val="11"/>
        <color theme="1"/>
        <rFont val="Arial"/>
        <family val="2"/>
      </rPr>
      <t>Otras frondosas</t>
    </r>
    <r>
      <rPr>
        <i/>
        <sz val="11"/>
        <color theme="1"/>
        <rFont val="Arial"/>
        <family val="2"/>
      </rPr>
      <t xml:space="preserve"> </t>
    </r>
  </si>
  <si>
    <t>42,8</t>
  </si>
  <si>
    <t>74,1</t>
  </si>
  <si>
    <t>18,9</t>
  </si>
  <si>
    <t>TOTAL FRONDOSAS</t>
  </si>
  <si>
    <t>37,8</t>
  </si>
  <si>
    <t>34,1</t>
  </si>
  <si>
    <t>8.181.462</t>
  </si>
  <si>
    <t>8.645.745</t>
  </si>
  <si>
    <t>36,1</t>
  </si>
  <si>
    <t>51,1</t>
  </si>
  <si>
    <t>Tasa de Interés (k):</t>
  </si>
  <si>
    <t>Periodo (t)</t>
  </si>
  <si>
    <t>Flujo de dienro (Ft)</t>
  </si>
  <si>
    <t>Factor de Descuento</t>
  </si>
  <si>
    <t>Valor Actual (Ft/(1+k)^t)</t>
  </si>
  <si>
    <t>abo</t>
  </si>
  <si>
    <t>Total VAN:</t>
  </si>
  <si>
    <t>sys</t>
  </si>
  <si>
    <t>Código</t>
  </si>
  <si>
    <t>Ud</t>
  </si>
  <si>
    <t>Resumen</t>
  </si>
  <si>
    <t>Rendimiento</t>
  </si>
  <si>
    <t>Precio Unitario</t>
  </si>
  <si>
    <t>Importe</t>
  </si>
  <si>
    <t>F06</t>
  </si>
  <si>
    <t>APROVECHAMIENTOS, CLARAS Y CLAREOS</t>
  </si>
  <si>
    <t>F06216</t>
  </si>
  <si>
    <t>jor</t>
  </si>
  <si>
    <t>F06104</t>
  </si>
  <si>
    <t>pie</t>
  </si>
  <si>
    <t>Apeo árboles ø normal &lt;=12 cm</t>
  </si>
  <si>
    <t>F06105</t>
  </si>
  <si>
    <t>Apeo árboles ø &gt;12-&lt;=20 cm, densidad &gt; 1.500 pies/ha</t>
  </si>
  <si>
    <t>F06106</t>
  </si>
  <si>
    <t>Apeo árboles ø &gt;12-&lt;=20 cm, densidad &gt;750 &lt;=1.500 pies/ha</t>
  </si>
  <si>
    <t>F06107</t>
  </si>
  <si>
    <t>Apeo árboles ø &gt;12-&lt;=20 cm, densidad &lt;= 750 pies/ha con matorral</t>
  </si>
  <si>
    <t>F06108</t>
  </si>
  <si>
    <t>Apeo árboles ø &gt;12-&lt;=20 cm, densidad &lt;= 750 pies/ha sin matorral</t>
  </si>
  <si>
    <t>F06109</t>
  </si>
  <si>
    <t>Apeo árboles ø &gt;20-&lt;=30 cm, densidad &gt; 750 pies/ha</t>
  </si>
  <si>
    <t>F06110</t>
  </si>
  <si>
    <t>Apeo árboles ø &gt;20-&lt;=30 cm, densidad &lt;= 750 pies/ha con matorral</t>
  </si>
  <si>
    <t>F06111</t>
  </si>
  <si>
    <t>Apeo árboles ø &gt;20-&lt;=30 cm, densidad &lt;= 750 pies/ha sin matorral</t>
  </si>
  <si>
    <t>F06112</t>
  </si>
  <si>
    <t>Apeo árboles ø &gt; 30 cm</t>
  </si>
  <si>
    <t>F06113</t>
  </si>
  <si>
    <t>est</t>
  </si>
  <si>
    <t>Tronzado de fustes a árboles de ø &lt;= 12 cm</t>
  </si>
  <si>
    <t>F06114</t>
  </si>
  <si>
    <t>Tronzado de fustes a árboles de ø &gt;12 &lt;=20 cm</t>
  </si>
  <si>
    <t>F06115</t>
  </si>
  <si>
    <t>Tronzado de fustes a árboles de ø &gt;20 &lt;=30 cm</t>
  </si>
  <si>
    <t>F06116</t>
  </si>
  <si>
    <t>m³</t>
  </si>
  <si>
    <t>Tronzado de fustes a árboles de ø &gt; 30 cm</t>
  </si>
  <si>
    <t>F06117</t>
  </si>
  <si>
    <t>Apilado manual trozas ø &lt;=12 cm sin matorral</t>
  </si>
  <si>
    <t>F06118</t>
  </si>
  <si>
    <t>Apilado manual trozas ø &lt;=12 cm con matorral</t>
  </si>
  <si>
    <t>F06119</t>
  </si>
  <si>
    <t>Apilado manual trozas ø &gt;12-&lt;=20 cm sin matorral</t>
  </si>
  <si>
    <t>F06120</t>
  </si>
  <si>
    <t>Apilado manual trozas ø &gt;12-&lt;=20 cm con matorral</t>
  </si>
  <si>
    <t>F06121</t>
  </si>
  <si>
    <t>Prep.madera árboles cort, ø &lt;12 cm, pte&lt;=25%</t>
  </si>
  <si>
    <t>F06122</t>
  </si>
  <si>
    <t>Prep.madera árboles cort, ø &lt;12 cm, pte&gt;25%</t>
  </si>
  <si>
    <t>F06123</t>
  </si>
  <si>
    <t>Prep.madera árboles cort, ø &gt;12-&lt;=20 cm, d&gt;1.500 pte&lt;=25%</t>
  </si>
  <si>
    <t>F06124</t>
  </si>
  <si>
    <t>Prep.madera árboles cort, ø &gt;12-&lt;=20 cm, d&gt;1.500 pte&gt;25%</t>
  </si>
  <si>
    <t>F06125</t>
  </si>
  <si>
    <t>Prep.madera árboles cort. ø&gt;12-&lt;=20cm, d 750-1.500 pte&lt;=25%</t>
  </si>
  <si>
    <t>F06126</t>
  </si>
  <si>
    <t>Prep.madera árboles cort, ø&gt;12-&lt;=20cm, d 750-1.500 pte&gt;25%</t>
  </si>
  <si>
    <t>F06127</t>
  </si>
  <si>
    <t>Prep.madera árboles cort, ø&gt;12-&lt;=20cm, d&lt;750 con mat.pte&lt;=25%</t>
  </si>
  <si>
    <t>F06128</t>
  </si>
  <si>
    <t>Prep.madera árboles cort, ø&gt;12-&lt;=20cm, d&lt;750 con mat.pte&gt;25%</t>
  </si>
  <si>
    <t>F06129</t>
  </si>
  <si>
    <t>Prep.madera árboles cort. ø&gt;12-&lt;=20cm, d&lt;750 sin mat.pte&lt;=25%</t>
  </si>
  <si>
    <t>F06130</t>
  </si>
  <si>
    <t>Prep.madera árboles cort. ø&gt;12-&lt;=20 cm, d&lt;750 sin mat.pte&gt;25%</t>
  </si>
  <si>
    <t>F06131</t>
  </si>
  <si>
    <t>Prep.madera árboles cort, ø &gt;20-&lt;=30cm, d&gt;750 pte&lt;=25%</t>
  </si>
  <si>
    <t>F06132</t>
  </si>
  <si>
    <t>Prep.madera árboles cort, ø &gt;20-&lt;=30cm, d&gt;750 pte &gt; 25%</t>
  </si>
  <si>
    <t>F06133</t>
  </si>
  <si>
    <t>Prep.madera árboles cort. ø&gt;20-&lt;=30cm, d&lt;750 con mat.pte&lt;=25%</t>
  </si>
  <si>
    <t>F06134</t>
  </si>
  <si>
    <t>Prep.madera árboles cort. ø&gt;20-&lt;=30cm, d&lt;750 con mat.pte&gt;25%</t>
  </si>
  <si>
    <t>F06135</t>
  </si>
  <si>
    <t>Prep.madera árboles cort. ø&gt;20-&lt;=30cm, d&lt;750 sin mat.pte&lt;=25%</t>
  </si>
  <si>
    <t>F06136</t>
  </si>
  <si>
    <t>Prep.madera árboles cort.ø&gt;20-&lt;=30cm, d&lt;750 sin mat. pte&gt;25%</t>
  </si>
  <si>
    <t>F06137</t>
  </si>
  <si>
    <t>Estéreo madera ø &lt; 12 cm, pendiente &lt; 25%</t>
  </si>
  <si>
    <t>F06138</t>
  </si>
  <si>
    <t>Estéreo madera ø &lt;= 12 cm, pendiente &gt; 25%</t>
  </si>
  <si>
    <t>F06139</t>
  </si>
  <si>
    <t>Estéreo madera ø &gt;12-&lt;=20 cm, d&gt;1500 pies/ha. pte&lt;=25</t>
  </si>
  <si>
    <t>F06140</t>
  </si>
  <si>
    <t>Estéreo madera ø &gt;12-&lt;=20 cm, d&gt;1500 pies/ha. pte&gt;25</t>
  </si>
  <si>
    <t>F06141</t>
  </si>
  <si>
    <t>Estéreo madera ø &gt;12-&lt;=20 cm, d 750-1500 pies/ha. pte&lt;=25</t>
  </si>
  <si>
    <t>F06142</t>
  </si>
  <si>
    <t>Estéreo madera ø &gt;12-&lt;=20 cm,d 750-1500 pies/ha.pte&gt;25</t>
  </si>
  <si>
    <t>F06143</t>
  </si>
  <si>
    <t>Estéreo madera ø &gt;12-&lt;=20 cm,d&lt;750 pies/ha.con mat.pte&lt;25%</t>
  </si>
  <si>
    <t>F06144</t>
  </si>
  <si>
    <t>Estéreo madera ø &gt;12-&lt;=20 cm,d&lt;750 pies/ha.con mat.pte&gt;25%</t>
  </si>
  <si>
    <t>F06145</t>
  </si>
  <si>
    <t>Estéreo madera ø &gt;12-&lt;=20 cm,d&lt;750 pies/ha.sin mat.pte&lt;=25%</t>
  </si>
  <si>
    <t>F06146</t>
  </si>
  <si>
    <t>Estéreo madera ø &gt;12-&lt;=20 cm,d&lt;750pies/ha.sin mat.pte&gt;25%</t>
  </si>
  <si>
    <t>F06147</t>
  </si>
  <si>
    <t>Estéreo madera ø &gt;20-&lt;=30 cm,d&gt;750pies/ha.pte&lt;=25%</t>
  </si>
  <si>
    <t>F06148</t>
  </si>
  <si>
    <t>Estéreo madera ø &gt;20-&lt;=30 cm,d&gt;750pies/ha.pte&gt;25%</t>
  </si>
  <si>
    <t>F06149</t>
  </si>
  <si>
    <t>Estéreo maderaø &gt;20-&lt;=30 cm,d&lt;750 pies/ha.con mat.pendiente &lt;25%</t>
  </si>
  <si>
    <t>F06150</t>
  </si>
  <si>
    <t>Estéreo maderaø &gt;20-&lt;=30 cm,d&lt;750 pies/ha.con mat.pendiente &gt;25%</t>
  </si>
  <si>
    <t>F06151</t>
  </si>
  <si>
    <t>Estéreo maderaø &gt;20-&lt;=30 cm,d&lt;750 pies/ha.sin mat.pendiente &lt;25%</t>
  </si>
  <si>
    <t>F06152</t>
  </si>
  <si>
    <t>Estéreo maderaø &gt;20-&lt;=30 cm,d&lt;750 pies/ha.sin mat.pendiente &gt;25%</t>
  </si>
  <si>
    <t>F06153</t>
  </si>
  <si>
    <t>Est. madera 12&lt;ø&lt;=20; pte&lt;25%; ramas &lt; 6 cm dispuestas &lt;= 1/3 fuste</t>
  </si>
  <si>
    <t>F06154</t>
  </si>
  <si>
    <t>Est. madera 12&lt;ø&lt;=20; pte&lt;25%; ramas &lt; 6 cm dispuestas &gt;1/3 fuste</t>
  </si>
  <si>
    <t>F06155</t>
  </si>
  <si>
    <t>Est. madera 12&lt;ø&lt;=20; pte&lt;25%; ramas 6-8 cm dispuestas &lt;= 1/3 fuste</t>
  </si>
  <si>
    <t>F06156</t>
  </si>
  <si>
    <t>Est. madera 12&lt;ø&lt;=20; pte&lt;25%; ramas 6-8 cm dispuestas &gt; 1/3 fuste</t>
  </si>
  <si>
    <t>F06157</t>
  </si>
  <si>
    <t>Est. madera 12&lt;ø&lt;=20; pte 25%-50%; ramas &lt; 6 cm dispuestas &lt;=1/3 fuste</t>
  </si>
  <si>
    <t>F06158</t>
  </si>
  <si>
    <t>Est. madera 12&lt;ø&lt;=20; pte 25%-50%; ramas &lt; 6 cm dispuestas &gt;1/3 fuste</t>
  </si>
  <si>
    <t>F06159</t>
  </si>
  <si>
    <t>Est. madera 12&lt;ø&lt;=20; pte 25%-50%; ramas 6-8 cm dispuestas &lt;=1/3 fuste</t>
  </si>
  <si>
    <t>F06160</t>
  </si>
  <si>
    <t>Est. madera 12&lt;ø&lt;=20; pte 25%-50%; ramas 6-8 cm dispuestas &gt;1/3 fuste</t>
  </si>
  <si>
    <t>F06161</t>
  </si>
  <si>
    <t>Est. madera 20&lt;ø&lt;=30; pte&lt;25%; ramas &lt; 6 cm dispuestas &lt;= 1/3 fuste</t>
  </si>
  <si>
    <t>F06162</t>
  </si>
  <si>
    <t>Est. madera 20&lt;ø&lt;=30; pte&lt;25%; ramas &lt; 6 cm dispuestas &gt; 1/3 fuste</t>
  </si>
  <si>
    <t>F06163</t>
  </si>
  <si>
    <t>Est. madera 20&lt;ø&lt;=30; pte&lt;25%; ramas 6-8 cm dispuestas &lt;= 1/3 fuste</t>
  </si>
  <si>
    <t>F06164</t>
  </si>
  <si>
    <t>Est. madera 20&lt;ø&lt;=30; pte&lt;25%; ramas 6-8 cm dispuestas &gt; 1/3 fuste</t>
  </si>
  <si>
    <t>F06165</t>
  </si>
  <si>
    <t>Est. madera 20&lt;ø&lt;=30; pte 25%-50%; ramas &lt; 6 cm dispuestas &lt;= 1/3 fuste</t>
  </si>
  <si>
    <t>F06166</t>
  </si>
  <si>
    <t>Est. madera 20&lt;ø&lt;=30; pte 25%-50%; ramas &lt; 6 cm dispuestas &gt; 1/3 fuste</t>
  </si>
  <si>
    <t>F06167</t>
  </si>
  <si>
    <t>Est. madera 20&lt;ø&lt;=30; pte 25%-50%; ramas 6-8 cm dispuestas &lt;= 1/3 fuste</t>
  </si>
  <si>
    <t>F06168</t>
  </si>
  <si>
    <t>Est. madera 20&lt;ø&lt;=30; pte 25%-50%; ramas 6-8 cm dispuestas &gt; 1/3 fuste</t>
  </si>
  <si>
    <t>F06169</t>
  </si>
  <si>
    <t>Est. madera 30&lt;ø&lt;=45; pte&lt;25%; ramas &lt; 6 cm dispuestas &lt;= 1/3 fuste</t>
  </si>
  <si>
    <t>F06170</t>
  </si>
  <si>
    <t>Est. madera 30&lt;ø&lt;=45; pte&lt;25%; ramas &lt; 6 cm dispuestas &gt; 1/3 fuste</t>
  </si>
  <si>
    <t>F06171</t>
  </si>
  <si>
    <t>Est. madera 30&lt;ø&lt;=45; pte&lt;25%; ramas 6-8 cm dispuestas &lt;= 1/3 fuste</t>
  </si>
  <si>
    <t>F06172</t>
  </si>
  <si>
    <t>Est. madera 30&lt;ø&lt;=45; pte&lt;25%; ramas 6-8 cm dispuestas &gt; 1/3 fuste</t>
  </si>
  <si>
    <t>F06173</t>
  </si>
  <si>
    <t>Est. madera 30&lt;ø&lt;=45; pte 25%-50%; ramas &lt; 6 cm dispuestas &lt;= 1/3 fuste</t>
  </si>
  <si>
    <t>F06174</t>
  </si>
  <si>
    <t>Est. madera 30&lt;ø&lt;=45; pte 25%-50%; ramas &lt; 6 cm dispuestas &gt; 1/3 fuste</t>
  </si>
  <si>
    <t>F06175</t>
  </si>
  <si>
    <t>Est. madera 30&lt;ø&lt;=45; pte 25%-50%; ramas 6-8 cm dispuestas &lt;= 1/3 fuste</t>
  </si>
  <si>
    <t>F06176</t>
  </si>
  <si>
    <t>Est. madera 30&lt;ø&lt;=45; pte 25%-50%; ramas 6-8 cm dispuestas &gt; 1/3 fuste</t>
  </si>
  <si>
    <t>F06177</t>
  </si>
  <si>
    <t>Corta coníferas, ø &gt; 30 cm, pendiente &lt;= 25%</t>
  </si>
  <si>
    <t>F06178</t>
  </si>
  <si>
    <t>Corta coníferas, ø &gt; 30 cm pendiente &gt; 25%</t>
  </si>
  <si>
    <t>F06179</t>
  </si>
  <si>
    <t>Saca mecanizada madera pendiente &gt;30%-&lt;=50% D. &lt;200 m</t>
  </si>
  <si>
    <t>F06180</t>
  </si>
  <si>
    <t>F06181</t>
  </si>
  <si>
    <t>Saca mecanizada madera pendiente &gt;30%-&lt;=50% D.200-400 m</t>
  </si>
  <si>
    <t>F06182</t>
  </si>
  <si>
    <t>F06183</t>
  </si>
  <si>
    <t>Saca mecanizada asc.maderaø&lt;12cm.pte&gt;50% D.&lt;200 m</t>
  </si>
  <si>
    <t>F06184</t>
  </si>
  <si>
    <t>Saca mecanizada asc.maderaø&gt;12-&lt;=20 cm.pte&gt;50% D.&lt;200 m</t>
  </si>
  <si>
    <t>F06185</t>
  </si>
  <si>
    <t>Saca mecanizada asc.maderaø&gt;20-&lt;=30 cm.pte&gt;50% D.&lt;200 m</t>
  </si>
  <si>
    <t>F06188</t>
  </si>
  <si>
    <t>Saca mecanizada asc.maderaø&gt;30 cm.pte&gt;50% D. &lt; 200 m</t>
  </si>
  <si>
    <t>F06191</t>
  </si>
  <si>
    <t>Saca mecanizada desc.maderaø&lt;12cm.pte&gt;50% D.&lt;200 m</t>
  </si>
  <si>
    <t>F06192</t>
  </si>
  <si>
    <t>Saca mecanizada desc.maderaø&gt;12-&lt;=20 cm.pte&gt;50% D.&lt;200 m</t>
  </si>
  <si>
    <t>F06193</t>
  </si>
  <si>
    <t>Saca mecanizada desc.maderaø&gt;20-&lt;=30 cm.pte&gt;50% D.&lt;200 m</t>
  </si>
  <si>
    <t>F06196</t>
  </si>
  <si>
    <t>Saca mecanizada desc.maderaø&gt;30 cm.pte&gt;50% D. &lt; 200 m</t>
  </si>
  <si>
    <t>F06199</t>
  </si>
  <si>
    <t>Saca descendente tracción animal, ø &gt;12 cm, pte&lt;50% D&lt;=100</t>
  </si>
  <si>
    <t>F06200</t>
  </si>
  <si>
    <t>Saca descendente tracción animal, ø &gt;12 cm, pte&lt;50% D.100-200m</t>
  </si>
  <si>
    <t>F06214</t>
  </si>
  <si>
    <t>Saca descendente tracción animal, ø &lt;=12 cm, pte&lt;50% D&lt;=100</t>
  </si>
  <si>
    <t>F06215</t>
  </si>
  <si>
    <t>Saca descendente tracción animal, ø &lt;=12 cm, pte&lt;50% D.100-200m</t>
  </si>
  <si>
    <t>F06201</t>
  </si>
  <si>
    <t>Descortezado manual madera coníferas ø &gt;12-&lt;=20 cm</t>
  </si>
  <si>
    <t>F06202</t>
  </si>
  <si>
    <t>Descortezado manual madera coníferas ø &gt;20-&lt;=30 cm</t>
  </si>
  <si>
    <t>F06203</t>
  </si>
  <si>
    <t>Descortezado manual madera coníferas ø &gt; 30 cm</t>
  </si>
  <si>
    <t>F06207</t>
  </si>
  <si>
    <t>Apilado mecanizado trozas ø &lt;= 20 cm</t>
  </si>
  <si>
    <t>F06208</t>
  </si>
  <si>
    <t>Apilado mecanizado trozas ø &gt;20-&lt;=30 cm</t>
  </si>
  <si>
    <t>F06209</t>
  </si>
  <si>
    <t>Saca mec.madera pte&lt; 30% distancia &lt;200 m</t>
  </si>
  <si>
    <t>F06210</t>
  </si>
  <si>
    <t>F06211</t>
  </si>
  <si>
    <t>Saca mecanizada madera pte&lt; 30% D. 200-400 m</t>
  </si>
  <si>
    <t>F06212</t>
  </si>
  <si>
    <t>Saca mecanizada madera.pte&lt; 30% D. 200-400 m</t>
  </si>
  <si>
    <t>F06213</t>
  </si>
  <si>
    <t>Carga madera con grúa 101/130 CV</t>
  </si>
  <si>
    <t>Total sin VAN</t>
  </si>
  <si>
    <t>Total con VAN 4%</t>
  </si>
  <si>
    <t>Tiempo simulado</t>
  </si>
  <si>
    <t>Sierra</t>
  </si>
  <si>
    <t>Total (€)</t>
  </si>
  <si>
    <t>Carbono (t/ha)</t>
  </si>
  <si>
    <t>VALORACIÓN FINAL (€)</t>
  </si>
  <si>
    <t>Leña</t>
  </si>
  <si>
    <t>m3/ha</t>
  </si>
  <si>
    <t>€</t>
  </si>
  <si>
    <t>Gastos (€)</t>
  </si>
  <si>
    <t>Ingresos (€)</t>
  </si>
  <si>
    <t>Tiempo simulado (años)</t>
  </si>
  <si>
    <t>V_con_corteza (m3/ha)</t>
  </si>
  <si>
    <t>V_extraido (m3/ha)</t>
  </si>
  <si>
    <t>Apeo (€/ha)</t>
  </si>
  <si>
    <t>Preparación (€/ha)</t>
  </si>
  <si>
    <t>Costes fijos (€/ha)</t>
  </si>
  <si>
    <t>Leñas (€/ha)</t>
  </si>
  <si>
    <t>Total (€/ha)</t>
  </si>
  <si>
    <t>255,51</t>
  </si>
  <si>
    <t>116,15</t>
  </si>
  <si>
    <t>9.815,01</t>
  </si>
  <si>
    <t>332,05</t>
  </si>
  <si>
    <t>7.612,34</t>
  </si>
  <si>
    <t>17.427,35</t>
  </si>
  <si>
    <t>69,83</t>
  </si>
  <si>
    <t>81,99</t>
  </si>
  <si>
    <t>197,42</t>
  </si>
  <si>
    <t>159,23</t>
  </si>
  <si>
    <t>122,75</t>
  </si>
  <si>
    <t>dg  (cm)</t>
  </si>
  <si>
    <t>G (m2/ha)</t>
  </si>
  <si>
    <t>Ho (m)</t>
  </si>
  <si>
    <t>Edad media (años)</t>
  </si>
  <si>
    <t>Volumen cc (m3/ha)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</si>
</sst>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0.0000"/>
  </numFmts>
  <fonts count="2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color rgb="FFFFFFFF"/>
      <name val="Verdana"/>
      <family val="2"/>
    </font>
    <font>
      <sz val="9"/>
      <color rgb="FFE67112"/>
      <name val="Verdana"/>
      <family val="2"/>
    </font>
    <font>
      <sz val="9"/>
      <color rgb="FF000000"/>
      <name val="Verdana"/>
      <family val="2"/>
    </font>
    <font>
      <b/>
      <sz val="11"/>
      <color theme="0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Aptos Narrow"/>
      <family val="2"/>
    </font>
    <font>
      <b/>
      <sz val="11"/>
      <color theme="2" tint="-0.249977111117893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2" tint="-9.9978637043366805E-2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5795"/>
        <bgColor indexed="64"/>
      </patternFill>
    </fill>
    <fill>
      <patternFill patternType="solid">
        <fgColor rgb="FFE8EE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1F0C8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005795"/>
      </right>
      <top style="medium">
        <color indexed="64"/>
      </top>
      <bottom/>
      <diagonal/>
    </border>
    <border>
      <left style="medium">
        <color rgb="FF005795"/>
      </left>
      <right style="medium">
        <color rgb="FF005795"/>
      </right>
      <top style="medium">
        <color indexed="64"/>
      </top>
      <bottom/>
      <diagonal/>
    </border>
    <border>
      <left/>
      <right style="medium">
        <color rgb="FF005795"/>
      </right>
      <top style="medium">
        <color indexed="64"/>
      </top>
      <bottom/>
      <diagonal/>
    </border>
    <border>
      <left style="medium">
        <color rgb="FF00579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E8EEF5"/>
      </right>
      <top style="medium">
        <color rgb="FFE8EEF5"/>
      </top>
      <bottom style="medium">
        <color rgb="FFE8EEF5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E8EEF5"/>
      </right>
      <top style="medium">
        <color rgb="FFE8EEF5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rgb="FFE8EEF5"/>
      </right>
      <top/>
      <bottom style="medium">
        <color rgb="FFE8EEF5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5795"/>
      </right>
      <top/>
      <bottom style="medium">
        <color indexed="64"/>
      </bottom>
      <diagonal/>
    </border>
    <border>
      <left style="medium">
        <color rgb="FF005795"/>
      </left>
      <right style="medium">
        <color rgb="FF005795"/>
      </right>
      <top/>
      <bottom style="medium">
        <color indexed="64"/>
      </bottom>
      <diagonal/>
    </border>
    <border>
      <left/>
      <right style="medium">
        <color rgb="FF005795"/>
      </right>
      <top/>
      <bottom style="medium">
        <color indexed="64"/>
      </bottom>
      <diagonal/>
    </border>
    <border>
      <left style="medium">
        <color rgb="FF005795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/>
      <top style="thin">
        <color theme="6"/>
      </top>
      <bottom style="thin">
        <color indexed="64"/>
      </bottom>
      <diagonal/>
    </border>
    <border>
      <left style="thin">
        <color indexed="64"/>
      </left>
      <right/>
      <top style="thin">
        <color theme="6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/>
      <diagonal/>
    </border>
    <border>
      <left style="thin">
        <color theme="6"/>
      </left>
      <right style="thin">
        <color indexed="64"/>
      </right>
      <top/>
      <bottom style="thin">
        <color theme="6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6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thin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6"/>
      </bottom>
      <diagonal/>
    </border>
    <border>
      <left/>
      <right style="thin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rgb="FF196B24"/>
      </bottom>
      <diagonal/>
    </border>
    <border>
      <left/>
      <right style="medium">
        <color indexed="64"/>
      </right>
      <top style="medium">
        <color indexed="64"/>
      </top>
      <bottom style="medium">
        <color rgb="FF196B24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</cellStyleXfs>
  <cellXfs count="3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3" borderId="0" xfId="0" applyNumberFormat="1" applyFill="1"/>
    <xf numFmtId="0" fontId="3" fillId="0" borderId="16" xfId="0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25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0" borderId="15" xfId="0" applyBorder="1"/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9" xfId="0" applyBorder="1"/>
    <xf numFmtId="0" fontId="0" fillId="0" borderId="17" xfId="0" applyBorder="1"/>
    <xf numFmtId="0" fontId="0" fillId="0" borderId="18" xfId="0" applyBorder="1"/>
    <xf numFmtId="0" fontId="3" fillId="0" borderId="22" xfId="0" applyFont="1" applyBorder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8" fillId="7" borderId="31" xfId="0" applyFont="1" applyFill="1" applyBorder="1" applyAlignment="1">
      <alignment horizontal="left" vertical="center" wrapText="1"/>
    </xf>
    <xf numFmtId="0" fontId="8" fillId="7" borderId="31" xfId="0" applyFont="1" applyFill="1" applyBorder="1" applyAlignment="1">
      <alignment vertical="center" wrapText="1"/>
    </xf>
    <xf numFmtId="0" fontId="8" fillId="7" borderId="31" xfId="0" applyFont="1" applyFill="1" applyBorder="1" applyAlignment="1">
      <alignment horizontal="right" vertical="center" wrapText="1"/>
    </xf>
    <xf numFmtId="165" fontId="8" fillId="7" borderId="31" xfId="0" applyNumberFormat="1" applyFont="1" applyFill="1" applyBorder="1" applyAlignment="1">
      <alignment horizontal="right" vertical="center" wrapText="1"/>
    </xf>
    <xf numFmtId="0" fontId="6" fillId="6" borderId="32" xfId="0" applyFont="1" applyFill="1" applyBorder="1" applyAlignment="1">
      <alignment horizontal="left" vertical="top"/>
    </xf>
    <xf numFmtId="0" fontId="6" fillId="6" borderId="34" xfId="0" applyFont="1" applyFill="1" applyBorder="1" applyAlignment="1">
      <alignment horizontal="left" vertical="top" wrapText="1"/>
    </xf>
    <xf numFmtId="0" fontId="6" fillId="6" borderId="34" xfId="0" applyFont="1" applyFill="1" applyBorder="1" applyAlignment="1">
      <alignment horizontal="left" vertical="top" wrapText="1" indent="1"/>
    </xf>
    <xf numFmtId="0" fontId="7" fillId="5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right" vertical="center" wrapText="1"/>
    </xf>
    <xf numFmtId="0" fontId="7" fillId="5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left" vertical="center" wrapText="1"/>
    </xf>
    <xf numFmtId="0" fontId="8" fillId="7" borderId="39" xfId="0" applyFont="1" applyFill="1" applyBorder="1" applyAlignment="1">
      <alignment vertical="center" wrapText="1"/>
    </xf>
    <xf numFmtId="0" fontId="8" fillId="7" borderId="39" xfId="0" applyFont="1" applyFill="1" applyBorder="1" applyAlignment="1">
      <alignment horizontal="right" vertical="center" wrapText="1"/>
    </xf>
    <xf numFmtId="165" fontId="8" fillId="7" borderId="39" xfId="0" applyNumberFormat="1" applyFont="1" applyFill="1" applyBorder="1" applyAlignment="1">
      <alignment horizontal="right" vertical="center" wrapText="1"/>
    </xf>
    <xf numFmtId="0" fontId="8" fillId="7" borderId="40" xfId="0" applyFont="1" applyFill="1" applyBorder="1" applyAlignment="1">
      <alignment horizontal="right" vertical="center" wrapText="1"/>
    </xf>
    <xf numFmtId="0" fontId="7" fillId="5" borderId="41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left" vertical="center" wrapText="1"/>
    </xf>
    <xf numFmtId="0" fontId="8" fillId="7" borderId="42" xfId="0" applyFont="1" applyFill="1" applyBorder="1" applyAlignment="1">
      <alignment vertical="center" wrapText="1"/>
    </xf>
    <xf numFmtId="0" fontId="8" fillId="7" borderId="42" xfId="0" applyFont="1" applyFill="1" applyBorder="1" applyAlignment="1">
      <alignment horizontal="right" vertical="center" wrapText="1"/>
    </xf>
    <xf numFmtId="165" fontId="8" fillId="7" borderId="42" xfId="0" applyNumberFormat="1" applyFont="1" applyFill="1" applyBorder="1" applyAlignment="1">
      <alignment horizontal="right" vertical="center" wrapText="1"/>
    </xf>
    <xf numFmtId="0" fontId="8" fillId="7" borderId="43" xfId="0" applyFont="1" applyFill="1" applyBorder="1" applyAlignment="1">
      <alignment horizontal="right" vertical="center" wrapText="1"/>
    </xf>
    <xf numFmtId="0" fontId="6" fillId="6" borderId="44" xfId="0" applyFont="1" applyFill="1" applyBorder="1" applyAlignment="1">
      <alignment horizontal="left" vertical="top"/>
    </xf>
    <xf numFmtId="0" fontId="6" fillId="6" borderId="46" xfId="0" applyFont="1" applyFill="1" applyBorder="1" applyAlignment="1">
      <alignment horizontal="left" vertical="top" wrapText="1"/>
    </xf>
    <xf numFmtId="0" fontId="6" fillId="6" borderId="46" xfId="0" applyFont="1" applyFill="1" applyBorder="1" applyAlignment="1">
      <alignment horizontal="left" vertical="top" wrapText="1" indent="1"/>
    </xf>
    <xf numFmtId="0" fontId="2" fillId="8" borderId="14" xfId="0" applyFont="1" applyFill="1" applyBorder="1"/>
    <xf numFmtId="0" fontId="2" fillId="8" borderId="0" xfId="0" applyFont="1" applyFill="1"/>
    <xf numFmtId="0" fontId="2" fillId="8" borderId="29" xfId="0" applyFont="1" applyFill="1" applyBorder="1"/>
    <xf numFmtId="0" fontId="2" fillId="8" borderId="4" xfId="0" applyFont="1" applyFill="1" applyBorder="1"/>
    <xf numFmtId="0" fontId="2" fillId="8" borderId="30" xfId="0" applyFont="1" applyFill="1" applyBorder="1"/>
    <xf numFmtId="0" fontId="2" fillId="8" borderId="28" xfId="0" applyFont="1" applyFill="1" applyBorder="1"/>
    <xf numFmtId="0" fontId="9" fillId="11" borderId="50" xfId="0" applyFont="1" applyFill="1" applyBorder="1" applyAlignment="1">
      <alignment horizontal="center" vertical="center" wrapText="1"/>
    </xf>
    <xf numFmtId="0" fontId="9" fillId="11" borderId="51" xfId="0" applyFont="1" applyFill="1" applyBorder="1" applyAlignment="1">
      <alignment horizontal="center" vertical="center" wrapText="1"/>
    </xf>
    <xf numFmtId="0" fontId="9" fillId="11" borderId="25" xfId="0" applyFont="1" applyFill="1" applyBorder="1" applyAlignment="1">
      <alignment horizontal="center" vertical="center" wrapText="1"/>
    </xf>
    <xf numFmtId="0" fontId="10" fillId="0" borderId="52" xfId="0" applyFont="1" applyBorder="1"/>
    <xf numFmtId="0" fontId="11" fillId="0" borderId="53" xfId="0" applyFont="1" applyBorder="1" applyAlignment="1">
      <alignment horizontal="right"/>
    </xf>
    <xf numFmtId="0" fontId="11" fillId="0" borderId="54" xfId="0" applyFont="1" applyBorder="1" applyAlignment="1">
      <alignment horizontal="right"/>
    </xf>
    <xf numFmtId="0" fontId="11" fillId="0" borderId="55" xfId="0" applyFont="1" applyBorder="1" applyAlignment="1">
      <alignment horizontal="right"/>
    </xf>
    <xf numFmtId="0" fontId="10" fillId="12" borderId="3" xfId="0" applyFont="1" applyFill="1" applyBorder="1"/>
    <xf numFmtId="0" fontId="11" fillId="12" borderId="56" xfId="0" applyFont="1" applyFill="1" applyBorder="1" applyAlignment="1">
      <alignment horizontal="right"/>
    </xf>
    <xf numFmtId="0" fontId="11" fillId="12" borderId="57" xfId="0" applyFont="1" applyFill="1" applyBorder="1" applyAlignment="1">
      <alignment horizontal="right"/>
    </xf>
    <xf numFmtId="0" fontId="10" fillId="0" borderId="58" xfId="0" applyFont="1" applyBorder="1"/>
    <xf numFmtId="0" fontId="11" fillId="0" borderId="59" xfId="0" applyFont="1" applyBorder="1" applyAlignment="1">
      <alignment horizontal="right"/>
    </xf>
    <xf numFmtId="0" fontId="11" fillId="0" borderId="60" xfId="0" applyFont="1" applyBorder="1" applyAlignment="1">
      <alignment horizontal="right"/>
    </xf>
    <xf numFmtId="0" fontId="10" fillId="12" borderId="58" xfId="0" applyFont="1" applyFill="1" applyBorder="1"/>
    <xf numFmtId="0" fontId="11" fillId="12" borderId="59" xfId="0" applyFont="1" applyFill="1" applyBorder="1" applyAlignment="1">
      <alignment horizontal="right"/>
    </xf>
    <xf numFmtId="0" fontId="11" fillId="12" borderId="60" xfId="0" applyFont="1" applyFill="1" applyBorder="1" applyAlignment="1">
      <alignment horizontal="right"/>
    </xf>
    <xf numFmtId="0" fontId="11" fillId="0" borderId="58" xfId="0" applyFont="1" applyBorder="1"/>
    <xf numFmtId="0" fontId="11" fillId="12" borderId="58" xfId="0" applyFont="1" applyFill="1" applyBorder="1"/>
    <xf numFmtId="0" fontId="11" fillId="0" borderId="61" xfId="0" applyFont="1" applyBorder="1"/>
    <xf numFmtId="0" fontId="11" fillId="0" borderId="62" xfId="0" applyFont="1" applyBorder="1" applyAlignment="1">
      <alignment horizontal="right"/>
    </xf>
    <xf numFmtId="0" fontId="11" fillId="0" borderId="63" xfId="0" applyFont="1" applyBorder="1" applyAlignment="1">
      <alignment horizontal="right"/>
    </xf>
    <xf numFmtId="0" fontId="9" fillId="9" borderId="64" xfId="0" applyFont="1" applyFill="1" applyBorder="1" applyAlignment="1">
      <alignment horizontal="left"/>
    </xf>
    <xf numFmtId="0" fontId="9" fillId="9" borderId="65" xfId="0" applyFont="1" applyFill="1" applyBorder="1" applyAlignment="1">
      <alignment horizontal="right"/>
    </xf>
    <xf numFmtId="0" fontId="9" fillId="9" borderId="66" xfId="0" applyFont="1" applyFill="1" applyBorder="1" applyAlignment="1">
      <alignment horizontal="right"/>
    </xf>
    <xf numFmtId="0" fontId="9" fillId="9" borderId="67" xfId="0" applyFont="1" applyFill="1" applyBorder="1" applyAlignment="1">
      <alignment horizontal="right"/>
    </xf>
    <xf numFmtId="0" fontId="10" fillId="12" borderId="52" xfId="0" applyFont="1" applyFill="1" applyBorder="1"/>
    <xf numFmtId="0" fontId="11" fillId="12" borderId="53" xfId="0" applyFont="1" applyFill="1" applyBorder="1" applyAlignment="1">
      <alignment horizontal="right"/>
    </xf>
    <xf numFmtId="0" fontId="11" fillId="12" borderId="54" xfId="0" applyFont="1" applyFill="1" applyBorder="1" applyAlignment="1">
      <alignment horizontal="right"/>
    </xf>
    <xf numFmtId="0" fontId="11" fillId="12" borderId="55" xfId="0" applyFont="1" applyFill="1" applyBorder="1" applyAlignment="1">
      <alignment horizontal="right"/>
    </xf>
    <xf numFmtId="0" fontId="11" fillId="3" borderId="54" xfId="0" applyFont="1" applyFill="1" applyBorder="1" applyAlignment="1">
      <alignment horizontal="right"/>
    </xf>
    <xf numFmtId="0" fontId="11" fillId="12" borderId="52" xfId="0" applyFont="1" applyFill="1" applyBorder="1"/>
    <xf numFmtId="0" fontId="9" fillId="9" borderId="68" xfId="0" applyFont="1" applyFill="1" applyBorder="1" applyAlignment="1">
      <alignment horizontal="left"/>
    </xf>
    <xf numFmtId="0" fontId="9" fillId="9" borderId="69" xfId="0" applyFont="1" applyFill="1" applyBorder="1" applyAlignment="1">
      <alignment horizontal="right"/>
    </xf>
    <xf numFmtId="0" fontId="9" fillId="9" borderId="70" xfId="0" applyFont="1" applyFill="1" applyBorder="1" applyAlignment="1">
      <alignment horizontal="right"/>
    </xf>
    <xf numFmtId="0" fontId="9" fillId="9" borderId="71" xfId="0" applyFont="1" applyFill="1" applyBorder="1" applyAlignment="1">
      <alignment horizontal="right"/>
    </xf>
    <xf numFmtId="0" fontId="10" fillId="3" borderId="52" xfId="0" applyFont="1" applyFill="1" applyBorder="1"/>
    <xf numFmtId="0" fontId="11" fillId="3" borderId="53" xfId="0" applyFont="1" applyFill="1" applyBorder="1" applyAlignment="1">
      <alignment horizontal="right"/>
    </xf>
    <xf numFmtId="0" fontId="11" fillId="3" borderId="72" xfId="0" applyFont="1" applyFill="1" applyBorder="1" applyAlignment="1">
      <alignment horizontal="right"/>
    </xf>
    <xf numFmtId="0" fontId="11" fillId="3" borderId="73" xfId="0" applyFont="1" applyFill="1" applyBorder="1" applyAlignment="1">
      <alignment horizontal="right"/>
    </xf>
    <xf numFmtId="0" fontId="11" fillId="12" borderId="74" xfId="0" applyFont="1" applyFill="1" applyBorder="1" applyAlignment="1">
      <alignment horizontal="right"/>
    </xf>
    <xf numFmtId="0" fontId="11" fillId="12" borderId="75" xfId="0" applyFont="1" applyFill="1" applyBorder="1" applyAlignment="1">
      <alignment horizontal="right"/>
    </xf>
    <xf numFmtId="0" fontId="12" fillId="3" borderId="16" xfId="0" applyFont="1" applyFill="1" applyBorder="1" applyAlignment="1">
      <alignment horizontal="right"/>
    </xf>
    <xf numFmtId="0" fontId="3" fillId="0" borderId="19" xfId="0" applyFont="1" applyBorder="1" applyAlignment="1">
      <alignment horizontal="center" vertical="center"/>
    </xf>
    <xf numFmtId="0" fontId="0" fillId="0" borderId="21" xfId="0" applyBorder="1"/>
    <xf numFmtId="0" fontId="3" fillId="0" borderId="8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76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44" fontId="0" fillId="0" borderId="14" xfId="1" applyFont="1" applyBorder="1"/>
    <xf numFmtId="44" fontId="0" fillId="0" borderId="2" xfId="1" applyFont="1" applyBorder="1"/>
    <xf numFmtId="44" fontId="0" fillId="0" borderId="0" xfId="1" applyFont="1" applyBorder="1"/>
    <xf numFmtId="44" fontId="0" fillId="0" borderId="4" xfId="1" applyFont="1" applyBorder="1"/>
    <xf numFmtId="44" fontId="0" fillId="0" borderId="15" xfId="1" applyFont="1" applyBorder="1"/>
    <xf numFmtId="44" fontId="0" fillId="0" borderId="6" xfId="1" applyFont="1" applyBorder="1"/>
    <xf numFmtId="44" fontId="0" fillId="0" borderId="15" xfId="0" applyNumberFormat="1" applyBorder="1"/>
    <xf numFmtId="0" fontId="9" fillId="9" borderId="6" xfId="0" applyFont="1" applyFill="1" applyBorder="1" applyAlignment="1">
      <alignment horizontal="right"/>
    </xf>
    <xf numFmtId="0" fontId="9" fillId="9" borderId="13" xfId="0" applyFont="1" applyFill="1" applyBorder="1" applyAlignment="1">
      <alignment horizontal="right"/>
    </xf>
    <xf numFmtId="0" fontId="9" fillId="9" borderId="26" xfId="0" applyFont="1" applyFill="1" applyBorder="1" applyAlignment="1">
      <alignment horizontal="right"/>
    </xf>
    <xf numFmtId="0" fontId="9" fillId="9" borderId="10" xfId="0" applyFont="1" applyFill="1" applyBorder="1" applyAlignment="1">
      <alignment horizontal="left"/>
    </xf>
    <xf numFmtId="0" fontId="11" fillId="0" borderId="73" xfId="0" applyFont="1" applyBorder="1" applyAlignment="1">
      <alignment horizontal="right"/>
    </xf>
    <xf numFmtId="0" fontId="11" fillId="0" borderId="77" xfId="0" applyFont="1" applyBorder="1" applyAlignment="1">
      <alignment horizontal="right"/>
    </xf>
    <xf numFmtId="0" fontId="11" fillId="0" borderId="52" xfId="0" applyFont="1" applyBorder="1"/>
    <xf numFmtId="0" fontId="11" fillId="12" borderId="73" xfId="0" applyFont="1" applyFill="1" applyBorder="1" applyAlignment="1">
      <alignment horizontal="right"/>
    </xf>
    <xf numFmtId="0" fontId="11" fillId="12" borderId="77" xfId="0" applyFont="1" applyFill="1" applyBorder="1" applyAlignment="1">
      <alignment horizontal="right"/>
    </xf>
    <xf numFmtId="0" fontId="11" fillId="12" borderId="78" xfId="0" applyFont="1" applyFill="1" applyBorder="1" applyAlignment="1">
      <alignment horizontal="right"/>
    </xf>
    <xf numFmtId="0" fontId="11" fillId="12" borderId="79" xfId="0" applyFont="1" applyFill="1" applyBorder="1" applyAlignment="1">
      <alignment horizontal="right"/>
    </xf>
    <xf numFmtId="0" fontId="11" fillId="12" borderId="80" xfId="0" applyFont="1" applyFill="1" applyBorder="1" applyAlignment="1">
      <alignment horizontal="right"/>
    </xf>
    <xf numFmtId="0" fontId="9" fillId="11" borderId="67" xfId="0" applyFont="1" applyFill="1" applyBorder="1" applyAlignment="1">
      <alignment horizontal="center" vertical="center" wrapText="1"/>
    </xf>
    <xf numFmtId="0" fontId="9" fillId="11" borderId="81" xfId="0" applyFont="1" applyFill="1" applyBorder="1" applyAlignment="1">
      <alignment horizontal="center" vertical="center" wrapText="1"/>
    </xf>
    <xf numFmtId="0" fontId="9" fillId="11" borderId="66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0" xfId="0" applyFill="1"/>
    <xf numFmtId="0" fontId="2" fillId="8" borderId="15" xfId="0" applyFont="1" applyFill="1" applyBorder="1"/>
    <xf numFmtId="44" fontId="0" fillId="0" borderId="14" xfId="0" applyNumberFormat="1" applyBorder="1"/>
    <xf numFmtId="44" fontId="0" fillId="0" borderId="0" xfId="0" applyNumberFormat="1"/>
    <xf numFmtId="44" fontId="0" fillId="10" borderId="6" xfId="1" applyFont="1" applyFill="1" applyBorder="1"/>
    <xf numFmtId="0" fontId="17" fillId="0" borderId="22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4" fillId="14" borderId="14" xfId="3" applyBorder="1" applyAlignment="1">
      <alignment horizontal="center" vertical="center"/>
    </xf>
    <xf numFmtId="0" fontId="13" fillId="13" borderId="14" xfId="2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/>
    </xf>
    <xf numFmtId="44" fontId="13" fillId="13" borderId="21" xfId="2" applyNumberFormat="1" applyBorder="1" applyAlignment="1">
      <alignment horizontal="center" vertical="center"/>
    </xf>
    <xf numFmtId="44" fontId="13" fillId="13" borderId="22" xfId="2" applyNumberFormat="1" applyBorder="1" applyAlignment="1">
      <alignment horizontal="center" vertical="center"/>
    </xf>
    <xf numFmtId="0" fontId="15" fillId="15" borderId="23" xfId="0" applyFont="1" applyFill="1" applyBorder="1" applyAlignment="1">
      <alignment horizontal="center" vertical="center" wrapText="1"/>
    </xf>
    <xf numFmtId="44" fontId="0" fillId="0" borderId="3" xfId="1" applyFont="1" applyBorder="1"/>
    <xf numFmtId="44" fontId="0" fillId="0" borderId="4" xfId="0" applyNumberFormat="1" applyBorder="1"/>
    <xf numFmtId="44" fontId="0" fillId="0" borderId="5" xfId="1" applyFont="1" applyBorder="1"/>
    <xf numFmtId="44" fontId="0" fillId="0" borderId="0" xfId="1" applyFont="1"/>
    <xf numFmtId="0" fontId="21" fillId="13" borderId="24" xfId="2" applyFont="1" applyBorder="1" applyAlignment="1">
      <alignment horizontal="center" vertical="center"/>
    </xf>
    <xf numFmtId="0" fontId="20" fillId="14" borderId="24" xfId="3" applyFont="1" applyBorder="1" applyAlignment="1">
      <alignment horizontal="center" vertical="center" wrapText="1"/>
    </xf>
    <xf numFmtId="2" fontId="19" fillId="0" borderId="8" xfId="0" applyNumberFormat="1" applyFont="1" applyBorder="1" applyAlignment="1">
      <alignment horizontal="right"/>
    </xf>
    <xf numFmtId="2" fontId="19" fillId="0" borderId="11" xfId="0" applyNumberFormat="1" applyFont="1" applyBorder="1" applyAlignment="1">
      <alignment horizontal="right"/>
    </xf>
    <xf numFmtId="2" fontId="19" fillId="0" borderId="12" xfId="0" applyNumberFormat="1" applyFont="1" applyBorder="1" applyAlignment="1">
      <alignment horizontal="right"/>
    </xf>
    <xf numFmtId="2" fontId="19" fillId="0" borderId="9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2" fontId="19" fillId="0" borderId="13" xfId="0" applyNumberFormat="1" applyFont="1" applyBorder="1" applyAlignment="1">
      <alignment horizontal="right"/>
    </xf>
    <xf numFmtId="0" fontId="20" fillId="14" borderId="83" xfId="3" applyFont="1" applyBorder="1" applyAlignment="1">
      <alignment horizontal="center" vertical="center" wrapText="1"/>
    </xf>
    <xf numFmtId="0" fontId="20" fillId="14" borderId="8" xfId="3" applyFont="1" applyBorder="1" applyAlignment="1">
      <alignment horizontal="center" vertical="center"/>
    </xf>
    <xf numFmtId="0" fontId="21" fillId="13" borderId="11" xfId="2" applyFont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 wrapText="1"/>
    </xf>
    <xf numFmtId="0" fontId="23" fillId="9" borderId="28" xfId="0" applyFont="1" applyFill="1" applyBorder="1" applyAlignment="1">
      <alignment horizontal="center" vertical="center" wrapText="1"/>
    </xf>
    <xf numFmtId="0" fontId="22" fillId="0" borderId="92" xfId="0" applyFont="1" applyBorder="1" applyAlignment="1">
      <alignment horizontal="center"/>
    </xf>
    <xf numFmtId="0" fontId="22" fillId="12" borderId="93" xfId="0" applyFont="1" applyFill="1" applyBorder="1" applyAlignment="1">
      <alignment horizontal="center"/>
    </xf>
    <xf numFmtId="0" fontId="22" fillId="0" borderId="93" xfId="0" applyFont="1" applyBorder="1" applyAlignment="1">
      <alignment horizontal="center"/>
    </xf>
    <xf numFmtId="0" fontId="22" fillId="0" borderId="94" xfId="0" applyFont="1" applyBorder="1" applyAlignment="1">
      <alignment horizontal="center"/>
    </xf>
    <xf numFmtId="2" fontId="19" fillId="0" borderId="90" xfId="0" applyNumberFormat="1" applyFont="1" applyBorder="1" applyAlignment="1">
      <alignment horizontal="center"/>
    </xf>
    <xf numFmtId="2" fontId="19" fillId="0" borderId="85" xfId="0" applyNumberFormat="1" applyFont="1" applyBorder="1" applyAlignment="1">
      <alignment horizontal="center"/>
    </xf>
    <xf numFmtId="2" fontId="19" fillId="0" borderId="86" xfId="0" applyNumberFormat="1" applyFont="1" applyBorder="1" applyAlignment="1">
      <alignment horizontal="center"/>
    </xf>
    <xf numFmtId="2" fontId="19" fillId="12" borderId="77" xfId="0" applyNumberFormat="1" applyFont="1" applyFill="1" applyBorder="1" applyAlignment="1">
      <alignment horizontal="center"/>
    </xf>
    <xf numFmtId="2" fontId="19" fillId="12" borderId="53" xfId="0" applyNumberFormat="1" applyFont="1" applyFill="1" applyBorder="1" applyAlignment="1">
      <alignment horizontal="center"/>
    </xf>
    <xf numFmtId="2" fontId="19" fillId="12" borderId="87" xfId="0" applyNumberFormat="1" applyFont="1" applyFill="1" applyBorder="1" applyAlignment="1">
      <alignment horizontal="center"/>
    </xf>
    <xf numFmtId="2" fontId="19" fillId="0" borderId="77" xfId="0" applyNumberFormat="1" applyFont="1" applyBorder="1" applyAlignment="1">
      <alignment horizontal="center"/>
    </xf>
    <xf numFmtId="2" fontId="19" fillId="0" borderId="53" xfId="0" applyNumberFormat="1" applyFont="1" applyBorder="1" applyAlignment="1">
      <alignment horizontal="center"/>
    </xf>
    <xf numFmtId="2" fontId="19" fillId="0" borderId="87" xfId="0" applyNumberFormat="1" applyFont="1" applyBorder="1" applyAlignment="1">
      <alignment horizontal="center"/>
    </xf>
    <xf numFmtId="2" fontId="19" fillId="0" borderId="91" xfId="0" applyNumberFormat="1" applyFont="1" applyBorder="1" applyAlignment="1">
      <alignment horizontal="center"/>
    </xf>
    <xf numFmtId="2" fontId="19" fillId="0" borderId="88" xfId="0" applyNumberFormat="1" applyFont="1" applyBorder="1" applyAlignment="1">
      <alignment horizontal="center"/>
    </xf>
    <xf numFmtId="2" fontId="19" fillId="0" borderId="89" xfId="0" applyNumberFormat="1" applyFont="1" applyBorder="1" applyAlignment="1">
      <alignment horizontal="center"/>
    </xf>
    <xf numFmtId="0" fontId="23" fillId="9" borderId="24" xfId="0" applyFont="1" applyFill="1" applyBorder="1" applyAlignment="1">
      <alignment horizontal="center" vertical="center" wrapText="1"/>
    </xf>
    <xf numFmtId="0" fontId="23" fillId="9" borderId="27" xfId="0" applyFont="1" applyFill="1" applyBorder="1" applyAlignment="1">
      <alignment horizontal="center" vertical="center" wrapText="1"/>
    </xf>
    <xf numFmtId="2" fontId="11" fillId="0" borderId="53" xfId="0" applyNumberFormat="1" applyFont="1" applyBorder="1" applyAlignment="1">
      <alignment horizontal="right"/>
    </xf>
    <xf numFmtId="2" fontId="11" fillId="0" borderId="77" xfId="0" applyNumberFormat="1" applyFont="1" applyBorder="1" applyAlignment="1">
      <alignment horizontal="right"/>
    </xf>
    <xf numFmtId="2" fontId="11" fillId="12" borderId="53" xfId="0" applyNumberFormat="1" applyFont="1" applyFill="1" applyBorder="1" applyAlignment="1">
      <alignment horizontal="right"/>
    </xf>
    <xf numFmtId="2" fontId="11" fillId="12" borderId="77" xfId="0" applyNumberFormat="1" applyFont="1" applyFill="1" applyBorder="1" applyAlignment="1">
      <alignment horizontal="right"/>
    </xf>
    <xf numFmtId="2" fontId="11" fillId="0" borderId="84" xfId="0" applyNumberFormat="1" applyFont="1" applyBorder="1" applyAlignment="1">
      <alignment horizontal="right"/>
    </xf>
    <xf numFmtId="2" fontId="11" fillId="0" borderId="90" xfId="0" applyNumberFormat="1" applyFont="1" applyBorder="1" applyAlignment="1">
      <alignment horizontal="right"/>
    </xf>
    <xf numFmtId="2" fontId="11" fillId="0" borderId="85" xfId="0" applyNumberFormat="1" applyFont="1" applyBorder="1" applyAlignment="1">
      <alignment horizontal="right"/>
    </xf>
    <xf numFmtId="2" fontId="11" fillId="0" borderId="86" xfId="0" applyNumberFormat="1" applyFont="1" applyBorder="1" applyAlignment="1">
      <alignment horizontal="right"/>
    </xf>
    <xf numFmtId="2" fontId="11" fillId="12" borderId="52" xfId="0" applyNumberFormat="1" applyFont="1" applyFill="1" applyBorder="1" applyAlignment="1">
      <alignment horizontal="right"/>
    </xf>
    <xf numFmtId="2" fontId="11" fillId="12" borderId="87" xfId="0" applyNumberFormat="1" applyFont="1" applyFill="1" applyBorder="1" applyAlignment="1">
      <alignment horizontal="right"/>
    </xf>
    <xf numFmtId="2" fontId="11" fillId="0" borderId="52" xfId="0" applyNumberFormat="1" applyFont="1" applyBorder="1" applyAlignment="1">
      <alignment horizontal="right"/>
    </xf>
    <xf numFmtId="2" fontId="11" fillId="0" borderId="87" xfId="0" applyNumberFormat="1" applyFont="1" applyBorder="1" applyAlignment="1">
      <alignment horizontal="right"/>
    </xf>
    <xf numFmtId="0" fontId="23" fillId="9" borderId="16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10" fillId="0" borderId="92" xfId="0" applyFont="1" applyBorder="1" applyAlignment="1">
      <alignment horizontal="center"/>
    </xf>
    <xf numFmtId="0" fontId="10" fillId="12" borderId="93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0" fontId="23" fillId="9" borderId="95" xfId="0" applyFont="1" applyFill="1" applyBorder="1" applyAlignment="1">
      <alignment horizontal="center" vertical="center" wrapText="1"/>
    </xf>
    <xf numFmtId="0" fontId="0" fillId="17" borderId="19" xfId="0" applyFill="1" applyBorder="1"/>
    <xf numFmtId="0" fontId="0" fillId="17" borderId="17" xfId="0" applyFill="1" applyBorder="1"/>
    <xf numFmtId="0" fontId="0" fillId="17" borderId="18" xfId="0" applyFill="1" applyBorder="1"/>
    <xf numFmtId="2" fontId="0" fillId="0" borderId="20" xfId="1" applyNumberFormat="1" applyFont="1" applyFill="1" applyBorder="1" applyAlignment="1">
      <alignment horizontal="right"/>
    </xf>
    <xf numFmtId="2" fontId="0" fillId="0" borderId="11" xfId="1" applyNumberFormat="1" applyFont="1" applyFill="1" applyBorder="1" applyAlignment="1">
      <alignment horizontal="right"/>
    </xf>
    <xf numFmtId="2" fontId="0" fillId="0" borderId="25" xfId="1" applyNumberFormat="1" applyFont="1" applyFill="1" applyBorder="1" applyAlignment="1">
      <alignment horizontal="right"/>
    </xf>
    <xf numFmtId="2" fontId="0" fillId="0" borderId="12" xfId="1" applyNumberFormat="1" applyFont="1" applyFill="1" applyBorder="1" applyAlignment="1">
      <alignment horizontal="right"/>
    </xf>
    <xf numFmtId="2" fontId="0" fillId="0" borderId="26" xfId="1" applyNumberFormat="1" applyFont="1" applyFill="1" applyBorder="1" applyAlignment="1">
      <alignment horizontal="right"/>
    </xf>
    <xf numFmtId="2" fontId="0" fillId="0" borderId="13" xfId="1" applyNumberFormat="1" applyFont="1" applyFill="1" applyBorder="1" applyAlignment="1">
      <alignment horizontal="right"/>
    </xf>
    <xf numFmtId="2" fontId="19" fillId="17" borderId="25" xfId="0" applyNumberFormat="1" applyFont="1" applyFill="1" applyBorder="1" applyAlignment="1">
      <alignment horizontal="right"/>
    </xf>
    <xf numFmtId="2" fontId="19" fillId="17" borderId="12" xfId="0" applyNumberFormat="1" applyFont="1" applyFill="1" applyBorder="1" applyAlignment="1">
      <alignment horizontal="right"/>
    </xf>
    <xf numFmtId="2" fontId="19" fillId="17" borderId="26" xfId="0" applyNumberFormat="1" applyFont="1" applyFill="1" applyBorder="1" applyAlignment="1">
      <alignment horizontal="right"/>
    </xf>
    <xf numFmtId="2" fontId="19" fillId="17" borderId="13" xfId="0" applyNumberFormat="1" applyFont="1" applyFill="1" applyBorder="1" applyAlignment="1">
      <alignment horizontal="right"/>
    </xf>
    <xf numFmtId="2" fontId="19" fillId="17" borderId="20" xfId="0" applyNumberFormat="1" applyFont="1" applyFill="1" applyBorder="1" applyAlignment="1">
      <alignment horizontal="right"/>
    </xf>
    <xf numFmtId="2" fontId="19" fillId="17" borderId="11" xfId="0" applyNumberFormat="1" applyFont="1" applyFill="1" applyBorder="1" applyAlignment="1">
      <alignment horizontal="right"/>
    </xf>
    <xf numFmtId="0" fontId="3" fillId="0" borderId="22" xfId="0" applyFont="1" applyBorder="1" applyAlignment="1">
      <alignment horizontal="center" vertical="center" wrapText="1"/>
    </xf>
    <xf numFmtId="0" fontId="25" fillId="3" borderId="73" xfId="0" applyFont="1" applyFill="1" applyBorder="1" applyAlignment="1">
      <alignment horizontal="right"/>
    </xf>
    <xf numFmtId="0" fontId="3" fillId="18" borderId="22" xfId="0" applyFont="1" applyFill="1" applyBorder="1" applyAlignment="1">
      <alignment horizontal="center" vertical="center" wrapText="1"/>
    </xf>
    <xf numFmtId="0" fontId="24" fillId="0" borderId="101" xfId="0" applyFont="1" applyBorder="1" applyAlignment="1">
      <alignment horizontal="right" vertical="center"/>
    </xf>
    <xf numFmtId="0" fontId="24" fillId="19" borderId="100" xfId="0" applyFont="1" applyFill="1" applyBorder="1" applyAlignment="1">
      <alignment horizontal="right" vertical="center"/>
    </xf>
    <xf numFmtId="0" fontId="24" fillId="0" borderId="100" xfId="0" applyFont="1" applyBorder="1" applyAlignment="1">
      <alignment horizontal="right" vertical="center"/>
    </xf>
    <xf numFmtId="2" fontId="0" fillId="0" borderId="14" xfId="0" applyNumberFormat="1" applyBorder="1"/>
    <xf numFmtId="2" fontId="0" fillId="0" borderId="0" xfId="0" applyNumberFormat="1"/>
    <xf numFmtId="2" fontId="0" fillId="0" borderId="15" xfId="0" applyNumberFormat="1" applyBorder="1"/>
    <xf numFmtId="2" fontId="0" fillId="0" borderId="2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2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3" fillId="0" borderId="2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3" fillId="0" borderId="83" xfId="0" applyFont="1" applyBorder="1" applyAlignment="1">
      <alignment horizontal="center" vertical="center" wrapText="1"/>
    </xf>
    <xf numFmtId="2" fontId="0" fillId="0" borderId="20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0" borderId="26" xfId="0" applyNumberFormat="1" applyBorder="1" applyAlignment="1">
      <alignment horizontal="right"/>
    </xf>
    <xf numFmtId="2" fontId="0" fillId="0" borderId="20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10" fillId="0" borderId="102" xfId="0" applyFont="1" applyBorder="1" applyAlignment="1">
      <alignment horizontal="center"/>
    </xf>
    <xf numFmtId="0" fontId="24" fillId="0" borderId="4" xfId="0" applyFont="1" applyBorder="1" applyAlignment="1">
      <alignment horizontal="right" vertical="center"/>
    </xf>
    <xf numFmtId="2" fontId="11" fillId="0" borderId="103" xfId="0" applyNumberFormat="1" applyFont="1" applyBorder="1" applyAlignment="1">
      <alignment horizontal="right"/>
    </xf>
    <xf numFmtId="2" fontId="11" fillId="0" borderId="104" xfId="0" applyNumberFormat="1" applyFont="1" applyBorder="1" applyAlignment="1">
      <alignment horizontal="right"/>
    </xf>
    <xf numFmtId="2" fontId="11" fillId="0" borderId="79" xfId="0" applyNumberFormat="1" applyFont="1" applyBorder="1" applyAlignment="1">
      <alignment horizontal="right"/>
    </xf>
    <xf numFmtId="2" fontId="11" fillId="0" borderId="60" xfId="0" applyNumberFormat="1" applyFont="1" applyBorder="1" applyAlignment="1">
      <alignment horizontal="right"/>
    </xf>
    <xf numFmtId="0" fontId="24" fillId="19" borderId="71" xfId="0" applyFont="1" applyFill="1" applyBorder="1" applyAlignment="1">
      <alignment horizontal="right" vertical="center"/>
    </xf>
    <xf numFmtId="2" fontId="11" fillId="12" borderId="68" xfId="0" applyNumberFormat="1" applyFont="1" applyFill="1" applyBorder="1" applyAlignment="1">
      <alignment horizontal="right"/>
    </xf>
    <xf numFmtId="2" fontId="11" fillId="12" borderId="70" xfId="0" applyNumberFormat="1" applyFont="1" applyFill="1" applyBorder="1" applyAlignment="1">
      <alignment horizontal="right"/>
    </xf>
    <xf numFmtId="2" fontId="11" fillId="12" borderId="69" xfId="0" applyNumberFormat="1" applyFont="1" applyFill="1" applyBorder="1" applyAlignment="1">
      <alignment horizontal="right"/>
    </xf>
    <xf numFmtId="2" fontId="11" fillId="12" borderId="106" xfId="0" applyNumberFormat="1" applyFont="1" applyFill="1" applyBorder="1" applyAlignment="1">
      <alignment horizontal="right"/>
    </xf>
    <xf numFmtId="0" fontId="11" fillId="12" borderId="10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17" borderId="3" xfId="0" applyFont="1" applyFill="1" applyBorder="1" applyAlignment="1">
      <alignment horizontal="center" vertical="center"/>
    </xf>
    <xf numFmtId="0" fontId="22" fillId="17" borderId="5" xfId="0" applyFont="1" applyFill="1" applyBorder="1" applyAlignment="1">
      <alignment horizontal="center" vertical="center"/>
    </xf>
    <xf numFmtId="2" fontId="0" fillId="17" borderId="12" xfId="0" applyNumberFormat="1" applyFill="1" applyBorder="1" applyAlignment="1">
      <alignment horizontal="right" vertical="center"/>
    </xf>
    <xf numFmtId="2" fontId="0" fillId="17" borderId="13" xfId="0" applyNumberFormat="1" applyFill="1" applyBorder="1" applyAlignment="1">
      <alignment horizontal="right" vertical="center"/>
    </xf>
    <xf numFmtId="2" fontId="0" fillId="17" borderId="4" xfId="0" applyNumberFormat="1" applyFill="1" applyBorder="1" applyAlignment="1">
      <alignment horizontal="right" vertical="center"/>
    </xf>
    <xf numFmtId="2" fontId="0" fillId="17" borderId="6" xfId="0" applyNumberFormat="1" applyFill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0" fontId="22" fillId="17" borderId="1" xfId="0" applyFont="1" applyFill="1" applyBorder="1" applyAlignment="1">
      <alignment horizontal="center" vertical="center"/>
    </xf>
    <xf numFmtId="2" fontId="0" fillId="17" borderId="11" xfId="0" applyNumberFormat="1" applyFill="1" applyBorder="1" applyAlignment="1">
      <alignment horizontal="right" vertical="center"/>
    </xf>
    <xf numFmtId="2" fontId="0" fillId="17" borderId="2" xfId="0" applyNumberFormat="1" applyFill="1" applyBorder="1" applyAlignment="1">
      <alignment horizontal="right" vertical="center"/>
    </xf>
    <xf numFmtId="0" fontId="9" fillId="9" borderId="29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98" xfId="0" applyFont="1" applyFill="1" applyBorder="1" applyAlignment="1">
      <alignment horizontal="center" vertical="center" wrapText="1"/>
    </xf>
    <xf numFmtId="0" fontId="9" fillId="9" borderId="66" xfId="0" applyFont="1" applyFill="1" applyBorder="1" applyAlignment="1">
      <alignment horizontal="center" vertical="center" wrapText="1"/>
    </xf>
    <xf numFmtId="0" fontId="9" fillId="9" borderId="99" xfId="0" applyFont="1" applyFill="1" applyBorder="1" applyAlignment="1">
      <alignment horizontal="center" vertical="center" wrapText="1"/>
    </xf>
    <xf numFmtId="0" fontId="9" fillId="9" borderId="96" xfId="0" applyFont="1" applyFill="1" applyBorder="1" applyAlignment="1">
      <alignment horizontal="center" vertical="center"/>
    </xf>
    <xf numFmtId="0" fontId="9" fillId="9" borderId="97" xfId="0" applyFont="1" applyFill="1" applyBorder="1" applyAlignment="1">
      <alignment horizontal="center" vertical="center"/>
    </xf>
    <xf numFmtId="0" fontId="9" fillId="9" borderId="82" xfId="0" applyFont="1" applyFill="1" applyBorder="1" applyAlignment="1">
      <alignment horizontal="center" vertical="center"/>
    </xf>
    <xf numFmtId="0" fontId="9" fillId="11" borderId="48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9" fillId="11" borderId="82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64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9" fillId="11" borderId="65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9" fillId="16" borderId="20" xfId="0" applyFont="1" applyFill="1" applyBorder="1" applyAlignment="1">
      <alignment horizontal="center" vertical="center" wrapText="1"/>
    </xf>
    <xf numFmtId="0" fontId="9" fillId="16" borderId="26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6" borderId="33" xfId="0" applyFont="1" applyFill="1" applyBorder="1" applyAlignment="1">
      <alignment horizontal="left" vertical="top"/>
    </xf>
    <xf numFmtId="0" fontId="6" fillId="6" borderId="45" xfId="0" applyFont="1" applyFill="1" applyBorder="1" applyAlignment="1">
      <alignment horizontal="left" vertical="top"/>
    </xf>
    <xf numFmtId="0" fontId="6" fillId="6" borderId="33" xfId="0" applyFont="1" applyFill="1" applyBorder="1" applyAlignment="1">
      <alignment horizontal="left" vertical="top" wrapText="1" indent="1"/>
    </xf>
    <xf numFmtId="0" fontId="6" fillId="6" borderId="45" xfId="0" applyFont="1" applyFill="1" applyBorder="1" applyAlignment="1">
      <alignment horizontal="left" vertical="top" wrapText="1" indent="1"/>
    </xf>
    <xf numFmtId="0" fontId="6" fillId="6" borderId="35" xfId="0" applyFont="1" applyFill="1" applyBorder="1" applyAlignment="1">
      <alignment horizontal="left" vertical="top" wrapText="1" indent="1"/>
    </xf>
    <xf numFmtId="0" fontId="6" fillId="6" borderId="47" xfId="0" applyFont="1" applyFill="1" applyBorder="1" applyAlignment="1">
      <alignment horizontal="left" vertical="top" wrapText="1" indent="1"/>
    </xf>
    <xf numFmtId="0" fontId="0" fillId="0" borderId="0" xfId="0" applyBorder="1"/>
    <xf numFmtId="0" fontId="0" fillId="3" borderId="0" xfId="0" applyFill="1" applyBorder="1"/>
    <xf numFmtId="0" fontId="0" fillId="0" borderId="0" xfId="0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" fillId="8" borderId="0" xfId="0" applyFont="1" applyFill="1" applyBorder="1"/>
    <xf numFmtId="0" fontId="0" fillId="4" borderId="0" xfId="0" applyFill="1" applyBorder="1"/>
    <xf numFmtId="0" fontId="2" fillId="8" borderId="2" xfId="0" applyFont="1" applyFill="1" applyBorder="1"/>
    <xf numFmtId="0" fontId="2" fillId="8" borderId="6" xfId="0" applyFont="1" applyFill="1" applyBorder="1"/>
    <xf numFmtId="0" fontId="26" fillId="0" borderId="0" xfId="0" applyFont="1"/>
    <xf numFmtId="44" fontId="26" fillId="0" borderId="14" xfId="1" applyFont="1" applyBorder="1"/>
    <xf numFmtId="44" fontId="26" fillId="0" borderId="0" xfId="1" applyFont="1" applyBorder="1"/>
    <xf numFmtId="44" fontId="26" fillId="0" borderId="15" xfId="1" applyFont="1" applyBorder="1"/>
    <xf numFmtId="0" fontId="26" fillId="0" borderId="14" xfId="2" applyFont="1" applyFill="1" applyBorder="1" applyAlignment="1">
      <alignment horizontal="center" vertical="center"/>
    </xf>
  </cellXfs>
  <cellStyles count="4">
    <cellStyle name="Bueno" xfId="2" builtinId="26"/>
    <cellStyle name="Incorrecto" xfId="3" builtinId="27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C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326926</xdr:colOff>
      <xdr:row>3</xdr:row>
      <xdr:rowOff>106680</xdr:rowOff>
    </xdr:from>
    <xdr:ext cx="5050029" cy="2936213"/>
    <xdr:pic>
      <xdr:nvPicPr>
        <xdr:cNvPr id="2" name="Imagen 1">
          <a:extLst>
            <a:ext uri="{FF2B5EF4-FFF2-40B4-BE49-F238E27FC236}">
              <a16:creationId xmlns:a16="http://schemas.microsoft.com/office/drawing/2014/main" id="{A48C9D94-8FBF-4A31-BF48-8866C0ADE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5486" y="670560"/>
          <a:ext cx="5050029" cy="29362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E6C6-FFB5-4624-9641-52E7372B02AA}">
  <dimension ref="A1:O166"/>
  <sheetViews>
    <sheetView zoomScaleNormal="100" workbookViewId="0">
      <selection activeCell="C15" sqref="C15:D24"/>
    </sheetView>
  </sheetViews>
  <sheetFormatPr baseColWidth="10" defaultColWidth="11.5546875" defaultRowHeight="14.4" x14ac:dyDescent="0.3"/>
  <cols>
    <col min="1" max="2" width="11.5546875" style="1"/>
    <col min="3" max="3" width="15" style="1" customWidth="1"/>
    <col min="4" max="4" width="18.33203125" style="1" bestFit="1" customWidth="1"/>
    <col min="5" max="5" width="12.109375" style="1" bestFit="1" customWidth="1"/>
    <col min="6" max="6" width="11.5546875" style="1"/>
    <col min="7" max="7" width="14.33203125" style="1" bestFit="1" customWidth="1"/>
    <col min="8" max="8" width="14.33203125" style="1" customWidth="1"/>
    <col min="9" max="9" width="13.44140625" style="1" bestFit="1" customWidth="1"/>
    <col min="10" max="10" width="13.33203125" style="1" bestFit="1" customWidth="1"/>
    <col min="11" max="12" width="13.33203125" style="1" customWidth="1"/>
    <col min="13" max="13" width="11.5546875" style="1"/>
    <col min="14" max="14" width="58.6640625" style="1" customWidth="1"/>
    <col min="15" max="15" width="13.6640625" style="1" bestFit="1" customWidth="1"/>
    <col min="16" max="16384" width="11.5546875" style="1"/>
  </cols>
  <sheetData>
    <row r="1" spans="1:15" ht="15" thickBot="1" x14ac:dyDescent="0.35">
      <c r="A1" s="13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9" t="s">
        <v>7</v>
      </c>
      <c r="I1" s="27" t="s">
        <v>8</v>
      </c>
      <c r="K1" s="31" t="s">
        <v>9</v>
      </c>
      <c r="L1" s="12"/>
      <c r="N1" s="12" t="s">
        <v>10</v>
      </c>
      <c r="O1" s="12" t="s">
        <v>11</v>
      </c>
    </row>
    <row r="2" spans="1:15" x14ac:dyDescent="0.3">
      <c r="A2" s="294" t="s">
        <v>12</v>
      </c>
      <c r="B2" s="297">
        <v>1</v>
      </c>
      <c r="C2" s="3" t="s">
        <v>13</v>
      </c>
      <c r="D2" s="6">
        <v>53</v>
      </c>
      <c r="E2" s="6">
        <v>7.5</v>
      </c>
      <c r="F2" s="15">
        <v>1740.09</v>
      </c>
      <c r="G2" s="17">
        <v>174.00899999999999</v>
      </c>
      <c r="H2" s="15">
        <v>21.776</v>
      </c>
      <c r="I2" s="9">
        <f>G2*O3</f>
        <v>71.343689999999995</v>
      </c>
      <c r="J2" s="22"/>
      <c r="K2" s="32">
        <f>H2*O11</f>
        <v>978.61343999999997</v>
      </c>
      <c r="L2" s="22"/>
    </row>
    <row r="3" spans="1:15" x14ac:dyDescent="0.3">
      <c r="A3" s="295"/>
      <c r="B3" s="298"/>
      <c r="C3" s="4" t="s">
        <v>14</v>
      </c>
      <c r="D3" s="7">
        <v>63</v>
      </c>
      <c r="E3" s="7">
        <v>9.41</v>
      </c>
      <c r="F3" s="1">
        <v>1502.44</v>
      </c>
      <c r="G3" s="18">
        <v>150.24400000000003</v>
      </c>
      <c r="H3" s="1">
        <v>26.03</v>
      </c>
      <c r="I3" s="10">
        <f>G3*O3</f>
        <v>61.600040000000007</v>
      </c>
      <c r="J3" s="22"/>
      <c r="K3" s="33">
        <f>H3*O11</f>
        <v>1169.7882</v>
      </c>
      <c r="L3" s="22"/>
      <c r="N3" t="s">
        <v>15</v>
      </c>
      <c r="O3" s="14">
        <v>0.41</v>
      </c>
    </row>
    <row r="4" spans="1:15" x14ac:dyDescent="0.3">
      <c r="A4" s="295"/>
      <c r="B4" s="298"/>
      <c r="C4" s="4" t="s">
        <v>16</v>
      </c>
      <c r="D4" s="7">
        <v>83</v>
      </c>
      <c r="E4" s="7">
        <v>13.06</v>
      </c>
      <c r="F4" s="1">
        <v>1274.8499999999999</v>
      </c>
      <c r="G4" s="18">
        <v>254.97</v>
      </c>
      <c r="H4" s="1">
        <v>17.206</v>
      </c>
      <c r="I4" s="10">
        <f>G4*O$5</f>
        <v>160.6311</v>
      </c>
      <c r="J4" s="22"/>
      <c r="K4" s="33">
        <f>H4*O13</f>
        <v>350.83033999999998</v>
      </c>
      <c r="L4" s="22"/>
      <c r="N4" t="s">
        <v>17</v>
      </c>
      <c r="O4" s="14">
        <v>0.67</v>
      </c>
    </row>
    <row r="5" spans="1:15" x14ac:dyDescent="0.3">
      <c r="A5" s="295"/>
      <c r="B5" s="298"/>
      <c r="C5" s="4" t="s">
        <v>18</v>
      </c>
      <c r="D5" s="7">
        <v>103</v>
      </c>
      <c r="E5" s="7">
        <v>17.649999999999999</v>
      </c>
      <c r="F5" s="1">
        <v>979.88</v>
      </c>
      <c r="G5" s="18">
        <v>195.976</v>
      </c>
      <c r="H5" s="1">
        <v>21.032</v>
      </c>
      <c r="I5" s="10">
        <f>G5*O$5</f>
        <v>123.46487999999999</v>
      </c>
      <c r="J5" s="22"/>
      <c r="K5" s="33">
        <f>H5*O13</f>
        <v>428.84248000000002</v>
      </c>
      <c r="L5" s="22"/>
      <c r="N5" t="s">
        <v>19</v>
      </c>
      <c r="O5" s="14">
        <v>0.63</v>
      </c>
    </row>
    <row r="6" spans="1:15" x14ac:dyDescent="0.3">
      <c r="A6" s="295"/>
      <c r="B6" s="298"/>
      <c r="C6" s="4" t="s">
        <v>20</v>
      </c>
      <c r="D6" s="7">
        <v>123</v>
      </c>
      <c r="E6" s="7">
        <v>22.13</v>
      </c>
      <c r="F6" s="1">
        <v>760.05</v>
      </c>
      <c r="G6" s="18">
        <v>152.01</v>
      </c>
      <c r="H6" s="1">
        <v>23.978999999999999</v>
      </c>
      <c r="I6" s="10">
        <f>G6*O7</f>
        <v>153.5301</v>
      </c>
      <c r="J6" s="22"/>
      <c r="K6" s="33">
        <f>H6*O16</f>
        <v>526.09925999999996</v>
      </c>
      <c r="L6" s="22"/>
      <c r="N6" t="s">
        <v>21</v>
      </c>
      <c r="O6" s="14">
        <v>0.43</v>
      </c>
    </row>
    <row r="7" spans="1:15" ht="15" thickBot="1" x14ac:dyDescent="0.35">
      <c r="A7" s="295"/>
      <c r="B7" s="299"/>
      <c r="C7" s="5" t="s">
        <v>22</v>
      </c>
      <c r="D7" s="8">
        <v>143</v>
      </c>
      <c r="E7" s="8">
        <v>28.2</v>
      </c>
      <c r="F7" s="16">
        <v>592.20000000000005</v>
      </c>
      <c r="G7" s="19">
        <v>118.44</v>
      </c>
      <c r="H7" s="16">
        <v>25.802999999999997</v>
      </c>
      <c r="I7" s="11">
        <f>G7*O8</f>
        <v>75.801599999999993</v>
      </c>
      <c r="J7" s="22">
        <f>SUM(I2:I7)</f>
        <v>646.37140999999997</v>
      </c>
      <c r="K7" s="34">
        <f>H7*O17</f>
        <v>470.38868999999994</v>
      </c>
      <c r="L7" s="22">
        <f>SUM(K2:K7)</f>
        <v>3924.5624099999995</v>
      </c>
      <c r="M7" s="2"/>
      <c r="N7" t="s">
        <v>23</v>
      </c>
      <c r="O7" s="14">
        <v>1.01</v>
      </c>
    </row>
    <row r="8" spans="1:15" x14ac:dyDescent="0.3">
      <c r="A8" s="295"/>
      <c r="B8" s="297">
        <v>2</v>
      </c>
      <c r="C8" s="3" t="s">
        <v>13</v>
      </c>
      <c r="D8" s="6">
        <v>53</v>
      </c>
      <c r="E8" s="6">
        <v>7.6</v>
      </c>
      <c r="F8" s="15">
        <v>1400.56</v>
      </c>
      <c r="G8" s="17">
        <v>140.05599999999998</v>
      </c>
      <c r="H8" s="15">
        <v>19.496000000000002</v>
      </c>
      <c r="I8" s="9">
        <f>E8*O3</f>
        <v>3.1159999999999997</v>
      </c>
      <c r="J8" s="22"/>
      <c r="K8" s="32">
        <f>H8*O11</f>
        <v>876.15024000000005</v>
      </c>
      <c r="L8" s="22"/>
      <c r="N8" t="s">
        <v>24</v>
      </c>
      <c r="O8" s="14">
        <v>0.64</v>
      </c>
    </row>
    <row r="9" spans="1:15" x14ac:dyDescent="0.3">
      <c r="A9" s="295"/>
      <c r="B9" s="298"/>
      <c r="C9" s="4" t="s">
        <v>14</v>
      </c>
      <c r="D9" s="7">
        <v>63</v>
      </c>
      <c r="E9" s="7">
        <v>12.96</v>
      </c>
      <c r="F9" s="1">
        <v>1196.28</v>
      </c>
      <c r="G9" s="18">
        <v>119.62799999999999</v>
      </c>
      <c r="H9" s="1">
        <v>28.483999999999998</v>
      </c>
      <c r="I9" s="10">
        <f>G9*O$5</f>
        <v>75.365639999999985</v>
      </c>
      <c r="J9" s="22"/>
      <c r="K9" s="33">
        <f>H9*O13</f>
        <v>580.78876000000002</v>
      </c>
      <c r="L9" s="22"/>
      <c r="N9" t="s">
        <v>25</v>
      </c>
      <c r="O9" s="14">
        <v>2.36</v>
      </c>
    </row>
    <row r="10" spans="1:15" x14ac:dyDescent="0.3">
      <c r="A10" s="295"/>
      <c r="B10" s="298"/>
      <c r="C10" s="4" t="s">
        <v>16</v>
      </c>
      <c r="D10" s="7">
        <v>83</v>
      </c>
      <c r="E10" s="7">
        <v>22.79</v>
      </c>
      <c r="F10" s="1">
        <v>1038.03</v>
      </c>
      <c r="G10" s="18">
        <v>207.60599999999999</v>
      </c>
      <c r="H10" s="1">
        <v>27.237000000000002</v>
      </c>
      <c r="I10" s="10">
        <f>G10*O$7</f>
        <v>209.68206000000001</v>
      </c>
      <c r="J10" s="22"/>
      <c r="K10" s="33">
        <f>H10*O16</f>
        <v>597.57978000000003</v>
      </c>
      <c r="L10" s="22"/>
    </row>
    <row r="11" spans="1:15" x14ac:dyDescent="0.3">
      <c r="A11" s="295"/>
      <c r="B11" s="298"/>
      <c r="C11" s="4" t="s">
        <v>18</v>
      </c>
      <c r="D11" s="7">
        <v>103</v>
      </c>
      <c r="E11" s="7">
        <v>31.04</v>
      </c>
      <c r="F11" s="1">
        <v>809.19</v>
      </c>
      <c r="G11" s="18">
        <v>161.83800000000002</v>
      </c>
      <c r="H11" s="1">
        <v>40.0015</v>
      </c>
      <c r="I11" s="10">
        <f>G11*O$9</f>
        <v>381.93768000000006</v>
      </c>
      <c r="J11" s="22"/>
      <c r="K11" s="33">
        <f>H11*O$18</f>
        <v>684.02565000000004</v>
      </c>
      <c r="L11" s="22"/>
      <c r="N11" t="s">
        <v>26</v>
      </c>
      <c r="O11" s="14">
        <v>44.94</v>
      </c>
    </row>
    <row r="12" spans="1:15" x14ac:dyDescent="0.3">
      <c r="A12" s="295"/>
      <c r="B12" s="298"/>
      <c r="C12" s="4" t="s">
        <v>20</v>
      </c>
      <c r="D12" s="7">
        <v>123</v>
      </c>
      <c r="E12" s="7">
        <v>37.369999999999997</v>
      </c>
      <c r="F12" s="1">
        <v>632.71</v>
      </c>
      <c r="G12" s="18">
        <v>126.542</v>
      </c>
      <c r="H12" s="1">
        <v>50.525999999999996</v>
      </c>
      <c r="I12" s="10">
        <f>G12*O$9</f>
        <v>298.63911999999999</v>
      </c>
      <c r="J12" s="22"/>
      <c r="K12" s="33">
        <f>H12*O$18</f>
        <v>863.99459999999999</v>
      </c>
      <c r="L12" s="22"/>
      <c r="N12" t="s">
        <v>27</v>
      </c>
      <c r="O12" s="14">
        <v>27.35</v>
      </c>
    </row>
    <row r="13" spans="1:15" ht="15" thickBot="1" x14ac:dyDescent="0.35">
      <c r="A13" s="295"/>
      <c r="B13" s="299"/>
      <c r="C13" s="5" t="s">
        <v>22</v>
      </c>
      <c r="D13" s="8">
        <v>143</v>
      </c>
      <c r="E13" s="8">
        <v>44.16</v>
      </c>
      <c r="F13" s="16">
        <v>495.5</v>
      </c>
      <c r="G13" s="19">
        <v>99.1</v>
      </c>
      <c r="H13" s="16">
        <v>58.097999999999999</v>
      </c>
      <c r="I13" s="11">
        <f>G13*O$9</f>
        <v>233.87599999999998</v>
      </c>
      <c r="J13" s="22">
        <f>SUM(I8:I13)</f>
        <v>1202.6165000000001</v>
      </c>
      <c r="K13" s="33">
        <f>H13*O$18</f>
        <v>993.47580000000005</v>
      </c>
      <c r="L13" s="22">
        <f>SUM(K8:K13)</f>
        <v>4596.0148300000001</v>
      </c>
      <c r="N13" t="s">
        <v>28</v>
      </c>
      <c r="O13" s="14">
        <v>20.39</v>
      </c>
    </row>
    <row r="14" spans="1:15" x14ac:dyDescent="0.3">
      <c r="A14" s="295"/>
      <c r="B14" s="298">
        <v>3</v>
      </c>
      <c r="C14" s="4" t="s">
        <v>13</v>
      </c>
      <c r="D14" s="7">
        <v>83</v>
      </c>
      <c r="E14" s="7">
        <v>12.45</v>
      </c>
      <c r="F14" s="1">
        <v>1475.05</v>
      </c>
      <c r="G14" s="18">
        <v>295.01</v>
      </c>
      <c r="H14" s="1">
        <v>20.187999999999999</v>
      </c>
      <c r="I14" s="10">
        <f>G14*O$5</f>
        <v>185.8563</v>
      </c>
      <c r="J14" s="22"/>
      <c r="K14" s="32">
        <f>H14*O13</f>
        <v>411.63331999999997</v>
      </c>
      <c r="L14" s="22"/>
      <c r="N14" t="s">
        <v>29</v>
      </c>
      <c r="O14" s="30">
        <v>20.86</v>
      </c>
    </row>
    <row r="15" spans="1:15" x14ac:dyDescent="0.3">
      <c r="A15" s="295"/>
      <c r="B15" s="298"/>
      <c r="C15" s="4" t="s">
        <v>14</v>
      </c>
      <c r="D15" s="7">
        <v>100</v>
      </c>
      <c r="E15" s="7">
        <v>21.19</v>
      </c>
      <c r="F15" s="1">
        <v>1137.51</v>
      </c>
      <c r="G15" s="18">
        <v>227.50200000000001</v>
      </c>
      <c r="H15" s="1">
        <v>30.965499999999999</v>
      </c>
      <c r="I15" s="10">
        <f>G15*O$7</f>
        <v>229.77702000000002</v>
      </c>
      <c r="J15" s="22"/>
      <c r="K15" s="33">
        <f>H15*O16</f>
        <v>679.38306999999998</v>
      </c>
      <c r="L15" s="22"/>
      <c r="N15" t="s">
        <v>30</v>
      </c>
      <c r="O15" s="14">
        <v>19.5</v>
      </c>
    </row>
    <row r="16" spans="1:15" x14ac:dyDescent="0.3">
      <c r="A16" s="295"/>
      <c r="B16" s="298"/>
      <c r="C16" s="4" t="s">
        <v>16</v>
      </c>
      <c r="D16" s="7">
        <v>120</v>
      </c>
      <c r="E16" s="7">
        <v>29.06</v>
      </c>
      <c r="F16" s="1">
        <v>886.08</v>
      </c>
      <c r="G16" s="18">
        <v>177.21600000000001</v>
      </c>
      <c r="H16" s="1">
        <v>42.204500000000003</v>
      </c>
      <c r="I16" s="10">
        <f>G16*O$7</f>
        <v>178.98816000000002</v>
      </c>
      <c r="J16" s="22"/>
      <c r="K16" s="33">
        <f>H16*O16</f>
        <v>925.9667300000001</v>
      </c>
      <c r="L16" s="22"/>
      <c r="N16" t="s">
        <v>31</v>
      </c>
      <c r="O16" s="30">
        <v>21.94</v>
      </c>
    </row>
    <row r="17" spans="1:15" ht="15" thickBot="1" x14ac:dyDescent="0.35">
      <c r="A17" s="295"/>
      <c r="B17" s="298"/>
      <c r="C17" s="4" t="s">
        <v>18</v>
      </c>
      <c r="D17" s="7">
        <v>140</v>
      </c>
      <c r="E17" s="7">
        <v>35.880000000000003</v>
      </c>
      <c r="F17" s="1">
        <v>692.54</v>
      </c>
      <c r="G17" s="18">
        <v>138.50799999999998</v>
      </c>
      <c r="H17" s="1">
        <v>51.554999999999993</v>
      </c>
      <c r="I17" s="10">
        <f>G17*O$9</f>
        <v>326.87887999999992</v>
      </c>
      <c r="J17" s="22">
        <f>SUM(I14:I17)</f>
        <v>921.50036</v>
      </c>
      <c r="K17" s="34">
        <f>H17*O17</f>
        <v>939.84764999999993</v>
      </c>
      <c r="L17" s="22">
        <f>SUM(K14:K17)</f>
        <v>2956.83077</v>
      </c>
      <c r="M17" s="2"/>
      <c r="N17" t="s">
        <v>32</v>
      </c>
      <c r="O17" s="30">
        <v>18.23</v>
      </c>
    </row>
    <row r="18" spans="1:15" x14ac:dyDescent="0.3">
      <c r="A18" s="295"/>
      <c r="B18" s="297">
        <v>4</v>
      </c>
      <c r="C18" s="3" t="s">
        <v>13</v>
      </c>
      <c r="D18" s="6">
        <v>84</v>
      </c>
      <c r="E18" s="6">
        <v>13.85</v>
      </c>
      <c r="F18" s="15">
        <v>1487.7</v>
      </c>
      <c r="G18" s="17">
        <v>297.54000000000002</v>
      </c>
      <c r="H18" s="15">
        <v>21.823500000000003</v>
      </c>
      <c r="I18" s="9">
        <f>G18*O$5</f>
        <v>187.45020000000002</v>
      </c>
      <c r="J18" s="22"/>
      <c r="K18" s="32">
        <f>H18*O13</f>
        <v>444.98116500000009</v>
      </c>
      <c r="L18" s="22"/>
      <c r="M18" s="2"/>
      <c r="N18" t="s">
        <v>33</v>
      </c>
      <c r="O18" s="14">
        <v>17.100000000000001</v>
      </c>
    </row>
    <row r="19" spans="1:15" x14ac:dyDescent="0.3">
      <c r="A19" s="295"/>
      <c r="B19" s="298"/>
      <c r="C19" s="4" t="s">
        <v>14</v>
      </c>
      <c r="D19" s="7">
        <v>104</v>
      </c>
      <c r="E19" s="7">
        <v>23.13</v>
      </c>
      <c r="F19" s="1">
        <v>1149.3900000000001</v>
      </c>
      <c r="G19" s="18">
        <v>229.87800000000004</v>
      </c>
      <c r="H19" s="1">
        <v>33.085999999999999</v>
      </c>
      <c r="I19" s="10">
        <f>G19*O$7</f>
        <v>232.17678000000004</v>
      </c>
      <c r="J19" s="22"/>
      <c r="K19" s="33">
        <f>H19*O16</f>
        <v>725.90683999999999</v>
      </c>
      <c r="L19" s="22"/>
      <c r="N19"/>
      <c r="O19" s="14"/>
    </row>
    <row r="20" spans="1:15" x14ac:dyDescent="0.3">
      <c r="A20" s="295"/>
      <c r="B20" s="298"/>
      <c r="C20" s="4" t="s">
        <v>16</v>
      </c>
      <c r="D20" s="7">
        <v>124</v>
      </c>
      <c r="E20" s="7">
        <v>29.79</v>
      </c>
      <c r="F20" s="1">
        <v>895.48</v>
      </c>
      <c r="G20" s="18">
        <v>179.09599999999998</v>
      </c>
      <c r="H20" s="1">
        <v>43.939</v>
      </c>
      <c r="I20" s="10">
        <f>G20*O$7</f>
        <v>180.88695999999999</v>
      </c>
      <c r="J20" s="22"/>
      <c r="K20" s="33">
        <f>H20*O16</f>
        <v>964.02166000000011</v>
      </c>
      <c r="L20" s="22"/>
      <c r="M20" s="2"/>
      <c r="N20" t="s">
        <v>34</v>
      </c>
      <c r="O20" s="14">
        <v>203.7</v>
      </c>
    </row>
    <row r="21" spans="1:15" ht="15" thickBot="1" x14ac:dyDescent="0.35">
      <c r="A21" s="295"/>
      <c r="B21" s="299"/>
      <c r="C21" s="5" t="s">
        <v>18</v>
      </c>
      <c r="D21" s="8">
        <v>144</v>
      </c>
      <c r="E21" s="8">
        <v>35.85</v>
      </c>
      <c r="F21" s="16">
        <v>699.69</v>
      </c>
      <c r="G21" s="19">
        <v>139.93800000000002</v>
      </c>
      <c r="H21" s="16">
        <v>52.999000000000002</v>
      </c>
      <c r="I21" s="11">
        <f>G21*O$9</f>
        <v>330.25368000000003</v>
      </c>
      <c r="J21" s="22">
        <f>SUM(I18:I21)</f>
        <v>930.76762000000008</v>
      </c>
      <c r="K21" s="34">
        <f>H21*O17</f>
        <v>966.17177000000004</v>
      </c>
      <c r="L21" s="22">
        <f>SUM(K18:K21)</f>
        <v>3101.0814350000001</v>
      </c>
      <c r="M21" s="2"/>
      <c r="N21" s="2" t="s">
        <v>35</v>
      </c>
      <c r="O21" s="24">
        <v>7.95</v>
      </c>
    </row>
    <row r="22" spans="1:15" x14ac:dyDescent="0.3">
      <c r="A22" s="295"/>
      <c r="B22" s="297">
        <v>5</v>
      </c>
      <c r="C22" s="3" t="s">
        <v>13</v>
      </c>
      <c r="D22" s="6">
        <v>61</v>
      </c>
      <c r="E22" s="6">
        <v>7.3</v>
      </c>
      <c r="F22" s="15">
        <v>2645.51</v>
      </c>
      <c r="G22" s="17">
        <v>264.55100000000004</v>
      </c>
      <c r="H22" s="15">
        <v>16.834</v>
      </c>
      <c r="I22" s="9">
        <f>G22*O3</f>
        <v>108.46591000000001</v>
      </c>
      <c r="J22" s="22"/>
      <c r="K22" s="33">
        <f>H22*O11</f>
        <v>756.51995999999997</v>
      </c>
      <c r="L22" s="22"/>
      <c r="M22" s="2"/>
      <c r="N22" s="2" t="s">
        <v>36</v>
      </c>
      <c r="O22" s="24">
        <v>1.48</v>
      </c>
    </row>
    <row r="23" spans="1:15" x14ac:dyDescent="0.3">
      <c r="A23" s="295"/>
      <c r="B23" s="298"/>
      <c r="C23" s="4" t="s">
        <v>14</v>
      </c>
      <c r="D23" s="7">
        <v>81</v>
      </c>
      <c r="E23" s="7">
        <v>10.92</v>
      </c>
      <c r="F23" s="1">
        <v>2214.4</v>
      </c>
      <c r="G23" s="18">
        <v>442.88</v>
      </c>
      <c r="H23" s="1">
        <v>10.8665</v>
      </c>
      <c r="I23" s="10">
        <f>G23*O3</f>
        <v>181.58079999999998</v>
      </c>
      <c r="J23" s="22"/>
      <c r="K23" s="33">
        <f>H23*O11</f>
        <v>488.34050999999999</v>
      </c>
      <c r="L23" s="22"/>
      <c r="M23" s="2"/>
      <c r="N23" s="2"/>
      <c r="O23" s="2"/>
    </row>
    <row r="24" spans="1:15" x14ac:dyDescent="0.3">
      <c r="A24" s="295"/>
      <c r="B24" s="298"/>
      <c r="C24" s="4" t="s">
        <v>16</v>
      </c>
      <c r="D24" s="7">
        <v>101</v>
      </c>
      <c r="E24" s="7">
        <v>14.48</v>
      </c>
      <c r="F24" s="1">
        <v>1695.03</v>
      </c>
      <c r="G24" s="18">
        <v>339.00599999999997</v>
      </c>
      <c r="H24" s="1">
        <v>13.5215</v>
      </c>
      <c r="I24" s="10">
        <f>G24*O4</f>
        <v>227.13401999999999</v>
      </c>
      <c r="J24" s="22"/>
      <c r="K24" s="33">
        <f>H24*O12</f>
        <v>369.81302499999998</v>
      </c>
      <c r="L24" s="22"/>
      <c r="M24" s="2"/>
      <c r="N24" s="2"/>
      <c r="O24" s="2"/>
    </row>
    <row r="25" spans="1:15" x14ac:dyDescent="0.3">
      <c r="A25" s="295"/>
      <c r="B25" s="298"/>
      <c r="C25" s="4" t="s">
        <v>18</v>
      </c>
      <c r="D25" s="7">
        <v>121</v>
      </c>
      <c r="E25" s="7">
        <v>18.13</v>
      </c>
      <c r="F25" s="1">
        <v>1309.83</v>
      </c>
      <c r="G25" s="18">
        <v>261.96600000000001</v>
      </c>
      <c r="H25" s="1">
        <v>16.0505</v>
      </c>
      <c r="I25" s="10">
        <f>G25*O$5</f>
        <v>165.03858</v>
      </c>
      <c r="J25" s="22"/>
      <c r="K25" s="33">
        <f>H25*O13</f>
        <v>327.26969500000001</v>
      </c>
      <c r="L25" s="22"/>
      <c r="M25" s="2"/>
      <c r="N25" s="2"/>
      <c r="O25" s="2"/>
    </row>
    <row r="26" spans="1:15" ht="15" thickBot="1" x14ac:dyDescent="0.35">
      <c r="A26" s="296"/>
      <c r="B26" s="299"/>
      <c r="C26" s="5" t="s">
        <v>20</v>
      </c>
      <c r="D26" s="8">
        <v>141</v>
      </c>
      <c r="E26" s="8">
        <v>21.77</v>
      </c>
      <c r="F26" s="16">
        <v>1017.25</v>
      </c>
      <c r="G26" s="19">
        <v>203.45</v>
      </c>
      <c r="H26" s="16">
        <v>18.133500000000002</v>
      </c>
      <c r="I26" s="11">
        <f>G26*O$7</f>
        <v>205.4845</v>
      </c>
      <c r="J26" s="22">
        <f>SUM(I22:I26)</f>
        <v>887.70380999999998</v>
      </c>
      <c r="K26" s="34">
        <f>H26*O16</f>
        <v>397.84899000000007</v>
      </c>
      <c r="L26" s="22">
        <f>SUM(K22:K26)</f>
        <v>2339.7921799999999</v>
      </c>
      <c r="M26" s="2"/>
      <c r="N26" s="2"/>
      <c r="O26" s="2"/>
    </row>
    <row r="27" spans="1:15" ht="15" thickBot="1" x14ac:dyDescent="0.35">
      <c r="C27" s="2"/>
      <c r="G27" s="20"/>
      <c r="H27" s="20"/>
      <c r="I27" s="28">
        <f>SUM(I2:I26)</f>
        <v>4588.9597000000003</v>
      </c>
      <c r="J27" s="2"/>
      <c r="K27" s="21">
        <f>SUM(K2:K26)</f>
        <v>16918.281625</v>
      </c>
      <c r="L27" s="2"/>
      <c r="M27" s="2"/>
      <c r="N27" s="2"/>
      <c r="O27" s="2"/>
    </row>
    <row r="28" spans="1:15" ht="15" thickBot="1" x14ac:dyDescent="0.35">
      <c r="C28" s="2"/>
      <c r="G28" s="20"/>
      <c r="H28" s="20"/>
      <c r="I28" s="2"/>
      <c r="J28" s="2"/>
      <c r="K28" s="2"/>
      <c r="L28" s="2"/>
      <c r="M28" s="2"/>
      <c r="N28" s="2"/>
      <c r="O28" s="2"/>
    </row>
    <row r="29" spans="1:15" x14ac:dyDescent="0.3">
      <c r="A29" s="294" t="s">
        <v>37</v>
      </c>
      <c r="B29" s="297">
        <v>1</v>
      </c>
      <c r="C29" s="3" t="s">
        <v>38</v>
      </c>
      <c r="D29" s="6">
        <v>53</v>
      </c>
      <c r="E29" s="6">
        <v>35.200000000000003</v>
      </c>
      <c r="F29" s="15">
        <v>1740.09</v>
      </c>
      <c r="G29" s="17">
        <v>174.00899999999999</v>
      </c>
      <c r="H29" s="15">
        <v>19.005000000000003</v>
      </c>
      <c r="I29" s="9">
        <f>G29*O$9</f>
        <v>410.66123999999996</v>
      </c>
      <c r="J29" s="22"/>
      <c r="K29" s="32">
        <f>H29*O16</f>
        <v>416.9697000000001</v>
      </c>
      <c r="L29" s="22"/>
      <c r="M29" s="2"/>
      <c r="N29" s="2"/>
      <c r="O29" s="2"/>
    </row>
    <row r="30" spans="1:15" x14ac:dyDescent="0.3">
      <c r="A30" s="295"/>
      <c r="B30" s="298"/>
      <c r="C30" s="4" t="s">
        <v>14</v>
      </c>
      <c r="D30" s="7">
        <v>73</v>
      </c>
      <c r="E30" s="7">
        <v>9.1</v>
      </c>
      <c r="F30" s="1">
        <v>1428.21</v>
      </c>
      <c r="G30" s="18">
        <v>142.821</v>
      </c>
      <c r="H30" s="1">
        <v>27.670999999999999</v>
      </c>
      <c r="I30" s="10">
        <f>IF(E30&lt;12,G30*O$3,"")</f>
        <v>58.556609999999999</v>
      </c>
      <c r="J30" s="22"/>
      <c r="K30" s="33">
        <f>H30*O11</f>
        <v>1243.5347399999998</v>
      </c>
      <c r="L30" s="22"/>
      <c r="M30" s="2"/>
      <c r="N30" s="2"/>
      <c r="O30" s="2"/>
    </row>
    <row r="31" spans="1:15" x14ac:dyDescent="0.3">
      <c r="A31" s="295"/>
      <c r="B31" s="298"/>
      <c r="C31" s="4" t="s">
        <v>39</v>
      </c>
      <c r="D31" s="7">
        <v>73</v>
      </c>
      <c r="E31" s="7">
        <v>40.06</v>
      </c>
      <c r="F31" s="1">
        <v>1285.3900000000001</v>
      </c>
      <c r="G31" s="18">
        <v>128.53900000000002</v>
      </c>
      <c r="H31" s="1">
        <v>24.013999999999999</v>
      </c>
      <c r="I31" s="10">
        <f>G31*O$9</f>
        <v>303.35204000000004</v>
      </c>
      <c r="J31" s="22"/>
      <c r="K31" s="33">
        <f>H31*O16</f>
        <v>526.86716000000001</v>
      </c>
      <c r="L31" s="22"/>
      <c r="M31" s="2"/>
      <c r="N31" s="2"/>
      <c r="O31" s="2"/>
    </row>
    <row r="32" spans="1:15" x14ac:dyDescent="0.3">
      <c r="A32" s="295"/>
      <c r="B32" s="298"/>
      <c r="C32" s="4" t="s">
        <v>16</v>
      </c>
      <c r="D32" s="7">
        <v>93</v>
      </c>
      <c r="E32" s="7">
        <v>12.2</v>
      </c>
      <c r="F32" s="1">
        <v>1087.6199999999999</v>
      </c>
      <c r="G32" s="18">
        <v>108.76199999999999</v>
      </c>
      <c r="H32" s="1">
        <v>32.583999999999996</v>
      </c>
      <c r="I32" s="10">
        <f>G32*O$5</f>
        <v>68.520059999999987</v>
      </c>
      <c r="J32" s="22"/>
      <c r="K32" s="33">
        <f>H32*O13</f>
        <v>664.38775999999996</v>
      </c>
      <c r="L32" s="22"/>
      <c r="M32" s="2"/>
      <c r="N32" s="2"/>
      <c r="O32" s="2"/>
    </row>
    <row r="33" spans="1:15" x14ac:dyDescent="0.3">
      <c r="A33" s="295"/>
      <c r="B33" s="298"/>
      <c r="C33" s="4" t="s">
        <v>40</v>
      </c>
      <c r="D33" s="7">
        <v>93</v>
      </c>
      <c r="E33" s="7">
        <v>44.84</v>
      </c>
      <c r="F33" s="1">
        <v>978.86</v>
      </c>
      <c r="G33" s="18">
        <v>97.88600000000001</v>
      </c>
      <c r="H33" s="1">
        <v>28.348000000000003</v>
      </c>
      <c r="I33" s="10">
        <f>G33*O$9</f>
        <v>231.01096000000001</v>
      </c>
      <c r="J33" s="22"/>
      <c r="K33" s="33">
        <f>H33*O16</f>
        <v>621.95512000000008</v>
      </c>
      <c r="L33" s="22"/>
      <c r="M33" s="2"/>
      <c r="N33" s="2"/>
      <c r="O33" s="2"/>
    </row>
    <row r="34" spans="1:15" x14ac:dyDescent="0.3">
      <c r="A34" s="295"/>
      <c r="B34" s="298"/>
      <c r="C34" s="4" t="s">
        <v>18</v>
      </c>
      <c r="D34" s="7">
        <v>113</v>
      </c>
      <c r="E34" s="7">
        <v>15.42</v>
      </c>
      <c r="F34" s="1">
        <v>841.43</v>
      </c>
      <c r="G34" s="18">
        <v>84.142999999999986</v>
      </c>
      <c r="H34" s="1">
        <v>36.286999999999999</v>
      </c>
      <c r="I34" s="10">
        <f>G34*O$5</f>
        <v>53.010089999999991</v>
      </c>
      <c r="J34" s="22"/>
      <c r="K34" s="33">
        <f>H34*O13</f>
        <v>739.89193</v>
      </c>
      <c r="L34" s="22"/>
      <c r="M34" s="2"/>
      <c r="N34" s="2"/>
      <c r="O34" s="2"/>
    </row>
    <row r="35" spans="1:15" x14ac:dyDescent="0.3">
      <c r="A35" s="295"/>
      <c r="B35" s="298"/>
      <c r="C35" s="4" t="s">
        <v>41</v>
      </c>
      <c r="D35" s="7">
        <v>113</v>
      </c>
      <c r="E35" s="7">
        <v>49.39</v>
      </c>
      <c r="F35" s="1">
        <v>757.29</v>
      </c>
      <c r="G35" s="18">
        <v>75.728999999999999</v>
      </c>
      <c r="H35" s="1">
        <v>31.625</v>
      </c>
      <c r="I35" s="10">
        <f>G35*O$9</f>
        <v>178.72044</v>
      </c>
      <c r="J35" s="22"/>
      <c r="K35" s="33">
        <f>H35*O16</f>
        <v>693.85250000000008</v>
      </c>
      <c r="L35" s="22"/>
      <c r="M35" s="2"/>
      <c r="N35" s="2"/>
      <c r="O35" s="2"/>
    </row>
    <row r="36" spans="1:15" x14ac:dyDescent="0.3">
      <c r="A36" s="295"/>
      <c r="B36" s="298"/>
      <c r="C36" s="4" t="s">
        <v>20</v>
      </c>
      <c r="D36" s="7">
        <v>133</v>
      </c>
      <c r="E36" s="7">
        <v>17.87</v>
      </c>
      <c r="F36" s="1">
        <v>656.26</v>
      </c>
      <c r="G36" s="18">
        <v>65.626000000000005</v>
      </c>
      <c r="H36" s="1">
        <v>38.648000000000003</v>
      </c>
      <c r="I36" s="10">
        <f>G36*O$6</f>
        <v>28.219180000000001</v>
      </c>
      <c r="J36" s="22"/>
      <c r="K36" s="33">
        <f>H36*O14</f>
        <v>806.19728000000009</v>
      </c>
      <c r="L36" s="22"/>
      <c r="M36" s="2"/>
      <c r="N36" s="2"/>
      <c r="O36" s="2"/>
    </row>
    <row r="37" spans="1:15" ht="15" thickBot="1" x14ac:dyDescent="0.35">
      <c r="A37" s="295"/>
      <c r="B37" s="299"/>
      <c r="C37" s="5" t="s">
        <v>42</v>
      </c>
      <c r="D37" s="8">
        <v>133</v>
      </c>
      <c r="E37" s="8">
        <v>53.65</v>
      </c>
      <c r="F37" s="16">
        <v>590.63</v>
      </c>
      <c r="G37" s="19">
        <v>59.063000000000002</v>
      </c>
      <c r="H37" s="16">
        <v>33.731000000000002</v>
      </c>
      <c r="I37" s="11">
        <f>G37*O$9</f>
        <v>139.38867999999999</v>
      </c>
      <c r="J37" s="22">
        <f>SUM(I29:I37)</f>
        <v>1471.4393</v>
      </c>
      <c r="K37" s="34">
        <f>H37*O17</f>
        <v>614.91613000000007</v>
      </c>
      <c r="L37" s="22">
        <f>SUM(K29:K37)</f>
        <v>6328.5723200000011</v>
      </c>
      <c r="M37" s="2"/>
      <c r="N37" s="2"/>
      <c r="O37" s="2"/>
    </row>
    <row r="38" spans="1:15" x14ac:dyDescent="0.3">
      <c r="A38" s="295"/>
      <c r="B38" s="297">
        <v>2</v>
      </c>
      <c r="C38" s="3" t="s">
        <v>38</v>
      </c>
      <c r="D38" s="6">
        <v>53</v>
      </c>
      <c r="E38" s="6">
        <v>23.4</v>
      </c>
      <c r="F38" s="15">
        <v>1400.56</v>
      </c>
      <c r="G38" s="17">
        <v>140.05599999999998</v>
      </c>
      <c r="H38" s="15">
        <v>17.256999999999998</v>
      </c>
      <c r="I38" s="9">
        <f>G38*O$7</f>
        <v>141.45656</v>
      </c>
      <c r="J38" s="22"/>
      <c r="K38" s="32">
        <f>H38*O16</f>
        <v>378.61857999999995</v>
      </c>
      <c r="L38" s="22"/>
      <c r="M38" s="2"/>
      <c r="N38" s="2"/>
      <c r="O38" s="2"/>
    </row>
    <row r="39" spans="1:15" x14ac:dyDescent="0.3">
      <c r="A39" s="295"/>
      <c r="B39" s="298"/>
      <c r="C39" s="4" t="s">
        <v>14</v>
      </c>
      <c r="D39" s="7">
        <v>73</v>
      </c>
      <c r="E39" s="7">
        <v>15.6</v>
      </c>
      <c r="F39" s="1">
        <v>1149.94</v>
      </c>
      <c r="G39" s="18">
        <v>114.99400000000001</v>
      </c>
      <c r="H39" s="1">
        <v>39.879000000000005</v>
      </c>
      <c r="I39" s="10">
        <f>G39*O$5</f>
        <v>72.446220000000011</v>
      </c>
      <c r="J39" s="22"/>
      <c r="K39" s="33">
        <f>H39*O13</f>
        <v>813.13281000000018</v>
      </c>
      <c r="L39" s="22"/>
      <c r="M39" s="2"/>
      <c r="N39" s="2"/>
      <c r="O39" s="2"/>
    </row>
    <row r="40" spans="1:15" x14ac:dyDescent="0.3">
      <c r="A40" s="295"/>
      <c r="B40" s="298"/>
      <c r="C40" s="4" t="s">
        <v>39</v>
      </c>
      <c r="D40" s="7">
        <v>73</v>
      </c>
      <c r="E40" s="7">
        <v>36.08</v>
      </c>
      <c r="F40" s="1">
        <v>1034.94</v>
      </c>
      <c r="G40" s="18">
        <v>103.49400000000001</v>
      </c>
      <c r="H40" s="1">
        <v>35.047000000000004</v>
      </c>
      <c r="I40" s="10">
        <f>G40*O$9</f>
        <v>244.24584000000002</v>
      </c>
      <c r="J40" s="22"/>
      <c r="K40" s="33">
        <f>H40*O16</f>
        <v>768.93118000000015</v>
      </c>
      <c r="L40" s="22"/>
      <c r="M40" s="2"/>
      <c r="N40" s="2"/>
      <c r="O40" s="2"/>
    </row>
    <row r="41" spans="1:15" x14ac:dyDescent="0.3">
      <c r="A41" s="295"/>
      <c r="B41" s="298"/>
      <c r="C41" s="4" t="s">
        <v>16</v>
      </c>
      <c r="D41" s="7">
        <v>93</v>
      </c>
      <c r="E41" s="7">
        <v>23.22</v>
      </c>
      <c r="F41" s="1">
        <v>901.71</v>
      </c>
      <c r="G41" s="18">
        <v>90.171000000000006</v>
      </c>
      <c r="H41" s="1">
        <v>64.974000000000004</v>
      </c>
      <c r="I41" s="10">
        <f>G41*O$7</f>
        <v>91.072710000000001</v>
      </c>
      <c r="J41" s="22"/>
      <c r="K41" s="33">
        <f>H41*O16</f>
        <v>1425.5295600000002</v>
      </c>
      <c r="L41" s="22"/>
      <c r="M41" s="2"/>
      <c r="N41" s="2"/>
      <c r="O41" s="2"/>
    </row>
    <row r="42" spans="1:15" x14ac:dyDescent="0.3">
      <c r="A42" s="295"/>
      <c r="B42" s="298"/>
      <c r="C42" s="4" t="s">
        <v>40</v>
      </c>
      <c r="D42" s="7">
        <v>93</v>
      </c>
      <c r="E42" s="7">
        <v>49.98</v>
      </c>
      <c r="F42" s="1">
        <v>811.54</v>
      </c>
      <c r="G42" s="18">
        <v>81.153999999999996</v>
      </c>
      <c r="H42" s="1">
        <v>57.239999999999995</v>
      </c>
      <c r="I42" s="10">
        <f>G42*O$9</f>
        <v>191.52343999999999</v>
      </c>
      <c r="J42" s="22"/>
      <c r="K42" s="33">
        <f>H42*O16</f>
        <v>1255.8455999999999</v>
      </c>
      <c r="L42" s="22"/>
      <c r="M42" s="2"/>
      <c r="N42" s="2"/>
      <c r="O42" s="2"/>
    </row>
    <row r="43" spans="1:15" x14ac:dyDescent="0.3">
      <c r="A43" s="295"/>
      <c r="B43" s="298"/>
      <c r="C43" s="4" t="s">
        <v>18</v>
      </c>
      <c r="D43" s="7">
        <v>113</v>
      </c>
      <c r="E43" s="7">
        <v>29.58</v>
      </c>
      <c r="F43" s="1">
        <v>711.6</v>
      </c>
      <c r="G43" s="18">
        <v>71.16</v>
      </c>
      <c r="H43" s="1">
        <v>86.394000000000005</v>
      </c>
      <c r="I43" s="10">
        <f>G43*O8</f>
        <v>45.542400000000001</v>
      </c>
      <c r="J43" s="22"/>
      <c r="K43" s="33">
        <f>H43*O17</f>
        <v>1574.9626200000002</v>
      </c>
      <c r="L43" s="22"/>
      <c r="M43" s="2"/>
      <c r="N43" s="2"/>
      <c r="O43" s="2"/>
    </row>
    <row r="44" spans="1:15" x14ac:dyDescent="0.3">
      <c r="A44" s="295"/>
      <c r="B44" s="298"/>
      <c r="C44" s="4" t="s">
        <v>41</v>
      </c>
      <c r="D44" s="7">
        <v>113</v>
      </c>
      <c r="E44" s="7">
        <v>62.89</v>
      </c>
      <c r="F44" s="1">
        <v>640.44000000000005</v>
      </c>
      <c r="G44" s="18">
        <v>64.044000000000011</v>
      </c>
      <c r="H44" s="1">
        <v>76.102999999999994</v>
      </c>
      <c r="I44" s="10">
        <f>G13*O$9</f>
        <v>233.87599999999998</v>
      </c>
      <c r="J44" s="22"/>
      <c r="K44" s="33">
        <f>H44*O$18</f>
        <v>1301.3613</v>
      </c>
      <c r="L44" s="22"/>
      <c r="M44" s="2"/>
      <c r="N44" s="2"/>
      <c r="O44" s="2"/>
    </row>
    <row r="45" spans="1:15" x14ac:dyDescent="0.3">
      <c r="A45" s="295"/>
      <c r="B45" s="298"/>
      <c r="C45" s="4" t="s">
        <v>20</v>
      </c>
      <c r="D45" s="7">
        <v>133</v>
      </c>
      <c r="E45" s="7">
        <v>34.619999999999997</v>
      </c>
      <c r="F45" s="1">
        <v>562.89</v>
      </c>
      <c r="G45" s="18">
        <v>56.288999999999994</v>
      </c>
      <c r="H45" s="1">
        <v>101.71900000000001</v>
      </c>
      <c r="I45" s="10">
        <f>G14*O$9</f>
        <v>696.22359999999992</v>
      </c>
      <c r="J45" s="22"/>
      <c r="K45" s="33">
        <f>H45*O$18</f>
        <v>1739.3949000000002</v>
      </c>
      <c r="L45" s="22"/>
      <c r="M45" s="2"/>
      <c r="N45" s="2"/>
      <c r="O45" s="2"/>
    </row>
    <row r="46" spans="1:15" ht="15" thickBot="1" x14ac:dyDescent="0.35">
      <c r="A46" s="295"/>
      <c r="B46" s="299"/>
      <c r="C46" s="5" t="s">
        <v>42</v>
      </c>
      <c r="D46" s="8">
        <v>133</v>
      </c>
      <c r="E46" s="8">
        <v>74.05</v>
      </c>
      <c r="F46" s="16">
        <v>506.6</v>
      </c>
      <c r="G46" s="19">
        <v>50.66</v>
      </c>
      <c r="H46" s="16">
        <v>89.585000000000008</v>
      </c>
      <c r="I46" s="11">
        <f>G15*O$9</f>
        <v>536.90472</v>
      </c>
      <c r="J46" s="22">
        <f>SUM(I38:I46)</f>
        <v>2253.2914900000001</v>
      </c>
      <c r="K46" s="33">
        <f>H46*O$18</f>
        <v>1531.9035000000003</v>
      </c>
      <c r="L46" s="22">
        <f>SUM(K38:K46)</f>
        <v>10789.680050000003</v>
      </c>
      <c r="M46" s="2"/>
      <c r="N46" s="2"/>
      <c r="O46" s="2"/>
    </row>
    <row r="47" spans="1:15" x14ac:dyDescent="0.3">
      <c r="A47" s="295"/>
      <c r="B47" s="297">
        <v>3</v>
      </c>
      <c r="C47" s="3" t="s">
        <v>13</v>
      </c>
      <c r="D47" s="6">
        <v>73</v>
      </c>
      <c r="E47" s="6">
        <v>8</v>
      </c>
      <c r="F47" s="15">
        <v>1556.18</v>
      </c>
      <c r="G47" s="17">
        <v>155.61800000000002</v>
      </c>
      <c r="H47" s="15">
        <v>31.205000000000002</v>
      </c>
      <c r="I47" s="9">
        <f>IF(E47&lt;12,G47*O$3,"")</f>
        <v>63.803380000000004</v>
      </c>
      <c r="J47" s="22"/>
      <c r="K47" s="32">
        <f>H47*O11</f>
        <v>1402.3526999999999</v>
      </c>
      <c r="L47" s="22"/>
      <c r="M47" s="2"/>
      <c r="N47" s="2"/>
      <c r="O47" s="2"/>
    </row>
    <row r="48" spans="1:15" x14ac:dyDescent="0.3">
      <c r="A48" s="295"/>
      <c r="B48" s="298"/>
      <c r="C48" s="4" t="s">
        <v>38</v>
      </c>
      <c r="D48" s="7">
        <v>73</v>
      </c>
      <c r="E48" s="7">
        <v>25.7</v>
      </c>
      <c r="F48" s="1">
        <v>1400.56</v>
      </c>
      <c r="G48" s="18">
        <v>140.05599999999998</v>
      </c>
      <c r="H48" s="1">
        <v>27.201000000000001</v>
      </c>
      <c r="I48" s="10">
        <f>G48*O$7</f>
        <v>141.45656</v>
      </c>
      <c r="J48" s="22"/>
      <c r="K48" s="33">
        <f>H48*O16</f>
        <v>596.78994</v>
      </c>
      <c r="L48" s="22"/>
      <c r="M48" s="2"/>
      <c r="N48" s="2"/>
      <c r="O48" s="2"/>
    </row>
    <row r="49" spans="1:15" x14ac:dyDescent="0.3">
      <c r="A49" s="295"/>
      <c r="B49" s="298"/>
      <c r="C49" s="4" t="s">
        <v>14</v>
      </c>
      <c r="D49" s="7">
        <v>93</v>
      </c>
      <c r="E49" s="7">
        <v>15.75</v>
      </c>
      <c r="F49" s="1">
        <v>1185.43</v>
      </c>
      <c r="G49" s="18">
        <v>118.54300000000001</v>
      </c>
      <c r="H49" s="1">
        <v>49.141000000000005</v>
      </c>
      <c r="I49" s="10">
        <f>G49*O$5</f>
        <v>74.682090000000002</v>
      </c>
      <c r="J49" s="22"/>
      <c r="K49" s="33">
        <f>H49*O13</f>
        <v>1001.9849900000002</v>
      </c>
      <c r="L49" s="22"/>
      <c r="M49" s="2"/>
      <c r="N49" s="2"/>
      <c r="O49" s="2"/>
    </row>
    <row r="50" spans="1:15" x14ac:dyDescent="0.3">
      <c r="A50" s="295"/>
      <c r="B50" s="298"/>
      <c r="C50" s="4" t="s">
        <v>39</v>
      </c>
      <c r="D50" s="7">
        <v>93</v>
      </c>
      <c r="E50" s="7">
        <v>36.65</v>
      </c>
      <c r="F50" s="1">
        <v>1066.8800000000001</v>
      </c>
      <c r="G50" s="18">
        <v>106.68800000000002</v>
      </c>
      <c r="H50" s="1">
        <v>43.166000000000004</v>
      </c>
      <c r="I50" s="10">
        <f>G50*O$9</f>
        <v>251.78368000000003</v>
      </c>
      <c r="J50" s="22"/>
      <c r="K50" s="33">
        <f>H50*O16</f>
        <v>947.06204000000014</v>
      </c>
      <c r="L50" s="22"/>
      <c r="M50" s="2"/>
      <c r="N50" s="2"/>
      <c r="O50" s="2"/>
    </row>
    <row r="51" spans="1:15" x14ac:dyDescent="0.3">
      <c r="A51" s="295"/>
      <c r="B51" s="298"/>
      <c r="C51" s="4" t="s">
        <v>16</v>
      </c>
      <c r="D51" s="7">
        <v>113</v>
      </c>
      <c r="E51" s="7">
        <v>22.87</v>
      </c>
      <c r="F51" s="1">
        <v>929.97</v>
      </c>
      <c r="G51" s="18">
        <v>92.997000000000014</v>
      </c>
      <c r="H51" s="1">
        <v>70.677999999999997</v>
      </c>
      <c r="I51" s="10">
        <f>G51*O$7</f>
        <v>93.926970000000011</v>
      </c>
      <c r="J51" s="22"/>
      <c r="K51" s="33">
        <f>H51*O16</f>
        <v>1550.6753200000001</v>
      </c>
      <c r="L51" s="22"/>
      <c r="M51" s="2"/>
      <c r="N51" s="2"/>
      <c r="O51" s="2"/>
    </row>
    <row r="52" spans="1:15" x14ac:dyDescent="0.3">
      <c r="A52" s="295"/>
      <c r="B52" s="298"/>
      <c r="C52" s="4" t="s">
        <v>40</v>
      </c>
      <c r="D52" s="7">
        <v>113</v>
      </c>
      <c r="E52" s="7">
        <v>49.19</v>
      </c>
      <c r="F52" s="1">
        <v>836.97</v>
      </c>
      <c r="G52" s="18">
        <v>83.697000000000003</v>
      </c>
      <c r="H52" s="1">
        <v>62.201000000000001</v>
      </c>
      <c r="I52" s="10">
        <f>G52*O$9</f>
        <v>197.52492000000001</v>
      </c>
      <c r="J52" s="22"/>
      <c r="K52" s="33">
        <f>H52*O16</f>
        <v>1364.68994</v>
      </c>
      <c r="L52" s="22"/>
      <c r="M52" s="2"/>
      <c r="N52" s="2"/>
      <c r="O52" s="2"/>
    </row>
    <row r="53" spans="1:15" x14ac:dyDescent="0.3">
      <c r="A53" s="295"/>
      <c r="B53" s="298"/>
      <c r="C53" s="4" t="s">
        <v>18</v>
      </c>
      <c r="D53" s="7">
        <v>133</v>
      </c>
      <c r="E53" s="7">
        <v>28.74</v>
      </c>
      <c r="F53" s="1">
        <v>733.66</v>
      </c>
      <c r="G53" s="18">
        <v>73.366</v>
      </c>
      <c r="H53" s="1">
        <v>89.436999999999998</v>
      </c>
      <c r="I53" s="10">
        <f>G53*O8</f>
        <v>46.954239999999999</v>
      </c>
      <c r="J53" s="22"/>
      <c r="K53" s="33">
        <f>H53*O17</f>
        <v>1630.43651</v>
      </c>
      <c r="L53" s="22"/>
      <c r="M53" s="2"/>
      <c r="N53" s="2"/>
      <c r="O53" s="2"/>
    </row>
    <row r="54" spans="1:15" ht="15" thickBot="1" x14ac:dyDescent="0.35">
      <c r="A54" s="295"/>
      <c r="B54" s="299"/>
      <c r="C54" s="5" t="s">
        <v>41</v>
      </c>
      <c r="D54" s="8">
        <v>133</v>
      </c>
      <c r="E54" s="8">
        <v>61.26</v>
      </c>
      <c r="F54" s="16">
        <v>660.29</v>
      </c>
      <c r="G54" s="19">
        <v>66.028999999999996</v>
      </c>
      <c r="H54" s="16">
        <v>78.725999999999999</v>
      </c>
      <c r="I54" s="11">
        <f>G54*O$9</f>
        <v>155.82843999999997</v>
      </c>
      <c r="J54" s="22">
        <f>SUM(I47:I54)</f>
        <v>1025.96028</v>
      </c>
      <c r="K54" s="34">
        <f>H54*O17</f>
        <v>1435.17498</v>
      </c>
      <c r="L54" s="22">
        <f>SUM(K47:K54)</f>
        <v>9929.1664199999996</v>
      </c>
      <c r="M54" s="2"/>
      <c r="N54" s="2"/>
      <c r="O54" s="2"/>
    </row>
    <row r="55" spans="1:15" x14ac:dyDescent="0.3">
      <c r="A55" s="295"/>
      <c r="B55" s="297">
        <v>4</v>
      </c>
      <c r="C55" s="3" t="s">
        <v>13</v>
      </c>
      <c r="D55" s="6">
        <v>73</v>
      </c>
      <c r="E55" s="6">
        <v>9.5</v>
      </c>
      <c r="F55" s="15">
        <v>1542.03</v>
      </c>
      <c r="G55" s="17">
        <v>154.203</v>
      </c>
      <c r="H55" s="15">
        <v>35.269999999999996</v>
      </c>
      <c r="I55" s="9">
        <f>IF(E55&lt;12,G55*O$3,"")</f>
        <v>63.223230000000001</v>
      </c>
      <c r="J55" s="22"/>
      <c r="K55" s="32">
        <f>H55*O11</f>
        <v>1585.0337999999997</v>
      </c>
      <c r="L55" s="22"/>
      <c r="M55" s="2"/>
      <c r="N55" s="2"/>
      <c r="O55" s="2"/>
    </row>
    <row r="56" spans="1:15" x14ac:dyDescent="0.3">
      <c r="A56" s="295"/>
      <c r="B56" s="298"/>
      <c r="C56" s="4" t="s">
        <v>38</v>
      </c>
      <c r="D56" s="7">
        <v>73</v>
      </c>
      <c r="E56" s="7">
        <v>29</v>
      </c>
      <c r="F56" s="1">
        <v>1387.83</v>
      </c>
      <c r="G56" s="18">
        <v>138.78299999999999</v>
      </c>
      <c r="H56" s="1">
        <v>30.862000000000002</v>
      </c>
      <c r="I56" s="10">
        <f>G56*O$7</f>
        <v>140.17083</v>
      </c>
      <c r="J56" s="22"/>
      <c r="K56" s="33">
        <f>H56*O16</f>
        <v>677.11228000000006</v>
      </c>
      <c r="L56" s="22"/>
      <c r="M56" s="2"/>
      <c r="N56" s="2"/>
      <c r="O56" s="2"/>
    </row>
    <row r="57" spans="1:15" x14ac:dyDescent="0.3">
      <c r="A57" s="295"/>
      <c r="B57" s="298"/>
      <c r="C57" s="4" t="s">
        <v>14</v>
      </c>
      <c r="D57" s="7">
        <v>93</v>
      </c>
      <c r="E57" s="7">
        <v>16.809999999999999</v>
      </c>
      <c r="F57" s="1">
        <v>1188.32</v>
      </c>
      <c r="G57" s="18">
        <v>118.83199999999999</v>
      </c>
      <c r="H57" s="1">
        <v>53.141999999999996</v>
      </c>
      <c r="I57" s="10">
        <f>G57*O$5</f>
        <v>74.864159999999998</v>
      </c>
      <c r="J57" s="22"/>
      <c r="K57" s="33">
        <f>H57*O13</f>
        <v>1083.56538</v>
      </c>
      <c r="L57" s="22"/>
      <c r="M57" s="2"/>
      <c r="N57" s="2"/>
      <c r="O57" s="2"/>
    </row>
    <row r="58" spans="1:15" x14ac:dyDescent="0.3">
      <c r="A58" s="295"/>
      <c r="B58" s="298"/>
      <c r="C58" s="4" t="s">
        <v>39</v>
      </c>
      <c r="D58" s="7">
        <v>93</v>
      </c>
      <c r="E58" s="7">
        <v>40.28</v>
      </c>
      <c r="F58" s="1">
        <v>1069.49</v>
      </c>
      <c r="G58" s="18">
        <v>106.949</v>
      </c>
      <c r="H58" s="1">
        <v>46.792999999999999</v>
      </c>
      <c r="I58" s="10">
        <f>G58*O$9</f>
        <v>252.39963999999998</v>
      </c>
      <c r="J58" s="22"/>
      <c r="K58" s="33">
        <f>H58*O16</f>
        <v>1026.63842</v>
      </c>
      <c r="L58" s="22"/>
      <c r="M58" s="2"/>
      <c r="N58" s="2"/>
      <c r="O58" s="2"/>
    </row>
    <row r="59" spans="1:15" x14ac:dyDescent="0.3">
      <c r="A59" s="295"/>
      <c r="B59" s="298"/>
      <c r="C59" s="4" t="s">
        <v>16</v>
      </c>
      <c r="D59" s="7">
        <v>113</v>
      </c>
      <c r="E59" s="7">
        <v>23.78</v>
      </c>
      <c r="F59" s="1">
        <v>933.44</v>
      </c>
      <c r="G59" s="18">
        <v>93.344000000000008</v>
      </c>
      <c r="H59" s="1">
        <v>74.835000000000008</v>
      </c>
      <c r="I59" s="10">
        <f>G59*O$7</f>
        <v>94.277440000000013</v>
      </c>
      <c r="J59" s="22"/>
      <c r="K59" s="33">
        <f>H59*O16</f>
        <v>1641.8799000000004</v>
      </c>
      <c r="L59" s="22"/>
      <c r="M59" s="2"/>
      <c r="N59" s="2"/>
      <c r="O59" s="2"/>
    </row>
    <row r="60" spans="1:15" x14ac:dyDescent="0.3">
      <c r="A60" s="295"/>
      <c r="B60" s="298"/>
      <c r="C60" s="4" t="s">
        <v>40</v>
      </c>
      <c r="D60" s="7">
        <v>113</v>
      </c>
      <c r="E60" s="7">
        <v>52.68</v>
      </c>
      <c r="F60" s="1">
        <v>840.1</v>
      </c>
      <c r="G60" s="18">
        <v>84.01</v>
      </c>
      <c r="H60" s="1">
        <v>65.984000000000009</v>
      </c>
      <c r="I60" s="10">
        <f>G60*O$9</f>
        <v>198.2636</v>
      </c>
      <c r="J60" s="22"/>
      <c r="K60" s="33">
        <f>H60*O16</f>
        <v>1447.6889600000002</v>
      </c>
      <c r="L60" s="22"/>
      <c r="M60" s="2"/>
      <c r="N60" s="2"/>
      <c r="O60" s="2"/>
    </row>
    <row r="61" spans="1:15" x14ac:dyDescent="0.3">
      <c r="A61" s="295"/>
      <c r="B61" s="298"/>
      <c r="C61" s="4" t="s">
        <v>18</v>
      </c>
      <c r="D61" s="7">
        <v>133</v>
      </c>
      <c r="E61" s="7">
        <v>29.03</v>
      </c>
      <c r="F61" s="1">
        <v>736.73</v>
      </c>
      <c r="G61" s="18">
        <v>73.673000000000002</v>
      </c>
      <c r="H61" s="1">
        <v>93.158000000000001</v>
      </c>
      <c r="I61" s="10">
        <f>G61*O8</f>
        <v>47.15072</v>
      </c>
      <c r="J61" s="22"/>
      <c r="K61" s="33">
        <f>H61*O17</f>
        <v>1698.27034</v>
      </c>
      <c r="L61" s="22"/>
      <c r="M61" s="2"/>
      <c r="N61" s="2"/>
      <c r="O61" s="2"/>
    </row>
    <row r="62" spans="1:15" ht="15" thickBot="1" x14ac:dyDescent="0.35">
      <c r="A62" s="295"/>
      <c r="B62" s="299"/>
      <c r="C62" s="5" t="s">
        <v>41</v>
      </c>
      <c r="D62" s="8">
        <v>133</v>
      </c>
      <c r="E62" s="8">
        <v>64.42</v>
      </c>
      <c r="F62" s="16">
        <v>663.05</v>
      </c>
      <c r="G62" s="19">
        <v>66.305000000000007</v>
      </c>
      <c r="H62" s="16">
        <v>82.141999999999996</v>
      </c>
      <c r="I62" s="11">
        <f>G62*O$9</f>
        <v>156.47980000000001</v>
      </c>
      <c r="J62" s="22">
        <f>SUM(I55:I62)</f>
        <v>1026.82942</v>
      </c>
      <c r="K62" s="34">
        <f>H62*O17</f>
        <v>1497.44866</v>
      </c>
      <c r="L62" s="22">
        <f>SUM(K55:K62)</f>
        <v>10657.63774</v>
      </c>
      <c r="M62" s="2"/>
      <c r="N62" s="2"/>
      <c r="O62" s="2"/>
    </row>
    <row r="63" spans="1:15" x14ac:dyDescent="0.3">
      <c r="A63" s="295"/>
      <c r="B63" s="297">
        <v>5</v>
      </c>
      <c r="C63" s="3" t="s">
        <v>13</v>
      </c>
      <c r="D63" s="6">
        <v>71</v>
      </c>
      <c r="E63" s="6">
        <v>8.23</v>
      </c>
      <c r="F63" s="15">
        <v>2514.9299999999998</v>
      </c>
      <c r="G63" s="17">
        <v>251.49299999999999</v>
      </c>
      <c r="H63" s="15">
        <v>19.645</v>
      </c>
      <c r="I63" s="9">
        <f>IF(E63&lt;12,G63*O$3,"")</f>
        <v>103.11212999999999</v>
      </c>
      <c r="J63" s="22"/>
      <c r="K63" s="33">
        <f>H63*O11</f>
        <v>882.84629999999993</v>
      </c>
      <c r="L63" s="22"/>
      <c r="M63" s="2"/>
      <c r="N63" s="2"/>
      <c r="O63" s="2"/>
    </row>
    <row r="64" spans="1:15" x14ac:dyDescent="0.3">
      <c r="A64" s="295"/>
      <c r="B64" s="298"/>
      <c r="C64" s="4" t="s">
        <v>38</v>
      </c>
      <c r="D64" s="7">
        <v>71</v>
      </c>
      <c r="E64" s="7">
        <v>23.61</v>
      </c>
      <c r="F64" s="1">
        <v>2263.44</v>
      </c>
      <c r="G64" s="18">
        <v>226.34400000000002</v>
      </c>
      <c r="H64" s="1">
        <v>17.161999999999999</v>
      </c>
      <c r="I64" s="10">
        <f>G64*O$7</f>
        <v>228.60744000000003</v>
      </c>
      <c r="J64" s="22"/>
      <c r="K64" s="33">
        <f>H64*O16</f>
        <v>376.53428000000002</v>
      </c>
      <c r="L64" s="22"/>
      <c r="M64" s="2"/>
      <c r="N64" s="2"/>
      <c r="O64" s="2"/>
    </row>
    <row r="65" spans="1:15" x14ac:dyDescent="0.3">
      <c r="A65" s="295"/>
      <c r="B65" s="298"/>
      <c r="C65" s="4" t="s">
        <v>14</v>
      </c>
      <c r="D65" s="7">
        <v>91</v>
      </c>
      <c r="E65" s="7">
        <v>10.24</v>
      </c>
      <c r="F65" s="1">
        <v>1913.97</v>
      </c>
      <c r="G65" s="18">
        <v>191.39700000000002</v>
      </c>
      <c r="H65" s="1">
        <v>23.297999999999998</v>
      </c>
      <c r="I65" s="10">
        <f>IF(E65&lt;12,G65*O$3,"")</f>
        <v>78.472769999999997</v>
      </c>
      <c r="J65" s="22"/>
      <c r="K65" s="33">
        <f>H65*O11</f>
        <v>1047.0121199999999</v>
      </c>
      <c r="L65" s="22"/>
      <c r="M65" s="2"/>
      <c r="N65" s="2"/>
      <c r="O65" s="2"/>
    </row>
    <row r="66" spans="1:15" x14ac:dyDescent="0.3">
      <c r="A66" s="295"/>
      <c r="B66" s="298"/>
      <c r="C66" s="4" t="s">
        <v>39</v>
      </c>
      <c r="D66" s="7">
        <v>91</v>
      </c>
      <c r="E66" s="7">
        <v>27.54</v>
      </c>
      <c r="F66" s="1">
        <v>1722.58</v>
      </c>
      <c r="G66" s="18">
        <v>172.25799999999998</v>
      </c>
      <c r="H66" s="1">
        <v>20.408999999999999</v>
      </c>
      <c r="I66" s="10">
        <f>G66*O$7</f>
        <v>173.98057999999997</v>
      </c>
      <c r="J66" s="22"/>
      <c r="K66" s="33">
        <f>H66*O16</f>
        <v>447.77346</v>
      </c>
      <c r="L66" s="22"/>
      <c r="M66" s="2"/>
      <c r="N66" s="2"/>
      <c r="O66" s="2"/>
    </row>
    <row r="67" spans="1:15" x14ac:dyDescent="0.3">
      <c r="A67" s="295"/>
      <c r="B67" s="298"/>
      <c r="C67" s="4" t="s">
        <v>16</v>
      </c>
      <c r="D67" s="7">
        <v>111</v>
      </c>
      <c r="E67" s="7">
        <v>13.29</v>
      </c>
      <c r="F67" s="1">
        <v>1479.05</v>
      </c>
      <c r="G67" s="18">
        <v>147.905</v>
      </c>
      <c r="H67" s="1">
        <v>27.206</v>
      </c>
      <c r="I67" s="10">
        <f>G67*O$5</f>
        <v>93.180149999999998</v>
      </c>
      <c r="J67" s="22"/>
      <c r="K67" s="33">
        <f>H67*O13</f>
        <v>554.73033999999996</v>
      </c>
      <c r="L67" s="22"/>
      <c r="M67" s="2"/>
      <c r="N67" s="2"/>
      <c r="O67" s="2"/>
    </row>
    <row r="68" spans="1:15" x14ac:dyDescent="0.3">
      <c r="A68" s="295"/>
      <c r="B68" s="298"/>
      <c r="C68" s="4" t="s">
        <v>40</v>
      </c>
      <c r="D68" s="7">
        <v>111</v>
      </c>
      <c r="E68" s="7">
        <v>31.72</v>
      </c>
      <c r="F68" s="1">
        <v>1331.15</v>
      </c>
      <c r="G68" s="18">
        <v>133.11500000000001</v>
      </c>
      <c r="H68" s="1">
        <v>23.878999999999998</v>
      </c>
      <c r="I68" s="10">
        <f>G68*O$9</f>
        <v>314.15140000000002</v>
      </c>
      <c r="J68" s="22"/>
      <c r="K68" s="33">
        <f>H68*O16</f>
        <v>523.90526</v>
      </c>
      <c r="L68" s="22"/>
      <c r="M68" s="2"/>
      <c r="N68" s="2"/>
      <c r="O68" s="2"/>
    </row>
    <row r="69" spans="1:15" x14ac:dyDescent="0.3">
      <c r="A69" s="295"/>
      <c r="B69" s="298"/>
      <c r="C69" s="4" t="s">
        <v>18</v>
      </c>
      <c r="D69" s="7">
        <v>131</v>
      </c>
      <c r="E69" s="7">
        <v>15.69</v>
      </c>
      <c r="F69" s="1">
        <v>1152.51</v>
      </c>
      <c r="G69" s="18">
        <v>115.251</v>
      </c>
      <c r="H69" s="1">
        <v>30.651</v>
      </c>
      <c r="I69" s="10">
        <f>G69*O$5</f>
        <v>72.608130000000003</v>
      </c>
      <c r="J69" s="22"/>
      <c r="K69" s="33">
        <f>H69*O13</f>
        <v>624.97388999999998</v>
      </c>
      <c r="L69" s="22"/>
      <c r="M69" s="2"/>
      <c r="N69" s="2"/>
      <c r="O69" s="2"/>
    </row>
    <row r="70" spans="1:15" ht="15" thickBot="1" x14ac:dyDescent="0.35">
      <c r="A70" s="296"/>
      <c r="B70" s="299"/>
      <c r="C70" s="5" t="s">
        <v>41</v>
      </c>
      <c r="D70" s="8">
        <v>131</v>
      </c>
      <c r="E70" s="8">
        <v>35.950000000000003</v>
      </c>
      <c r="F70" s="16">
        <v>1037.26</v>
      </c>
      <c r="G70" s="19">
        <v>103.726</v>
      </c>
      <c r="H70" s="16">
        <v>26.935000000000002</v>
      </c>
      <c r="I70" s="11">
        <f>G70*O$9</f>
        <v>244.79335999999998</v>
      </c>
      <c r="J70" s="22">
        <f>SUM(I63:I70)</f>
        <v>1308.9059600000001</v>
      </c>
      <c r="K70" s="34">
        <f>H70*O16</f>
        <v>590.95390000000009</v>
      </c>
      <c r="L70" s="22">
        <f>SUM(K63:K70)</f>
        <v>5048.72955</v>
      </c>
      <c r="M70" s="2"/>
      <c r="N70" s="2"/>
      <c r="O70" s="2"/>
    </row>
    <row r="71" spans="1:15" ht="15" thickBot="1" x14ac:dyDescent="0.35">
      <c r="I71" s="28">
        <f>SUM(I29:I70)</f>
        <v>7086.426449999999</v>
      </c>
      <c r="J71" s="23"/>
      <c r="K71" s="21">
        <f>SUM(K29:K70)</f>
        <v>42753.786080000005</v>
      </c>
      <c r="L71" s="23"/>
      <c r="M71" s="2"/>
      <c r="N71" s="2"/>
      <c r="O71" s="2"/>
    </row>
    <row r="72" spans="1:15" x14ac:dyDescent="0.3">
      <c r="M72" s="2"/>
      <c r="N72" s="2"/>
      <c r="O72" s="2"/>
    </row>
    <row r="73" spans="1:15" x14ac:dyDescent="0.3">
      <c r="M73" s="2"/>
      <c r="N73" s="2"/>
      <c r="O73" s="2"/>
    </row>
    <row r="74" spans="1:15" x14ac:dyDescent="0.3">
      <c r="M74" s="2"/>
      <c r="N74" s="2"/>
      <c r="O74" s="2"/>
    </row>
    <row r="75" spans="1:15" x14ac:dyDescent="0.3">
      <c r="M75" s="2"/>
      <c r="N75" s="2"/>
      <c r="O75" s="2"/>
    </row>
    <row r="76" spans="1:15" x14ac:dyDescent="0.3">
      <c r="M76" s="2"/>
      <c r="N76" s="2"/>
      <c r="O76" s="2"/>
    </row>
    <row r="77" spans="1:15" x14ac:dyDescent="0.3">
      <c r="M77" s="2"/>
      <c r="N77" s="2"/>
      <c r="O77" s="2"/>
    </row>
    <row r="78" spans="1:15" x14ac:dyDescent="0.3">
      <c r="M78" s="2"/>
      <c r="N78" s="2"/>
      <c r="O78" s="2"/>
    </row>
    <row r="79" spans="1:15" x14ac:dyDescent="0.3">
      <c r="M79" s="2"/>
      <c r="N79" s="2"/>
      <c r="O79" s="2"/>
    </row>
    <row r="80" spans="1:15" x14ac:dyDescent="0.3">
      <c r="M80" s="2"/>
      <c r="N80" s="2"/>
      <c r="O80" s="2"/>
    </row>
    <row r="81" spans="13:15" x14ac:dyDescent="0.3">
      <c r="M81" s="2"/>
      <c r="N81" s="2"/>
      <c r="O81" s="2"/>
    </row>
    <row r="82" spans="13:15" x14ac:dyDescent="0.3">
      <c r="M82" s="2"/>
      <c r="N82" s="2"/>
      <c r="O82" s="2"/>
    </row>
    <row r="83" spans="13:15" x14ac:dyDescent="0.3">
      <c r="M83" s="2"/>
      <c r="N83" s="2"/>
      <c r="O83" s="2"/>
    </row>
    <row r="84" spans="13:15" x14ac:dyDescent="0.3">
      <c r="M84" s="2"/>
      <c r="N84" s="2"/>
      <c r="O84" s="2"/>
    </row>
    <row r="85" spans="13:15" x14ac:dyDescent="0.3">
      <c r="M85" s="2"/>
      <c r="N85" s="2"/>
      <c r="O85" s="2"/>
    </row>
    <row r="86" spans="13:15" x14ac:dyDescent="0.3">
      <c r="M86" s="2"/>
      <c r="N86" s="2"/>
      <c r="O86" s="2"/>
    </row>
    <row r="87" spans="13:15" x14ac:dyDescent="0.3">
      <c r="M87" s="2"/>
      <c r="N87" s="2"/>
      <c r="O87" s="2"/>
    </row>
    <row r="88" spans="13:15" x14ac:dyDescent="0.3">
      <c r="M88" s="2"/>
      <c r="N88" s="2"/>
      <c r="O88" s="2"/>
    </row>
    <row r="89" spans="13:15" x14ac:dyDescent="0.3">
      <c r="M89" s="2"/>
      <c r="N89" s="2"/>
      <c r="O89" s="2"/>
    </row>
    <row r="90" spans="13:15" x14ac:dyDescent="0.3">
      <c r="M90" s="2"/>
      <c r="N90" s="2"/>
      <c r="O90" s="2"/>
    </row>
    <row r="91" spans="13:15" x14ac:dyDescent="0.3">
      <c r="M91" s="2"/>
      <c r="N91" s="2"/>
      <c r="O91" s="2"/>
    </row>
    <row r="92" spans="13:15" x14ac:dyDescent="0.3">
      <c r="M92" s="2"/>
      <c r="N92" s="2"/>
      <c r="O92" s="2"/>
    </row>
    <row r="93" spans="13:15" x14ac:dyDescent="0.3">
      <c r="M93" s="2"/>
      <c r="N93" s="2"/>
      <c r="O93" s="2"/>
    </row>
    <row r="94" spans="13:15" x14ac:dyDescent="0.3">
      <c r="M94" s="2"/>
      <c r="N94" s="2"/>
      <c r="O94" s="2"/>
    </row>
    <row r="95" spans="13:15" x14ac:dyDescent="0.3">
      <c r="M95" s="2"/>
      <c r="N95" s="2"/>
      <c r="O95" s="2"/>
    </row>
    <row r="96" spans="13:15" x14ac:dyDescent="0.3">
      <c r="M96" s="2"/>
      <c r="N96" s="2"/>
      <c r="O96" s="2"/>
    </row>
    <row r="97" spans="13:15" x14ac:dyDescent="0.3">
      <c r="M97" s="2"/>
      <c r="N97" s="2"/>
      <c r="O97" s="2"/>
    </row>
    <row r="98" spans="13:15" x14ac:dyDescent="0.3">
      <c r="M98" s="2"/>
      <c r="N98" s="2"/>
      <c r="O98" s="2"/>
    </row>
    <row r="99" spans="13:15" x14ac:dyDescent="0.3">
      <c r="M99" s="2"/>
      <c r="N99" s="2"/>
      <c r="O99" s="2"/>
    </row>
    <row r="100" spans="13:15" x14ac:dyDescent="0.3">
      <c r="M100" s="2"/>
      <c r="N100" s="2"/>
      <c r="O100" s="2"/>
    </row>
    <row r="101" spans="13:15" x14ac:dyDescent="0.3">
      <c r="M101" s="2"/>
      <c r="N101" s="2"/>
      <c r="O101" s="2"/>
    </row>
    <row r="102" spans="13:15" x14ac:dyDescent="0.3">
      <c r="M102" s="2"/>
      <c r="N102" s="2"/>
      <c r="O102" s="2"/>
    </row>
    <row r="103" spans="13:15" x14ac:dyDescent="0.3">
      <c r="M103" s="2"/>
      <c r="N103" s="2"/>
      <c r="O103" s="2"/>
    </row>
    <row r="104" spans="13:15" x14ac:dyDescent="0.3">
      <c r="M104" s="2"/>
      <c r="N104" s="2"/>
      <c r="O104" s="2"/>
    </row>
    <row r="105" spans="13:15" x14ac:dyDescent="0.3">
      <c r="M105" s="2"/>
      <c r="N105" s="2"/>
      <c r="O105" s="2"/>
    </row>
    <row r="106" spans="13:15" x14ac:dyDescent="0.3">
      <c r="M106" s="2"/>
      <c r="N106" s="2"/>
      <c r="O106" s="2"/>
    </row>
    <row r="107" spans="13:15" x14ac:dyDescent="0.3">
      <c r="M107" s="2"/>
      <c r="N107" s="2"/>
      <c r="O107" s="2"/>
    </row>
    <row r="108" spans="13:15" x14ac:dyDescent="0.3">
      <c r="M108" s="2"/>
      <c r="N108" s="2"/>
      <c r="O108" s="2"/>
    </row>
    <row r="109" spans="13:15" x14ac:dyDescent="0.3">
      <c r="M109" s="2"/>
      <c r="N109" s="2"/>
      <c r="O109" s="2"/>
    </row>
    <row r="110" spans="13:15" x14ac:dyDescent="0.3">
      <c r="M110" s="2"/>
      <c r="N110" s="2"/>
      <c r="O110" s="2"/>
    </row>
    <row r="111" spans="13:15" x14ac:dyDescent="0.3">
      <c r="M111" s="2"/>
      <c r="N111" s="2"/>
      <c r="O111" s="2"/>
    </row>
    <row r="112" spans="13:15" x14ac:dyDescent="0.3">
      <c r="M112" s="2"/>
      <c r="N112" s="2"/>
      <c r="O112" s="2"/>
    </row>
    <row r="113" spans="13:15" x14ac:dyDescent="0.3">
      <c r="M113" s="2"/>
      <c r="N113" s="2"/>
      <c r="O113" s="2"/>
    </row>
    <row r="114" spans="13:15" x14ac:dyDescent="0.3">
      <c r="M114" s="2"/>
      <c r="N114" s="2"/>
      <c r="O114" s="2"/>
    </row>
    <row r="115" spans="13:15" x14ac:dyDescent="0.3">
      <c r="M115" s="2"/>
      <c r="N115" s="2"/>
      <c r="O115" s="2"/>
    </row>
    <row r="116" spans="13:15" x14ac:dyDescent="0.3">
      <c r="M116" s="2"/>
      <c r="N116" s="2"/>
      <c r="O116" s="2"/>
    </row>
    <row r="117" spans="13:15" x14ac:dyDescent="0.3">
      <c r="M117" s="2"/>
      <c r="N117" s="2"/>
      <c r="O117" s="2"/>
    </row>
    <row r="118" spans="13:15" x14ac:dyDescent="0.3">
      <c r="M118" s="2"/>
      <c r="N118" s="2"/>
      <c r="O118" s="2"/>
    </row>
    <row r="119" spans="13:15" x14ac:dyDescent="0.3">
      <c r="M119" s="2"/>
      <c r="N119" s="2"/>
      <c r="O119" s="2"/>
    </row>
    <row r="120" spans="13:15" x14ac:dyDescent="0.3">
      <c r="M120" s="2"/>
      <c r="N120" s="2"/>
      <c r="O120" s="2"/>
    </row>
    <row r="121" spans="13:15" x14ac:dyDescent="0.3">
      <c r="M121" s="2"/>
      <c r="N121" s="2"/>
      <c r="O121" s="2"/>
    </row>
    <row r="122" spans="13:15" x14ac:dyDescent="0.3">
      <c r="M122" s="2"/>
      <c r="N122" s="2"/>
      <c r="O122" s="2"/>
    </row>
    <row r="123" spans="13:15" x14ac:dyDescent="0.3">
      <c r="M123" s="2"/>
      <c r="N123" s="2"/>
      <c r="O123" s="2"/>
    </row>
    <row r="124" spans="13:15" x14ac:dyDescent="0.3">
      <c r="M124" s="2"/>
      <c r="N124" s="2"/>
      <c r="O124" s="2"/>
    </row>
    <row r="125" spans="13:15" x14ac:dyDescent="0.3">
      <c r="M125" s="2"/>
      <c r="N125" s="2"/>
      <c r="O125" s="2"/>
    </row>
    <row r="126" spans="13:15" x14ac:dyDescent="0.3">
      <c r="M126" s="2"/>
      <c r="N126" s="2"/>
      <c r="O126" s="2"/>
    </row>
    <row r="127" spans="13:15" x14ac:dyDescent="0.3">
      <c r="M127" s="2"/>
      <c r="N127" s="2"/>
      <c r="O127" s="2"/>
    </row>
    <row r="128" spans="13:15" x14ac:dyDescent="0.3">
      <c r="M128" s="2"/>
      <c r="N128" s="2"/>
      <c r="O128" s="2"/>
    </row>
    <row r="129" spans="13:15" x14ac:dyDescent="0.3">
      <c r="M129" s="2"/>
      <c r="N129" s="2"/>
      <c r="O129" s="2"/>
    </row>
    <row r="130" spans="13:15" x14ac:dyDescent="0.3">
      <c r="M130" s="2"/>
      <c r="N130" s="2"/>
      <c r="O130" s="2"/>
    </row>
    <row r="131" spans="13:15" x14ac:dyDescent="0.3">
      <c r="M131" s="2"/>
      <c r="N131" s="2"/>
      <c r="O131" s="2"/>
    </row>
    <row r="132" spans="13:15" x14ac:dyDescent="0.3">
      <c r="M132" s="2"/>
      <c r="N132" s="2"/>
      <c r="O132" s="2"/>
    </row>
    <row r="133" spans="13:15" x14ac:dyDescent="0.3">
      <c r="M133" s="2"/>
      <c r="N133" s="2"/>
      <c r="O133" s="2"/>
    </row>
    <row r="134" spans="13:15" x14ac:dyDescent="0.3">
      <c r="M134" s="2"/>
      <c r="N134" s="2"/>
      <c r="O134" s="2"/>
    </row>
    <row r="135" spans="13:15" x14ac:dyDescent="0.3">
      <c r="M135" s="2"/>
      <c r="N135" s="2"/>
      <c r="O135" s="2"/>
    </row>
    <row r="136" spans="13:15" x14ac:dyDescent="0.3">
      <c r="M136" s="2"/>
      <c r="N136" s="2"/>
      <c r="O136" s="2"/>
    </row>
    <row r="137" spans="13:15" x14ac:dyDescent="0.3">
      <c r="M137" s="2"/>
      <c r="N137" s="2"/>
      <c r="O137" s="2"/>
    </row>
    <row r="138" spans="13:15" x14ac:dyDescent="0.3">
      <c r="M138" s="2"/>
      <c r="N138" s="2"/>
      <c r="O138" s="2"/>
    </row>
    <row r="139" spans="13:15" x14ac:dyDescent="0.3">
      <c r="M139" s="2"/>
      <c r="N139" s="2"/>
      <c r="O139" s="2"/>
    </row>
    <row r="140" spans="13:15" x14ac:dyDescent="0.3">
      <c r="M140" s="2"/>
      <c r="N140" s="2"/>
      <c r="O140" s="2"/>
    </row>
    <row r="141" spans="13:15" x14ac:dyDescent="0.3">
      <c r="M141" s="2"/>
      <c r="N141" s="2"/>
      <c r="O141" s="2"/>
    </row>
    <row r="142" spans="13:15" x14ac:dyDescent="0.3">
      <c r="M142" s="2"/>
      <c r="O142" s="2"/>
    </row>
    <row r="143" spans="13:15" x14ac:dyDescent="0.3">
      <c r="M143" s="2"/>
      <c r="O143" s="2"/>
    </row>
    <row r="144" spans="13:15" x14ac:dyDescent="0.3">
      <c r="M144" s="2"/>
      <c r="O144" s="2"/>
    </row>
    <row r="145" spans="13:15" x14ac:dyDescent="0.3">
      <c r="M145" s="2"/>
      <c r="O145" s="2"/>
    </row>
    <row r="146" spans="13:15" x14ac:dyDescent="0.3">
      <c r="M146" s="2"/>
      <c r="O146" s="2"/>
    </row>
    <row r="147" spans="13:15" x14ac:dyDescent="0.3">
      <c r="M147" s="2"/>
      <c r="O147" s="2"/>
    </row>
    <row r="148" spans="13:15" x14ac:dyDescent="0.3">
      <c r="M148" s="2"/>
      <c r="O148" s="2"/>
    </row>
    <row r="149" spans="13:15" x14ac:dyDescent="0.3">
      <c r="M149" s="2"/>
      <c r="O149" s="2"/>
    </row>
    <row r="150" spans="13:15" x14ac:dyDescent="0.3">
      <c r="M150" s="2"/>
      <c r="O150" s="2"/>
    </row>
    <row r="151" spans="13:15" x14ac:dyDescent="0.3">
      <c r="M151" s="2"/>
      <c r="O151" s="2"/>
    </row>
    <row r="152" spans="13:15" x14ac:dyDescent="0.3">
      <c r="M152" s="2"/>
      <c r="O152" s="2"/>
    </row>
    <row r="153" spans="13:15" x14ac:dyDescent="0.3">
      <c r="M153" s="2"/>
      <c r="O153" s="2"/>
    </row>
    <row r="154" spans="13:15" x14ac:dyDescent="0.3">
      <c r="M154" s="2"/>
      <c r="O154" s="2"/>
    </row>
    <row r="155" spans="13:15" x14ac:dyDescent="0.3">
      <c r="M155" s="2"/>
      <c r="O155" s="2"/>
    </row>
    <row r="156" spans="13:15" x14ac:dyDescent="0.3">
      <c r="M156" s="2"/>
    </row>
    <row r="157" spans="13:15" x14ac:dyDescent="0.3">
      <c r="M157" s="2"/>
    </row>
    <row r="158" spans="13:15" x14ac:dyDescent="0.3">
      <c r="M158" s="2"/>
    </row>
    <row r="159" spans="13:15" x14ac:dyDescent="0.3">
      <c r="M159" s="2"/>
    </row>
    <row r="160" spans="13:15" x14ac:dyDescent="0.3">
      <c r="M160" s="2"/>
    </row>
    <row r="161" spans="13:13" x14ac:dyDescent="0.3">
      <c r="M161" s="2"/>
    </row>
    <row r="162" spans="13:13" x14ac:dyDescent="0.3">
      <c r="M162" s="2"/>
    </row>
    <row r="163" spans="13:13" x14ac:dyDescent="0.3">
      <c r="M163" s="2"/>
    </row>
    <row r="164" spans="13:13" x14ac:dyDescent="0.3">
      <c r="M164" s="2"/>
    </row>
    <row r="165" spans="13:13" x14ac:dyDescent="0.3">
      <c r="M165" s="2"/>
    </row>
    <row r="166" spans="13:13" x14ac:dyDescent="0.3">
      <c r="M166" s="2"/>
    </row>
  </sheetData>
  <sortState xmlns:xlrd2="http://schemas.microsoft.com/office/spreadsheetml/2017/richdata2" ref="N47:N138">
    <sortCondition descending="1" ref="N47:N138"/>
  </sortState>
  <mergeCells count="12">
    <mergeCell ref="A2:A26"/>
    <mergeCell ref="A29:A70"/>
    <mergeCell ref="B29:B37"/>
    <mergeCell ref="B38:B46"/>
    <mergeCell ref="B47:B54"/>
    <mergeCell ref="B63:B70"/>
    <mergeCell ref="B55:B62"/>
    <mergeCell ref="B2:B7"/>
    <mergeCell ref="B8:B13"/>
    <mergeCell ref="B14:B17"/>
    <mergeCell ref="B18:B21"/>
    <mergeCell ref="B22:B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FEA5-5617-4B2D-99D1-8873CC5F1932}">
  <dimension ref="B1:AK84"/>
  <sheetViews>
    <sheetView tabSelected="1" topLeftCell="C2" zoomScale="90" zoomScaleNormal="90" workbookViewId="0">
      <selection activeCell="Y23" sqref="Y23"/>
    </sheetView>
  </sheetViews>
  <sheetFormatPr baseColWidth="10" defaultColWidth="11.44140625" defaultRowHeight="15" customHeight="1" x14ac:dyDescent="0.3"/>
  <cols>
    <col min="4" max="4" width="20.33203125" bestFit="1" customWidth="1"/>
    <col min="6" max="6" width="20" bestFit="1" customWidth="1"/>
    <col min="7" max="7" width="15.33203125" customWidth="1"/>
    <col min="8" max="8" width="14.6640625" customWidth="1"/>
    <col min="9" max="9" width="15.109375" customWidth="1"/>
    <col min="20" max="20" width="13.33203125" bestFit="1" customWidth="1"/>
    <col min="21" max="21" width="11.77734375" bestFit="1" customWidth="1"/>
    <col min="23" max="23" width="11.77734375" bestFit="1" customWidth="1"/>
    <col min="24" max="24" width="11.44140625" style="372"/>
    <col min="25" max="25" width="12.77734375" style="372" bestFit="1" customWidth="1"/>
    <col min="27" max="27" width="12" bestFit="1" customWidth="1"/>
    <col min="28" max="30" width="14.33203125" customWidth="1"/>
    <col min="31" max="31" width="20.33203125" customWidth="1"/>
    <col min="34" max="34" width="12" bestFit="1" customWidth="1"/>
    <col min="36" max="36" width="13.5546875" bestFit="1" customWidth="1"/>
    <col min="38" max="38" width="13.5546875" bestFit="1" customWidth="1"/>
  </cols>
  <sheetData>
    <row r="1" spans="2:37" thickBot="1" x14ac:dyDescent="0.35"/>
    <row r="2" spans="2:37" ht="29.4" thickBot="1" x14ac:dyDescent="0.35">
      <c r="B2" s="48" t="s">
        <v>0</v>
      </c>
      <c r="C2" s="49" t="s">
        <v>43</v>
      </c>
      <c r="D2" s="49" t="s">
        <v>44</v>
      </c>
      <c r="E2" s="49" t="s">
        <v>45</v>
      </c>
      <c r="F2" s="49" t="s">
        <v>454</v>
      </c>
      <c r="G2" s="49" t="s">
        <v>455</v>
      </c>
      <c r="H2" s="49" t="s">
        <v>46</v>
      </c>
      <c r="I2" s="169" t="s">
        <v>47</v>
      </c>
      <c r="J2" s="49" t="s">
        <v>48</v>
      </c>
      <c r="K2" s="49" t="s">
        <v>49</v>
      </c>
      <c r="L2" s="53" t="s">
        <v>50</v>
      </c>
      <c r="M2" s="53"/>
      <c r="N2" s="53"/>
      <c r="O2" s="49"/>
      <c r="P2" s="300" t="s">
        <v>51</v>
      </c>
      <c r="Q2" s="301"/>
      <c r="R2" s="129" t="s">
        <v>52</v>
      </c>
      <c r="S2" s="43"/>
      <c r="T2" s="173" t="s">
        <v>8</v>
      </c>
      <c r="U2" s="173" t="s">
        <v>53</v>
      </c>
      <c r="V2" s="173" t="s">
        <v>54</v>
      </c>
      <c r="W2" s="174" t="s">
        <v>55</v>
      </c>
      <c r="X2" s="376" t="s">
        <v>56</v>
      </c>
      <c r="Y2" s="376" t="s">
        <v>57</v>
      </c>
      <c r="Z2" s="175" t="s">
        <v>58</v>
      </c>
      <c r="AA2" s="176" t="s">
        <v>59</v>
      </c>
      <c r="AB2" s="177" t="s">
        <v>60</v>
      </c>
      <c r="AC2" s="178" t="s">
        <v>61</v>
      </c>
      <c r="AD2" s="179" t="s">
        <v>62</v>
      </c>
      <c r="AE2" s="180" t="s">
        <v>63</v>
      </c>
      <c r="AH2" s="164" t="s">
        <v>64</v>
      </c>
    </row>
    <row r="3" spans="2:37" thickBot="1" x14ac:dyDescent="0.35">
      <c r="B3" s="43" t="s">
        <v>65</v>
      </c>
      <c r="C3" s="44" t="s">
        <v>2</v>
      </c>
      <c r="D3" s="44">
        <v>10</v>
      </c>
      <c r="E3" s="44">
        <v>1714.0619999999999</v>
      </c>
      <c r="F3" s="44">
        <v>147.34399999999999</v>
      </c>
      <c r="G3" s="44">
        <f>D3*(E3/100)</f>
        <v>171.40619999999998</v>
      </c>
      <c r="H3" s="158">
        <v>2.16</v>
      </c>
      <c r="I3" s="172">
        <v>38.381999999999998</v>
      </c>
      <c r="J3" s="158">
        <v>198.97200000000001</v>
      </c>
      <c r="K3" s="159">
        <v>90.912000000000006</v>
      </c>
      <c r="L3" s="158">
        <v>10</v>
      </c>
      <c r="M3" s="44"/>
      <c r="N3" s="44"/>
      <c r="O3" s="44"/>
      <c r="P3" s="81">
        <f>L3*E3/100</f>
        <v>171.40619999999998</v>
      </c>
      <c r="Q3" s="54"/>
      <c r="R3" s="50">
        <v>5.86</v>
      </c>
      <c r="S3" s="43"/>
      <c r="T3" s="135">
        <f>IF(R3&lt;=12, 0.41*P3,
 IF(AND(R3&gt;12, R3&lt;=20, E3&gt;1500), 0.67*P3,
 IF(AND(R3&gt;12, R3&lt;=20, E3&gt;750, E3&lt;=1500), 0.63*P3,
 IF(AND(R3&gt;12, R3&lt;=20, E3&lt;=750), 0.43*P3,
 IF(AND(R3&gt;20, R3&lt;=30, E3&gt;750), 1.01*P3,
 IF(AND(R3&gt;20, R3&lt;=30, E3&lt;=750), 0.64*P3,
 IF(R3&gt;30, 2.36*P3, "Sin precio")))))))</f>
        <v>70.276541999999992</v>
      </c>
      <c r="U3" s="135">
        <f>IF(R3&lt;=12, 44.94*G3,
 IF(AND(R3&gt;12, R3&lt;=20, E3&gt;1500), 27.35*G3,
 IF(AND(R3&gt;12, R3&lt;=20, E3&gt;750, E3&lt;=1500), 20.39*G3,
 IF(AND(R3&gt;12, R3&lt;=20, E3&lt;=750), 20.86*G3,
 IF(AND(R3&gt;20, R3&lt;=30, E3&gt;750), 21.94*G3,
 IF(AND(R3&gt;20, R3&lt;=30, E3&lt;=750), 18.23*G3,
 IF(R3&gt;30, "Sin precio", "Sin precio")))))))</f>
        <v>7702.9946279999986</v>
      </c>
      <c r="V3" s="135">
        <v>213.12999999999997</v>
      </c>
      <c r="W3" s="135">
        <f>(G3*Precios!P$17)*0.655</f>
        <v>3929.4871349999999</v>
      </c>
      <c r="X3" s="373">
        <f>K3*15</f>
        <v>1363.68</v>
      </c>
      <c r="Y3" s="373">
        <f>K3*15</f>
        <v>1363.68</v>
      </c>
      <c r="Z3" s="135">
        <f>W3-V3-U3-T3</f>
        <v>-4056.9140349999989</v>
      </c>
      <c r="AA3" s="135">
        <f>SUM(Z3:Z17)</f>
        <v>-46316.665936999983</v>
      </c>
      <c r="AB3" s="136">
        <f>VAN!D11</f>
        <v>-11720.001405749786</v>
      </c>
      <c r="AC3" s="181">
        <f>H17*Precios!G$22</f>
        <v>136.89000000000001</v>
      </c>
      <c r="AD3" s="137">
        <f>(F17-H17)*Precios!P$17*0.655</f>
        <v>3818.0670500000001</v>
      </c>
      <c r="AE3" s="182">
        <f>SUM(AB3:AD3)</f>
        <v>-7765.0443557497874</v>
      </c>
      <c r="AH3" s="167">
        <f>SUM(AC3:AD3)</f>
        <v>3954.95705</v>
      </c>
    </row>
    <row r="4" spans="2:37" thickBot="1" x14ac:dyDescent="0.35">
      <c r="B4" s="45" t="s">
        <v>65</v>
      </c>
      <c r="C4" s="364" t="s">
        <v>66</v>
      </c>
      <c r="D4" s="365">
        <v>20</v>
      </c>
      <c r="E4" s="364">
        <v>1689.204</v>
      </c>
      <c r="F4" s="364">
        <v>137.49799999999999</v>
      </c>
      <c r="G4" s="364"/>
      <c r="H4" s="366">
        <v>2.16</v>
      </c>
      <c r="I4" s="367">
        <v>45.031999999999996</v>
      </c>
      <c r="J4" s="366">
        <v>213.45599999999999</v>
      </c>
      <c r="K4" s="160">
        <v>97.528000000000006</v>
      </c>
      <c r="L4" s="366"/>
      <c r="M4" s="364"/>
      <c r="N4" s="364"/>
      <c r="O4" s="365">
        <f t="shared" ref="O4:O17" si="0">E4-E5</f>
        <v>106.9559999999999</v>
      </c>
      <c r="P4" s="368"/>
      <c r="Q4" s="55"/>
      <c r="R4" s="51">
        <v>6.3380000000000001</v>
      </c>
      <c r="S4" s="45"/>
      <c r="T4" s="137"/>
      <c r="U4" s="137"/>
      <c r="V4" s="137"/>
      <c r="W4" s="137"/>
      <c r="X4" s="374"/>
      <c r="Y4" s="373"/>
      <c r="Z4" s="137"/>
      <c r="AA4" s="137"/>
      <c r="AB4" s="138"/>
      <c r="AC4" s="181"/>
      <c r="AD4" s="137"/>
      <c r="AE4" s="37"/>
    </row>
    <row r="5" spans="2:37" thickBot="1" x14ac:dyDescent="0.35">
      <c r="B5" s="45" t="s">
        <v>65</v>
      </c>
      <c r="C5" s="364" t="s">
        <v>2</v>
      </c>
      <c r="D5" s="365">
        <v>20</v>
      </c>
      <c r="E5" s="364">
        <v>1582.248</v>
      </c>
      <c r="F5" s="364">
        <v>159.024</v>
      </c>
      <c r="G5" s="364">
        <f t="shared" ref="G5:G65" si="1">D5*(E5/100)</f>
        <v>316.44960000000003</v>
      </c>
      <c r="H5" s="366">
        <v>2.16</v>
      </c>
      <c r="I5" s="367">
        <v>33.122</v>
      </c>
      <c r="J5" s="366">
        <v>184.99</v>
      </c>
      <c r="K5" s="160">
        <v>84.522000000000006</v>
      </c>
      <c r="L5" s="366">
        <v>10</v>
      </c>
      <c r="M5" s="364"/>
      <c r="N5" s="364"/>
      <c r="O5" s="369">
        <f t="shared" si="0"/>
        <v>37.128000000000156</v>
      </c>
      <c r="P5" s="368">
        <f>E4-E5</f>
        <v>106.9559999999999</v>
      </c>
      <c r="Q5" s="55"/>
      <c r="R5" s="51">
        <v>6.3380000000000001</v>
      </c>
      <c r="S5" s="45"/>
      <c r="T5" s="137">
        <f>IF(R5&lt;=12, 0.41*P5,
 IF(AND(R5&gt;12, R5&lt;=20, E5&gt;1500), 0.67*P5,
 IF(AND(R5&gt;12, R5&lt;=20, E5&gt;750, E5&lt;=1500), 0.63*P5,
 IF(AND(R5&gt;12, R5&lt;=20, E5&lt;=750), 0.43*P5,
 IF(AND(R5&gt;20, R5&lt;=30, E5&gt;750), 1.01*P5,
 IF(AND(R5&gt;20, R5&lt;=30, E5&lt;=750), 0.64*P5,
 IF(R5&gt;30, 2.36*P5, "Sin preciN")))))))</f>
        <v>43.851959999999956</v>
      </c>
      <c r="U5" s="137">
        <f>IF(R5&lt;=12, 44.94*G5,
 IF(AND(R5&gt;12, R5&lt;=20, E5&gt;1500), 27.35*G5,
 IF(AND(R5&gt;12, R5&lt;=20, E5&gt;750, E5&lt;=1500), 20.39*G5,
 IF(AND(R5&gt;12, R5&lt;=20, E5&lt;=750), 20.86*G5,
 IF(AND(R5&gt;20, R5&lt;=30, E5&gt;750), 21.94*G5,
 IF(AND(R5&gt;20, R5&lt;=30, E5&lt;=750), 18.23*G5,
 IF(R5&gt;30, "Sin precio", "Sin precio")))))))</f>
        <v>14221.245024</v>
      </c>
      <c r="V5" s="137">
        <v>213.12999999999997</v>
      </c>
      <c r="W5" s="137">
        <f>(G5*Precios!P$17)*0.655</f>
        <v>7254.6070800000007</v>
      </c>
      <c r="X5" s="374">
        <f>SUM(K4:K5)*15</f>
        <v>2730.75</v>
      </c>
      <c r="Y5" s="373">
        <f>K5*15</f>
        <v>1267.8300000000002</v>
      </c>
      <c r="Z5" s="137">
        <f>W5-V5-U5-T5</f>
        <v>-7223.6199039999992</v>
      </c>
      <c r="AA5" s="137"/>
      <c r="AB5" s="138"/>
      <c r="AC5" s="181"/>
      <c r="AD5" s="137"/>
      <c r="AE5" s="37"/>
      <c r="AK5" s="184"/>
    </row>
    <row r="6" spans="2:37" thickBot="1" x14ac:dyDescent="0.35">
      <c r="B6" s="45" t="s">
        <v>65</v>
      </c>
      <c r="C6" s="364" t="s">
        <v>66</v>
      </c>
      <c r="D6" s="364">
        <v>30</v>
      </c>
      <c r="E6" s="364">
        <v>1545.12</v>
      </c>
      <c r="F6" s="364">
        <v>153.16999999999999</v>
      </c>
      <c r="G6" s="364"/>
      <c r="H6" s="366">
        <v>2.16</v>
      </c>
      <c r="I6" s="367">
        <v>41.816000000000003</v>
      </c>
      <c r="J6" s="366">
        <v>205.03800000000001</v>
      </c>
      <c r="K6" s="160">
        <v>93.683999999999997</v>
      </c>
      <c r="L6" s="366"/>
      <c r="M6" s="364"/>
      <c r="N6" s="364"/>
      <c r="O6" s="369">
        <f t="shared" si="0"/>
        <v>48.405999999999949</v>
      </c>
      <c r="P6" s="368"/>
      <c r="Q6" s="55"/>
      <c r="R6" s="51">
        <v>6.8140000000000001</v>
      </c>
      <c r="S6" s="45"/>
      <c r="T6" s="137"/>
      <c r="U6" s="137"/>
      <c r="V6" s="137"/>
      <c r="W6" s="137"/>
      <c r="X6" s="374"/>
      <c r="Y6" s="373"/>
      <c r="Z6" s="137"/>
      <c r="AA6" s="137"/>
      <c r="AB6" s="138"/>
      <c r="AC6" s="181"/>
      <c r="AD6" s="137"/>
      <c r="AE6" s="37"/>
    </row>
    <row r="7" spans="2:37" thickBot="1" x14ac:dyDescent="0.35">
      <c r="B7" s="45" t="s">
        <v>65</v>
      </c>
      <c r="C7" s="364" t="s">
        <v>66</v>
      </c>
      <c r="D7" s="365">
        <v>40</v>
      </c>
      <c r="E7" s="364">
        <v>1496.7139999999999</v>
      </c>
      <c r="F7" s="364">
        <v>110.40600000000001</v>
      </c>
      <c r="G7" s="364"/>
      <c r="H7" s="366">
        <v>2.3250000000000002</v>
      </c>
      <c r="I7" s="367">
        <v>63.527999999999999</v>
      </c>
      <c r="J7" s="366">
        <v>243.614</v>
      </c>
      <c r="K7" s="160">
        <v>111.304</v>
      </c>
      <c r="L7" s="366"/>
      <c r="M7" s="364"/>
      <c r="N7" s="364"/>
      <c r="O7" s="365">
        <f t="shared" si="0"/>
        <v>299.34199999999987</v>
      </c>
      <c r="P7" s="368"/>
      <c r="Q7" s="55"/>
      <c r="R7" s="51">
        <v>7.36</v>
      </c>
      <c r="S7" s="45"/>
      <c r="T7" s="137"/>
      <c r="U7" s="137"/>
      <c r="V7" s="137"/>
      <c r="W7" s="137"/>
      <c r="X7" s="374"/>
      <c r="Y7" s="373"/>
      <c r="Z7" s="137"/>
      <c r="AA7" s="137"/>
      <c r="AB7" s="138"/>
      <c r="AC7" s="181"/>
      <c r="AD7" s="137"/>
      <c r="AE7" s="37"/>
    </row>
    <row r="8" spans="2:37" thickBot="1" x14ac:dyDescent="0.35">
      <c r="B8" s="45" t="s">
        <v>65</v>
      </c>
      <c r="C8" s="364" t="s">
        <v>2</v>
      </c>
      <c r="D8" s="365">
        <v>40</v>
      </c>
      <c r="E8" s="364">
        <v>1197.3720000000001</v>
      </c>
      <c r="F8" s="364">
        <v>184.15</v>
      </c>
      <c r="G8" s="364">
        <f t="shared" si="1"/>
        <v>478.94880000000001</v>
      </c>
      <c r="H8" s="366"/>
      <c r="I8" s="367">
        <v>20.202000000000002</v>
      </c>
      <c r="J8" s="366">
        <v>147.45400000000001</v>
      </c>
      <c r="K8" s="160">
        <v>67.373999999999995</v>
      </c>
      <c r="L8" s="366">
        <v>20</v>
      </c>
      <c r="M8" s="364"/>
      <c r="N8" s="364"/>
      <c r="O8" s="364">
        <f t="shared" si="0"/>
        <v>31.268000000000029</v>
      </c>
      <c r="P8" s="368">
        <f>E7-E8</f>
        <v>299.34199999999987</v>
      </c>
      <c r="Q8" s="55"/>
      <c r="R8" s="51">
        <v>7.36</v>
      </c>
      <c r="S8" s="45"/>
      <c r="T8" s="137">
        <f>IF(R8&lt;=12, 0.41*P8,
 IF(AND(R8&gt;12, R8&lt;=20, E8&gt;1500), 0.67*P8,
 IF(AND(R8&gt;12, R8&lt;=20, E8&gt;750, E8&lt;=1500), 0.63*P8,
 IF(AND(R8&gt;12, R8&lt;=20, E8&lt;=750), 0.43*P8,
 IF(AND(R8&gt;20, R8&lt;=30, E8&gt;750), 1.01*P8,
 IF(AND(R8&gt;20, R8&lt;=30, E8&lt;=750), 0.64*P8,
 IF(R8&gt;30, 2.36*P8, "Sin preciN")))))))</f>
        <v>122.73021999999995</v>
      </c>
      <c r="U8" s="137">
        <f>IF(R8&lt;=12, 44.94*G8,
 IF(AND(R8&gt;12, R8&lt;=20, E8&gt;1500), 27.35*G8,
 IF(AND(R8&gt;12, R8&lt;=20, E8&gt;750, E8&lt;=1500), 20.39*G8,
 IF(AND(R8&gt;12, R8&lt;=20, E8&lt;=750), 20.86*G8,
 IF(AND(R8&gt;20, R8&lt;=30, E8&gt;750), 21.94*G8,
 IF(AND(R8&gt;20, R8&lt;=30, E8&lt;=750), 18.23*G8,
 IF(R8&gt;30, "Sin precio", "Sin precio")))))))</f>
        <v>21523.959071999998</v>
      </c>
      <c r="V8" s="137">
        <v>213.12999999999997</v>
      </c>
      <c r="W8" s="137">
        <f>(G8*Precios!P$17)*0.655</f>
        <v>10979.901239999999</v>
      </c>
      <c r="X8" s="374">
        <f>SUM(K6:K8)*15</f>
        <v>4085.4299999999994</v>
      </c>
      <c r="Y8" s="373">
        <f>K8*15</f>
        <v>1010.6099999999999</v>
      </c>
      <c r="Z8" s="137">
        <f>W8-V8-U8-T8</f>
        <v>-10879.918051999997</v>
      </c>
      <c r="AA8" s="137"/>
      <c r="AB8" s="138"/>
      <c r="AC8" s="181"/>
      <c r="AD8" s="137"/>
      <c r="AE8" s="37"/>
    </row>
    <row r="9" spans="2:37" thickBot="1" x14ac:dyDescent="0.35">
      <c r="B9" s="45" t="s">
        <v>65</v>
      </c>
      <c r="C9" s="364" t="s">
        <v>66</v>
      </c>
      <c r="D9" s="364">
        <v>50</v>
      </c>
      <c r="E9" s="364">
        <v>1166.104</v>
      </c>
      <c r="F9" s="364">
        <v>136.17400000000001</v>
      </c>
      <c r="G9" s="364"/>
      <c r="H9" s="366"/>
      <c r="I9" s="367">
        <v>40.667999999999999</v>
      </c>
      <c r="J9" s="366">
        <v>180.63399999999999</v>
      </c>
      <c r="K9" s="160">
        <v>82.531999999999996</v>
      </c>
      <c r="L9" s="366"/>
      <c r="M9" s="364"/>
      <c r="N9" s="364"/>
      <c r="O9" s="364">
        <f t="shared" si="0"/>
        <v>26.067999999999984</v>
      </c>
      <c r="P9" s="368"/>
      <c r="Q9" s="55"/>
      <c r="R9" s="51">
        <v>8.11</v>
      </c>
      <c r="S9" s="45"/>
      <c r="T9" s="137"/>
      <c r="U9" s="137"/>
      <c r="V9" s="137"/>
      <c r="W9" s="137"/>
      <c r="X9" s="374"/>
      <c r="Y9" s="373"/>
      <c r="Z9" s="137"/>
      <c r="AA9" s="137"/>
      <c r="AB9" s="138"/>
      <c r="AC9" s="181"/>
      <c r="AD9" s="137"/>
      <c r="AE9" s="37"/>
    </row>
    <row r="10" spans="2:37" thickBot="1" x14ac:dyDescent="0.35">
      <c r="B10" s="45" t="s">
        <v>65</v>
      </c>
      <c r="C10" s="364" t="s">
        <v>66</v>
      </c>
      <c r="D10" s="364">
        <v>60</v>
      </c>
      <c r="E10" s="364">
        <v>1140.0360000000001</v>
      </c>
      <c r="F10" s="364">
        <v>108.89400000000001</v>
      </c>
      <c r="G10" s="364"/>
      <c r="H10" s="366">
        <v>1.05</v>
      </c>
      <c r="I10" s="367">
        <v>63.774000000000001</v>
      </c>
      <c r="J10" s="366">
        <v>218.66</v>
      </c>
      <c r="K10" s="160">
        <v>99.903999999999996</v>
      </c>
      <c r="L10" s="366"/>
      <c r="M10" s="364"/>
      <c r="N10" s="364"/>
      <c r="O10" s="364">
        <f t="shared" si="0"/>
        <v>228.00600000000009</v>
      </c>
      <c r="P10" s="368"/>
      <c r="Q10" s="55"/>
      <c r="R10" s="51">
        <v>8.8079999999999998</v>
      </c>
      <c r="S10" s="45"/>
      <c r="T10" s="137"/>
      <c r="U10" s="137"/>
      <c r="V10" s="137"/>
      <c r="W10" s="137"/>
      <c r="X10" s="374"/>
      <c r="Y10" s="373"/>
      <c r="Z10" s="137"/>
      <c r="AA10" s="137"/>
      <c r="AB10" s="138"/>
      <c r="AC10" s="181"/>
      <c r="AD10" s="137"/>
      <c r="AE10" s="37"/>
    </row>
    <row r="11" spans="2:37" thickBot="1" x14ac:dyDescent="0.35">
      <c r="B11" s="45" t="s">
        <v>65</v>
      </c>
      <c r="C11" s="364" t="s">
        <v>2</v>
      </c>
      <c r="D11" s="364">
        <v>60</v>
      </c>
      <c r="E11" s="364">
        <v>912.03</v>
      </c>
      <c r="F11" s="364">
        <v>166.316</v>
      </c>
      <c r="G11" s="364">
        <f t="shared" si="1"/>
        <v>547.21800000000007</v>
      </c>
      <c r="H11" s="366"/>
      <c r="I11" s="367">
        <v>29.606000000000002</v>
      </c>
      <c r="J11" s="366">
        <v>143.834</v>
      </c>
      <c r="K11" s="160">
        <v>65.72</v>
      </c>
      <c r="L11" s="366">
        <v>20</v>
      </c>
      <c r="M11" s="364"/>
      <c r="N11" s="364"/>
      <c r="O11" s="364">
        <f t="shared" si="0"/>
        <v>18.129999999999995</v>
      </c>
      <c r="P11" s="368">
        <f>E10-E11</f>
        <v>228.00600000000009</v>
      </c>
      <c r="Q11" s="55"/>
      <c r="R11" s="51">
        <v>8.8079999999999998</v>
      </c>
      <c r="S11" s="45"/>
      <c r="T11" s="137">
        <f>IF(R11&lt;=12, 0.41*P11,
 IF(AND(R11&gt;12, R11&lt;=20, E11&gt;1500), 0.67*P11,
 IF(AND(R11&gt;12, R11&lt;=20, E11&gt;750, E11&lt;=1500), 0.63*P11,
 IF(AND(R11&gt;12, R11&lt;=20, E11&lt;=750), 0.43*P11,
 IF(AND(R11&gt;20, R11&lt;=30, E11&gt;750), 1.01*P11,
 IF(AND(R11&gt;20, R11&lt;=30, E11&lt;=750), 0.64*P11,
 IF(R11&gt;30, 2.36*P11, "Sin preciN")))))))</f>
        <v>93.482460000000032</v>
      </c>
      <c r="U11" s="137">
        <f>IF(R11&lt;=12, 44.94*G11,
 IF(AND(R11&gt;12, R11&lt;=20, E11&gt;1500), 27.35*G11,
 IF(AND(R11&gt;12, R11&lt;=20, E11&gt;750, E11&lt;=1500), 20.39*G11,
 IF(AND(R11&gt;12, R11&lt;=20, E11&lt;=750), 20.86*G11,
 IF(AND(R11&gt;20, R11&lt;=30, E11&gt;750), 21.94*G11,
 IF(AND(R11&gt;20, R11&lt;=30, E11&lt;=750), 18.23*G11,
 IF(R11&gt;30, "Sin precio", "Sin precio")))))))</f>
        <v>24591.976920000001</v>
      </c>
      <c r="V11" s="137">
        <v>213.12999999999997</v>
      </c>
      <c r="W11" s="137">
        <f>(G11*Precios!P$17)*0.655</f>
        <v>12544.972650000002</v>
      </c>
      <c r="X11" s="374">
        <f>SUM(K9:K11)*15</f>
        <v>3722.3399999999997</v>
      </c>
      <c r="Y11" s="373">
        <f>K11*15</f>
        <v>985.8</v>
      </c>
      <c r="Z11" s="137">
        <f>W11-V11-U11-T11</f>
        <v>-12353.616729999998</v>
      </c>
      <c r="AA11" s="137"/>
      <c r="AB11" s="138"/>
      <c r="AC11" s="181"/>
      <c r="AD11" s="137"/>
      <c r="AE11" s="37"/>
    </row>
    <row r="12" spans="2:37" thickBot="1" x14ac:dyDescent="0.35">
      <c r="B12" s="45" t="s">
        <v>65</v>
      </c>
      <c r="C12" s="364" t="s">
        <v>66</v>
      </c>
      <c r="D12" s="364">
        <v>70</v>
      </c>
      <c r="E12" s="364">
        <v>893.9</v>
      </c>
      <c r="F12" s="364">
        <v>135.16999999999999</v>
      </c>
      <c r="G12" s="364"/>
      <c r="H12" s="366"/>
      <c r="I12" s="367">
        <v>53.473999999999997</v>
      </c>
      <c r="J12" s="366">
        <v>177.37799999999999</v>
      </c>
      <c r="K12" s="160">
        <v>81.043999999999997</v>
      </c>
      <c r="L12" s="366"/>
      <c r="M12" s="364"/>
      <c r="N12" s="364"/>
      <c r="O12" s="364">
        <f t="shared" si="0"/>
        <v>15.913999999999987</v>
      </c>
      <c r="P12" s="368"/>
      <c r="Q12" s="55"/>
      <c r="R12" s="51">
        <v>9.6579999999999995</v>
      </c>
      <c r="S12" s="45"/>
      <c r="T12" s="137"/>
      <c r="U12" s="137"/>
      <c r="V12" s="137"/>
      <c r="W12" s="137"/>
      <c r="X12" s="374"/>
      <c r="Y12" s="373"/>
      <c r="Z12" s="137"/>
      <c r="AA12" s="137"/>
      <c r="AB12" s="138"/>
      <c r="AC12" s="181"/>
      <c r="AD12" s="137"/>
      <c r="AE12" s="37"/>
    </row>
    <row r="13" spans="2:37" thickBot="1" x14ac:dyDescent="0.35">
      <c r="B13" s="45" t="s">
        <v>65</v>
      </c>
      <c r="C13" s="364" t="s">
        <v>66</v>
      </c>
      <c r="D13" s="364">
        <v>80</v>
      </c>
      <c r="E13" s="364">
        <v>877.98599999999999</v>
      </c>
      <c r="F13" s="364">
        <v>113.01</v>
      </c>
      <c r="G13" s="364"/>
      <c r="H13" s="366">
        <v>4.9400000000000004</v>
      </c>
      <c r="I13" s="367">
        <v>80.105999999999995</v>
      </c>
      <c r="J13" s="366">
        <v>215.298</v>
      </c>
      <c r="K13" s="160">
        <v>98.37</v>
      </c>
      <c r="L13" s="366"/>
      <c r="M13" s="364"/>
      <c r="N13" s="364"/>
      <c r="O13" s="364">
        <f t="shared" si="0"/>
        <v>175.59799999999996</v>
      </c>
      <c r="P13" s="368"/>
      <c r="Q13" s="55"/>
      <c r="R13" s="51">
        <v>10.438000000000001</v>
      </c>
      <c r="S13" s="45"/>
      <c r="T13" s="137"/>
      <c r="U13" s="137"/>
      <c r="V13" s="137"/>
      <c r="W13" s="137"/>
      <c r="X13" s="374"/>
      <c r="Y13" s="373"/>
      <c r="Z13" s="137"/>
      <c r="AA13" s="137"/>
      <c r="AB13" s="138"/>
      <c r="AC13" s="181"/>
      <c r="AD13" s="137"/>
      <c r="AE13" s="37"/>
    </row>
    <row r="14" spans="2:37" thickBot="1" x14ac:dyDescent="0.35">
      <c r="B14" s="45" t="s">
        <v>65</v>
      </c>
      <c r="C14" s="364" t="s">
        <v>2</v>
      </c>
      <c r="D14" s="364">
        <v>80</v>
      </c>
      <c r="E14" s="364">
        <v>702.38800000000003</v>
      </c>
      <c r="F14" s="364">
        <v>165.38800000000001</v>
      </c>
      <c r="G14" s="364">
        <f t="shared" si="1"/>
        <v>561.91039999999998</v>
      </c>
      <c r="H14" s="366"/>
      <c r="I14" s="367">
        <v>46.206000000000003</v>
      </c>
      <c r="J14" s="366">
        <v>147.38</v>
      </c>
      <c r="K14" s="160">
        <v>67.34</v>
      </c>
      <c r="L14" s="366">
        <v>20</v>
      </c>
      <c r="M14" s="364"/>
      <c r="N14" s="364"/>
      <c r="O14" s="364">
        <f t="shared" si="0"/>
        <v>11.293999999999983</v>
      </c>
      <c r="P14" s="368">
        <f>E13-E14</f>
        <v>175.59799999999996</v>
      </c>
      <c r="Q14" s="55"/>
      <c r="R14" s="51">
        <v>10.438000000000001</v>
      </c>
      <c r="S14" s="45"/>
      <c r="T14" s="137">
        <f>IF(R14&lt;=12, 0.41*P14,
 IF(AND(R14&gt;12, R14&lt;=20, E14&gt;1500), 0.67*P14,
 IF(AND(R14&gt;12, R14&lt;=20, E14&gt;750, E14&lt;=1500), 0.63*P14,
 IF(AND(R14&gt;12, R14&lt;=20, E14&lt;=750), 0.43*P14,
 IF(AND(R14&gt;20, R14&lt;=30, E14&gt;750), 1.01*P14,
 IF(AND(R14&gt;20, R14&lt;=30, E14&lt;=750), 0.64*P14,
 IF(R14&gt;30, 2.36*P14, "Sin preciN")))))))</f>
        <v>71.995179999999976</v>
      </c>
      <c r="U14" s="137">
        <f>IF(R14&lt;=12, 44.94*G14,
 IF(AND(R14&gt;12, R14&lt;=20, E14&gt;1500), 27.35*G14,
 IF(AND(R14&gt;12, R14&lt;=20, E14&gt;750, E14&lt;=1500), 20.39*G14,
 IF(AND(R14&gt;12, R14&lt;=20, E14&lt;=750), 20.86*G14,
 IF(AND(R14&gt;20, R14&lt;=30, E14&gt;750), 21.94*G14,
 IF(AND(R14&gt;20, R14&lt;=30, E14&lt;=750), 18.23*G14,
 IF(R14&gt;30, "Sin precio", "Sin precio")))))))</f>
        <v>25252.253375999997</v>
      </c>
      <c r="V14" s="137">
        <v>213.12999999999997</v>
      </c>
      <c r="W14" s="137">
        <f>(G14*Precios!P$17)*0.655</f>
        <v>12881.795919999999</v>
      </c>
      <c r="X14" s="374">
        <f>SUM(K12:K14)*15</f>
        <v>3701.31</v>
      </c>
      <c r="Y14" s="373">
        <f>K14*15</f>
        <v>1010.1</v>
      </c>
      <c r="Z14" s="137">
        <f>W14-V14-U14-T14</f>
        <v>-12655.582635999997</v>
      </c>
      <c r="AA14" s="137"/>
      <c r="AB14" s="138"/>
      <c r="AC14" s="181"/>
      <c r="AD14" s="137"/>
      <c r="AE14" s="37"/>
    </row>
    <row r="15" spans="2:37" thickBot="1" x14ac:dyDescent="0.35">
      <c r="B15" s="45" t="s">
        <v>65</v>
      </c>
      <c r="C15" s="364" t="s">
        <v>66</v>
      </c>
      <c r="D15" s="364">
        <v>90</v>
      </c>
      <c r="E15" s="364">
        <v>691.09400000000005</v>
      </c>
      <c r="F15" s="364">
        <v>138.86799999999999</v>
      </c>
      <c r="G15" s="364"/>
      <c r="H15" s="366"/>
      <c r="I15" s="367">
        <v>71.215999999999994</v>
      </c>
      <c r="J15" s="366">
        <v>180.19</v>
      </c>
      <c r="K15" s="160">
        <v>82.328000000000003</v>
      </c>
      <c r="L15" s="366"/>
      <c r="M15" s="364"/>
      <c r="N15" s="364"/>
      <c r="O15" s="364">
        <f t="shared" si="0"/>
        <v>10.300000000000068</v>
      </c>
      <c r="P15" s="368"/>
      <c r="Q15" s="55"/>
      <c r="R15" s="51">
        <v>11.342000000000001</v>
      </c>
      <c r="S15" s="45"/>
      <c r="T15" s="137"/>
      <c r="U15" s="137"/>
      <c r="V15" s="137"/>
      <c r="W15" s="137"/>
      <c r="X15" s="374"/>
      <c r="Y15" s="373"/>
      <c r="Z15" s="137"/>
      <c r="AA15" s="137"/>
      <c r="AB15" s="138"/>
      <c r="AC15" s="181"/>
      <c r="AD15" s="137"/>
      <c r="AE15" s="37"/>
    </row>
    <row r="16" spans="2:37" thickBot="1" x14ac:dyDescent="0.35">
      <c r="B16" s="45" t="s">
        <v>65</v>
      </c>
      <c r="C16" s="364" t="s">
        <v>66</v>
      </c>
      <c r="D16" s="364">
        <v>100</v>
      </c>
      <c r="E16" s="364">
        <v>680.79399999999998</v>
      </c>
      <c r="F16" s="364">
        <v>118.506</v>
      </c>
      <c r="G16" s="364"/>
      <c r="H16" s="366">
        <v>19.695</v>
      </c>
      <c r="I16" s="367">
        <v>96.664000000000001</v>
      </c>
      <c r="J16" s="366">
        <v>216.822</v>
      </c>
      <c r="K16" s="160">
        <v>99.063999999999993</v>
      </c>
      <c r="L16" s="366"/>
      <c r="M16" s="364"/>
      <c r="N16" s="364"/>
      <c r="O16" s="364">
        <f t="shared" si="0"/>
        <v>136.16200000000003</v>
      </c>
      <c r="P16" s="368"/>
      <c r="Q16" s="55"/>
      <c r="R16" s="51">
        <v>12.173999999999999</v>
      </c>
      <c r="S16" s="45"/>
      <c r="T16" s="137"/>
      <c r="U16" s="137"/>
      <c r="V16" s="137"/>
      <c r="W16" s="137"/>
      <c r="X16" s="374"/>
      <c r="Y16" s="373"/>
      <c r="Z16" s="137"/>
      <c r="AA16" s="137"/>
      <c r="AB16" s="138"/>
      <c r="AC16" s="181"/>
      <c r="AD16" s="137"/>
      <c r="AE16" s="37"/>
    </row>
    <row r="17" spans="2:34" thickBot="1" x14ac:dyDescent="0.35">
      <c r="B17" s="46" t="s">
        <v>65</v>
      </c>
      <c r="C17" s="47" t="s">
        <v>2</v>
      </c>
      <c r="D17" s="47">
        <v>100</v>
      </c>
      <c r="E17" s="47">
        <v>544.63199999999995</v>
      </c>
      <c r="F17" s="47">
        <v>168.166</v>
      </c>
      <c r="G17" s="47">
        <f t="shared" si="1"/>
        <v>544.63199999999995</v>
      </c>
      <c r="H17" s="161">
        <v>1.62</v>
      </c>
      <c r="I17" s="171">
        <v>65.373999999999995</v>
      </c>
      <c r="J17" s="161">
        <v>152.82400000000001</v>
      </c>
      <c r="K17" s="162">
        <v>69.825999999999993</v>
      </c>
      <c r="L17" s="161">
        <v>20</v>
      </c>
      <c r="M17" s="47"/>
      <c r="N17" s="47"/>
      <c r="O17" s="47">
        <f t="shared" si="0"/>
        <v>-1204.0460000000003</v>
      </c>
      <c r="P17" s="165">
        <f>E16-E17</f>
        <v>136.16200000000003</v>
      </c>
      <c r="Q17" s="56"/>
      <c r="R17" s="52">
        <v>12.173999999999999</v>
      </c>
      <c r="S17" s="46"/>
      <c r="T17" s="139">
        <f>IF(R17&lt;=12, 0.41*P17,
 IF(AND(R17&gt;12, R17&lt;=20, E17&gt;1500), 0.67*P17,
 IF(AND(R17&gt;12, R17&lt;=20, E17&gt;750, E17&lt;=1500), 0.63*P17,
 IF(AND(R17&gt;12, R17&lt;=20, E17&lt;=750), 0.43*P17,
 IF(AND(R17&gt;20, R17&lt;=30, E17&gt;750), 1.01*P17,
 IF(AND(R17&gt;20, R17&lt;=30, E17&lt;=750), 0.64*P17,
 IF(R17&gt;30, 2.36*P17, "Sin preciN")))))))</f>
        <v>58.549660000000017</v>
      </c>
      <c r="U17" s="139">
        <f>IF(R17&lt;=12, 44.94*G17,
 IF(AND(R17&gt;12, R17&lt;=20, E17&gt;1500), 27.35*G17,
 IF(AND(R17&gt;12, R17&lt;=20, E17&gt;750, E17&lt;=1500), 20.39*G17,
 IF(AND(R17&gt;12, R17&lt;=20, E17&lt;=750), 20.86*G17,
 IF(AND(R17&gt;20, R17&lt;=30, E17&gt;750), 21.94*G17,
 IF(AND(R17&gt;20, R17&lt;=30, E17&lt;=750), 18.23*G17,
 IF(R17&gt;30, "Sin precio", "Sin precio")))))))</f>
        <v>11361.023519999999</v>
      </c>
      <c r="V17" s="139">
        <v>213.12999999999997</v>
      </c>
      <c r="W17" s="139">
        <f>(G17*Precios!P$17)*0.655</f>
        <v>12485.688599999999</v>
      </c>
      <c r="X17" s="375">
        <f>SUM(K15:K17)*15</f>
        <v>3768.27</v>
      </c>
      <c r="Y17" s="373">
        <f>K17*15</f>
        <v>1047.3899999999999</v>
      </c>
      <c r="Z17" s="139">
        <f>W17-V17-U17-T17</f>
        <v>852.98542000000145</v>
      </c>
      <c r="AA17" s="139"/>
      <c r="AB17" s="140"/>
      <c r="AC17" s="181"/>
      <c r="AD17" s="137"/>
      <c r="AE17" s="37"/>
    </row>
    <row r="18" spans="2:34" ht="14.4" x14ac:dyDescent="0.3">
      <c r="B18" s="45" t="s">
        <v>67</v>
      </c>
      <c r="C18" t="s">
        <v>66</v>
      </c>
      <c r="D18">
        <v>20</v>
      </c>
      <c r="E18">
        <v>1748.6780000000001</v>
      </c>
      <c r="F18">
        <v>180.816</v>
      </c>
      <c r="H18" s="157">
        <v>17.664999999999999</v>
      </c>
      <c r="I18" s="170">
        <v>55.921999999999997</v>
      </c>
      <c r="J18" s="157">
        <v>241.55600000000001</v>
      </c>
      <c r="K18" s="160">
        <v>110.364</v>
      </c>
      <c r="L18" s="157"/>
      <c r="Q18" s="55"/>
      <c r="R18" s="51">
        <v>6.2220000000000004</v>
      </c>
      <c r="S18" s="43"/>
      <c r="T18" s="135"/>
      <c r="U18" s="135"/>
      <c r="V18" s="135"/>
      <c r="W18" s="135"/>
      <c r="X18" s="373"/>
      <c r="Y18" s="373"/>
      <c r="Z18" s="135"/>
      <c r="AA18" s="135"/>
      <c r="AB18" s="136"/>
      <c r="AC18" s="181">
        <f>H26*Precios!G$22</f>
        <v>9815.012999999999</v>
      </c>
      <c r="AD18" s="137">
        <f>(F26-H26)*Precios!P$17*0.655</f>
        <v>7612.337950000001</v>
      </c>
      <c r="AE18" s="37"/>
      <c r="AH18" s="167">
        <f>SUM(AC18:AD18)</f>
        <v>17427.35095</v>
      </c>
    </row>
    <row r="19" spans="2:34" ht="14.4" x14ac:dyDescent="0.3">
      <c r="B19" s="45" t="s">
        <v>67</v>
      </c>
      <c r="C19" t="s">
        <v>66</v>
      </c>
      <c r="D19">
        <v>30</v>
      </c>
      <c r="E19">
        <v>1701.43</v>
      </c>
      <c r="F19">
        <v>201.482</v>
      </c>
      <c r="H19" s="157">
        <v>27.344999999999999</v>
      </c>
      <c r="I19" s="170">
        <v>67.542000000000002</v>
      </c>
      <c r="J19" s="157">
        <v>266.358</v>
      </c>
      <c r="K19" s="160">
        <v>121.69199999999999</v>
      </c>
      <c r="L19" s="157"/>
      <c r="Q19" s="55"/>
      <c r="R19" s="51">
        <v>6.6319999999999997</v>
      </c>
      <c r="S19" s="45"/>
      <c r="T19" s="137"/>
      <c r="U19" s="137"/>
      <c r="V19" s="137"/>
      <c r="W19" s="137"/>
      <c r="X19" s="374"/>
      <c r="Y19" s="374"/>
      <c r="Z19" s="137"/>
      <c r="AA19" s="137"/>
      <c r="AB19" s="138"/>
      <c r="AC19" s="181"/>
      <c r="AD19" s="137"/>
      <c r="AE19" s="37"/>
    </row>
    <row r="20" spans="2:34" ht="14.4" x14ac:dyDescent="0.3">
      <c r="B20" s="45" t="s">
        <v>67</v>
      </c>
      <c r="C20" t="s">
        <v>66</v>
      </c>
      <c r="D20">
        <v>40</v>
      </c>
      <c r="E20">
        <v>1643.354</v>
      </c>
      <c r="F20">
        <v>235.25800000000001</v>
      </c>
      <c r="H20" s="157">
        <v>40.034999999999997</v>
      </c>
      <c r="I20" s="170">
        <v>87.792000000000002</v>
      </c>
      <c r="J20" s="157">
        <v>307.28199999999998</v>
      </c>
      <c r="K20" s="160">
        <v>140.38800000000001</v>
      </c>
      <c r="L20" s="157"/>
      <c r="Q20" s="55"/>
      <c r="R20" s="51">
        <v>7.0579999999999998</v>
      </c>
      <c r="S20" s="45"/>
      <c r="T20" s="137"/>
      <c r="U20" s="137"/>
      <c r="V20" s="137"/>
      <c r="W20" s="137"/>
      <c r="X20" s="374"/>
      <c r="Y20" s="374"/>
      <c r="Z20" s="137"/>
      <c r="AA20" s="137"/>
      <c r="AB20" s="138"/>
      <c r="AC20" s="181"/>
      <c r="AD20" s="137"/>
      <c r="AE20" s="37"/>
    </row>
    <row r="21" spans="2:34" ht="14.4" x14ac:dyDescent="0.3">
      <c r="B21" s="45" t="s">
        <v>67</v>
      </c>
      <c r="C21" t="s">
        <v>66</v>
      </c>
      <c r="D21">
        <v>50</v>
      </c>
      <c r="E21">
        <v>1593.8320000000001</v>
      </c>
      <c r="F21">
        <v>270.726</v>
      </c>
      <c r="H21" s="157">
        <v>31.48</v>
      </c>
      <c r="I21" s="170">
        <v>112.782</v>
      </c>
      <c r="J21" s="157">
        <v>349.85199999999998</v>
      </c>
      <c r="K21" s="160">
        <v>159.834</v>
      </c>
      <c r="L21" s="157"/>
      <c r="Q21" s="55"/>
      <c r="R21" s="51">
        <v>7.4219999999999997</v>
      </c>
      <c r="S21" s="45"/>
      <c r="T21" s="137"/>
      <c r="U21" s="137"/>
      <c r="V21" s="137"/>
      <c r="W21" s="137"/>
      <c r="X21" s="374"/>
      <c r="Y21" s="374"/>
      <c r="Z21" s="137"/>
      <c r="AA21" s="137"/>
      <c r="AB21" s="138"/>
      <c r="AC21" s="181"/>
      <c r="AD21" s="137"/>
      <c r="AE21" s="37"/>
    </row>
    <row r="22" spans="2:34" ht="14.4" x14ac:dyDescent="0.3">
      <c r="B22" s="45" t="s">
        <v>67</v>
      </c>
      <c r="C22" t="s">
        <v>66</v>
      </c>
      <c r="D22">
        <v>60</v>
      </c>
      <c r="E22">
        <v>1549.452</v>
      </c>
      <c r="F22">
        <v>306.84199999999998</v>
      </c>
      <c r="H22" s="157">
        <v>45.155000000000001</v>
      </c>
      <c r="I22" s="170">
        <v>134.65799999999999</v>
      </c>
      <c r="J22" s="157">
        <v>392.91199999999998</v>
      </c>
      <c r="K22" s="160">
        <v>179.50399999999999</v>
      </c>
      <c r="L22" s="157"/>
      <c r="Q22" s="55"/>
      <c r="R22" s="51">
        <v>7.73</v>
      </c>
      <c r="S22" s="45"/>
      <c r="T22" s="137"/>
      <c r="U22" s="137"/>
      <c r="V22" s="137"/>
      <c r="W22" s="137"/>
      <c r="X22" s="374"/>
      <c r="Y22" s="374"/>
      <c r="Z22" s="137"/>
      <c r="AA22" s="137"/>
      <c r="AB22" s="138"/>
      <c r="AC22" s="181"/>
      <c r="AD22" s="137"/>
      <c r="AE22" s="37"/>
    </row>
    <row r="23" spans="2:34" ht="14.4" x14ac:dyDescent="0.3">
      <c r="B23" s="45" t="s">
        <v>67</v>
      </c>
      <c r="C23" t="s">
        <v>66</v>
      </c>
      <c r="D23">
        <v>70</v>
      </c>
      <c r="E23">
        <v>1508.77</v>
      </c>
      <c r="F23">
        <v>343.06200000000001</v>
      </c>
      <c r="H23" s="157">
        <v>53.823999999999998</v>
      </c>
      <c r="I23" s="170">
        <v>154.39400000000001</v>
      </c>
      <c r="J23" s="157">
        <v>435.84</v>
      </c>
      <c r="K23" s="160">
        <v>199.11799999999999</v>
      </c>
      <c r="L23" s="157"/>
      <c r="Q23" s="55"/>
      <c r="R23" s="51">
        <v>7.9880000000000004</v>
      </c>
      <c r="S23" s="45"/>
      <c r="T23" s="137"/>
      <c r="U23" s="137"/>
      <c r="V23" s="137"/>
      <c r="W23" s="137"/>
      <c r="X23" s="374"/>
      <c r="Y23" s="374"/>
      <c r="Z23" s="137"/>
      <c r="AA23" s="137"/>
      <c r="AB23" s="138"/>
      <c r="AC23" s="181"/>
      <c r="AD23" s="137"/>
      <c r="AE23" s="37"/>
    </row>
    <row r="24" spans="2:34" ht="14.4" x14ac:dyDescent="0.3">
      <c r="B24" s="45" t="s">
        <v>67</v>
      </c>
      <c r="C24" t="s">
        <v>66</v>
      </c>
      <c r="D24">
        <v>80</v>
      </c>
      <c r="E24">
        <v>1470.8579999999999</v>
      </c>
      <c r="F24">
        <v>378.93</v>
      </c>
      <c r="H24" s="157">
        <v>70.176000000000002</v>
      </c>
      <c r="I24" s="170">
        <v>173.86</v>
      </c>
      <c r="J24" s="157">
        <v>478.14</v>
      </c>
      <c r="K24" s="160">
        <v>218.43799999999999</v>
      </c>
      <c r="L24" s="157"/>
      <c r="Q24" s="55"/>
      <c r="R24" s="51">
        <v>8.1980000000000004</v>
      </c>
      <c r="S24" s="45"/>
      <c r="T24" s="137"/>
      <c r="U24" s="137"/>
      <c r="V24" s="137"/>
      <c r="W24" s="137"/>
      <c r="X24" s="374"/>
      <c r="Y24" s="374"/>
      <c r="Z24" s="137"/>
      <c r="AA24" s="137"/>
      <c r="AB24" s="138"/>
      <c r="AC24" s="181"/>
      <c r="AD24" s="137"/>
      <c r="AE24" s="37"/>
    </row>
    <row r="25" spans="2:34" ht="14.4" x14ac:dyDescent="0.3">
      <c r="B25" s="45" t="s">
        <v>67</v>
      </c>
      <c r="C25" t="s">
        <v>66</v>
      </c>
      <c r="D25">
        <v>90</v>
      </c>
      <c r="E25">
        <v>1435.09</v>
      </c>
      <c r="F25">
        <v>414.08</v>
      </c>
      <c r="H25" s="157">
        <v>90.144000000000005</v>
      </c>
      <c r="I25" s="170">
        <v>190.39599999999999</v>
      </c>
      <c r="J25" s="157">
        <v>519.39800000000002</v>
      </c>
      <c r="K25" s="160">
        <v>237.29</v>
      </c>
      <c r="L25" s="157"/>
      <c r="Q25" s="55"/>
      <c r="R25" s="51">
        <v>8.3640000000000008</v>
      </c>
      <c r="S25" s="45"/>
      <c r="T25" s="137"/>
      <c r="U25" s="137"/>
      <c r="V25" s="137"/>
      <c r="W25" s="137"/>
      <c r="X25" s="374"/>
      <c r="Y25" s="374"/>
      <c r="Z25" s="137"/>
      <c r="AA25" s="137"/>
      <c r="AB25" s="138"/>
      <c r="AC25" s="181"/>
      <c r="AD25" s="137"/>
      <c r="AE25" s="37"/>
    </row>
    <row r="26" spans="2:34" thickBot="1" x14ac:dyDescent="0.35">
      <c r="B26" s="45" t="s">
        <v>67</v>
      </c>
      <c r="C26" t="s">
        <v>66</v>
      </c>
      <c r="D26">
        <v>100</v>
      </c>
      <c r="E26">
        <v>1401.0319999999999</v>
      </c>
      <c r="F26">
        <v>448.20800000000003</v>
      </c>
      <c r="H26" s="157">
        <v>116.154</v>
      </c>
      <c r="I26" s="170">
        <v>202.3</v>
      </c>
      <c r="J26" s="157">
        <v>559.29399999999998</v>
      </c>
      <c r="K26" s="160">
        <v>255.51400000000001</v>
      </c>
      <c r="L26" s="157"/>
      <c r="Q26" s="55"/>
      <c r="R26" s="51">
        <v>8.49</v>
      </c>
      <c r="S26" s="46"/>
      <c r="T26" s="139"/>
      <c r="U26" s="139"/>
      <c r="V26" s="139"/>
      <c r="W26" s="139"/>
      <c r="X26" s="375"/>
      <c r="Y26" s="375"/>
      <c r="Z26" s="139"/>
      <c r="AA26" s="139"/>
      <c r="AB26" s="140"/>
      <c r="AC26" s="45"/>
      <c r="AE26" s="37"/>
    </row>
    <row r="27" spans="2:34" ht="14.4" x14ac:dyDescent="0.3">
      <c r="B27" s="43" t="s">
        <v>68</v>
      </c>
      <c r="C27" s="44" t="s">
        <v>2</v>
      </c>
      <c r="D27" s="44">
        <v>10</v>
      </c>
      <c r="E27" s="44">
        <v>1685.797</v>
      </c>
      <c r="F27" s="44">
        <v>155.60400000000001</v>
      </c>
      <c r="G27" s="44">
        <f t="shared" si="1"/>
        <v>168.5797</v>
      </c>
      <c r="H27" s="44">
        <v>7.665</v>
      </c>
      <c r="I27" s="172">
        <v>45.588999999999999</v>
      </c>
      <c r="J27" s="44">
        <v>209.72200000000001</v>
      </c>
      <c r="K27" s="36">
        <v>95.822000000000003</v>
      </c>
      <c r="L27" s="158">
        <v>10</v>
      </c>
      <c r="M27" s="44">
        <f>(E27*L27)/100</f>
        <v>168.5797</v>
      </c>
      <c r="N27" s="44">
        <v>10</v>
      </c>
      <c r="O27" s="44">
        <f>((E27-M27)*N27)/100</f>
        <v>151.72173000000001</v>
      </c>
      <c r="P27" s="44"/>
      <c r="Q27" s="86">
        <f>SUM(O27,M27)</f>
        <v>320.30142999999998</v>
      </c>
      <c r="R27" s="36">
        <v>5.86</v>
      </c>
      <c r="S27" s="44"/>
      <c r="T27" s="135">
        <f>IF(R27&lt;=12, 0.41*Q27,
 IF(AND(R27&gt;12, R27&lt;=20, E27&gt;1500), 0.67*Q27,
 IF(AND(R27&gt;12, R27&lt;=20, E27&gt;750, E27&lt;=1500), 0.63*Q27,
 IF(AND(R27&gt;12, R27&lt;=20, E27&lt;=750), 0.43*Q27,
 IF(AND(R27&gt;20, R27&lt;=30, E27&gt;750), 1.01*Q27,
 IF(AND(R27&gt;20, R27&lt;=30, E27&lt;=750), 0.64*Q27,
 IF(R27&gt;30, 2.36*Q27, "Sin precio")))))))</f>
        <v>131.32358629999999</v>
      </c>
      <c r="U27" s="135">
        <f>IF(R27&lt;=12, 44.94*G27,
 IF(AND(R27&gt;12, R27&lt;=20, E27&gt;1500), 27.35*G27,
 IF(AND(R27&gt;12, R27&lt;=20, E27&gt;750, E27&lt;=1500), 20.39*G27,
 IF(AND(R27&gt;12, R27&lt;=20, E27&lt;=750), 20.86*G27,
 IF(AND(R27&gt;20, R27&lt;=30, E27&gt;750), 21.94*G27,
 IF(AND(R27&gt;20, R27&lt;=30, E27&lt;=750), 18.23*G27,
 IF(R27&gt;30, "Sin precio", "Sin precio")))))))</f>
        <v>7575.9717179999998</v>
      </c>
      <c r="V27" s="135">
        <v>213.12999999999997</v>
      </c>
      <c r="W27" s="135">
        <f>(G27*Precios!P$17)*0.655</f>
        <v>3864.6896225</v>
      </c>
      <c r="X27" s="373">
        <f>K27*15</f>
        <v>1437.33</v>
      </c>
      <c r="Y27" s="373"/>
      <c r="Z27" s="135">
        <f>W27-V27-U27-T27</f>
        <v>-4055.7356817999998</v>
      </c>
      <c r="AA27" s="135">
        <f>SUM(Z27:Z40)</f>
        <v>-42271.090683799994</v>
      </c>
      <c r="AB27" s="136">
        <f>VAN!D19</f>
        <v>-9256.2241677494676</v>
      </c>
      <c r="AC27" s="181">
        <f>H40*Precios!G$22</f>
        <v>4474.4439999999995</v>
      </c>
      <c r="AD27" s="137">
        <f>(F40-H40)*Precios!P$17*0.655</f>
        <v>2063.8460500000001</v>
      </c>
      <c r="AE27" s="182">
        <f>SUM(AB27:AD27)</f>
        <v>-2717.934117749468</v>
      </c>
      <c r="AH27" s="167">
        <f>SUM(AC27:AD27)</f>
        <v>6538.2900499999996</v>
      </c>
    </row>
    <row r="28" spans="2:34" ht="14.4" x14ac:dyDescent="0.3">
      <c r="B28" s="45" t="s">
        <v>68</v>
      </c>
      <c r="C28" s="364" t="s">
        <v>66</v>
      </c>
      <c r="D28" s="364">
        <v>20</v>
      </c>
      <c r="E28" s="364">
        <v>1632.3779999999999</v>
      </c>
      <c r="F28" s="364">
        <v>165.762</v>
      </c>
      <c r="G28" s="364"/>
      <c r="H28" s="364">
        <v>16.344999999999999</v>
      </c>
      <c r="I28" s="367">
        <v>51.612000000000002</v>
      </c>
      <c r="J28" s="364">
        <v>221.584</v>
      </c>
      <c r="K28" s="37">
        <v>101.24</v>
      </c>
      <c r="L28" s="366"/>
      <c r="M28" s="364"/>
      <c r="N28" s="364"/>
      <c r="O28" s="364"/>
      <c r="P28" s="39"/>
      <c r="Q28" s="84"/>
      <c r="R28" s="37">
        <v>6.3220000000000001</v>
      </c>
      <c r="T28" s="137"/>
      <c r="U28" s="137"/>
      <c r="V28" s="137"/>
      <c r="W28" s="137"/>
      <c r="X28" s="374"/>
      <c r="Y28" s="374"/>
      <c r="Z28" s="137"/>
      <c r="AA28" s="137"/>
      <c r="AB28" s="138"/>
      <c r="AC28" s="181"/>
      <c r="AD28" s="137"/>
      <c r="AE28" s="37"/>
    </row>
    <row r="29" spans="2:34" ht="14.4" x14ac:dyDescent="0.3">
      <c r="B29" s="45" t="s">
        <v>68</v>
      </c>
      <c r="C29" s="364" t="s">
        <v>66</v>
      </c>
      <c r="D29" s="364">
        <v>30</v>
      </c>
      <c r="E29" s="364">
        <v>1588.886</v>
      </c>
      <c r="F29" s="364">
        <v>184.99</v>
      </c>
      <c r="G29" s="364"/>
      <c r="H29" s="364">
        <v>25.864999999999998</v>
      </c>
      <c r="I29" s="367">
        <v>60.731999999999999</v>
      </c>
      <c r="J29" s="364">
        <v>244.85</v>
      </c>
      <c r="K29" s="37">
        <v>111.86799999999999</v>
      </c>
      <c r="L29" s="366"/>
      <c r="M29" s="364"/>
      <c r="N29" s="364"/>
      <c r="O29" s="364"/>
      <c r="P29" s="364"/>
      <c r="Q29" s="83"/>
      <c r="R29" s="37">
        <v>6.7279999999999998</v>
      </c>
      <c r="T29" s="137"/>
      <c r="U29" s="137"/>
      <c r="V29" s="137"/>
      <c r="W29" s="137"/>
      <c r="X29" s="374"/>
      <c r="Y29" s="374"/>
      <c r="Z29" s="137"/>
      <c r="AA29" s="137"/>
      <c r="AB29" s="138"/>
      <c r="AC29" s="181"/>
      <c r="AD29" s="137"/>
      <c r="AE29" s="37"/>
    </row>
    <row r="30" spans="2:34" ht="14.4" x14ac:dyDescent="0.3">
      <c r="B30" s="45" t="s">
        <v>68</v>
      </c>
      <c r="C30" s="364" t="s">
        <v>2</v>
      </c>
      <c r="D30" s="364">
        <v>30</v>
      </c>
      <c r="E30" s="364">
        <v>1358.499</v>
      </c>
      <c r="F30" s="364">
        <v>151.76900000000001</v>
      </c>
      <c r="G30" s="364">
        <f t="shared" si="1"/>
        <v>407.54969999999997</v>
      </c>
      <c r="H30" s="364">
        <v>22.17</v>
      </c>
      <c r="I30" s="367">
        <v>50.091000000000001</v>
      </c>
      <c r="J30" s="364">
        <v>201.23099999999999</v>
      </c>
      <c r="K30" s="37">
        <v>91.941999999999993</v>
      </c>
      <c r="L30" s="366">
        <v>10</v>
      </c>
      <c r="M30" s="364">
        <f>(E29*L30)/100</f>
        <v>158.8886</v>
      </c>
      <c r="N30" s="364">
        <v>10</v>
      </c>
      <c r="O30" s="364">
        <f>((E29-M30)*N30)/100</f>
        <v>142.99974</v>
      </c>
      <c r="P30" s="364"/>
      <c r="Q30" s="83">
        <f>SUM(O30,M30)</f>
        <v>301.88833999999997</v>
      </c>
      <c r="R30" s="37">
        <v>6.7279999999999998</v>
      </c>
      <c r="T30" s="137">
        <f>IF(R30&lt;=12, 0.41*Q30,
 IF(AND(R30&gt;12, R30&lt;=20, E30&gt;1500), 0.67*Q30,
 IF(AND(R30&gt;12, R30&lt;=20, E30&gt;750, E30&lt;=1500), 0.63*Q30,
 IF(AND(R30&gt;12, R30&lt;=20, E30&lt;=750), 0.43*Q30,
 IF(AND(R30&gt;20, R30&lt;=30, E30&gt;750), 1.01*Q30,
 IF(AND(R30&gt;20, R30&lt;=30, E30&lt;=750), 0.64*Q30,
 IF(R30&gt;30, 2.36*Q30, "Sin precio")))))))</f>
        <v>123.77421939999998</v>
      </c>
      <c r="U30" s="137">
        <f>IF(R30&lt;=12, 44.94*G30,
 IF(AND(R30&gt;12, R30&lt;=20, E30&gt;1500), 27.35*G30,
 IF(AND(R30&gt;12, R30&lt;=20, E30&gt;750, E30&lt;=1500), 20.39*G30,
 IF(AND(R30&gt;12, R30&lt;=20, E30&lt;=750), 20.86*G30,
 IF(AND(R30&gt;20, R30&lt;=30, E30&gt;750), 21.94*G30,
 IF(AND(R30&gt;20, R30&lt;=30, E30&lt;=750), 18.23*G30,
 IF(R30&gt;30, "Sin precio", "Sin precio")))))))</f>
        <v>18315.283517999997</v>
      </c>
      <c r="V30" s="137">
        <v>213.12999999999997</v>
      </c>
      <c r="W30" s="137">
        <f>(G30*Precios!P$17)*0.655</f>
        <v>9343.0768724999998</v>
      </c>
      <c r="X30" s="374">
        <f>SUM(K28:K30)*15</f>
        <v>4575.75</v>
      </c>
      <c r="Y30" s="374"/>
      <c r="Z30" s="137">
        <f>W30-V30-U30-T30</f>
        <v>-9309.1108648999962</v>
      </c>
      <c r="AA30" s="137"/>
      <c r="AB30" s="138"/>
      <c r="AC30" s="181"/>
      <c r="AD30" s="137"/>
      <c r="AE30" s="37"/>
    </row>
    <row r="31" spans="2:34" ht="14.4" x14ac:dyDescent="0.3">
      <c r="B31" s="45" t="s">
        <v>68</v>
      </c>
      <c r="C31" s="364" t="s">
        <v>66</v>
      </c>
      <c r="D31" s="364">
        <v>40</v>
      </c>
      <c r="E31" s="364">
        <v>1237.97</v>
      </c>
      <c r="F31" s="364">
        <v>173.364</v>
      </c>
      <c r="G31" s="364"/>
      <c r="H31" s="364">
        <v>23.55667</v>
      </c>
      <c r="I31" s="367">
        <v>65.62</v>
      </c>
      <c r="J31" s="364">
        <v>226.56200000000001</v>
      </c>
      <c r="K31" s="37">
        <v>103.51</v>
      </c>
      <c r="L31" s="366"/>
      <c r="M31" s="364"/>
      <c r="N31" s="364"/>
      <c r="O31" s="364"/>
      <c r="P31" s="364"/>
      <c r="Q31" s="83"/>
      <c r="R31" s="37">
        <v>7.3360000000000003</v>
      </c>
      <c r="T31" s="137"/>
      <c r="U31" s="137"/>
      <c r="V31" s="137"/>
      <c r="W31" s="137"/>
      <c r="X31" s="374"/>
      <c r="Y31" s="374"/>
      <c r="Z31" s="137"/>
      <c r="AA31" s="137"/>
      <c r="AB31" s="138"/>
      <c r="AC31" s="181"/>
      <c r="AD31" s="137"/>
      <c r="AE31" s="37"/>
    </row>
    <row r="32" spans="2:34" ht="14.4" x14ac:dyDescent="0.3">
      <c r="B32" s="45" t="s">
        <v>68</v>
      </c>
      <c r="C32" s="364" t="s">
        <v>66</v>
      </c>
      <c r="D32" s="364">
        <v>50</v>
      </c>
      <c r="E32" s="364">
        <v>1199.9559999999999</v>
      </c>
      <c r="F32" s="364">
        <v>205.19800000000001</v>
      </c>
      <c r="G32" s="364"/>
      <c r="H32" s="364">
        <v>27.44</v>
      </c>
      <c r="I32" s="367">
        <v>82.534000000000006</v>
      </c>
      <c r="J32" s="364">
        <v>265.3</v>
      </c>
      <c r="K32" s="37">
        <v>121.21</v>
      </c>
      <c r="L32" s="366"/>
      <c r="M32" s="364"/>
      <c r="N32" s="364"/>
      <c r="O32" s="364"/>
      <c r="P32" s="364"/>
      <c r="Q32" s="83"/>
      <c r="R32" s="37">
        <v>7.8860000000000001</v>
      </c>
      <c r="T32" s="137"/>
      <c r="U32" s="137"/>
      <c r="V32" s="137"/>
      <c r="W32" s="137"/>
      <c r="X32" s="374"/>
      <c r="Y32" s="374"/>
      <c r="Z32" s="137"/>
      <c r="AA32" s="137"/>
      <c r="AB32" s="138"/>
      <c r="AC32" s="181"/>
      <c r="AD32" s="137"/>
      <c r="AE32" s="37"/>
    </row>
    <row r="33" spans="2:34" ht="14.4" x14ac:dyDescent="0.3">
      <c r="B33" s="45" t="s">
        <v>68</v>
      </c>
      <c r="C33" s="364" t="s">
        <v>2</v>
      </c>
      <c r="D33" s="364">
        <v>50</v>
      </c>
      <c r="E33" s="364">
        <v>911.96600000000001</v>
      </c>
      <c r="F33" s="364">
        <v>144.55699999999999</v>
      </c>
      <c r="G33" s="364">
        <f t="shared" si="1"/>
        <v>455.983</v>
      </c>
      <c r="H33" s="364">
        <v>19.5975</v>
      </c>
      <c r="I33" s="367">
        <v>56.665999999999997</v>
      </c>
      <c r="J33" s="364">
        <v>187.29599999999999</v>
      </c>
      <c r="K33" s="37">
        <v>85.578000000000003</v>
      </c>
      <c r="L33" s="366">
        <v>10</v>
      </c>
      <c r="M33" s="364">
        <f>(E32*L33)/100</f>
        <v>119.9956</v>
      </c>
      <c r="N33" s="364">
        <v>10</v>
      </c>
      <c r="O33" s="364">
        <f>((E32-M33)*N33)/100</f>
        <v>107.99603999999999</v>
      </c>
      <c r="P33" s="364"/>
      <c r="Q33" s="83">
        <f t="shared" ref="Q33:Q39" si="2">SUM(O33,M33)</f>
        <v>227.99163999999999</v>
      </c>
      <c r="R33" s="37">
        <v>7.8860000000000001</v>
      </c>
      <c r="T33" s="137">
        <f>IF(R33&lt;=12, 0.41*Q33,
 IF(AND(R33&gt;12, R33&lt;=20, E33&gt;1500), 0.67*Q33,
 IF(AND(R33&gt;12, R33&lt;=20, E33&gt;750, E33&lt;=1500), 0.63*Q33,
 IF(AND(R33&gt;12, R33&lt;=20, E33&lt;=750), 0.43*Q33,
 IF(AND(R33&gt;20, R33&lt;=30, E33&gt;750), 1.01*Q33,
 IF(AND(R33&gt;20, R33&lt;=30, E33&lt;=750), 0.64*Q33,
 IF(R33&gt;30, 2.36*Q33, "Sin precio")))))))</f>
        <v>93.476572399999995</v>
      </c>
      <c r="U33" s="137">
        <f>IF(R33&lt;=12, 44.94*G33,
 IF(AND(R33&gt;12, R33&lt;=20, E33&gt;1500), 27.35*G33,
 IF(AND(R33&gt;12, R33&lt;=20, E33&gt;750, E33&lt;=1500), 20.39*G33,
 IF(AND(R33&gt;12, R33&lt;=20, E33&lt;=750), 20.86*G33,
 IF(AND(R33&gt;20, R33&lt;=30, E33&gt;750), 21.94*G33,
 IF(AND(R33&gt;20, R33&lt;=30, E33&lt;=750), 18.23*G33,
 IF(R33&gt;30, "Sin precio", "Sin precio")))))))</f>
        <v>20491.87602</v>
      </c>
      <c r="V33" s="137">
        <v>213.12999999999997</v>
      </c>
      <c r="W33" s="137">
        <f>(G33*Precios!P$17)*0.655</f>
        <v>10453.410275</v>
      </c>
      <c r="X33" s="374">
        <f>SUM(K31:K33)*15</f>
        <v>4654.47</v>
      </c>
      <c r="Y33" s="374"/>
      <c r="Z33" s="137">
        <f>W33-V33-U33-T33</f>
        <v>-10345.0723174</v>
      </c>
      <c r="AA33" s="137"/>
      <c r="AB33" s="138"/>
      <c r="AC33" s="181"/>
      <c r="AD33" s="137"/>
      <c r="AE33" s="37"/>
    </row>
    <row r="34" spans="2:34" ht="14.4" x14ac:dyDescent="0.3">
      <c r="B34" s="45" t="s">
        <v>68</v>
      </c>
      <c r="C34" s="364" t="s">
        <v>66</v>
      </c>
      <c r="D34" s="364">
        <v>60</v>
      </c>
      <c r="E34" s="364">
        <v>838.34400000000005</v>
      </c>
      <c r="F34" s="364">
        <v>164.56200000000001</v>
      </c>
      <c r="G34" s="364"/>
      <c r="H34" s="364">
        <v>25.916</v>
      </c>
      <c r="I34" s="367">
        <v>66.13</v>
      </c>
      <c r="J34" s="364">
        <v>211.23599999999999</v>
      </c>
      <c r="K34" s="37">
        <v>96.51</v>
      </c>
      <c r="L34" s="366"/>
      <c r="M34" s="364"/>
      <c r="N34" s="364"/>
      <c r="O34" s="364"/>
      <c r="P34" s="364"/>
      <c r="Q34" s="83"/>
      <c r="R34" s="37">
        <v>8.6059999999999999</v>
      </c>
      <c r="T34" s="137"/>
      <c r="U34" s="137"/>
      <c r="V34" s="137"/>
      <c r="W34" s="137"/>
      <c r="X34" s="374"/>
      <c r="Y34" s="374"/>
      <c r="Z34" s="137"/>
      <c r="AA34" s="137"/>
      <c r="AB34" s="138"/>
      <c r="AC34" s="181"/>
      <c r="AD34" s="137"/>
      <c r="AE34" s="37"/>
    </row>
    <row r="35" spans="2:34" ht="14.4" x14ac:dyDescent="0.3">
      <c r="B35" s="45" t="s">
        <v>68</v>
      </c>
      <c r="C35" s="364" t="s">
        <v>66</v>
      </c>
      <c r="D35" s="364">
        <v>70</v>
      </c>
      <c r="E35" s="364">
        <v>816.94399999999996</v>
      </c>
      <c r="F35" s="364">
        <v>193.786</v>
      </c>
      <c r="G35" s="364"/>
      <c r="H35" s="364">
        <v>38.872</v>
      </c>
      <c r="I35" s="367">
        <v>81.067999999999998</v>
      </c>
      <c r="J35" s="364">
        <v>246.67400000000001</v>
      </c>
      <c r="K35" s="37">
        <v>112.702</v>
      </c>
      <c r="L35" s="366"/>
      <c r="M35" s="364"/>
      <c r="N35" s="364"/>
      <c r="O35" s="364"/>
      <c r="P35" s="364"/>
      <c r="Q35" s="83"/>
      <c r="R35" s="37">
        <v>9.2620000000000005</v>
      </c>
      <c r="T35" s="137"/>
      <c r="U35" s="137"/>
      <c r="V35" s="137"/>
      <c r="W35" s="137"/>
      <c r="X35" s="374"/>
      <c r="Y35" s="374"/>
      <c r="Z35" s="137"/>
      <c r="AA35" s="137"/>
      <c r="AB35" s="138"/>
      <c r="AC35" s="181"/>
      <c r="AD35" s="137"/>
      <c r="AE35" s="37"/>
    </row>
    <row r="36" spans="2:34" ht="14.4" x14ac:dyDescent="0.3">
      <c r="B36" s="45" t="s">
        <v>68</v>
      </c>
      <c r="C36" s="364" t="s">
        <v>2</v>
      </c>
      <c r="D36" s="364">
        <v>70</v>
      </c>
      <c r="E36" s="364">
        <v>620.87900000000002</v>
      </c>
      <c r="F36" s="364">
        <v>137.49100000000001</v>
      </c>
      <c r="G36" s="364">
        <f t="shared" si="1"/>
        <v>434.61530000000005</v>
      </c>
      <c r="H36" s="364">
        <v>27.712</v>
      </c>
      <c r="I36" s="367">
        <v>55.295999999999999</v>
      </c>
      <c r="J36" s="364">
        <v>175.256</v>
      </c>
      <c r="K36" s="37">
        <v>80.075000000000003</v>
      </c>
      <c r="L36" s="366">
        <v>10</v>
      </c>
      <c r="M36" s="364">
        <f>(E35*L36)/100</f>
        <v>81.694400000000002</v>
      </c>
      <c r="N36" s="364">
        <v>10</v>
      </c>
      <c r="O36" s="364">
        <f>((E35-M36)*N36)/100</f>
        <v>73.524960000000007</v>
      </c>
      <c r="P36" s="364"/>
      <c r="Q36" s="83">
        <f t="shared" si="2"/>
        <v>155.21935999999999</v>
      </c>
      <c r="R36" s="37">
        <v>9.2620000000000005</v>
      </c>
      <c r="T36" s="137">
        <f>IF(R36&lt;=12, 0.41*Q36,
 IF(AND(R36&gt;12, R36&lt;=20, E36&gt;1500), 0.67*Q36,
 IF(AND(R36&gt;12, R36&lt;=20, E36&gt;750, E36&lt;=1500), 0.63*Q36,
 IF(AND(R36&gt;12, R36&lt;=20, E36&lt;=750), 0.43*Q36,
 IF(AND(R36&gt;20, R36&lt;=30, E36&gt;750), 1.01*Q36,
 IF(AND(R36&gt;20, R36&lt;=30, E36&lt;=750), 0.64*Q36,
 IF(R36&gt;30, 2.36*Q36, "Sin precio")))))))</f>
        <v>63.639937599999996</v>
      </c>
      <c r="U36" s="137">
        <f>IF(R36&lt;=12, 44.94*G36,
 IF(AND(R36&gt;12, R36&lt;=20, E36&gt;1500), 27.35*G36,
 IF(AND(R36&gt;12, R36&lt;=20, E36&gt;750, E36&lt;=1500), 20.39*G36,
 IF(AND(R36&gt;12, R36&lt;=20, E36&lt;=750), 20.86*G36,
 IF(AND(R36&gt;20, R36&lt;=30, E36&gt;750), 21.94*G36,
 IF(AND(R36&gt;20, R36&lt;=30, E36&lt;=750), 18.23*G36,
 IF(R36&gt;30, "Sin precio", "Sin precio")))))))</f>
        <v>19531.611582000001</v>
      </c>
      <c r="V36" s="137">
        <v>213.12999999999997</v>
      </c>
      <c r="W36" s="137">
        <f>(G36*Precios!P$17)*0.655</f>
        <v>9963.5557525000022</v>
      </c>
      <c r="X36" s="374">
        <f>SUM(K34:K36)*15</f>
        <v>4339.3049999999994</v>
      </c>
      <c r="Y36" s="374"/>
      <c r="Z36" s="137">
        <f>W36-V36-U36-T36</f>
        <v>-9844.8257670999992</v>
      </c>
      <c r="AA36" s="137"/>
      <c r="AB36" s="138"/>
      <c r="AC36" s="181"/>
      <c r="AD36" s="137"/>
      <c r="AE36" s="37"/>
    </row>
    <row r="37" spans="2:34" ht="14.4" x14ac:dyDescent="0.3">
      <c r="B37" s="45" t="s">
        <v>68</v>
      </c>
      <c r="C37" s="364" t="s">
        <v>66</v>
      </c>
      <c r="D37" s="364">
        <v>80</v>
      </c>
      <c r="E37" s="364">
        <v>574.01599999999996</v>
      </c>
      <c r="F37" s="364">
        <v>155.066</v>
      </c>
      <c r="G37" s="364"/>
      <c r="H37" s="364">
        <v>40.863999999999997</v>
      </c>
      <c r="I37" s="367">
        <v>60.938000000000002</v>
      </c>
      <c r="J37" s="364">
        <v>196.38</v>
      </c>
      <c r="K37" s="37">
        <v>89.727999999999994</v>
      </c>
      <c r="L37" s="366"/>
      <c r="M37" s="364"/>
      <c r="N37" s="364"/>
      <c r="O37" s="364"/>
      <c r="P37" s="364"/>
      <c r="Q37" s="83"/>
      <c r="R37" s="37">
        <v>10.050000000000001</v>
      </c>
      <c r="T37" s="137"/>
      <c r="U37" s="137"/>
      <c r="V37" s="137"/>
      <c r="W37" s="137"/>
      <c r="X37" s="374"/>
      <c r="Y37" s="374"/>
      <c r="Z37" s="137"/>
      <c r="AA37" s="137"/>
      <c r="AB37" s="138"/>
      <c r="AC37" s="181"/>
      <c r="AD37" s="137"/>
      <c r="AE37" s="37"/>
    </row>
    <row r="38" spans="2:34" ht="14.4" x14ac:dyDescent="0.3">
      <c r="B38" s="45" t="s">
        <v>68</v>
      </c>
      <c r="C38" s="364" t="s">
        <v>66</v>
      </c>
      <c r="D38" s="364">
        <v>90</v>
      </c>
      <c r="E38" s="364">
        <v>561.78399999999999</v>
      </c>
      <c r="F38" s="364">
        <v>180.30799999999999</v>
      </c>
      <c r="G38" s="364"/>
      <c r="H38" s="364">
        <v>57.991999999999997</v>
      </c>
      <c r="I38" s="367">
        <v>71.650000000000006</v>
      </c>
      <c r="J38" s="364">
        <v>226.982</v>
      </c>
      <c r="K38" s="37">
        <v>103.70399999999999</v>
      </c>
      <c r="L38" s="366"/>
      <c r="M38" s="364"/>
      <c r="N38" s="364"/>
      <c r="O38" s="364"/>
      <c r="P38" s="364"/>
      <c r="Q38" s="83"/>
      <c r="R38" s="37">
        <v>10.776</v>
      </c>
      <c r="T38" s="137"/>
      <c r="U38" s="137"/>
      <c r="V38" s="137"/>
      <c r="W38" s="137"/>
      <c r="X38" s="374"/>
      <c r="Y38" s="374"/>
      <c r="Z38" s="137"/>
      <c r="AA38" s="137"/>
      <c r="AB38" s="138"/>
      <c r="AC38" s="181"/>
      <c r="AD38" s="137"/>
      <c r="AE38" s="37"/>
    </row>
    <row r="39" spans="2:34" ht="14.4" x14ac:dyDescent="0.3">
      <c r="B39" s="45" t="s">
        <v>68</v>
      </c>
      <c r="C39" s="364" t="s">
        <v>2</v>
      </c>
      <c r="D39" s="364">
        <v>90</v>
      </c>
      <c r="E39" s="364">
        <v>426.95400000000001</v>
      </c>
      <c r="F39" s="364">
        <v>128.64599999999999</v>
      </c>
      <c r="G39" s="364">
        <f t="shared" si="1"/>
        <v>384.2586</v>
      </c>
      <c r="H39" s="364">
        <v>41.344999999999999</v>
      </c>
      <c r="I39" s="367">
        <v>48.984000000000002</v>
      </c>
      <c r="J39" s="364">
        <v>162.08000000000001</v>
      </c>
      <c r="K39" s="37">
        <v>74.055999999999997</v>
      </c>
      <c r="L39" s="366">
        <v>10</v>
      </c>
      <c r="M39" s="364">
        <f>(E38*L39)/100</f>
        <v>56.178400000000003</v>
      </c>
      <c r="N39" s="364">
        <v>10</v>
      </c>
      <c r="O39" s="364">
        <f>((E38-M39)*N39)/100</f>
        <v>50.560559999999995</v>
      </c>
      <c r="P39" s="364"/>
      <c r="Q39" s="83">
        <f t="shared" si="2"/>
        <v>106.73895999999999</v>
      </c>
      <c r="R39" s="37">
        <v>10.776</v>
      </c>
      <c r="T39" s="137">
        <f>IF(R39&lt;=12, 0.41*Q39,
 IF(AND(R39&gt;12, R39&lt;=20, E39&gt;1500), 0.67*Q39,
 IF(AND(R39&gt;12, R39&lt;=20, E39&gt;750, E39&lt;=1500), 0.63*Q39,
 IF(AND(R39&gt;12, R39&lt;=20, E39&lt;=750), 0.43*Q39,
 IF(AND(R39&gt;20, R39&lt;=30, E39&gt;750), 1.01*Q39,
 IF(AND(R39&gt;20, R39&lt;=30, E39&lt;=750), 0.64*Q39,
 IF(R39&gt;30, 2.36*Q39, "Sin precio")))))))</f>
        <v>43.762973599999995</v>
      </c>
      <c r="U39" s="137">
        <f>IF(R39&lt;=12, 44.94*G39,
 IF(AND(R39&gt;12, R39&lt;=20, E39&gt;1500), 27.35*G39,
 IF(AND(R39&gt;12, R39&lt;=20, E39&gt;750, E39&lt;=1500), 20.39*G39,
 IF(AND(R39&gt;12, R39&lt;=20, E39&lt;=750), 20.86*G39,
 IF(AND(R39&gt;20, R39&lt;=30, E39&gt;750), 21.94*G39,
 IF(AND(R39&gt;20, R39&lt;=30, E39&lt;=750), 18.23*G39,
 IF(R39&gt;30, "Sin precio", "Sin precio")))))))</f>
        <v>17268.581483999998</v>
      </c>
      <c r="V39" s="137">
        <v>213.12999999999997</v>
      </c>
      <c r="W39" s="137">
        <f>(G39*Precios!P$17)*0.655</f>
        <v>8809.1284049999995</v>
      </c>
      <c r="X39" s="374">
        <f>SUM(K37:K39)*15</f>
        <v>4012.32</v>
      </c>
      <c r="Y39" s="374"/>
      <c r="Z39" s="137">
        <f>W39-V39-U39-T39</f>
        <v>-8716.3460525999981</v>
      </c>
      <c r="AA39" s="137"/>
      <c r="AB39" s="138"/>
      <c r="AC39" s="181"/>
      <c r="AD39" s="137"/>
      <c r="AE39" s="37"/>
    </row>
    <row r="40" spans="2:34" thickBot="1" x14ac:dyDescent="0.35">
      <c r="B40" s="46" t="s">
        <v>68</v>
      </c>
      <c r="C40" s="47" t="s">
        <v>66</v>
      </c>
      <c r="D40" s="47">
        <v>100</v>
      </c>
      <c r="E40" s="47">
        <v>396.48599999999999</v>
      </c>
      <c r="F40" s="47">
        <v>142.97800000000001</v>
      </c>
      <c r="G40" s="47"/>
      <c r="H40" s="47">
        <v>52.951999999999998</v>
      </c>
      <c r="I40" s="171">
        <v>52.11</v>
      </c>
      <c r="J40" s="47">
        <v>179.44</v>
      </c>
      <c r="K40" s="38">
        <v>81.988</v>
      </c>
      <c r="L40" s="161"/>
      <c r="M40" s="47"/>
      <c r="N40" s="47"/>
      <c r="O40" s="47"/>
      <c r="P40" s="47"/>
      <c r="Q40" s="85"/>
      <c r="R40" s="38">
        <v>11.61</v>
      </c>
      <c r="S40" s="47"/>
      <c r="T40" s="139"/>
      <c r="U40" s="139"/>
      <c r="V40" s="139"/>
      <c r="W40" s="137"/>
      <c r="X40" s="375"/>
      <c r="Y40" s="375"/>
      <c r="Z40" s="139"/>
      <c r="AA40" s="139"/>
      <c r="AB40" s="140"/>
      <c r="AC40" s="181"/>
      <c r="AD40" s="137"/>
      <c r="AE40" s="37"/>
    </row>
    <row r="41" spans="2:34" ht="14.4" x14ac:dyDescent="0.3">
      <c r="B41" s="45" t="s">
        <v>12</v>
      </c>
      <c r="C41" t="s">
        <v>2</v>
      </c>
      <c r="D41">
        <v>10</v>
      </c>
      <c r="E41">
        <v>1714.0619999999999</v>
      </c>
      <c r="F41">
        <v>165.59</v>
      </c>
      <c r="G41">
        <f t="shared" si="1"/>
        <v>171.40619999999998</v>
      </c>
      <c r="H41" s="157">
        <v>8.7650000000000006</v>
      </c>
      <c r="I41" s="170">
        <v>48.793999999999997</v>
      </c>
      <c r="J41" s="157">
        <v>222.864</v>
      </c>
      <c r="K41" s="160">
        <v>101.822</v>
      </c>
      <c r="L41" s="163">
        <v>10</v>
      </c>
      <c r="P41" s="82">
        <f>L41*E41/100</f>
        <v>171.40619999999998</v>
      </c>
      <c r="Q41" s="55"/>
      <c r="R41" s="51">
        <v>6.62</v>
      </c>
      <c r="S41" s="44"/>
      <c r="T41" s="135">
        <f>IF(R41&lt;=12, 0.41*P41,
 IF(AND(R41&gt;12, R41&lt;=20, E41&gt;1500), 0.67*P41,
 IF(AND(R41&gt;12, R41&lt;=20, E41&gt;750, E41&lt;=1500), 0.63*P41,
 IF(AND(R41&gt;12, R41&lt;=20, E41&lt;=750), 0.43*P41,
 IF(AND(R41&gt;20, R41&lt;=30, E41&gt;750), 1.01*P41,
 IF(AND(R41&gt;20, R41&lt;=30, E41&lt;=750), 0.64*P41,
 IF(R41&gt;30, 2.36*P41, "Sin preciN")))))))</f>
        <v>70.276541999999992</v>
      </c>
      <c r="U41" s="135">
        <f>IF(R41&lt;=12, 44.94*G41,
 IF(AND(R41&gt;12, R41&lt;=20, E41&gt;1500), 27.35*G41,
 IF(AND(R41&gt;12, R41&lt;=20, E41&gt;750, E41&lt;=1500), 20.39*G41,
 IF(AND(R41&gt;12, R41&lt;=20, E41&lt;=750), 20.86*G41,
 IF(AND(R41&gt;20, R41&lt;=30, E41&gt;750), 21.94*G41,
 IF(AND(R41&gt;20, R41&lt;=30, E41&lt;=750), 18.23*G41,
 IF(R41&gt;30, "Sin precio", "Sin precio")))))))</f>
        <v>7702.9946279999986</v>
      </c>
      <c r="V41" s="135">
        <v>213.12999999999997</v>
      </c>
      <c r="W41" s="135">
        <f>(G41*Precios!P$17)*0.655</f>
        <v>3929.4871349999999</v>
      </c>
      <c r="X41" s="373">
        <f>K41*15</f>
        <v>1527.33</v>
      </c>
      <c r="Y41" s="373"/>
      <c r="Z41" s="135">
        <f>W41-V41-U41-T41</f>
        <v>-4056.9140349999989</v>
      </c>
      <c r="AA41" s="135">
        <f>SUM(Z41:Z55)</f>
        <v>-4737.249006999994</v>
      </c>
      <c r="AB41" s="136">
        <f>VAN!D28</f>
        <v>-8777.0419029479453</v>
      </c>
      <c r="AC41" s="181">
        <f>H55*Precios!G$22</f>
        <v>12298.806</v>
      </c>
      <c r="AD41" s="137">
        <f>(F55-H55)*Precios!P$17*0.655</f>
        <v>5624.2360999999992</v>
      </c>
      <c r="AE41" s="182">
        <f>SUM(AB41:AD41)</f>
        <v>9146.0001970520534</v>
      </c>
      <c r="AH41" s="167">
        <f>SUM(AC41:AD41)</f>
        <v>17923.042099999999</v>
      </c>
    </row>
    <row r="42" spans="2:34" ht="14.4" x14ac:dyDescent="0.3">
      <c r="B42" s="45" t="s">
        <v>12</v>
      </c>
      <c r="C42" t="s">
        <v>66</v>
      </c>
      <c r="D42">
        <v>20</v>
      </c>
      <c r="E42">
        <v>1692.7460000000001</v>
      </c>
      <c r="F42">
        <v>178.346</v>
      </c>
      <c r="H42" s="157">
        <v>17.760000000000002</v>
      </c>
      <c r="I42" s="170">
        <v>56.484000000000002</v>
      </c>
      <c r="J42" s="157">
        <v>240.62</v>
      </c>
      <c r="K42" s="160">
        <v>109.932</v>
      </c>
      <c r="L42" s="163"/>
      <c r="P42" s="82"/>
      <c r="Q42" s="55"/>
      <c r="R42" s="51">
        <v>6.8719999999999999</v>
      </c>
      <c r="T42" s="137"/>
      <c r="U42" s="137"/>
      <c r="V42" s="137"/>
      <c r="W42" s="137"/>
      <c r="X42" s="374"/>
      <c r="Y42" s="374"/>
      <c r="Z42" s="137"/>
      <c r="AA42" s="137"/>
      <c r="AB42" s="138"/>
      <c r="AC42" s="181"/>
      <c r="AD42" s="137"/>
      <c r="AE42" s="37"/>
    </row>
    <row r="43" spans="2:34" ht="14.4" x14ac:dyDescent="0.3">
      <c r="B43" s="45" t="s">
        <v>12</v>
      </c>
      <c r="C43" t="s">
        <v>2</v>
      </c>
      <c r="D43">
        <v>20</v>
      </c>
      <c r="E43">
        <v>1585.4380000000001</v>
      </c>
      <c r="F43">
        <v>180.358</v>
      </c>
      <c r="G43">
        <f t="shared" si="1"/>
        <v>317.08760000000001</v>
      </c>
      <c r="H43" s="157">
        <v>17.760000000000002</v>
      </c>
      <c r="I43" s="170">
        <v>56.484000000000002</v>
      </c>
      <c r="J43" s="157">
        <v>237.38399999999999</v>
      </c>
      <c r="K43" s="160">
        <v>108.45</v>
      </c>
      <c r="L43" s="163">
        <v>10</v>
      </c>
      <c r="P43" s="82">
        <f>E42-E43</f>
        <v>107.30799999999999</v>
      </c>
      <c r="Q43" s="55"/>
      <c r="R43" s="51">
        <v>7.992</v>
      </c>
      <c r="T43" s="137">
        <f>IF(R43&lt;=12, 0.41*P43,
 IF(AND(R43&gt;12, R43&lt;=20, E43&gt;1500), 0.67*P43,
 IF(AND(R43&gt;12, R43&lt;=20, E43&gt;750, E43&lt;=1500), 0.63*P43,
 IF(AND(R43&gt;12, R43&lt;=20, E43&lt;=750), 0.43*P43,
 IF(AND(R43&gt;20, R43&lt;=30, E43&gt;750), 1.01*P43,
 IF(AND(R43&gt;20, R43&lt;=30, E43&lt;=750), 0.64*P43,
 IF(R43&gt;30, 2.36*P43, "Sin preciN")))))))</f>
        <v>43.996279999999992</v>
      </c>
      <c r="U43" s="137">
        <f>IF(R43&lt;=12, 44.94*G43,
 IF(AND(R43&gt;12, R43&lt;=20, E43&gt;1500), 27.35*G43,
 IF(AND(R43&gt;12, R43&lt;=20, E43&gt;750, E43&lt;=1500), 20.39*G43,
 IF(AND(R43&gt;12, R43&lt;=20, E43&lt;=750), 20.86*G43,
 IF(AND(R43&gt;20, R43&lt;=30, E43&gt;750), 21.94*G43,
 IF(AND(R43&gt;20, R43&lt;=30, E43&lt;=750), 18.23*G43,
 IF(R43&gt;30, "Sin precio", "Sin precio")))))))</f>
        <v>14249.916744</v>
      </c>
      <c r="V43" s="137">
        <v>213.12999999999997</v>
      </c>
      <c r="W43" s="137">
        <f>(G43*Precios!P$17)*0.655</f>
        <v>7269.2332300000007</v>
      </c>
      <c r="X43" s="374">
        <f>SUM(K42:K43)*15</f>
        <v>3275.73</v>
      </c>
      <c r="Y43" s="374"/>
      <c r="Z43" s="137">
        <f>W43-V43-U43-T43</f>
        <v>-7237.8097939999998</v>
      </c>
      <c r="AA43" s="137"/>
      <c r="AB43" s="138"/>
      <c r="AC43" s="181"/>
      <c r="AD43" s="137"/>
      <c r="AE43" s="37"/>
    </row>
    <row r="44" spans="2:34" ht="14.4" x14ac:dyDescent="0.3">
      <c r="B44" s="45" t="s">
        <v>12</v>
      </c>
      <c r="C44" t="s">
        <v>66</v>
      </c>
      <c r="D44">
        <v>30</v>
      </c>
      <c r="E44">
        <v>1553.356</v>
      </c>
      <c r="F44">
        <v>200.036</v>
      </c>
      <c r="H44" s="157">
        <v>28.74</v>
      </c>
      <c r="I44" s="170">
        <v>68.105999999999995</v>
      </c>
      <c r="J44" s="157">
        <v>263.59800000000001</v>
      </c>
      <c r="K44" s="160">
        <v>120.428</v>
      </c>
      <c r="L44" s="163"/>
      <c r="P44" s="82"/>
      <c r="Q44" s="55"/>
      <c r="R44" s="51">
        <v>8.516</v>
      </c>
      <c r="T44" s="137"/>
      <c r="U44" s="137"/>
      <c r="V44" s="137"/>
      <c r="W44" s="137"/>
      <c r="X44" s="374"/>
      <c r="Y44" s="374"/>
      <c r="Z44" s="137"/>
      <c r="AA44" s="137"/>
      <c r="AB44" s="138"/>
      <c r="AC44" s="181"/>
      <c r="AD44" s="137"/>
      <c r="AE44" s="37"/>
    </row>
    <row r="45" spans="2:34" ht="14.4" x14ac:dyDescent="0.3">
      <c r="B45" s="45" t="s">
        <v>12</v>
      </c>
      <c r="C45" t="s">
        <v>66</v>
      </c>
      <c r="D45">
        <v>40</v>
      </c>
      <c r="E45">
        <v>1506.942</v>
      </c>
      <c r="F45">
        <v>220.92400000000001</v>
      </c>
      <c r="H45" s="157">
        <v>29.233332999999998</v>
      </c>
      <c r="I45" s="170">
        <v>90.14</v>
      </c>
      <c r="J45" s="157">
        <v>306.01799999999997</v>
      </c>
      <c r="K45" s="160">
        <v>139.80199999999999</v>
      </c>
      <c r="L45" s="163"/>
      <c r="P45" s="82"/>
      <c r="Q45" s="55"/>
      <c r="R45" s="51">
        <v>9.14</v>
      </c>
      <c r="T45" s="137"/>
      <c r="U45" s="137"/>
      <c r="V45" s="137"/>
      <c r="W45" s="137"/>
      <c r="X45" s="374"/>
      <c r="Y45" s="374"/>
      <c r="Z45" s="137"/>
      <c r="AA45" s="137"/>
      <c r="AB45" s="138"/>
      <c r="AC45" s="181"/>
      <c r="AD45" s="137"/>
      <c r="AE45" s="37"/>
    </row>
    <row r="46" spans="2:34" ht="14.4" x14ac:dyDescent="0.3">
      <c r="B46" s="45" t="s">
        <v>12</v>
      </c>
      <c r="C46" t="s">
        <v>2</v>
      </c>
      <c r="D46">
        <v>40</v>
      </c>
      <c r="E46">
        <v>1205.5540000000001</v>
      </c>
      <c r="F46">
        <v>234.928</v>
      </c>
      <c r="G46">
        <f t="shared" si="1"/>
        <v>482.22160000000002</v>
      </c>
      <c r="H46" s="157">
        <v>29.233332999999998</v>
      </c>
      <c r="I46" s="170">
        <v>90.14</v>
      </c>
      <c r="J46" s="157">
        <v>286.71199999999999</v>
      </c>
      <c r="K46" s="160">
        <v>130.976</v>
      </c>
      <c r="L46" s="163">
        <v>20</v>
      </c>
      <c r="P46" s="82">
        <f>E45-E46</f>
        <v>301.38799999999992</v>
      </c>
      <c r="Q46" s="55"/>
      <c r="R46" s="51">
        <v>12.135999999999999</v>
      </c>
      <c r="T46" s="137">
        <f>IF(R46&lt;=12, 0.41*P46,
 IF(AND(R46&gt;12, R46&lt;=20, E46&gt;1500), 0.67*P46,
 IF(AND(R46&gt;12, R46&lt;=20, E46&gt;750, E46&lt;=1500), 0.63*P46,
 IF(AND(R46&gt;12, R46&lt;=20, E46&lt;=750), 0.43*P46,
 IF(AND(R46&gt;20, R46&lt;=30, E46&gt;750), 1.01*P46,
 IF(AND(R46&gt;20, R46&lt;=30, E46&lt;=750), 0.64*P46,
 IF(R46&gt;30, 2.36*P46, "Sin preciN")))))))</f>
        <v>189.87443999999996</v>
      </c>
      <c r="U46" s="137">
        <f>IF(R46&lt;=12, 44.94*G46,
 IF(AND(R46&gt;12, R46&lt;=20, E46&gt;1500), 27.35*G46,
 IF(AND(R46&gt;12, R46&lt;=20, E46&gt;750, E46&lt;=1500), 20.39*G46,
 IF(AND(R46&gt;12, R46&lt;=20, E46&lt;=750), 20.86*G46,
 IF(AND(R46&gt;20, R46&lt;=30, E46&gt;750), 21.94*G46,
 IF(AND(R46&gt;20, R46&lt;=30, E46&lt;=750), 18.23*G46,
 IF(R46&gt;30, "Sin precio", "Sin precio")))))))</f>
        <v>9832.4984240000013</v>
      </c>
      <c r="V46" s="137">
        <v>213.12999999999997</v>
      </c>
      <c r="W46" s="137">
        <f>(G46*Precios!P$17)*0.655</f>
        <v>11054.930180000001</v>
      </c>
      <c r="X46" s="374">
        <f>SUM(K44:K46)*15</f>
        <v>5868.09</v>
      </c>
      <c r="Y46" s="374"/>
      <c r="Z46" s="137">
        <f>W46-V46-U46-T46</f>
        <v>819.42731600000081</v>
      </c>
      <c r="AA46" s="137"/>
      <c r="AB46" s="138"/>
      <c r="AC46" s="181"/>
      <c r="AD46" s="137"/>
      <c r="AE46" s="37"/>
    </row>
    <row r="47" spans="2:34" ht="14.4" x14ac:dyDescent="0.3">
      <c r="B47" s="45" t="s">
        <v>12</v>
      </c>
      <c r="C47" t="s">
        <v>66</v>
      </c>
      <c r="D47">
        <v>50</v>
      </c>
      <c r="E47">
        <v>1180.81</v>
      </c>
      <c r="F47">
        <v>258.62799999999999</v>
      </c>
      <c r="H47" s="157">
        <v>34.3825</v>
      </c>
      <c r="I47" s="170">
        <v>117.59</v>
      </c>
      <c r="J47" s="157">
        <v>332.43799999999999</v>
      </c>
      <c r="K47" s="160">
        <v>151.86600000000001</v>
      </c>
      <c r="L47" s="163"/>
      <c r="P47" s="82"/>
      <c r="Q47" s="55"/>
      <c r="R47" s="51">
        <v>12.994</v>
      </c>
      <c r="T47" s="137"/>
      <c r="U47" s="137"/>
      <c r="V47" s="137"/>
      <c r="W47" s="137"/>
      <c r="X47" s="374"/>
      <c r="Y47" s="374"/>
      <c r="Z47" s="137"/>
      <c r="AA47" s="137"/>
      <c r="AB47" s="138"/>
      <c r="AC47" s="181"/>
      <c r="AD47" s="137"/>
      <c r="AE47" s="37"/>
    </row>
    <row r="48" spans="2:34" ht="14.4" x14ac:dyDescent="0.3">
      <c r="B48" s="45" t="s">
        <v>12</v>
      </c>
      <c r="C48" t="s">
        <v>66</v>
      </c>
      <c r="D48">
        <v>60</v>
      </c>
      <c r="E48">
        <v>1157.8699999999999</v>
      </c>
      <c r="F48">
        <v>272.83</v>
      </c>
      <c r="H48" s="157">
        <v>41.433999999999997</v>
      </c>
      <c r="I48" s="170">
        <v>140.94999999999999</v>
      </c>
      <c r="J48" s="157">
        <v>379.07600000000002</v>
      </c>
      <c r="K48" s="160">
        <v>173.17</v>
      </c>
      <c r="L48" s="163"/>
      <c r="P48" s="82"/>
      <c r="Q48" s="55"/>
      <c r="R48" s="51">
        <v>13.726000000000001</v>
      </c>
      <c r="T48" s="137"/>
      <c r="U48" s="137"/>
      <c r="V48" s="137"/>
      <c r="W48" s="137"/>
      <c r="X48" s="374"/>
      <c r="Y48" s="374"/>
      <c r="Z48" s="137"/>
      <c r="AA48" s="137"/>
      <c r="AB48" s="138"/>
      <c r="AC48" s="181"/>
      <c r="AD48" s="137"/>
      <c r="AE48" s="37"/>
    </row>
    <row r="49" spans="2:34" ht="14.4" x14ac:dyDescent="0.3">
      <c r="B49" s="45" t="s">
        <v>12</v>
      </c>
      <c r="C49" t="s">
        <v>2</v>
      </c>
      <c r="D49">
        <v>60</v>
      </c>
      <c r="E49">
        <v>926.29600000000005</v>
      </c>
      <c r="F49">
        <v>297.36799999999999</v>
      </c>
      <c r="G49">
        <f t="shared" si="1"/>
        <v>555.77760000000001</v>
      </c>
      <c r="H49" s="157">
        <v>41.433999999999997</v>
      </c>
      <c r="I49" s="170">
        <v>139.25200000000001</v>
      </c>
      <c r="J49" s="157">
        <v>347.36599999999999</v>
      </c>
      <c r="K49" s="160">
        <v>158.684</v>
      </c>
      <c r="L49" s="163">
        <v>20</v>
      </c>
      <c r="P49" s="82">
        <f>E48-E49</f>
        <v>231.57399999999984</v>
      </c>
      <c r="Q49" s="55"/>
      <c r="R49" s="51">
        <v>16.716000000000001</v>
      </c>
      <c r="T49" s="137">
        <f>IF(R49&lt;=12, 0.41*P49,
 IF(AND(R49&gt;12, R49&lt;=20, E49&gt;1500), 0.67*P49,
 IF(AND(R49&gt;12, R49&lt;=20, E49&gt;750, E49&lt;=1500), 0.63*P49,
 IF(AND(R49&gt;12, R49&lt;=20, E49&lt;=750), 0.43*P49,
 IF(AND(R49&gt;20, R49&lt;=30, E49&gt;750), 1.01*P49,
 IF(AND(R49&gt;20, R49&lt;=30, E49&lt;=750), 0.64*P49,
 IF(R49&gt;30, 2.36*P49, "Sin preciN")))))))</f>
        <v>145.8916199999999</v>
      </c>
      <c r="U49" s="137">
        <f>IF(R49&lt;=12, 44.94*G49,
 IF(AND(R49&gt;12, R49&lt;=20, E49&gt;1500), 27.35*G49,
 IF(AND(R49&gt;12, R49&lt;=20, E49&gt;750, E49&lt;=1500), 20.39*G49,
 IF(AND(R49&gt;12, R49&lt;=20, E49&lt;=750), 20.86*G49,
 IF(AND(R49&gt;20, R49&lt;=30, E49&gt;750), 21.94*G49,
 IF(AND(R49&gt;20, R49&lt;=30, E49&lt;=750), 18.23*G49,
 IF(R49&gt;30, "Sin precio", "Sin precio")))))))</f>
        <v>11332.305264000001</v>
      </c>
      <c r="V49" s="137">
        <v>213.12999999999997</v>
      </c>
      <c r="W49" s="137">
        <f>(G49*Precios!P$17)*0.655</f>
        <v>12741.201480000002</v>
      </c>
      <c r="X49" s="374">
        <f>SUM(K47:K49)*15</f>
        <v>7255.8</v>
      </c>
      <c r="Y49" s="374"/>
      <c r="Z49" s="137">
        <f>W49-V49-U49-T49</f>
        <v>1049.8745960000019</v>
      </c>
      <c r="AA49" s="137"/>
      <c r="AB49" s="138"/>
      <c r="AC49" s="181"/>
      <c r="AD49" s="137"/>
      <c r="AE49" s="37"/>
    </row>
    <row r="50" spans="2:34" ht="14.4" x14ac:dyDescent="0.3">
      <c r="B50" s="45" t="s">
        <v>12</v>
      </c>
      <c r="C50" t="s">
        <v>66</v>
      </c>
      <c r="D50">
        <v>70</v>
      </c>
      <c r="E50">
        <v>911.44</v>
      </c>
      <c r="F50">
        <v>311.67399999999998</v>
      </c>
      <c r="H50" s="157">
        <v>62.756</v>
      </c>
      <c r="I50" s="170">
        <v>162.26</v>
      </c>
      <c r="J50" s="157">
        <v>394.16199999999998</v>
      </c>
      <c r="K50" s="160">
        <v>180.06399999999999</v>
      </c>
      <c r="L50" s="163"/>
      <c r="P50" s="82"/>
      <c r="Q50" s="55"/>
      <c r="R50" s="51">
        <v>17.513999999999999</v>
      </c>
      <c r="T50" s="137"/>
      <c r="U50" s="137"/>
      <c r="V50" s="137"/>
      <c r="W50" s="137"/>
      <c r="X50" s="374"/>
      <c r="Y50" s="374"/>
      <c r="Z50" s="137"/>
      <c r="AA50" s="137"/>
      <c r="AB50" s="138"/>
      <c r="AC50" s="181"/>
      <c r="AD50" s="137"/>
      <c r="AE50" s="37"/>
    </row>
    <row r="51" spans="2:34" ht="14.4" x14ac:dyDescent="0.3">
      <c r="B51" s="45" t="s">
        <v>12</v>
      </c>
      <c r="C51" t="s">
        <v>66</v>
      </c>
      <c r="D51">
        <v>80</v>
      </c>
      <c r="E51">
        <v>897.22400000000005</v>
      </c>
      <c r="F51">
        <v>315.76799999999997</v>
      </c>
      <c r="H51" s="157">
        <v>83.616</v>
      </c>
      <c r="I51" s="170">
        <v>182.66</v>
      </c>
      <c r="J51" s="157">
        <v>440.99799999999999</v>
      </c>
      <c r="K51" s="160">
        <v>201.458</v>
      </c>
      <c r="L51" s="163"/>
      <c r="P51" s="82"/>
      <c r="Q51" s="55"/>
      <c r="R51" s="51">
        <v>18.187999999999999</v>
      </c>
      <c r="T51" s="137"/>
      <c r="U51" s="137"/>
      <c r="V51" s="137"/>
      <c r="W51" s="137"/>
      <c r="X51" s="374"/>
      <c r="Y51" s="374"/>
      <c r="Z51" s="137"/>
      <c r="AA51" s="137"/>
      <c r="AB51" s="138"/>
      <c r="AC51" s="181"/>
      <c r="AD51" s="137"/>
      <c r="AE51" s="37"/>
    </row>
    <row r="52" spans="2:34" ht="14.4" x14ac:dyDescent="0.3">
      <c r="B52" s="45" t="s">
        <v>12</v>
      </c>
      <c r="C52" t="s">
        <v>2</v>
      </c>
      <c r="D52">
        <v>80</v>
      </c>
      <c r="E52">
        <v>717.78</v>
      </c>
      <c r="F52">
        <v>350.77800000000002</v>
      </c>
      <c r="G52">
        <f t="shared" si="1"/>
        <v>574.22399999999993</v>
      </c>
      <c r="H52" s="157">
        <v>83.616</v>
      </c>
      <c r="I52" s="170">
        <v>166.88200000000001</v>
      </c>
      <c r="J52" s="157">
        <v>397.18200000000002</v>
      </c>
      <c r="K52" s="160">
        <v>181.44</v>
      </c>
      <c r="L52" s="163">
        <v>20</v>
      </c>
      <c r="P52" s="82">
        <f>E51-E52</f>
        <v>179.44400000000007</v>
      </c>
      <c r="Q52" s="55"/>
      <c r="R52" s="51">
        <v>20.698</v>
      </c>
      <c r="T52" s="137">
        <f>IF(R52&lt;=12, 0.41*P52,
 IF(AND(R52&gt;12, R52&lt;=20, E52&gt;1500), 0.67*P52,
 IF(AND(R52&gt;12, R52&lt;=20, E52&gt;750, E52&lt;=1500), 0.63*P52,
 IF(AND(R52&gt;12, R52&lt;=20, E52&lt;=750), 0.43*P52,
 IF(AND(R52&gt;20, R52&lt;=30, E52&gt;750), 1.01*P52,
 IF(AND(R52&gt;20, R52&lt;=30, E52&lt;=750), 0.64*P52,
 IF(R52&gt;30, 2.36*P52, "Sin preciN")))))))</f>
        <v>114.84416000000004</v>
      </c>
      <c r="U52" s="137">
        <f>IF(R52&lt;=12, 44.94*G52,
 IF(AND(R52&gt;12, R52&lt;=20, E52&gt;1500), 27.35*G52,
 IF(AND(R52&gt;12, R52&lt;=20, E52&gt;750, E52&lt;=1500), 20.39*G52,
 IF(AND(R52&gt;12, R52&lt;=20, E52&lt;=750), 20.86*G52,
 IF(AND(R52&gt;20, R52&lt;=30, E52&gt;750), 21.94*G52,
 IF(AND(R52&gt;20, R52&lt;=30, E52&lt;=750), 18.23*G52,
 IF(R52&gt;30, "Sin precio", "Sin precio")))))))</f>
        <v>10468.103519999999</v>
      </c>
      <c r="V52" s="137">
        <v>213.12999999999997</v>
      </c>
      <c r="W52" s="137">
        <f>(G52*Precios!P$17)*0.655</f>
        <v>13164.085199999998</v>
      </c>
      <c r="X52" s="374">
        <f>SUM(K50:K52)*15</f>
        <v>8444.43</v>
      </c>
      <c r="Y52" s="374"/>
      <c r="Z52" s="137">
        <f>W52-V52-U52-T52</f>
        <v>2368.0075199999997</v>
      </c>
      <c r="AA52" s="137"/>
      <c r="AB52" s="138"/>
      <c r="AC52" s="181"/>
      <c r="AD52" s="137"/>
      <c r="AE52" s="37"/>
    </row>
    <row r="53" spans="2:34" ht="14.4" x14ac:dyDescent="0.3">
      <c r="B53" s="45" t="s">
        <v>12</v>
      </c>
      <c r="C53" t="s">
        <v>66</v>
      </c>
      <c r="D53">
        <v>90</v>
      </c>
      <c r="E53">
        <v>707.87400000000002</v>
      </c>
      <c r="F53">
        <v>353.464</v>
      </c>
      <c r="H53" s="157">
        <v>114.33799999999999</v>
      </c>
      <c r="I53" s="170">
        <v>178.346</v>
      </c>
      <c r="J53" s="157">
        <v>442.43</v>
      </c>
      <c r="K53" s="160">
        <v>202.11199999999999</v>
      </c>
      <c r="L53" s="163"/>
      <c r="P53" s="82"/>
      <c r="Q53" s="55"/>
      <c r="R53" s="51">
        <v>21.431999999999999</v>
      </c>
      <c r="T53" s="137"/>
      <c r="U53" s="137"/>
      <c r="V53" s="137"/>
      <c r="W53" s="137"/>
      <c r="X53" s="374"/>
      <c r="Y53" s="374"/>
      <c r="Z53" s="137"/>
      <c r="AA53" s="137"/>
      <c r="AB53" s="138"/>
      <c r="AC53" s="181"/>
      <c r="AD53" s="137"/>
      <c r="AE53" s="37"/>
    </row>
    <row r="54" spans="2:34" ht="14.4" x14ac:dyDescent="0.3">
      <c r="B54" s="45" t="s">
        <v>12</v>
      </c>
      <c r="C54" t="s">
        <v>66</v>
      </c>
      <c r="D54">
        <v>100</v>
      </c>
      <c r="E54">
        <v>698.26400000000001</v>
      </c>
      <c r="F54">
        <v>346.238</v>
      </c>
      <c r="H54" s="157">
        <v>146.422</v>
      </c>
      <c r="I54" s="170">
        <v>186.69</v>
      </c>
      <c r="J54" s="157">
        <v>487.15199999999999</v>
      </c>
      <c r="K54" s="160">
        <v>222.542</v>
      </c>
      <c r="L54" s="163"/>
      <c r="P54" s="82"/>
      <c r="Q54" s="55"/>
      <c r="R54" s="51">
        <v>22.056000000000001</v>
      </c>
      <c r="T54" s="137"/>
      <c r="U54" s="137"/>
      <c r="V54" s="137"/>
      <c r="W54" s="137"/>
      <c r="X54" s="374"/>
      <c r="Y54" s="374"/>
      <c r="Z54" s="137"/>
      <c r="AA54" s="137"/>
      <c r="AB54" s="138"/>
      <c r="AC54" s="181"/>
      <c r="AD54" s="137"/>
      <c r="AE54" s="37"/>
    </row>
    <row r="55" spans="2:34" thickBot="1" x14ac:dyDescent="0.35">
      <c r="B55" s="45" t="s">
        <v>12</v>
      </c>
      <c r="C55" t="s">
        <v>2</v>
      </c>
      <c r="D55">
        <v>100</v>
      </c>
      <c r="E55">
        <v>558.61</v>
      </c>
      <c r="F55">
        <v>390.88</v>
      </c>
      <c r="G55">
        <f t="shared" si="1"/>
        <v>558.61</v>
      </c>
      <c r="H55" s="157">
        <v>145.548</v>
      </c>
      <c r="I55" s="170">
        <v>157.744</v>
      </c>
      <c r="J55" s="157">
        <v>432.16</v>
      </c>
      <c r="K55" s="160">
        <v>197.422</v>
      </c>
      <c r="L55" s="163">
        <v>20</v>
      </c>
      <c r="P55" s="82">
        <f>E54-E55</f>
        <v>139.654</v>
      </c>
      <c r="Q55" s="55"/>
      <c r="R55" s="52">
        <v>25.042000000000002</v>
      </c>
      <c r="S55" s="47"/>
      <c r="T55" s="139">
        <f>IF(R55&lt;=12, 0.41*P55,
 IF(AND(R55&gt;12, R55&lt;=20, E55&gt;1500), 0.67*P55,
 IF(AND(R55&gt;12, R55&lt;=20, E55&gt;750, E55&lt;=1500), 0.63*P55,
 IF(AND(R55&gt;12, R55&lt;=20, E55&lt;=750), 0.43*P55,
 IF(AND(R55&gt;20, R55&lt;=30, E55&gt;750), 1.01*P55,
 IF(AND(R55&gt;20, R55&lt;=30, E55&lt;=750), 0.64*P55,
 IF(R55&gt;30, 2.36*P55, "Sin preciN")))))))</f>
        <v>89.378559999999993</v>
      </c>
      <c r="U55" s="139">
        <f>IF(R55&lt;=12, 44.94*G55,
 IF(AND(R55&gt;12, R55&lt;=20, E55&gt;1500), 27.35*G55,
 IF(AND(R55&gt;12, R55&lt;=20, E55&gt;750, E55&lt;=1500), 20.39*G55,
 IF(AND(R55&gt;12, R55&lt;=20, E55&lt;=750), 20.86*G55,
 IF(AND(R55&gt;20, R55&lt;=30, E55&gt;750), 21.94*G55,
 IF(AND(R55&gt;20, R55&lt;=30, E55&lt;=750), 18.23*G55,
 IF(R55&gt;30, "Sin precio", "Sin precio")))))))</f>
        <v>10183.460300000001</v>
      </c>
      <c r="V55" s="139">
        <v>213.12999999999997</v>
      </c>
      <c r="W55" s="139">
        <f>(G55*Precios!P$17)*0.655</f>
        <v>12806.134250000003</v>
      </c>
      <c r="X55" s="375">
        <f>SUM(K53:K55)*15</f>
        <v>9331.14</v>
      </c>
      <c r="Y55" s="375"/>
      <c r="Z55" s="139">
        <f>W55-V55-U55-T55</f>
        <v>2320.1653900000028</v>
      </c>
      <c r="AA55" s="139"/>
      <c r="AB55" s="140"/>
      <c r="AC55" s="181"/>
      <c r="AD55" s="137"/>
      <c r="AE55" s="37"/>
    </row>
    <row r="56" spans="2:34" ht="14.4" x14ac:dyDescent="0.3">
      <c r="B56" s="43" t="s">
        <v>37</v>
      </c>
      <c r="C56" s="44" t="s">
        <v>2</v>
      </c>
      <c r="D56" s="44">
        <v>10</v>
      </c>
      <c r="E56" s="44">
        <v>1714.0619999999999</v>
      </c>
      <c r="F56" s="44">
        <v>158.33799999999999</v>
      </c>
      <c r="G56" s="44">
        <f t="shared" si="1"/>
        <v>171.40619999999998</v>
      </c>
      <c r="H56" s="158">
        <v>7.665</v>
      </c>
      <c r="I56" s="172">
        <v>45.83</v>
      </c>
      <c r="J56" s="158">
        <v>213.41800000000001</v>
      </c>
      <c r="K56" s="159">
        <v>97.51</v>
      </c>
      <c r="L56" s="158">
        <v>10</v>
      </c>
      <c r="M56" s="44"/>
      <c r="N56" s="44"/>
      <c r="O56" s="44"/>
      <c r="P56" s="44"/>
      <c r="Q56" s="86">
        <f>(E56*L56)/100</f>
        <v>171.40619999999998</v>
      </c>
      <c r="R56" s="50">
        <v>5.86</v>
      </c>
      <c r="S56" s="44"/>
      <c r="T56" s="135">
        <f>IF(R56&lt;=12, 0.41*Q56,
 IF(AND(R56&gt;12, R56&lt;=20, E56&gt;1500), 0.67*Q56,
 IF(AND(R56&gt;12, R56&lt;=20, E56&gt;750, E56&lt;=1500), 0.63*Q56,
 IF(AND(R56&gt;12, R56&lt;=20, E56&lt;=750), 0.43*Q56,
 IF(AND(R56&gt;20, R56&lt;=30, E56&gt;750), 1.01*Q56,
 IF(AND(R56&gt;20, R56&lt;=30, E56&lt;=750), 0.64*Q56,
 IF(R56&gt;30, 2.36*Q56, "Sin precio")))))))</f>
        <v>70.276541999999992</v>
      </c>
      <c r="U56" s="135">
        <f>IF(R56&lt;=12, 44.94*G56,
 IF(AND(R56&gt;12, R56&lt;=20, E56&gt;1500), 27.35*G56,
 IF(AND(R56&gt;12, R56&lt;=20, E56&gt;750, E56&lt;=1500), 20.39*G56,
 IF(AND(R56&gt;12, R56&lt;=20, E56&lt;=750), 20.86*G56,
 IF(AND(R56&gt;20, R56&lt;=30, E56&gt;750), 21.94*G56,
 IF(AND(R56&gt;20, R56&lt;=30, E56&lt;=750), 18.23*G56,
 IF(R56&gt;30, "Sin precio", "Sin precio")))))))</f>
        <v>7702.9946279999986</v>
      </c>
      <c r="V56" s="135">
        <v>213.12999999999997</v>
      </c>
      <c r="W56" s="135">
        <f>(G56*Precios!P$17)*0.655</f>
        <v>3929.4871349999999</v>
      </c>
      <c r="X56" s="373">
        <f>K56*15</f>
        <v>1462.65</v>
      </c>
      <c r="Y56" s="373"/>
      <c r="Z56" s="135">
        <f>W56-V56-U56-T56</f>
        <v>-4056.9140349999989</v>
      </c>
      <c r="AA56" s="135">
        <f>SUM(Z56:Z69)</f>
        <v>-23729.151723999988</v>
      </c>
      <c r="AB56" s="136">
        <f>VAN!D36</f>
        <v>-9015.8626288939249</v>
      </c>
      <c r="AC56" s="181">
        <f>H69*Precios!G$22</f>
        <v>7456.6180000000004</v>
      </c>
      <c r="AD56" s="137">
        <f>(F69-H69)*Precios!P$17*0.655</f>
        <v>4383.3975500000006</v>
      </c>
      <c r="AE56" s="182">
        <f>SUM(AB56:AD56)</f>
        <v>2824.1529211060761</v>
      </c>
      <c r="AH56" s="167">
        <f>SUM(AC56:AD56)</f>
        <v>11840.01555</v>
      </c>
    </row>
    <row r="57" spans="2:34" ht="14.4" x14ac:dyDescent="0.3">
      <c r="B57" s="45" t="s">
        <v>37</v>
      </c>
      <c r="C57" s="364" t="s">
        <v>66</v>
      </c>
      <c r="D57" s="364">
        <v>20</v>
      </c>
      <c r="E57" s="364">
        <v>1687.6759999999999</v>
      </c>
      <c r="F57" s="364">
        <v>171.93600000000001</v>
      </c>
      <c r="G57" s="364"/>
      <c r="H57" s="366">
        <v>15.4</v>
      </c>
      <c r="I57" s="367">
        <v>52.521999999999998</v>
      </c>
      <c r="J57" s="366">
        <v>229.792</v>
      </c>
      <c r="K57" s="160">
        <v>104.99</v>
      </c>
      <c r="L57" s="366"/>
      <c r="M57" s="364"/>
      <c r="N57" s="364"/>
      <c r="O57" s="364"/>
      <c r="P57" s="364"/>
      <c r="Q57" s="83"/>
      <c r="R57" s="51">
        <v>6.2759999999999998</v>
      </c>
      <c r="T57" s="137"/>
      <c r="U57" s="137"/>
      <c r="V57" s="137"/>
      <c r="W57" s="137"/>
      <c r="X57" s="374"/>
      <c r="Y57" s="374"/>
      <c r="Z57" s="137"/>
      <c r="AA57" s="137"/>
      <c r="AB57" s="138"/>
      <c r="AC57" s="181"/>
      <c r="AD57" s="137"/>
      <c r="AE57" s="37"/>
    </row>
    <row r="58" spans="2:34" ht="14.4" x14ac:dyDescent="0.3">
      <c r="B58" s="45" t="s">
        <v>37</v>
      </c>
      <c r="C58" s="364" t="s">
        <v>66</v>
      </c>
      <c r="D58" s="364">
        <v>30</v>
      </c>
      <c r="E58" s="364">
        <v>1642.5920000000001</v>
      </c>
      <c r="F58" s="364">
        <v>176.53</v>
      </c>
      <c r="G58" s="364"/>
      <c r="H58" s="366">
        <v>24.78</v>
      </c>
      <c r="I58" s="367">
        <v>63.143999999999998</v>
      </c>
      <c r="J58" s="366">
        <v>253.81399999999999</v>
      </c>
      <c r="K58" s="160">
        <v>115.964</v>
      </c>
      <c r="L58" s="366"/>
      <c r="M58" s="364"/>
      <c r="N58" s="364"/>
      <c r="O58" s="364"/>
      <c r="P58" s="364"/>
      <c r="Q58" s="83"/>
      <c r="R58" s="51">
        <v>6.6879999999999997</v>
      </c>
      <c r="T58" s="137"/>
      <c r="U58" s="137"/>
      <c r="V58" s="137"/>
      <c r="W58" s="137"/>
      <c r="X58" s="374"/>
      <c r="Y58" s="374"/>
      <c r="Z58" s="137"/>
      <c r="AA58" s="137"/>
      <c r="AB58" s="138"/>
      <c r="AC58" s="181"/>
      <c r="AD58" s="137"/>
      <c r="AE58" s="37"/>
    </row>
    <row r="59" spans="2:34" ht="14.4" x14ac:dyDescent="0.3">
      <c r="B59" s="45" t="s">
        <v>37</v>
      </c>
      <c r="C59" s="364" t="s">
        <v>2</v>
      </c>
      <c r="D59" s="364">
        <v>30</v>
      </c>
      <c r="E59" s="364">
        <v>1404.4190000000001</v>
      </c>
      <c r="F59" s="364">
        <v>191.85400000000001</v>
      </c>
      <c r="G59" s="364">
        <f t="shared" si="1"/>
        <v>421.32569999999998</v>
      </c>
      <c r="H59" s="366">
        <v>23.01</v>
      </c>
      <c r="I59" s="367">
        <v>58.633000000000003</v>
      </c>
      <c r="J59" s="366">
        <v>232.87299999999999</v>
      </c>
      <c r="K59" s="160">
        <v>106.389</v>
      </c>
      <c r="L59" s="366">
        <v>10</v>
      </c>
      <c r="M59" s="364">
        <f>(E58*L59)/100</f>
        <v>164.25920000000002</v>
      </c>
      <c r="N59" s="364">
        <v>10</v>
      </c>
      <c r="O59" s="364">
        <f>((E58-M59)*N59)/100</f>
        <v>147.83328</v>
      </c>
      <c r="P59" s="364"/>
      <c r="Q59" s="83">
        <f>SUM(O59,M59)</f>
        <v>312.09248000000002</v>
      </c>
      <c r="R59" s="51">
        <v>9.06</v>
      </c>
      <c r="T59" s="137">
        <f>IF(R59&lt;=12, 0.41*Q59,
 IF(AND(R59&gt;12, R59&lt;=20, E59&gt;1500), 0.67*Q59,
 IF(AND(R59&gt;12, R59&lt;=20, E59&gt;750, E59&lt;=1500), 0.63*Q59,
 IF(AND(R59&gt;12, R59&lt;=20, E59&lt;=750), 0.43*Q59,
 IF(AND(R59&gt;20, R59&lt;=30, E59&gt;750), 1.01*Q59,
 IF(AND(R59&gt;20, R59&lt;=30, E59&lt;=750), 0.64*Q59,
 IF(R59&gt;30, 2.36*Q59, "Sin precio")))))))</f>
        <v>127.95791680000001</v>
      </c>
      <c r="U59" s="137">
        <f>IF(R59&lt;=12, 44.94*G59,
 IF(AND(R59&gt;12, R59&lt;=20, E59&gt;1500), 27.35*G59,
 IF(AND(R59&gt;12, R59&lt;=20, E59&gt;750, E59&lt;=1500), 20.39*G59,
 IF(AND(R59&gt;12, R59&lt;=20, E59&lt;=750), 20.86*G59,
 IF(AND(R59&gt;20, R59&lt;=30, E59&gt;750), 21.94*G59,
 IF(AND(R59&gt;20, R59&lt;=30, E59&lt;=750), 18.23*G59,
 IF(R59&gt;30, "Sin precio", "Sin precio")))))))</f>
        <v>18934.376957999997</v>
      </c>
      <c r="V59" s="137">
        <v>213.12999999999997</v>
      </c>
      <c r="W59" s="137">
        <f>(G59*Precios!P$17)*0.655</f>
        <v>9658.8916724999999</v>
      </c>
      <c r="X59" s="374">
        <f>SUM(K57:K59)*15</f>
        <v>4910.1450000000004</v>
      </c>
      <c r="Y59" s="374"/>
      <c r="Z59" s="137">
        <f>W59-V59-U59-T59</f>
        <v>-9616.5732022999964</v>
      </c>
      <c r="AA59" s="137"/>
      <c r="AB59" s="138"/>
      <c r="AC59" s="181"/>
      <c r="AD59" s="137"/>
      <c r="AE59" s="37"/>
    </row>
    <row r="60" spans="2:34" ht="14.4" x14ac:dyDescent="0.3">
      <c r="B60" s="45" t="s">
        <v>37</v>
      </c>
      <c r="C60" s="364" t="s">
        <v>66</v>
      </c>
      <c r="D60" s="364">
        <v>40</v>
      </c>
      <c r="E60" s="364">
        <v>1290.4659999999999</v>
      </c>
      <c r="F60" s="364">
        <v>198.23400000000001</v>
      </c>
      <c r="G60" s="364"/>
      <c r="H60" s="366">
        <v>22.81</v>
      </c>
      <c r="I60" s="367">
        <v>75.706000000000003</v>
      </c>
      <c r="J60" s="366">
        <v>258.05399999999997</v>
      </c>
      <c r="K60" s="160">
        <v>117.892</v>
      </c>
      <c r="L60" s="366"/>
      <c r="M60" s="364"/>
      <c r="N60" s="364"/>
      <c r="O60" s="364"/>
      <c r="P60" s="364"/>
      <c r="Q60" s="83"/>
      <c r="R60" s="51">
        <v>9.9079999999999995</v>
      </c>
      <c r="T60" s="137"/>
      <c r="U60" s="137"/>
      <c r="V60" s="137"/>
      <c r="W60" s="137"/>
      <c r="X60" s="374"/>
      <c r="Y60" s="374"/>
      <c r="Z60" s="137"/>
      <c r="AA60" s="137"/>
      <c r="AB60" s="138"/>
      <c r="AC60" s="181"/>
      <c r="AD60" s="137"/>
      <c r="AE60" s="37"/>
    </row>
    <row r="61" spans="2:34" ht="14.4" x14ac:dyDescent="0.3">
      <c r="B61" s="45" t="s">
        <v>37</v>
      </c>
      <c r="C61" s="364" t="s">
        <v>66</v>
      </c>
      <c r="D61" s="364">
        <v>50</v>
      </c>
      <c r="E61" s="364">
        <v>1257.194</v>
      </c>
      <c r="F61" s="364">
        <v>211.93100000000001</v>
      </c>
      <c r="G61" s="364"/>
      <c r="H61" s="366">
        <v>26.732500000000002</v>
      </c>
      <c r="I61" s="367">
        <v>98.054000000000002</v>
      </c>
      <c r="J61" s="366">
        <v>299.964</v>
      </c>
      <c r="K61" s="160">
        <v>137.036</v>
      </c>
      <c r="L61" s="366"/>
      <c r="M61" s="364"/>
      <c r="N61" s="364"/>
      <c r="O61" s="364"/>
      <c r="P61" s="364"/>
      <c r="Q61" s="83"/>
      <c r="R61" s="51">
        <v>10.602</v>
      </c>
      <c r="T61" s="137"/>
      <c r="U61" s="137"/>
      <c r="V61" s="137"/>
      <c r="W61" s="137"/>
      <c r="X61" s="374"/>
      <c r="Y61" s="374"/>
      <c r="Z61" s="137"/>
      <c r="AA61" s="137"/>
      <c r="AB61" s="138"/>
      <c r="AC61" s="181"/>
      <c r="AD61" s="137"/>
      <c r="AE61" s="37"/>
    </row>
    <row r="62" spans="2:34" ht="14.4" x14ac:dyDescent="0.3">
      <c r="B62" s="45" t="s">
        <v>37</v>
      </c>
      <c r="C62" s="364" t="s">
        <v>2</v>
      </c>
      <c r="D62" s="364">
        <v>50</v>
      </c>
      <c r="E62" s="364">
        <v>1074.8979999999999</v>
      </c>
      <c r="F62" s="364">
        <v>232.73599999999999</v>
      </c>
      <c r="G62" s="364">
        <f t="shared" si="1"/>
        <v>537.44899999999996</v>
      </c>
      <c r="H62" s="366">
        <v>24.82375</v>
      </c>
      <c r="I62" s="367">
        <v>91.099000000000004</v>
      </c>
      <c r="J62" s="366">
        <v>272.82299999999998</v>
      </c>
      <c r="K62" s="160">
        <v>124.63200000000001</v>
      </c>
      <c r="L62" s="366">
        <v>10</v>
      </c>
      <c r="M62" s="364">
        <f>(E61*L62)/100</f>
        <v>125.71939999999999</v>
      </c>
      <c r="N62" s="364">
        <v>10</v>
      </c>
      <c r="O62" s="364">
        <f>((E61-M62)*N62)/100</f>
        <v>113.14746</v>
      </c>
      <c r="P62" s="364"/>
      <c r="Q62" s="83">
        <f t="shared" ref="Q62:Q68" si="3">SUM(O62,M62)</f>
        <v>238.86685999999997</v>
      </c>
      <c r="R62" s="51">
        <v>11.858000000000001</v>
      </c>
      <c r="T62" s="137">
        <f>IF(R62&lt;=12, 0.41*Q62,
 IF(AND(R62&gt;12, R62&lt;=20, E62&gt;1500), 0.67*Q62,
 IF(AND(R62&gt;12, R62&lt;=20, E62&gt;750, E62&lt;=1500), 0.63*Q62,
 IF(AND(R62&gt;12, R62&lt;=20, E62&lt;=750), 0.43*Q62,
 IF(AND(R62&gt;20, R62&lt;=30, E62&gt;750), 1.01*Q62,
 IF(AND(R62&gt;20, R62&lt;=30, E62&lt;=750), 0.64*Q62,
 IF(R62&gt;30, 2.36*Q62, "Sin precio")))))))</f>
        <v>97.935412599999978</v>
      </c>
      <c r="U62" s="137">
        <f>IF(R62&lt;=12, 44.94*G62,
 IF(AND(R62&gt;12, R62&lt;=20, E62&gt;1500), 27.35*G62,
 IF(AND(R62&gt;12, R62&lt;=20, E62&gt;750, E62&lt;=1500), 20.39*G62,
 IF(AND(R62&gt;12, R62&lt;=20, E62&lt;=750), 20.86*G62,
 IF(AND(R62&gt;20, R62&lt;=30, E62&gt;750), 21.94*G62,
 IF(AND(R62&gt;20, R62&lt;=30, E62&lt;=750), 18.23*G62,
 IF(R62&gt;30, "Sin precio", "Sin precio")))))))</f>
        <v>24152.958059999997</v>
      </c>
      <c r="V62" s="137">
        <v>213.12999999999997</v>
      </c>
      <c r="W62" s="137">
        <f>(G62*Precios!P$17)*0.655</f>
        <v>12321.018325000001</v>
      </c>
      <c r="X62" s="374">
        <f>SUM(K60:K62)*15</f>
        <v>5693.4</v>
      </c>
      <c r="Y62" s="374"/>
      <c r="Z62" s="137">
        <f>W62-V62-U62-T62</f>
        <v>-12143.005147599995</v>
      </c>
      <c r="AA62" s="137"/>
      <c r="AB62" s="138"/>
      <c r="AC62" s="181"/>
      <c r="AD62" s="137"/>
      <c r="AE62" s="37"/>
    </row>
    <row r="63" spans="2:34" ht="14.4" x14ac:dyDescent="0.3">
      <c r="B63" s="45" t="s">
        <v>37</v>
      </c>
      <c r="C63" s="364" t="s">
        <v>66</v>
      </c>
      <c r="D63" s="364">
        <v>60</v>
      </c>
      <c r="E63" s="364">
        <v>996.11199999999997</v>
      </c>
      <c r="F63" s="364">
        <v>232.01</v>
      </c>
      <c r="G63" s="364"/>
      <c r="H63" s="366">
        <v>28.783999999999999</v>
      </c>
      <c r="I63" s="367">
        <v>104.57</v>
      </c>
      <c r="J63" s="366">
        <v>296.25</v>
      </c>
      <c r="K63" s="160">
        <v>135.334</v>
      </c>
      <c r="L63" s="366"/>
      <c r="M63" s="364"/>
      <c r="N63" s="364"/>
      <c r="O63" s="364"/>
      <c r="P63" s="364"/>
      <c r="Q63" s="83"/>
      <c r="R63" s="51">
        <v>12.827999999999999</v>
      </c>
      <c r="T63" s="137"/>
      <c r="U63" s="137"/>
      <c r="V63" s="137"/>
      <c r="W63" s="137"/>
      <c r="X63" s="374"/>
      <c r="Y63" s="374"/>
      <c r="Z63" s="137"/>
      <c r="AA63" s="137"/>
      <c r="AB63" s="138"/>
      <c r="AC63" s="181"/>
      <c r="AD63" s="137"/>
      <c r="AE63" s="37"/>
    </row>
    <row r="64" spans="2:34" ht="14.4" x14ac:dyDescent="0.3">
      <c r="B64" s="45" t="s">
        <v>37</v>
      </c>
      <c r="C64" s="364" t="s">
        <v>66</v>
      </c>
      <c r="D64" s="364">
        <v>70</v>
      </c>
      <c r="E64" s="364">
        <v>975.86599999999999</v>
      </c>
      <c r="F64" s="364">
        <v>241.96299999999999</v>
      </c>
      <c r="G64" s="364"/>
      <c r="H64" s="366">
        <v>45.97</v>
      </c>
      <c r="I64" s="367">
        <v>126.1</v>
      </c>
      <c r="J64" s="366">
        <v>339.01600000000002</v>
      </c>
      <c r="K64" s="160">
        <v>154.87</v>
      </c>
      <c r="L64" s="366"/>
      <c r="M64" s="364"/>
      <c r="N64" s="364"/>
      <c r="O64" s="364"/>
      <c r="P64" s="364"/>
      <c r="Q64" s="83"/>
      <c r="R64" s="51">
        <v>13.683999999999999</v>
      </c>
      <c r="T64" s="137"/>
      <c r="U64" s="137"/>
      <c r="V64" s="137"/>
      <c r="W64" s="137"/>
      <c r="X64" s="374"/>
      <c r="Y64" s="374"/>
      <c r="Z64" s="137"/>
      <c r="AA64" s="137"/>
      <c r="AB64" s="138"/>
      <c r="AC64" s="181"/>
      <c r="AD64" s="137"/>
      <c r="AE64" s="37"/>
    </row>
    <row r="65" spans="2:34" ht="14.4" x14ac:dyDescent="0.3">
      <c r="B65" s="45" t="s">
        <v>37</v>
      </c>
      <c r="C65" s="364" t="s">
        <v>2</v>
      </c>
      <c r="D65" s="364">
        <v>70</v>
      </c>
      <c r="E65" s="364">
        <v>834.36599999999999</v>
      </c>
      <c r="F65" s="364">
        <v>267.46199999999999</v>
      </c>
      <c r="G65" s="364">
        <f t="shared" si="1"/>
        <v>584.05619999999999</v>
      </c>
      <c r="H65" s="366">
        <v>42.686999999999998</v>
      </c>
      <c r="I65" s="367">
        <v>117.6</v>
      </c>
      <c r="J65" s="366">
        <v>306.53899999999999</v>
      </c>
      <c r="K65" s="160">
        <v>140.03299999999999</v>
      </c>
      <c r="L65" s="366">
        <v>10</v>
      </c>
      <c r="M65" s="364">
        <f>(E64*L65)/100</f>
        <v>97.586600000000004</v>
      </c>
      <c r="N65" s="364">
        <v>10</v>
      </c>
      <c r="O65" s="364">
        <f>((E64-M65)*N65)/100</f>
        <v>87.827939999999998</v>
      </c>
      <c r="P65" s="364"/>
      <c r="Q65" s="83">
        <f t="shared" si="3"/>
        <v>185.41453999999999</v>
      </c>
      <c r="R65" s="51">
        <v>15.122</v>
      </c>
      <c r="T65" s="137">
        <f>IF(R65&lt;=12, 0.41*Q65,
 IF(AND(R65&gt;12, R65&lt;=20, E65&gt;1500), 0.67*Q65,
 IF(AND(R65&gt;12, R65&lt;=20, E65&gt;750, E65&lt;=1500), 0.63*Q65,
 IF(AND(R65&gt;12, R65&lt;=20, E65&lt;=750), 0.43*Q65,
 IF(AND(R65&gt;20, R65&lt;=30, E65&gt;750), 1.01*Q65,
 IF(AND(R65&gt;20, R65&lt;=30, E65&lt;=750), 0.64*Q65,
 IF(R65&gt;30, 2.36*Q65, "Sin precio")))))))</f>
        <v>116.81116019999999</v>
      </c>
      <c r="U65" s="137">
        <f>IF(R65&lt;=12, 44.94*G65,
 IF(AND(R65&gt;12, R65&lt;=20, E65&gt;1500), 27.35*G65,
 IF(AND(R65&gt;12, R65&lt;=20, E65&gt;750, E65&lt;=1500), 20.39*G65,
 IF(AND(R65&gt;12, R65&lt;=20, E65&lt;=750), 20.86*G65,
 IF(AND(R65&gt;20, R65&lt;=30, E65&gt;750), 21.94*G65,
 IF(AND(R65&gt;20, R65&lt;=30, E65&lt;=750), 18.23*G65,
 IF(R65&gt;30, "Sin precio", "Sin precio")))))))</f>
        <v>11908.905918</v>
      </c>
      <c r="V65" s="137">
        <v>213.12999999999997</v>
      </c>
      <c r="W65" s="137">
        <f>(G65*Precios!P$17)*0.655</f>
        <v>13389.488385000001</v>
      </c>
      <c r="X65" s="374">
        <f>SUM(K63:K65)*15</f>
        <v>6453.5549999999994</v>
      </c>
      <c r="Y65" s="374"/>
      <c r="Z65" s="137">
        <f>W65-V65-U65-T65</f>
        <v>1150.6413068000011</v>
      </c>
      <c r="AA65" s="137"/>
      <c r="AB65" s="138"/>
      <c r="AC65" s="181"/>
      <c r="AD65" s="137"/>
      <c r="AE65" s="37"/>
    </row>
    <row r="66" spans="2:34" ht="14.4" x14ac:dyDescent="0.3">
      <c r="B66" s="45" t="s">
        <v>37</v>
      </c>
      <c r="C66" s="364" t="s">
        <v>66</v>
      </c>
      <c r="D66" s="364">
        <v>80</v>
      </c>
      <c r="E66" s="364">
        <v>776.18799999999999</v>
      </c>
      <c r="F66" s="364">
        <v>259.80799999999999</v>
      </c>
      <c r="G66" s="364"/>
      <c r="H66" s="366">
        <v>55.548000000000002</v>
      </c>
      <c r="I66" s="367">
        <v>127.57599999999999</v>
      </c>
      <c r="J66" s="366">
        <v>327.18799999999999</v>
      </c>
      <c r="K66" s="160">
        <v>149.46600000000001</v>
      </c>
      <c r="L66" s="366"/>
      <c r="M66" s="364"/>
      <c r="N66" s="364"/>
      <c r="O66" s="364"/>
      <c r="P66" s="364"/>
      <c r="Q66" s="83"/>
      <c r="R66" s="51">
        <v>16.076000000000001</v>
      </c>
      <c r="T66" s="137"/>
      <c r="U66" s="137"/>
      <c r="V66" s="137"/>
      <c r="W66" s="137"/>
      <c r="X66" s="374"/>
      <c r="Y66" s="374"/>
      <c r="Z66" s="137"/>
      <c r="AA66" s="137"/>
      <c r="AB66" s="138"/>
      <c r="AC66" s="181"/>
      <c r="AD66" s="137"/>
      <c r="AE66" s="37"/>
    </row>
    <row r="67" spans="2:34" ht="14.4" x14ac:dyDescent="0.3">
      <c r="B67" s="45" t="s">
        <v>37</v>
      </c>
      <c r="C67" s="364" t="s">
        <v>66</v>
      </c>
      <c r="D67" s="364">
        <v>90</v>
      </c>
      <c r="E67" s="364">
        <v>762.83199999999999</v>
      </c>
      <c r="F67" s="364">
        <v>264.91300000000001</v>
      </c>
      <c r="G67" s="364"/>
      <c r="H67" s="366">
        <v>78.248000000000005</v>
      </c>
      <c r="I67" s="367">
        <v>142.98599999999999</v>
      </c>
      <c r="J67" s="366">
        <v>368.49200000000002</v>
      </c>
      <c r="K67" s="160">
        <v>168.33600000000001</v>
      </c>
      <c r="L67" s="366"/>
      <c r="M67" s="364"/>
      <c r="N67" s="364"/>
      <c r="O67" s="364"/>
      <c r="P67" s="364"/>
      <c r="Q67" s="83"/>
      <c r="R67" s="51">
        <v>16.911999999999999</v>
      </c>
      <c r="T67" s="137"/>
      <c r="U67" s="137"/>
      <c r="V67" s="137"/>
      <c r="W67" s="137"/>
      <c r="X67" s="374"/>
      <c r="Y67" s="374"/>
      <c r="Z67" s="137"/>
      <c r="AA67" s="137"/>
      <c r="AB67" s="138"/>
      <c r="AC67" s="181"/>
      <c r="AD67" s="137"/>
      <c r="AE67" s="37"/>
    </row>
    <row r="68" spans="2:34" ht="14.4" x14ac:dyDescent="0.3">
      <c r="B68" s="45" t="s">
        <v>37</v>
      </c>
      <c r="C68" s="364" t="s">
        <v>2</v>
      </c>
      <c r="D68" s="364">
        <v>90</v>
      </c>
      <c r="E68" s="364">
        <v>652.221</v>
      </c>
      <c r="F68" s="364">
        <v>294.16800000000001</v>
      </c>
      <c r="G68" s="364">
        <f t="shared" ref="G68:G84" si="4">D68*(E68/100)</f>
        <v>586.99890000000005</v>
      </c>
      <c r="H68" s="366">
        <v>72.658000000000001</v>
      </c>
      <c r="I68" s="367">
        <v>131.148</v>
      </c>
      <c r="J68" s="366">
        <v>331.86200000000002</v>
      </c>
      <c r="K68" s="160">
        <v>151.60300000000001</v>
      </c>
      <c r="L68" s="366">
        <v>10</v>
      </c>
      <c r="M68" s="364">
        <f>(E67*L68)/100</f>
        <v>76.283199999999994</v>
      </c>
      <c r="N68" s="364">
        <v>10</v>
      </c>
      <c r="O68" s="364">
        <f>((E67-M68)*N68)/100</f>
        <v>68.654880000000006</v>
      </c>
      <c r="P68" s="364"/>
      <c r="Q68" s="83">
        <f t="shared" si="3"/>
        <v>144.93808000000001</v>
      </c>
      <c r="R68" s="51">
        <v>17.884</v>
      </c>
      <c r="T68" s="137">
        <f>IF(R68&lt;=12, 0.41*Q68,
 IF(AND(R68&gt;12, R68&lt;=20, E68&gt;1500), 0.67*Q68,
 IF(AND(R68&gt;12, R68&lt;=20, E68&gt;750, E68&lt;=1500), 0.63*Q68,
 IF(AND(R68&gt;12, R68&lt;=20, E68&lt;=750), 0.43*Q68,
 IF(AND(R68&gt;20, R68&lt;=30, E68&gt;750), 1.01*Q68,
 IF(AND(R68&gt;20, R68&lt;=30, E68&lt;=750), 0.64*Q68,
 IF(R68&gt;30, 2.36*Q68, "Sin precio")))))))</f>
        <v>62.323374400000006</v>
      </c>
      <c r="U68" s="137">
        <f>IF(R68&lt;=12, 44.94*G68,
 IF(AND(R68&gt;12, R68&lt;=20, E68&gt;1500), 27.35*G68,
 IF(AND(R68&gt;12, R68&lt;=20, E68&gt;750, E68&lt;=1500), 20.39*G68,
 IF(AND(R68&gt;12, R68&lt;=20, E68&lt;=750), 20.86*G68,
 IF(AND(R68&gt;20, R68&lt;=30, E68&gt;750), 21.94*G68,
 IF(AND(R68&gt;20, R68&lt;=30, E68&lt;=750), 18.23*G68,
 IF(R68&gt;30, "Sin precio", "Sin precio")))))))</f>
        <v>12244.797054000001</v>
      </c>
      <c r="V68" s="137">
        <v>213.12999999999997</v>
      </c>
      <c r="W68" s="137">
        <f>(G68*Precios!P$17)*0.655</f>
        <v>13456.949782500002</v>
      </c>
      <c r="X68" s="374">
        <f>SUM(K66:K68)*15</f>
        <v>7041.0750000000007</v>
      </c>
      <c r="Y68" s="374"/>
      <c r="Z68" s="137">
        <f>W68-V68-U68-T68</f>
        <v>936.69935410000187</v>
      </c>
      <c r="AA68" s="137"/>
      <c r="AB68" s="138"/>
      <c r="AC68" s="181"/>
      <c r="AD68" s="137"/>
      <c r="AE68" s="37"/>
    </row>
    <row r="69" spans="2:34" thickBot="1" x14ac:dyDescent="0.35">
      <c r="B69" s="46" t="s">
        <v>37</v>
      </c>
      <c r="C69" s="47" t="s">
        <v>66</v>
      </c>
      <c r="D69" s="47">
        <v>100</v>
      </c>
      <c r="E69" s="47">
        <v>608.13599999999997</v>
      </c>
      <c r="F69" s="47">
        <v>279.45</v>
      </c>
      <c r="G69" s="47"/>
      <c r="H69" s="161">
        <v>88.244</v>
      </c>
      <c r="I69" s="171">
        <v>134.52000000000001</v>
      </c>
      <c r="J69" s="161">
        <v>348.56599999999997</v>
      </c>
      <c r="K69" s="162">
        <v>159.23400000000001</v>
      </c>
      <c r="L69" s="161"/>
      <c r="M69" s="47"/>
      <c r="N69" s="47"/>
      <c r="O69" s="47"/>
      <c r="P69" s="47"/>
      <c r="Q69" s="85"/>
      <c r="R69" s="52">
        <v>18.806000000000001</v>
      </c>
      <c r="S69" s="47"/>
      <c r="T69" s="139"/>
      <c r="U69" s="139"/>
      <c r="V69" s="139"/>
      <c r="W69" s="137"/>
      <c r="X69" s="375"/>
      <c r="Y69" s="375"/>
      <c r="Z69" s="139"/>
      <c r="AA69" s="139"/>
      <c r="AB69" s="140"/>
      <c r="AC69" s="181"/>
      <c r="AD69" s="137"/>
      <c r="AE69" s="37"/>
    </row>
    <row r="70" spans="2:34" ht="14.4" x14ac:dyDescent="0.3">
      <c r="B70" s="43" t="s">
        <v>69</v>
      </c>
      <c r="C70" s="44" t="s">
        <v>2</v>
      </c>
      <c r="D70" s="44">
        <v>10</v>
      </c>
      <c r="E70" s="44">
        <v>1714.0619999999999</v>
      </c>
      <c r="F70" s="44">
        <v>160.38800000000001</v>
      </c>
      <c r="G70" s="44">
        <f t="shared" si="4"/>
        <v>171.40619999999998</v>
      </c>
      <c r="H70" s="158">
        <v>7.9950000000000001</v>
      </c>
      <c r="I70" s="172">
        <v>46.718000000000004</v>
      </c>
      <c r="J70" s="158">
        <v>216.078</v>
      </c>
      <c r="K70" s="159">
        <v>98.724000000000004</v>
      </c>
      <c r="L70" s="158">
        <v>10</v>
      </c>
      <c r="M70" s="44"/>
      <c r="N70" s="44"/>
      <c r="O70" s="44"/>
      <c r="P70" s="370">
        <f>L70*E70/100</f>
        <v>171.40619999999998</v>
      </c>
      <c r="Q70" s="51"/>
      <c r="R70" s="50">
        <v>5.86</v>
      </c>
      <c r="S70" s="44"/>
      <c r="T70" s="135">
        <f>IF(R70&lt;=12, 0.41*P70,
 IF(AND(R70&gt;12, R70&lt;=20, E70&gt;1500), 0.67*P70,
 IF(AND(R70&gt;12, R70&lt;=20, E70&gt;750, E70&lt;=1500), 0.63*P70,
 IF(AND(R70&gt;12, R70&lt;=20, E70&lt;=750), 0.43*P70,
 IF(AND(R70&gt;20, R70&lt;=30, E70&gt;750), 1.01*P70,
 IF(AND(R70&gt;20, R70&lt;=30, E70&lt;=750), 0.64*P70,
 IF(R70&gt;30, 2.36*P70, "Sin preciN")))))))</f>
        <v>70.276541999999992</v>
      </c>
      <c r="U70" s="135">
        <f>IF(R70&lt;=12, 44.94*G70,
 IF(AND(R70&gt;12, R70&lt;=20, E70&gt;1500), 27.35*G70,
 IF(AND(R70&gt;12, R70&lt;=20, E70&gt;750, E70&lt;=1500), 20.39*G70,
 IF(AND(R70&gt;12, R70&lt;=20, E70&lt;=750), 20.86*G70,
 IF(AND(R70&gt;20, R70&lt;=30, E70&gt;750), 21.94*G70,
 IF(AND(R70&gt;20, R70&lt;=30, E70&lt;=750), 18.23*G70,
 IF(R70&gt;30, "Sin precio", "Sin precio")))))))</f>
        <v>7702.9946279999986</v>
      </c>
      <c r="V70" s="135">
        <v>213.12999999999997</v>
      </c>
      <c r="W70" s="135">
        <f>(G70*Precios!P$17)*0.655</f>
        <v>3929.4871349999999</v>
      </c>
      <c r="X70" s="373">
        <f>K70*15</f>
        <v>1480.8600000000001</v>
      </c>
      <c r="Y70" s="373"/>
      <c r="Z70" s="135">
        <f>W70-V70-U70-T70</f>
        <v>-4056.9140349999989</v>
      </c>
      <c r="AA70" s="135">
        <f>SUM(Z70:Z84)</f>
        <v>-58828.380550999987</v>
      </c>
      <c r="AB70" s="136">
        <f>VAN!D45</f>
        <v>-11701.733544430754</v>
      </c>
      <c r="AC70" s="181">
        <f>H84*Precios!G$22</f>
        <v>5581.5630000000001</v>
      </c>
      <c r="AD70" s="137">
        <f>(F84-H84)*Precios!P$17*0.655</f>
        <v>4648.9148999999998</v>
      </c>
      <c r="AE70" s="182">
        <f>SUM(AB70:AD70)</f>
        <v>-1471.2556444307538</v>
      </c>
      <c r="AH70" s="167">
        <f>SUM(AC70:AD70)</f>
        <v>10230.4779</v>
      </c>
    </row>
    <row r="71" spans="2:34" ht="14.4" x14ac:dyDescent="0.3">
      <c r="B71" s="45" t="s">
        <v>69</v>
      </c>
      <c r="C71" s="364" t="s">
        <v>66</v>
      </c>
      <c r="D71" s="364">
        <v>20</v>
      </c>
      <c r="E71" s="364">
        <v>1688.6559999999999</v>
      </c>
      <c r="F71" s="364">
        <v>164.108</v>
      </c>
      <c r="G71" s="364"/>
      <c r="H71" s="366">
        <v>16.114999999999998</v>
      </c>
      <c r="I71" s="367">
        <v>53.716000000000001</v>
      </c>
      <c r="J71" s="366">
        <v>232.852</v>
      </c>
      <c r="K71" s="160">
        <v>106.386</v>
      </c>
      <c r="L71" s="366"/>
      <c r="M71" s="364"/>
      <c r="N71" s="364"/>
      <c r="O71" s="364"/>
      <c r="P71" s="84"/>
      <c r="Q71" s="51"/>
      <c r="R71" s="51">
        <v>6.2679999999999998</v>
      </c>
      <c r="T71" s="137"/>
      <c r="U71" s="137"/>
      <c r="V71" s="137"/>
      <c r="W71" s="137"/>
      <c r="X71" s="374"/>
      <c r="Y71" s="374"/>
      <c r="Z71" s="137"/>
      <c r="AA71" s="137"/>
      <c r="AB71" s="138"/>
      <c r="AC71" s="181"/>
      <c r="AD71" s="137"/>
      <c r="AE71" s="37"/>
    </row>
    <row r="72" spans="2:34" ht="14.4" x14ac:dyDescent="0.3">
      <c r="B72" s="45" t="s">
        <v>69</v>
      </c>
      <c r="C72" s="364" t="s">
        <v>2</v>
      </c>
      <c r="D72" s="364">
        <v>20</v>
      </c>
      <c r="E72" s="364">
        <v>1581.7560000000001</v>
      </c>
      <c r="F72" s="364">
        <v>174.33</v>
      </c>
      <c r="G72" s="364">
        <f t="shared" si="4"/>
        <v>316.35120000000001</v>
      </c>
      <c r="H72" s="366">
        <v>14.61</v>
      </c>
      <c r="I72" s="367">
        <v>50.734000000000002</v>
      </c>
      <c r="J72" s="366">
        <v>219.07400000000001</v>
      </c>
      <c r="K72" s="160">
        <v>100.092</v>
      </c>
      <c r="L72" s="366">
        <v>10</v>
      </c>
      <c r="M72" s="364"/>
      <c r="N72" s="364"/>
      <c r="O72" s="364"/>
      <c r="P72" s="84">
        <f>E71-E72</f>
        <v>106.89999999999986</v>
      </c>
      <c r="Q72" s="51"/>
      <c r="R72" s="51">
        <v>6.2679999999999998</v>
      </c>
      <c r="T72" s="137">
        <f>IF(R72&lt;=12, 0.41*P72,
 IF(AND(R72&gt;12, R72&lt;=20, E72&gt;1500), 0.67*P72,
 IF(AND(R72&gt;12, R72&lt;=20, E72&gt;750, E72&lt;=1500), 0.63*P72,
 IF(AND(R72&gt;12, R72&lt;=20, E72&lt;=750), 0.43*P72,
 IF(AND(R72&gt;20, R72&lt;=30, E72&gt;750), 1.01*P72,
 IF(AND(R72&gt;20, R72&lt;=30, E72&lt;=750), 0.64*P72,
 IF(R72&gt;30, 2.36*P72, "Sin preciN")))))))</f>
        <v>43.828999999999944</v>
      </c>
      <c r="U72" s="137">
        <f>IF(R72&lt;=12, 44.94*G72,
 IF(AND(R72&gt;12, R72&lt;=20, E72&gt;1500), 27.35*G72,
 IF(AND(R72&gt;12, R72&lt;=20, E72&gt;750, E72&lt;=1500), 20.39*G72,
 IF(AND(R72&gt;12, R72&lt;=20, E72&lt;=750), 20.86*G72,
 IF(AND(R72&gt;20, R72&lt;=30, E72&gt;750), 21.94*G72,
 IF(AND(R72&gt;20, R72&lt;=30, E72&lt;=750), 18.23*G72,
 IF(R72&gt;30, "Sin precio", "Sin precio")))))))</f>
        <v>14216.822928</v>
      </c>
      <c r="V72" s="137">
        <v>213.12999999999997</v>
      </c>
      <c r="W72" s="137">
        <f>(G72*Precios!P$17)*0.655</f>
        <v>7252.3512600000004</v>
      </c>
      <c r="X72" s="374">
        <f>SUM(K71:K72)*15</f>
        <v>3097.17</v>
      </c>
      <c r="Y72" s="374"/>
      <c r="Z72" s="137">
        <f>W72-V72-U72-T72</f>
        <v>-7221.4306679999991</v>
      </c>
      <c r="AA72" s="137"/>
      <c r="AB72" s="138"/>
      <c r="AC72" s="181"/>
      <c r="AD72" s="137"/>
      <c r="AE72" s="37"/>
    </row>
    <row r="73" spans="2:34" ht="14.4" x14ac:dyDescent="0.3">
      <c r="B73" s="45" t="s">
        <v>69</v>
      </c>
      <c r="C73" s="364" t="s">
        <v>66</v>
      </c>
      <c r="D73" s="364">
        <v>30</v>
      </c>
      <c r="E73" s="364">
        <v>1542.6559999999999</v>
      </c>
      <c r="F73" s="364">
        <v>183.6</v>
      </c>
      <c r="G73" s="364"/>
      <c r="H73" s="366">
        <v>23.574999999999999</v>
      </c>
      <c r="I73" s="367">
        <v>61.094000000000001</v>
      </c>
      <c r="J73" s="366">
        <v>242.834</v>
      </c>
      <c r="K73" s="160">
        <v>110.946</v>
      </c>
      <c r="L73" s="366"/>
      <c r="M73" s="364"/>
      <c r="N73" s="364"/>
      <c r="O73" s="364"/>
      <c r="P73" s="84"/>
      <c r="Q73" s="51"/>
      <c r="R73" s="51">
        <v>6.73</v>
      </c>
      <c r="T73" s="137"/>
      <c r="U73" s="137"/>
      <c r="V73" s="137"/>
      <c r="W73" s="137"/>
      <c r="X73" s="374"/>
      <c r="Y73" s="374"/>
      <c r="Z73" s="137"/>
      <c r="AA73" s="137"/>
      <c r="AB73" s="138"/>
      <c r="AC73" s="181"/>
      <c r="AD73" s="137"/>
      <c r="AE73" s="37"/>
    </row>
    <row r="74" spans="2:34" ht="14.4" x14ac:dyDescent="0.3">
      <c r="B74" s="45" t="s">
        <v>69</v>
      </c>
      <c r="C74" s="364" t="s">
        <v>66</v>
      </c>
      <c r="D74" s="364">
        <v>40</v>
      </c>
      <c r="E74" s="364">
        <v>1491.588</v>
      </c>
      <c r="F74" s="364">
        <v>173.59399999999999</v>
      </c>
      <c r="G74" s="364"/>
      <c r="H74" s="366">
        <v>25.206666999999999</v>
      </c>
      <c r="I74" s="367">
        <v>82.177999999999997</v>
      </c>
      <c r="J74" s="366">
        <v>283.51600000000002</v>
      </c>
      <c r="K74" s="160">
        <v>129.53</v>
      </c>
      <c r="L74" s="366"/>
      <c r="M74" s="364"/>
      <c r="N74" s="364"/>
      <c r="O74" s="364"/>
      <c r="P74" s="84"/>
      <c r="Q74" s="51"/>
      <c r="R74" s="51">
        <v>7.21</v>
      </c>
      <c r="T74" s="137"/>
      <c r="U74" s="137"/>
      <c r="V74" s="137"/>
      <c r="W74" s="137"/>
      <c r="X74" s="374"/>
      <c r="Y74" s="374"/>
      <c r="Z74" s="137"/>
      <c r="AA74" s="137"/>
      <c r="AB74" s="138"/>
      <c r="AC74" s="181"/>
      <c r="AD74" s="137"/>
      <c r="AE74" s="37"/>
    </row>
    <row r="75" spans="2:34" ht="14.4" x14ac:dyDescent="0.3">
      <c r="B75" s="45" t="s">
        <v>69</v>
      </c>
      <c r="C75" s="364" t="s">
        <v>2</v>
      </c>
      <c r="D75" s="364">
        <v>40</v>
      </c>
      <c r="E75" s="364">
        <v>1193.2739999999999</v>
      </c>
      <c r="F75" s="364">
        <v>216.99199999999999</v>
      </c>
      <c r="G75" s="364">
        <f t="shared" si="4"/>
        <v>477.30959999999993</v>
      </c>
      <c r="H75" s="366">
        <v>20.166667</v>
      </c>
      <c r="I75" s="367">
        <v>65.742000000000004</v>
      </c>
      <c r="J75" s="366">
        <v>226.81399999999999</v>
      </c>
      <c r="K75" s="160">
        <v>103.626</v>
      </c>
      <c r="L75" s="366">
        <v>20</v>
      </c>
      <c r="M75" s="364"/>
      <c r="N75" s="364"/>
      <c r="O75" s="364"/>
      <c r="P75" s="84">
        <f>E74-E75</f>
        <v>298.31400000000008</v>
      </c>
      <c r="Q75" s="51"/>
      <c r="R75" s="51">
        <v>7.21</v>
      </c>
      <c r="T75" s="137">
        <f>IF(R75&lt;=12, 0.41*P75,
 IF(AND(R75&gt;12, R75&lt;=20, E75&gt;1500), 0.67*P75,
 IF(AND(R75&gt;12, R75&lt;=20, E75&gt;750, E75&lt;=1500), 0.63*P75,
 IF(AND(R75&gt;12, R75&lt;=20, E75&lt;=750), 0.43*P75,
 IF(AND(R75&gt;20, R75&lt;=30, E75&gt;750), 1.01*P75,
 IF(AND(R75&gt;20, R75&lt;=30, E75&lt;=750), 0.64*P75,
 IF(R75&gt;30, 2.36*P75, "Sin preciN")))))))</f>
        <v>122.30874000000003</v>
      </c>
      <c r="U75" s="137">
        <f>IF(R75&lt;=12, 44.94*G75,
 IF(AND(R75&gt;12, R75&lt;=20, E75&gt;1500), 27.35*G75,
 IF(AND(R75&gt;12, R75&lt;=20, E75&gt;750, E75&lt;=1500), 20.39*G75,
 IF(AND(R75&gt;12, R75&lt;=20, E75&lt;=750), 20.86*G75,
 IF(AND(R75&gt;20, R75&lt;=30, E75&gt;750), 21.94*G75,
 IF(AND(R75&gt;20, R75&lt;=30, E75&lt;=750), 18.23*G75,
 IF(R75&gt;30, "Sin precio", "Sin precio")))))))</f>
        <v>21450.293423999996</v>
      </c>
      <c r="V75" s="137">
        <v>213.12999999999997</v>
      </c>
      <c r="W75" s="137">
        <f>(G75*Precios!P$17)*0.655</f>
        <v>10942.32258</v>
      </c>
      <c r="X75" s="374">
        <f>SUM(K73:K75)*15</f>
        <v>5161.53</v>
      </c>
      <c r="Y75" s="374"/>
      <c r="Z75" s="137">
        <f>W75-V75-U75-T75</f>
        <v>-10843.409583999995</v>
      </c>
      <c r="AA75" s="137"/>
      <c r="AB75" s="138"/>
      <c r="AC75" s="181"/>
      <c r="AD75" s="137"/>
      <c r="AE75" s="37"/>
    </row>
    <row r="76" spans="2:34" ht="14.4" x14ac:dyDescent="0.3">
      <c r="B76" s="45" t="s">
        <v>69</v>
      </c>
      <c r="C76" s="364" t="s">
        <v>66</v>
      </c>
      <c r="D76" s="364">
        <v>50</v>
      </c>
      <c r="E76" s="364">
        <v>1159.2460000000001</v>
      </c>
      <c r="F76" s="364">
        <v>206.614</v>
      </c>
      <c r="G76" s="364"/>
      <c r="H76" s="366">
        <v>24.1175</v>
      </c>
      <c r="I76" s="367">
        <v>87.504000000000005</v>
      </c>
      <c r="J76" s="366">
        <v>267.036</v>
      </c>
      <c r="K76" s="160">
        <v>122</v>
      </c>
      <c r="L76" s="366"/>
      <c r="M76" s="364"/>
      <c r="N76" s="364"/>
      <c r="O76" s="364"/>
      <c r="P76" s="84"/>
      <c r="Q76" s="51"/>
      <c r="R76" s="51">
        <v>7.78</v>
      </c>
      <c r="T76" s="137"/>
      <c r="U76" s="137"/>
      <c r="V76" s="137"/>
      <c r="W76" s="137"/>
      <c r="X76" s="374"/>
      <c r="Y76" s="374"/>
      <c r="Z76" s="137"/>
      <c r="AA76" s="137"/>
      <c r="AB76" s="138"/>
      <c r="AC76" s="181"/>
      <c r="AD76" s="137"/>
      <c r="AE76" s="37"/>
    </row>
    <row r="77" spans="2:34" ht="14.4" x14ac:dyDescent="0.3">
      <c r="B77" s="45" t="s">
        <v>69</v>
      </c>
      <c r="C77" s="364" t="s">
        <v>66</v>
      </c>
      <c r="D77" s="364">
        <v>60</v>
      </c>
      <c r="E77" s="364">
        <v>1129.94</v>
      </c>
      <c r="F77" s="364">
        <v>193.036</v>
      </c>
      <c r="G77" s="364"/>
      <c r="H77" s="366">
        <v>30.097999999999999</v>
      </c>
      <c r="I77" s="367">
        <v>107.908</v>
      </c>
      <c r="J77" s="366">
        <v>308.964</v>
      </c>
      <c r="K77" s="160">
        <v>141.15199999999999</v>
      </c>
      <c r="L77" s="366"/>
      <c r="M77" s="364"/>
      <c r="N77" s="364"/>
      <c r="O77" s="364"/>
      <c r="P77" s="84"/>
      <c r="Q77" s="51"/>
      <c r="R77" s="51">
        <v>8.2880000000000003</v>
      </c>
      <c r="T77" s="137"/>
      <c r="U77" s="137"/>
      <c r="V77" s="137"/>
      <c r="W77" s="137"/>
      <c r="X77" s="374"/>
      <c r="Y77" s="374"/>
      <c r="Z77" s="137"/>
      <c r="AA77" s="137"/>
      <c r="AB77" s="138"/>
      <c r="AC77" s="181"/>
      <c r="AD77" s="137"/>
      <c r="AE77" s="37"/>
    </row>
    <row r="78" spans="2:34" ht="14.4" x14ac:dyDescent="0.3">
      <c r="B78" s="45" t="s">
        <v>69</v>
      </c>
      <c r="C78" s="364" t="s">
        <v>2</v>
      </c>
      <c r="D78" s="364">
        <v>60</v>
      </c>
      <c r="E78" s="364">
        <v>903.952</v>
      </c>
      <c r="F78" s="364">
        <v>241.29400000000001</v>
      </c>
      <c r="G78" s="364">
        <f t="shared" si="4"/>
        <v>542.37119999999993</v>
      </c>
      <c r="H78" s="366">
        <v>24.08</v>
      </c>
      <c r="I78" s="367">
        <v>86.325999999999993</v>
      </c>
      <c r="J78" s="366">
        <v>247.17</v>
      </c>
      <c r="K78" s="160">
        <v>112.92</v>
      </c>
      <c r="L78" s="366">
        <v>20</v>
      </c>
      <c r="M78" s="364"/>
      <c r="N78" s="364"/>
      <c r="O78" s="364"/>
      <c r="P78" s="84">
        <f>E77-E78</f>
        <v>225.98800000000006</v>
      </c>
      <c r="Q78" s="51"/>
      <c r="R78" s="51">
        <v>8.2880000000000003</v>
      </c>
      <c r="T78" s="137">
        <f>IF(R78&lt;=12, 0.41*P78,
 IF(AND(R78&gt;12, R78&lt;=20, E78&gt;1500), 0.67*P78,
 IF(AND(R78&gt;12, R78&lt;=20, E78&gt;750, E78&lt;=1500), 0.63*P78,
 IF(AND(R78&gt;12, R78&lt;=20, E78&lt;=750), 0.43*P78,
 IF(AND(R78&gt;20, R78&lt;=30, E78&gt;750), 1.01*P78,
 IF(AND(R78&gt;20, R78&lt;=30, E78&lt;=750), 0.64*P78,
 IF(R78&gt;30, 2.36*P78, "Sin preciN")))))))</f>
        <v>92.655080000000012</v>
      </c>
      <c r="U78" s="137">
        <f>IF(R78&lt;=12, 44.94*G78,
 IF(AND(R78&gt;12, R78&lt;=20, E78&gt;1500), 27.35*G78,
 IF(AND(R78&gt;12, R78&lt;=20, E78&gt;750, E78&lt;=1500), 20.39*G78,
 IF(AND(R78&gt;12, R78&lt;=20, E78&lt;=750), 20.86*G78,
 IF(AND(R78&gt;20, R78&lt;=30, E78&gt;750), 21.94*G78,
 IF(AND(R78&gt;20, R78&lt;=30, E78&lt;=750), 18.23*G78,
 IF(R78&gt;30, "Sin precio", "Sin precio")))))))</f>
        <v>24374.161727999995</v>
      </c>
      <c r="V78" s="137">
        <v>213.12999999999997</v>
      </c>
      <c r="W78" s="137">
        <f>(G78*Precios!P$17)*0.655</f>
        <v>12433.859759999999</v>
      </c>
      <c r="X78" s="374">
        <f>SUM(K76:K78)*15</f>
        <v>5641.08</v>
      </c>
      <c r="Y78" s="374"/>
      <c r="Z78" s="137">
        <f>W78-V78-U78-T78</f>
        <v>-12246.087047999996</v>
      </c>
      <c r="AA78" s="137"/>
      <c r="AB78" s="138"/>
      <c r="AC78" s="181"/>
      <c r="AD78" s="137"/>
      <c r="AE78" s="37"/>
    </row>
    <row r="79" spans="2:34" ht="14.4" x14ac:dyDescent="0.3">
      <c r="B79" s="45" t="s">
        <v>69</v>
      </c>
      <c r="C79" s="364" t="s">
        <v>66</v>
      </c>
      <c r="D79" s="364">
        <v>70</v>
      </c>
      <c r="E79" s="364">
        <v>883.202</v>
      </c>
      <c r="F79" s="364">
        <v>225.51400000000001</v>
      </c>
      <c r="G79" s="364"/>
      <c r="H79" s="366">
        <v>38.661999999999999</v>
      </c>
      <c r="I79" s="367">
        <v>105.316</v>
      </c>
      <c r="J79" s="366">
        <v>286.524</v>
      </c>
      <c r="K79" s="160">
        <v>130.898</v>
      </c>
      <c r="L79" s="366"/>
      <c r="M79" s="364"/>
      <c r="N79" s="364"/>
      <c r="O79" s="364"/>
      <c r="P79" s="84"/>
      <c r="Q79" s="51"/>
      <c r="R79" s="51">
        <v>8.8699999999999992</v>
      </c>
      <c r="T79" s="137"/>
      <c r="U79" s="137"/>
      <c r="V79" s="137"/>
      <c r="W79" s="137"/>
      <c r="X79" s="374"/>
      <c r="Y79" s="374"/>
      <c r="Z79" s="137"/>
      <c r="AA79" s="137"/>
      <c r="AB79" s="138"/>
      <c r="AC79" s="181"/>
      <c r="AD79" s="137"/>
      <c r="AE79" s="37"/>
    </row>
    <row r="80" spans="2:34" ht="14.4" x14ac:dyDescent="0.3">
      <c r="B80" s="45" t="s">
        <v>69</v>
      </c>
      <c r="C80" s="364" t="s">
        <v>66</v>
      </c>
      <c r="D80" s="364">
        <v>80</v>
      </c>
      <c r="E80" s="364">
        <v>864.62199999999996</v>
      </c>
      <c r="F80" s="364">
        <v>207.28</v>
      </c>
      <c r="G80" s="364"/>
      <c r="H80" s="366">
        <v>54.094000000000001</v>
      </c>
      <c r="I80" s="367">
        <v>123.218</v>
      </c>
      <c r="J80" s="366">
        <v>326.98599999999999</v>
      </c>
      <c r="K80" s="160">
        <v>149.38399999999999</v>
      </c>
      <c r="L80" s="366"/>
      <c r="M80" s="364"/>
      <c r="N80" s="364"/>
      <c r="O80" s="364"/>
      <c r="P80" s="84"/>
      <c r="Q80" s="51"/>
      <c r="R80" s="51">
        <v>9.3879999999999999</v>
      </c>
      <c r="T80" s="137"/>
      <c r="U80" s="137"/>
      <c r="V80" s="137"/>
      <c r="W80" s="137"/>
      <c r="X80" s="374"/>
      <c r="Y80" s="374"/>
      <c r="Z80" s="137"/>
      <c r="AA80" s="137"/>
      <c r="AB80" s="138"/>
      <c r="AC80" s="181"/>
      <c r="AD80" s="137"/>
      <c r="AE80" s="37"/>
    </row>
    <row r="81" spans="2:31" ht="14.4" x14ac:dyDescent="0.3">
      <c r="B81" s="45" t="s">
        <v>69</v>
      </c>
      <c r="C81" s="364" t="s">
        <v>2</v>
      </c>
      <c r="D81" s="364">
        <v>80</v>
      </c>
      <c r="E81" s="364">
        <v>691.69799999999998</v>
      </c>
      <c r="F81" s="364">
        <v>259.10000000000002</v>
      </c>
      <c r="G81" s="364">
        <f t="shared" si="4"/>
        <v>553.35839999999996</v>
      </c>
      <c r="H81" s="366">
        <v>43.277999999999999</v>
      </c>
      <c r="I81" s="367">
        <v>98.573999999999998</v>
      </c>
      <c r="J81" s="366">
        <v>261.58600000000001</v>
      </c>
      <c r="K81" s="160">
        <v>119.508</v>
      </c>
      <c r="L81" s="366">
        <v>20</v>
      </c>
      <c r="M81" s="364"/>
      <c r="N81" s="364"/>
      <c r="O81" s="364"/>
      <c r="P81" s="84">
        <f>E80-E81</f>
        <v>172.92399999999998</v>
      </c>
      <c r="Q81" s="51"/>
      <c r="R81" s="51">
        <v>9.3879999999999999</v>
      </c>
      <c r="T81" s="137">
        <f>IF(R81&lt;=12, 0.41*P81,
 IF(AND(R81&gt;12, R81&lt;=20, E81&gt;1500), 0.67*P81,
 IF(AND(R81&gt;12, R81&lt;=20, E81&gt;750, E81&lt;=1500), 0.63*P81,
 IF(AND(R81&gt;12, R81&lt;=20, E81&lt;=750), 0.43*P81,
 IF(AND(R81&gt;20, R81&lt;=30, E81&gt;750), 1.01*P81,
 IF(AND(R81&gt;20, R81&lt;=30, E81&lt;=750), 0.64*P81,
 IF(R81&gt;30, 2.36*P81, "Sin preciN")))))))</f>
        <v>70.898839999999993</v>
      </c>
      <c r="U81" s="137">
        <f>IF(R81&lt;=12, 44.94*G81,
 IF(AND(R81&gt;12, R81&lt;=20, E81&gt;1500), 27.35*G81,
 IF(AND(R81&gt;12, R81&lt;=20, E81&gt;750, E81&lt;=1500), 20.39*G81,
 IF(AND(R81&gt;12, R81&lt;=20, E81&lt;=750), 20.86*G81,
 IF(AND(R81&gt;20, R81&lt;=30, E81&gt;750), 21.94*G81,
 IF(AND(R81&gt;20, R81&lt;=30, E81&lt;=750), 18.23*G81,
 IF(R81&gt;30, "Sin precio", "Sin precio")))))))</f>
        <v>24867.926495999996</v>
      </c>
      <c r="V81" s="137">
        <v>213.12999999999997</v>
      </c>
      <c r="W81" s="137">
        <f>(G81*Precios!P$17)*0.655</f>
        <v>12685.741319999999</v>
      </c>
      <c r="X81" s="374">
        <f>SUM(K79:K81)*15</f>
        <v>5996.8499999999995</v>
      </c>
      <c r="Y81" s="374"/>
      <c r="Z81" s="137">
        <f>W81-V81-U81-T81</f>
        <v>-12466.214015999996</v>
      </c>
      <c r="AA81" s="137"/>
      <c r="AB81" s="138"/>
      <c r="AC81" s="181"/>
      <c r="AD81" s="137"/>
      <c r="AE81" s="37"/>
    </row>
    <row r="82" spans="2:31" ht="14.4" x14ac:dyDescent="0.3">
      <c r="B82" s="45" t="s">
        <v>69</v>
      </c>
      <c r="C82" s="364" t="s">
        <v>66</v>
      </c>
      <c r="D82" s="364">
        <v>90</v>
      </c>
      <c r="E82" s="364">
        <v>678.21199999999999</v>
      </c>
      <c r="F82" s="364">
        <v>237.708</v>
      </c>
      <c r="G82" s="364"/>
      <c r="H82" s="366">
        <v>62.37</v>
      </c>
      <c r="I82" s="367">
        <v>111.33799999999999</v>
      </c>
      <c r="J82" s="366">
        <v>298.37400000000002</v>
      </c>
      <c r="K82" s="160">
        <v>136.31399999999999</v>
      </c>
      <c r="L82" s="366"/>
      <c r="M82" s="364"/>
      <c r="N82" s="364"/>
      <c r="O82" s="364"/>
      <c r="P82" s="84"/>
      <c r="Q82" s="51"/>
      <c r="R82" s="51">
        <v>9.9760000000000009</v>
      </c>
      <c r="T82" s="137"/>
      <c r="U82" s="137"/>
      <c r="V82" s="137"/>
      <c r="W82" s="137"/>
      <c r="X82" s="374"/>
      <c r="Y82" s="374"/>
      <c r="Z82" s="137"/>
      <c r="AA82" s="137"/>
      <c r="AB82" s="138"/>
      <c r="AC82" s="181"/>
      <c r="AD82" s="137"/>
      <c r="AE82" s="37"/>
    </row>
    <row r="83" spans="2:31" ht="14.4" x14ac:dyDescent="0.3">
      <c r="B83" s="45" t="s">
        <v>69</v>
      </c>
      <c r="C83" s="364" t="s">
        <v>66</v>
      </c>
      <c r="D83" s="364">
        <v>100</v>
      </c>
      <c r="E83" s="364">
        <v>665.82799999999997</v>
      </c>
      <c r="F83" s="364">
        <v>215.07599999999999</v>
      </c>
      <c r="G83" s="364"/>
      <c r="H83" s="366">
        <v>82.567999999999998</v>
      </c>
      <c r="I83" s="367">
        <v>123.376</v>
      </c>
      <c r="J83" s="366">
        <v>335.858</v>
      </c>
      <c r="K83" s="160">
        <v>153.43199999999999</v>
      </c>
      <c r="L83" s="366"/>
      <c r="M83" s="364"/>
      <c r="N83" s="364"/>
      <c r="O83" s="364"/>
      <c r="P83" s="84"/>
      <c r="Q83" s="51"/>
      <c r="R83" s="51">
        <v>10.502000000000001</v>
      </c>
      <c r="T83" s="137"/>
      <c r="U83" s="137"/>
      <c r="V83" s="137"/>
      <c r="W83" s="137"/>
      <c r="X83" s="374"/>
      <c r="Y83" s="374"/>
      <c r="Z83" s="137"/>
      <c r="AA83" s="137"/>
      <c r="AB83" s="138"/>
      <c r="AC83" s="181"/>
      <c r="AD83" s="137"/>
      <c r="AE83" s="37"/>
    </row>
    <row r="84" spans="2:31" thickBot="1" x14ac:dyDescent="0.35">
      <c r="B84" s="46" t="s">
        <v>69</v>
      </c>
      <c r="C84" s="47" t="s">
        <v>2</v>
      </c>
      <c r="D84" s="47">
        <v>100</v>
      </c>
      <c r="E84" s="47">
        <v>532.66399999999999</v>
      </c>
      <c r="F84" s="47">
        <v>268.84199999999998</v>
      </c>
      <c r="G84" s="47">
        <f t="shared" si="4"/>
        <v>532.66399999999999</v>
      </c>
      <c r="H84" s="161">
        <v>66.054000000000002</v>
      </c>
      <c r="I84" s="171">
        <v>98.7</v>
      </c>
      <c r="J84" s="161">
        <v>268.68400000000003</v>
      </c>
      <c r="K84" s="162">
        <v>122.746</v>
      </c>
      <c r="L84" s="161">
        <v>20</v>
      </c>
      <c r="M84" s="47"/>
      <c r="N84" s="47"/>
      <c r="O84" s="47"/>
      <c r="P84" s="371">
        <f>E83-E84</f>
        <v>133.16399999999999</v>
      </c>
      <c r="Q84" s="52"/>
      <c r="R84" s="52">
        <v>10.502000000000001</v>
      </c>
      <c r="S84" s="47"/>
      <c r="T84" s="139">
        <f>IF(R84&lt;=12, 0.41*P84,
 IF(AND(R84&gt;12, R84&lt;=20, E84&gt;1500), 0.67*P84,
 IF(AND(R84&gt;12, R84&lt;=20, E84&gt;750, E84&lt;=1500), 0.63*P84,
 IF(AND(R84&gt;12, R84&lt;=20, E84&lt;=750), 0.43*P84,
 IF(AND(R84&gt;20, R84&lt;=30, E84&gt;750), 1.01*P84,
 IF(AND(R84&gt;20, R84&lt;=30, E84&lt;=750), 0.64*P84,
 IF(R84&gt;30, 2.36*P84, "Sin preciN")))))))</f>
        <v>54.597239999999992</v>
      </c>
      <c r="U84" s="139">
        <f>IF(R84&lt;=12, 44.94*G84,
 IF(AND(R84&gt;12, R84&lt;=20, E84&gt;1500), 27.35*G84,
 IF(AND(R84&gt;12, R84&lt;=20, E84&gt;750, E84&lt;=1500), 20.39*G84,
 IF(AND(R84&gt;12, R84&lt;=20, E84&lt;=750), 20.86*G84,
 IF(AND(R84&gt;20, R84&lt;=30, E84&gt;750), 21.94*G84,
 IF(AND(R84&gt;20, R84&lt;=30, E84&lt;=750), 18.23*G84,
 IF(R84&gt;30, "Sin precio", "Sin precio")))))))</f>
        <v>23937.920159999998</v>
      </c>
      <c r="V84" s="139">
        <v>213.12999999999997</v>
      </c>
      <c r="W84" s="139">
        <f>(G84*Precios!P$17)*0.655</f>
        <v>12211.322199999999</v>
      </c>
      <c r="X84" s="375">
        <f>SUM(K82:K84)*15</f>
        <v>6187.3799999999992</v>
      </c>
      <c r="Y84" s="375"/>
      <c r="Z84" s="139">
        <f>W84-V84-U84-T84</f>
        <v>-11994.325199999997</v>
      </c>
      <c r="AA84" s="139"/>
      <c r="AB84" s="140"/>
      <c r="AC84" s="183"/>
      <c r="AD84" s="139"/>
      <c r="AE84" s="38"/>
    </row>
  </sheetData>
  <mergeCells count="1">
    <mergeCell ref="P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AC19-F667-43A9-B83D-B825BA14AA95}">
  <dimension ref="B1:X47"/>
  <sheetViews>
    <sheetView topLeftCell="E17" zoomScale="145" zoomScaleNormal="145" workbookViewId="0">
      <selection activeCell="O44" sqref="O44"/>
    </sheetView>
  </sheetViews>
  <sheetFormatPr baseColWidth="10" defaultRowHeight="14.4" x14ac:dyDescent="0.3"/>
  <cols>
    <col min="2" max="2" width="4.6640625" bestFit="1" customWidth="1"/>
    <col min="3" max="3" width="9" bestFit="1" customWidth="1"/>
    <col min="4" max="4" width="8.109375" bestFit="1" customWidth="1"/>
    <col min="5" max="5" width="11" bestFit="1" customWidth="1"/>
    <col min="6" max="6" width="9.6640625" bestFit="1" customWidth="1"/>
    <col min="7" max="7" width="11.33203125" bestFit="1" customWidth="1"/>
    <col min="8" max="8" width="9.21875" bestFit="1" customWidth="1"/>
    <col min="9" max="10" width="10.33203125" bestFit="1" customWidth="1"/>
    <col min="13" max="14" width="14" bestFit="1" customWidth="1"/>
    <col min="15" max="15" width="14.5546875" bestFit="1" customWidth="1"/>
    <col min="16" max="16" width="17.109375" bestFit="1" customWidth="1"/>
    <col min="17" max="17" width="7.88671875" bestFit="1" customWidth="1"/>
    <col min="18" max="18" width="10.6640625" bestFit="1" customWidth="1"/>
    <col min="19" max="19" width="13.77734375" bestFit="1" customWidth="1"/>
    <col min="20" max="20" width="13.77734375" customWidth="1"/>
    <col min="21" max="21" width="9.5546875" bestFit="1" customWidth="1"/>
    <col min="22" max="22" width="9.5546875" customWidth="1"/>
  </cols>
  <sheetData>
    <row r="1" spans="2:10" ht="10.8" customHeight="1" thickBot="1" x14ac:dyDescent="0.35"/>
    <row r="2" spans="2:10" ht="36.6" customHeight="1" thickBot="1" x14ac:dyDescent="0.35">
      <c r="C2" s="228" t="s">
        <v>443</v>
      </c>
      <c r="D2" s="193" t="s">
        <v>456</v>
      </c>
      <c r="E2" s="193" t="s">
        <v>457</v>
      </c>
      <c r="F2" s="186" t="s">
        <v>458</v>
      </c>
      <c r="G2" s="185" t="s">
        <v>459</v>
      </c>
      <c r="H2" s="235" t="s">
        <v>460</v>
      </c>
      <c r="I2" s="214" t="s">
        <v>441</v>
      </c>
      <c r="J2" s="215" t="s">
        <v>442</v>
      </c>
    </row>
    <row r="3" spans="2:10" x14ac:dyDescent="0.3">
      <c r="B3" s="308" t="s">
        <v>226</v>
      </c>
      <c r="C3" s="50">
        <v>0</v>
      </c>
      <c r="D3" s="187">
        <f>Promedio_parcelas!T3</f>
        <v>70.276541999999992</v>
      </c>
      <c r="E3" s="188">
        <f>Promedio_parcelas!U3</f>
        <v>7702.9946279999986</v>
      </c>
      <c r="F3" s="188">
        <f>Promedio_parcelas!V3</f>
        <v>213.12999999999997</v>
      </c>
      <c r="G3" s="188">
        <f>Promedio_parcelas!W3</f>
        <v>3929.4871349999999</v>
      </c>
      <c r="H3" s="188">
        <f t="shared" ref="H3:H8" si="0">G3-F3-E3-D3</f>
        <v>-4056.9140349999989</v>
      </c>
      <c r="I3" s="311">
        <f>SUM(H3:H8)</f>
        <v>-46316.665936999983</v>
      </c>
      <c r="J3" s="314">
        <f>VAN!D11</f>
        <v>-11720.001405749786</v>
      </c>
    </row>
    <row r="4" spans="2:10" x14ac:dyDescent="0.3">
      <c r="B4" s="309"/>
      <c r="C4" s="51">
        <v>10</v>
      </c>
      <c r="D4" s="190">
        <f>Promedio_parcelas!T5</f>
        <v>43.851959999999956</v>
      </c>
      <c r="E4" s="189">
        <f>Promedio_parcelas!U5</f>
        <v>14221.245024</v>
      </c>
      <c r="F4" s="189">
        <f>Promedio_parcelas!V5</f>
        <v>213.12999999999997</v>
      </c>
      <c r="G4" s="189">
        <f>Promedio_parcelas!W5</f>
        <v>7254.6070800000007</v>
      </c>
      <c r="H4" s="189">
        <f t="shared" si="0"/>
        <v>-7223.6199039999992</v>
      </c>
      <c r="I4" s="312"/>
      <c r="J4" s="315"/>
    </row>
    <row r="5" spans="2:10" x14ac:dyDescent="0.3">
      <c r="B5" s="309"/>
      <c r="C5" s="51">
        <v>30</v>
      </c>
      <c r="D5" s="190">
        <f>Promedio_parcelas!T8</f>
        <v>122.73021999999995</v>
      </c>
      <c r="E5" s="189">
        <f>Promedio_parcelas!U8</f>
        <v>21523.959071999998</v>
      </c>
      <c r="F5" s="189">
        <f>Promedio_parcelas!V8</f>
        <v>213.12999999999997</v>
      </c>
      <c r="G5" s="189">
        <f>Promedio_parcelas!W8</f>
        <v>10979.901239999999</v>
      </c>
      <c r="H5" s="189">
        <f t="shared" si="0"/>
        <v>-10879.918051999997</v>
      </c>
      <c r="I5" s="312"/>
      <c r="J5" s="315"/>
    </row>
    <row r="6" spans="2:10" x14ac:dyDescent="0.3">
      <c r="B6" s="309"/>
      <c r="C6" s="51">
        <v>50</v>
      </c>
      <c r="D6" s="190">
        <f>Promedio_parcelas!T11</f>
        <v>93.482460000000032</v>
      </c>
      <c r="E6" s="189">
        <f>Promedio_parcelas!U11</f>
        <v>24591.976920000001</v>
      </c>
      <c r="F6" s="189">
        <f>Promedio_parcelas!V11</f>
        <v>213.12999999999997</v>
      </c>
      <c r="G6" s="189">
        <f>Promedio_parcelas!W11</f>
        <v>12544.972650000002</v>
      </c>
      <c r="H6" s="189">
        <f>G6-F6-E6-D6</f>
        <v>-12353.616729999998</v>
      </c>
      <c r="I6" s="312"/>
      <c r="J6" s="315"/>
    </row>
    <row r="7" spans="2:10" x14ac:dyDescent="0.3">
      <c r="B7" s="309"/>
      <c r="C7" s="51">
        <v>70</v>
      </c>
      <c r="D7" s="190">
        <f>Promedio_parcelas!T14</f>
        <v>71.995179999999976</v>
      </c>
      <c r="E7" s="189">
        <f>Promedio_parcelas!U14</f>
        <v>25252.253375999997</v>
      </c>
      <c r="F7" s="189">
        <f>Promedio_parcelas!V14</f>
        <v>213.12999999999997</v>
      </c>
      <c r="G7" s="189">
        <f>Promedio_parcelas!W14</f>
        <v>12881.795919999999</v>
      </c>
      <c r="H7" s="189">
        <f t="shared" si="0"/>
        <v>-12655.582635999997</v>
      </c>
      <c r="I7" s="312"/>
      <c r="J7" s="315"/>
    </row>
    <row r="8" spans="2:10" ht="15" thickBot="1" x14ac:dyDescent="0.35">
      <c r="B8" s="310"/>
      <c r="C8" s="52">
        <v>90</v>
      </c>
      <c r="D8" s="191">
        <f>Promedio_parcelas!T17</f>
        <v>58.549660000000017</v>
      </c>
      <c r="E8" s="192">
        <f>Promedio_parcelas!U17</f>
        <v>11361.023519999999</v>
      </c>
      <c r="F8" s="192">
        <f>Promedio_parcelas!V17</f>
        <v>213.12999999999997</v>
      </c>
      <c r="G8" s="192">
        <f>Promedio_parcelas!W17</f>
        <v>12485.688599999999</v>
      </c>
      <c r="H8" s="192">
        <f t="shared" si="0"/>
        <v>852.98542000000145</v>
      </c>
      <c r="I8" s="313"/>
      <c r="J8" s="316"/>
    </row>
    <row r="9" spans="2:10" x14ac:dyDescent="0.3">
      <c r="B9" s="302" t="s">
        <v>68</v>
      </c>
      <c r="C9" s="237">
        <v>0</v>
      </c>
      <c r="D9" s="245">
        <f>Promedio_parcelas!T27</f>
        <v>131.32358629999999</v>
      </c>
      <c r="E9" s="246">
        <f>Promedio_parcelas!U27</f>
        <v>7575.9717179999998</v>
      </c>
      <c r="F9" s="246">
        <f>Promedio_parcelas!V27</f>
        <v>213.12999999999997</v>
      </c>
      <c r="G9" s="246">
        <f>Promedio_parcelas!W27</f>
        <v>3864.6896225</v>
      </c>
      <c r="H9" s="246">
        <f t="shared" ref="H9:H30" si="1">G9-F9-E9-D9</f>
        <v>-4055.7356817999998</v>
      </c>
      <c r="I9" s="304">
        <f>SUM(H9:H13)</f>
        <v>-42271.090683799994</v>
      </c>
      <c r="J9" s="306">
        <f>VAN!D19</f>
        <v>-9256.2241677494676</v>
      </c>
    </row>
    <row r="10" spans="2:10" x14ac:dyDescent="0.3">
      <c r="B10" s="302"/>
      <c r="C10" s="237">
        <v>20</v>
      </c>
      <c r="D10" s="245">
        <f>Promedio_parcelas!T30</f>
        <v>123.77421939999998</v>
      </c>
      <c r="E10" s="246">
        <f>Promedio_parcelas!U30</f>
        <v>18315.283517999997</v>
      </c>
      <c r="F10" s="246">
        <f>Promedio_parcelas!V30</f>
        <v>213.12999999999997</v>
      </c>
      <c r="G10" s="246">
        <f>Promedio_parcelas!W30</f>
        <v>9343.0768724999998</v>
      </c>
      <c r="H10" s="246">
        <f t="shared" si="1"/>
        <v>-9309.1108648999962</v>
      </c>
      <c r="I10" s="304"/>
      <c r="J10" s="306"/>
    </row>
    <row r="11" spans="2:10" x14ac:dyDescent="0.3">
      <c r="B11" s="302"/>
      <c r="C11" s="237">
        <v>40</v>
      </c>
      <c r="D11" s="245">
        <f>Promedio_parcelas!T33</f>
        <v>93.476572399999995</v>
      </c>
      <c r="E11" s="246">
        <f>Promedio_parcelas!U33</f>
        <v>20491.87602</v>
      </c>
      <c r="F11" s="246">
        <f>Promedio_parcelas!V33</f>
        <v>213.12999999999997</v>
      </c>
      <c r="G11" s="246">
        <f>Promedio_parcelas!W33</f>
        <v>10453.410275</v>
      </c>
      <c r="H11" s="246">
        <f t="shared" si="1"/>
        <v>-10345.0723174</v>
      </c>
      <c r="I11" s="304"/>
      <c r="J11" s="306"/>
    </row>
    <row r="12" spans="2:10" x14ac:dyDescent="0.3">
      <c r="B12" s="302"/>
      <c r="C12" s="237">
        <v>60</v>
      </c>
      <c r="D12" s="245">
        <f>Promedio_parcelas!T36</f>
        <v>63.639937599999996</v>
      </c>
      <c r="E12" s="246">
        <f>Promedio_parcelas!U36</f>
        <v>19531.611582000001</v>
      </c>
      <c r="F12" s="246">
        <f>Promedio_parcelas!V36</f>
        <v>213.12999999999997</v>
      </c>
      <c r="G12" s="246">
        <f>Promedio_parcelas!W36</f>
        <v>9963.5557525000022</v>
      </c>
      <c r="H12" s="246">
        <f t="shared" si="1"/>
        <v>-9844.8257670999992</v>
      </c>
      <c r="I12" s="304"/>
      <c r="J12" s="306"/>
    </row>
    <row r="13" spans="2:10" ht="15" thickBot="1" x14ac:dyDescent="0.35">
      <c r="B13" s="303"/>
      <c r="C13" s="238">
        <v>80</v>
      </c>
      <c r="D13" s="247">
        <f>Promedio_parcelas!T39</f>
        <v>43.762973599999995</v>
      </c>
      <c r="E13" s="248">
        <f>Promedio_parcelas!U39</f>
        <v>17268.581483999998</v>
      </c>
      <c r="F13" s="248">
        <f>Promedio_parcelas!V39</f>
        <v>213.12999999999997</v>
      </c>
      <c r="G13" s="248">
        <f>Promedio_parcelas!W39</f>
        <v>8809.1284049999995</v>
      </c>
      <c r="H13" s="248">
        <f t="shared" si="1"/>
        <v>-8716.3460525999981</v>
      </c>
      <c r="I13" s="305"/>
      <c r="J13" s="307"/>
    </row>
    <row r="14" spans="2:10" x14ac:dyDescent="0.3">
      <c r="B14" s="308" t="s">
        <v>12</v>
      </c>
      <c r="C14" s="50">
        <v>0</v>
      </c>
      <c r="D14" s="239">
        <f>Promedio_parcelas!T41</f>
        <v>70.276541999999992</v>
      </c>
      <c r="E14" s="240">
        <f>Promedio_parcelas!U41</f>
        <v>7702.9946279999986</v>
      </c>
      <c r="F14" s="240">
        <f>Promedio_parcelas!V41</f>
        <v>213.12999999999997</v>
      </c>
      <c r="G14" s="240">
        <f>Promedio_parcelas!W41</f>
        <v>3929.4871349999999</v>
      </c>
      <c r="H14" s="240">
        <f t="shared" si="1"/>
        <v>-4056.9140349999989</v>
      </c>
      <c r="I14" s="317">
        <f>SUM(H14:H19)</f>
        <v>-4737.249006999994</v>
      </c>
      <c r="J14" s="320">
        <f>VAN!D28</f>
        <v>-8777.0419029479453</v>
      </c>
    </row>
    <row r="15" spans="2:10" x14ac:dyDescent="0.3">
      <c r="B15" s="309"/>
      <c r="C15" s="51">
        <v>10</v>
      </c>
      <c r="D15" s="241">
        <f>Promedio_parcelas!T43</f>
        <v>43.996279999999992</v>
      </c>
      <c r="E15" s="242">
        <f>Promedio_parcelas!U43</f>
        <v>14249.916744</v>
      </c>
      <c r="F15" s="242">
        <f>Promedio_parcelas!V43</f>
        <v>213.12999999999997</v>
      </c>
      <c r="G15" s="242">
        <f>Promedio_parcelas!W43</f>
        <v>7269.2332300000007</v>
      </c>
      <c r="H15" s="242">
        <f t="shared" si="1"/>
        <v>-7237.8097939999998</v>
      </c>
      <c r="I15" s="318"/>
      <c r="J15" s="321"/>
    </row>
    <row r="16" spans="2:10" x14ac:dyDescent="0.3">
      <c r="B16" s="309"/>
      <c r="C16" s="51">
        <v>30</v>
      </c>
      <c r="D16" s="241">
        <f>Promedio_parcelas!T46</f>
        <v>189.87443999999996</v>
      </c>
      <c r="E16" s="242">
        <f>Promedio_parcelas!U46</f>
        <v>9832.4984240000013</v>
      </c>
      <c r="F16" s="242">
        <f>Promedio_parcelas!V46</f>
        <v>213.12999999999997</v>
      </c>
      <c r="G16" s="242">
        <f>Promedio_parcelas!W46</f>
        <v>11054.930180000001</v>
      </c>
      <c r="H16" s="242">
        <f t="shared" si="1"/>
        <v>819.42731600000081</v>
      </c>
      <c r="I16" s="318"/>
      <c r="J16" s="321"/>
    </row>
    <row r="17" spans="2:16" x14ac:dyDescent="0.3">
      <c r="B17" s="309"/>
      <c r="C17" s="51">
        <v>50</v>
      </c>
      <c r="D17" s="241">
        <f>Promedio_parcelas!T49</f>
        <v>145.8916199999999</v>
      </c>
      <c r="E17" s="242">
        <f>Promedio_parcelas!U49</f>
        <v>11332.305264000001</v>
      </c>
      <c r="F17" s="242">
        <f>Promedio_parcelas!V49</f>
        <v>213.12999999999997</v>
      </c>
      <c r="G17" s="242">
        <f>Promedio_parcelas!W49</f>
        <v>12741.201480000002</v>
      </c>
      <c r="H17" s="242">
        <f t="shared" si="1"/>
        <v>1049.8745960000019</v>
      </c>
      <c r="I17" s="318"/>
      <c r="J17" s="321"/>
    </row>
    <row r="18" spans="2:16" x14ac:dyDescent="0.3">
      <c r="B18" s="309"/>
      <c r="C18" s="51">
        <v>70</v>
      </c>
      <c r="D18" s="241">
        <f>Promedio_parcelas!T52</f>
        <v>114.84416000000004</v>
      </c>
      <c r="E18" s="242">
        <f>Promedio_parcelas!U52</f>
        <v>10468.103519999999</v>
      </c>
      <c r="F18" s="242">
        <f>Promedio_parcelas!V52</f>
        <v>213.12999999999997</v>
      </c>
      <c r="G18" s="242">
        <f>Promedio_parcelas!W52</f>
        <v>13164.085199999998</v>
      </c>
      <c r="H18" s="242">
        <f t="shared" si="1"/>
        <v>2368.0075199999997</v>
      </c>
      <c r="I18" s="318"/>
      <c r="J18" s="321"/>
    </row>
    <row r="19" spans="2:16" ht="15" thickBot="1" x14ac:dyDescent="0.35">
      <c r="B19" s="310"/>
      <c r="C19" s="52">
        <v>90</v>
      </c>
      <c r="D19" s="243">
        <f>Promedio_parcelas!T55</f>
        <v>89.378559999999993</v>
      </c>
      <c r="E19" s="244">
        <f>Promedio_parcelas!U55</f>
        <v>10183.460300000001</v>
      </c>
      <c r="F19" s="244">
        <f>Promedio_parcelas!V55</f>
        <v>213.12999999999997</v>
      </c>
      <c r="G19" s="244">
        <f>Promedio_parcelas!W55</f>
        <v>12806.134250000003</v>
      </c>
      <c r="H19" s="244">
        <f t="shared" si="1"/>
        <v>2320.1653900000028</v>
      </c>
      <c r="I19" s="319"/>
      <c r="J19" s="322"/>
    </row>
    <row r="20" spans="2:16" x14ac:dyDescent="0.3">
      <c r="B20" s="323" t="s">
        <v>37</v>
      </c>
      <c r="C20" s="236">
        <v>0</v>
      </c>
      <c r="D20" s="249">
        <f>Promedio_parcelas!T56</f>
        <v>70.276541999999992</v>
      </c>
      <c r="E20" s="250">
        <f>Promedio_parcelas!U56</f>
        <v>7702.9946279999986</v>
      </c>
      <c r="F20" s="250">
        <f>Promedio_parcelas!V56</f>
        <v>213.12999999999997</v>
      </c>
      <c r="G20" s="250">
        <f>Promedio_parcelas!W56</f>
        <v>3929.4871349999999</v>
      </c>
      <c r="H20" s="250">
        <f t="shared" si="1"/>
        <v>-4056.9140349999989</v>
      </c>
      <c r="I20" s="324">
        <f>SUM(H20:H24)</f>
        <v>-23729.151723999988</v>
      </c>
      <c r="J20" s="325">
        <f>VAN!D36</f>
        <v>-9015.8626288939249</v>
      </c>
    </row>
    <row r="21" spans="2:16" x14ac:dyDescent="0.3">
      <c r="B21" s="302"/>
      <c r="C21" s="237">
        <v>20</v>
      </c>
      <c r="D21" s="245">
        <f>Promedio_parcelas!T59</f>
        <v>127.95791680000001</v>
      </c>
      <c r="E21" s="246">
        <f>Promedio_parcelas!U59</f>
        <v>18934.376957999997</v>
      </c>
      <c r="F21" s="246">
        <f>Promedio_parcelas!V59</f>
        <v>213.12999999999997</v>
      </c>
      <c r="G21" s="246">
        <f>Promedio_parcelas!W59</f>
        <v>9658.8916724999999</v>
      </c>
      <c r="H21" s="246">
        <f t="shared" si="1"/>
        <v>-9616.5732022999964</v>
      </c>
      <c r="I21" s="304"/>
      <c r="J21" s="306"/>
    </row>
    <row r="22" spans="2:16" x14ac:dyDescent="0.3">
      <c r="B22" s="302"/>
      <c r="C22" s="237">
        <v>40</v>
      </c>
      <c r="D22" s="245">
        <f>Promedio_parcelas!T62</f>
        <v>97.935412599999978</v>
      </c>
      <c r="E22" s="246">
        <f>Promedio_parcelas!U62</f>
        <v>24152.958059999997</v>
      </c>
      <c r="F22" s="246">
        <f>Promedio_parcelas!V62</f>
        <v>213.12999999999997</v>
      </c>
      <c r="G22" s="246">
        <f>Promedio_parcelas!W62</f>
        <v>12321.018325000001</v>
      </c>
      <c r="H22" s="246">
        <f t="shared" si="1"/>
        <v>-12143.005147599995</v>
      </c>
      <c r="I22" s="304"/>
      <c r="J22" s="306"/>
    </row>
    <row r="23" spans="2:16" x14ac:dyDescent="0.3">
      <c r="B23" s="302"/>
      <c r="C23" s="237">
        <v>60</v>
      </c>
      <c r="D23" s="245">
        <f>Promedio_parcelas!T65</f>
        <v>116.81116019999999</v>
      </c>
      <c r="E23" s="246">
        <f>Promedio_parcelas!U65</f>
        <v>11908.905918</v>
      </c>
      <c r="F23" s="246">
        <f>Promedio_parcelas!V65</f>
        <v>213.12999999999997</v>
      </c>
      <c r="G23" s="246">
        <f>Promedio_parcelas!W65</f>
        <v>13389.488385000001</v>
      </c>
      <c r="H23" s="246">
        <f t="shared" si="1"/>
        <v>1150.6413068000011</v>
      </c>
      <c r="I23" s="304"/>
      <c r="J23" s="306"/>
    </row>
    <row r="24" spans="2:16" ht="15" thickBot="1" x14ac:dyDescent="0.35">
      <c r="B24" s="303"/>
      <c r="C24" s="238">
        <v>80</v>
      </c>
      <c r="D24" s="247">
        <f>Promedio_parcelas!T68</f>
        <v>62.323374400000006</v>
      </c>
      <c r="E24" s="248">
        <f>Promedio_parcelas!U68</f>
        <v>12244.797054000001</v>
      </c>
      <c r="F24" s="248">
        <f>Promedio_parcelas!V68</f>
        <v>213.12999999999997</v>
      </c>
      <c r="G24" s="248">
        <f>Promedio_parcelas!W68</f>
        <v>13456.949782500002</v>
      </c>
      <c r="H24" s="248">
        <f t="shared" si="1"/>
        <v>936.69935410000187</v>
      </c>
      <c r="I24" s="305"/>
      <c r="J24" s="307"/>
    </row>
    <row r="25" spans="2:16" x14ac:dyDescent="0.3">
      <c r="B25" s="308" t="s">
        <v>228</v>
      </c>
      <c r="C25" s="50">
        <v>0</v>
      </c>
      <c r="D25" s="239">
        <f>Promedio_parcelas!T70</f>
        <v>70.276541999999992</v>
      </c>
      <c r="E25" s="240">
        <f>Promedio_parcelas!U70</f>
        <v>7702.9946279999986</v>
      </c>
      <c r="F25" s="240">
        <f>Promedio_parcelas!V70</f>
        <v>213.12999999999997</v>
      </c>
      <c r="G25" s="240">
        <f>Promedio_parcelas!W70</f>
        <v>3929.4871349999999</v>
      </c>
      <c r="H25" s="240">
        <f t="shared" si="1"/>
        <v>-4056.9140349999989</v>
      </c>
      <c r="I25" s="317">
        <f>SUM(H25:H30)</f>
        <v>-58828.380550999987</v>
      </c>
      <c r="J25" s="320">
        <f>VAN!D45</f>
        <v>-11701.733544430754</v>
      </c>
    </row>
    <row r="26" spans="2:16" x14ac:dyDescent="0.3">
      <c r="B26" s="309"/>
      <c r="C26" s="51">
        <v>10</v>
      </c>
      <c r="D26" s="241">
        <f>Promedio_parcelas!T72</f>
        <v>43.828999999999944</v>
      </c>
      <c r="E26" s="242">
        <f>Promedio_parcelas!U72</f>
        <v>14216.822928</v>
      </c>
      <c r="F26" s="242">
        <f>Promedio_parcelas!V72</f>
        <v>213.12999999999997</v>
      </c>
      <c r="G26" s="242">
        <f>Promedio_parcelas!W72</f>
        <v>7252.3512600000004</v>
      </c>
      <c r="H26" s="242">
        <f t="shared" si="1"/>
        <v>-7221.4306679999991</v>
      </c>
      <c r="I26" s="318"/>
      <c r="J26" s="321"/>
    </row>
    <row r="27" spans="2:16" x14ac:dyDescent="0.3">
      <c r="B27" s="309"/>
      <c r="C27" s="51">
        <v>30</v>
      </c>
      <c r="D27" s="241">
        <f>Promedio_parcelas!T75</f>
        <v>122.30874000000003</v>
      </c>
      <c r="E27" s="242">
        <f>Promedio_parcelas!U75</f>
        <v>21450.293423999996</v>
      </c>
      <c r="F27" s="242">
        <f>Promedio_parcelas!V75</f>
        <v>213.12999999999997</v>
      </c>
      <c r="G27" s="242">
        <f>Promedio_parcelas!W75</f>
        <v>10942.32258</v>
      </c>
      <c r="H27" s="242">
        <f t="shared" si="1"/>
        <v>-10843.409583999995</v>
      </c>
      <c r="I27" s="318"/>
      <c r="J27" s="321"/>
    </row>
    <row r="28" spans="2:16" x14ac:dyDescent="0.3">
      <c r="B28" s="309"/>
      <c r="C28" s="51">
        <v>50</v>
      </c>
      <c r="D28" s="241">
        <f>Promedio_parcelas!T78</f>
        <v>92.655080000000012</v>
      </c>
      <c r="E28" s="242">
        <f>Promedio_parcelas!U78</f>
        <v>24374.161727999995</v>
      </c>
      <c r="F28" s="242">
        <f>Promedio_parcelas!V78</f>
        <v>213.12999999999997</v>
      </c>
      <c r="G28" s="242">
        <f>Promedio_parcelas!W78</f>
        <v>12433.859759999999</v>
      </c>
      <c r="H28" s="242">
        <f t="shared" si="1"/>
        <v>-12246.087047999996</v>
      </c>
      <c r="I28" s="318"/>
      <c r="J28" s="321"/>
    </row>
    <row r="29" spans="2:16" x14ac:dyDescent="0.3">
      <c r="B29" s="309"/>
      <c r="C29" s="51">
        <v>70</v>
      </c>
      <c r="D29" s="241">
        <f>Promedio_parcelas!T81</f>
        <v>70.898839999999993</v>
      </c>
      <c r="E29" s="242">
        <f>Promedio_parcelas!U81</f>
        <v>24867.926495999996</v>
      </c>
      <c r="F29" s="242">
        <f>Promedio_parcelas!V81</f>
        <v>213.12999999999997</v>
      </c>
      <c r="G29" s="242">
        <f>Promedio_parcelas!W81</f>
        <v>12685.741319999999</v>
      </c>
      <c r="H29" s="242">
        <f t="shared" si="1"/>
        <v>-12466.214015999996</v>
      </c>
      <c r="I29" s="318"/>
      <c r="J29" s="321"/>
    </row>
    <row r="30" spans="2:16" ht="15" thickBot="1" x14ac:dyDescent="0.35">
      <c r="B30" s="310"/>
      <c r="C30" s="52">
        <v>90</v>
      </c>
      <c r="D30" s="243">
        <f>Promedio_parcelas!T84</f>
        <v>54.597239999999992</v>
      </c>
      <c r="E30" s="244">
        <f>Promedio_parcelas!U84</f>
        <v>23937.920159999998</v>
      </c>
      <c r="F30" s="244">
        <f>Promedio_parcelas!V84</f>
        <v>213.12999999999997</v>
      </c>
      <c r="G30" s="244">
        <f>Promedio_parcelas!W84</f>
        <v>12211.322199999999</v>
      </c>
      <c r="H30" s="244">
        <f t="shared" si="1"/>
        <v>-11994.325199999997</v>
      </c>
      <c r="I30" s="319"/>
      <c r="J30" s="322"/>
    </row>
    <row r="31" spans="2:16" ht="15" thickBot="1" x14ac:dyDescent="0.35"/>
    <row r="32" spans="2:16" ht="15.6" customHeight="1" thickBot="1" x14ac:dyDescent="0.35">
      <c r="L32" s="228" t="s">
        <v>0</v>
      </c>
      <c r="M32" s="194" t="s">
        <v>451</v>
      </c>
      <c r="N32" s="195" t="s">
        <v>452</v>
      </c>
      <c r="O32" s="196" t="s">
        <v>441</v>
      </c>
      <c r="P32" s="197" t="s">
        <v>442</v>
      </c>
    </row>
    <row r="33" spans="12:24" x14ac:dyDescent="0.3">
      <c r="L33" s="198" t="s">
        <v>226</v>
      </c>
      <c r="M33" s="202">
        <f>SUM(D3:F8)</f>
        <v>106393.118562</v>
      </c>
      <c r="N33" s="203">
        <f>SUM(G3:G8)</f>
        <v>60076.452624999998</v>
      </c>
      <c r="O33" s="203">
        <f>N33-M33</f>
        <v>-46316.665937000005</v>
      </c>
      <c r="P33" s="204">
        <f>J3</f>
        <v>-11720.001405749786</v>
      </c>
    </row>
    <row r="34" spans="12:24" x14ac:dyDescent="0.3">
      <c r="L34" s="199" t="s">
        <v>68</v>
      </c>
      <c r="M34" s="205">
        <f>SUM(D9:F13)</f>
        <v>84704.951611299985</v>
      </c>
      <c r="N34" s="206">
        <f>SUM(G9:G13)</f>
        <v>42433.860927500005</v>
      </c>
      <c r="O34" s="206">
        <f>N34-M34</f>
        <v>-42271.090683799979</v>
      </c>
      <c r="P34" s="207">
        <f>J9</f>
        <v>-9256.2241677494676</v>
      </c>
    </row>
    <row r="35" spans="12:24" x14ac:dyDescent="0.3">
      <c r="L35" s="200" t="s">
        <v>12</v>
      </c>
      <c r="M35" s="208">
        <f>SUM(D14:F19)</f>
        <v>65702.320481999996</v>
      </c>
      <c r="N35" s="209">
        <f>SUM(G14:G19)</f>
        <v>60965.071475000004</v>
      </c>
      <c r="O35" s="209">
        <f>N35-M35</f>
        <v>-4737.2490069999913</v>
      </c>
      <c r="P35" s="210">
        <f>J14</f>
        <v>-8777.0419029479453</v>
      </c>
    </row>
    <row r="36" spans="12:24" x14ac:dyDescent="0.3">
      <c r="L36" s="199" t="s">
        <v>37</v>
      </c>
      <c r="M36" s="205">
        <f>SUM(D20:F24)</f>
        <v>76484.987024000002</v>
      </c>
      <c r="N36" s="206">
        <f>SUM(G20:G24)</f>
        <v>52755.835300000006</v>
      </c>
      <c r="O36" s="206">
        <f>N36-M36</f>
        <v>-23729.151723999996</v>
      </c>
      <c r="P36" s="207">
        <f>J20</f>
        <v>-9015.8626288939249</v>
      </c>
    </row>
    <row r="37" spans="12:24" ht="15" thickBot="1" x14ac:dyDescent="0.35">
      <c r="L37" s="201" t="s">
        <v>228</v>
      </c>
      <c r="M37" s="211">
        <f>SUM(D25:F30)</f>
        <v>118283.46480599999</v>
      </c>
      <c r="N37" s="212">
        <f>SUM(G25:G30)</f>
        <v>59455.084254999994</v>
      </c>
      <c r="O37" s="212">
        <f>N37-M37</f>
        <v>-58828.380550999995</v>
      </c>
      <c r="P37" s="213">
        <f>J25</f>
        <v>-11701.733544430754</v>
      </c>
    </row>
    <row r="38" spans="12:24" ht="15" thickBot="1" x14ac:dyDescent="0.35"/>
    <row r="39" spans="12:24" ht="15" customHeight="1" x14ac:dyDescent="0.3">
      <c r="R39" s="328" t="s">
        <v>0</v>
      </c>
      <c r="S39" s="328" t="s">
        <v>446</v>
      </c>
      <c r="T39" s="334" t="s">
        <v>447</v>
      </c>
      <c r="U39" s="335"/>
      <c r="V39" s="335"/>
      <c r="W39" s="335"/>
      <c r="X39" s="336"/>
    </row>
    <row r="40" spans="12:24" x14ac:dyDescent="0.3">
      <c r="R40" s="329"/>
      <c r="S40" s="329"/>
      <c r="T40" s="331" t="s">
        <v>444</v>
      </c>
      <c r="U40" s="332"/>
      <c r="V40" s="333" t="s">
        <v>448</v>
      </c>
      <c r="W40" s="332"/>
      <c r="X40" s="326" t="s">
        <v>445</v>
      </c>
    </row>
    <row r="41" spans="12:24" ht="15" thickBot="1" x14ac:dyDescent="0.35">
      <c r="R41" s="330"/>
      <c r="S41" s="330"/>
      <c r="T41" s="229" t="s">
        <v>449</v>
      </c>
      <c r="U41" s="230" t="s">
        <v>450</v>
      </c>
      <c r="V41" s="230" t="s">
        <v>449</v>
      </c>
      <c r="W41" s="231" t="s">
        <v>450</v>
      </c>
      <c r="X41" s="327"/>
    </row>
    <row r="42" spans="12:24" ht="15" thickBot="1" x14ac:dyDescent="0.35">
      <c r="R42" s="232" t="s">
        <v>226</v>
      </c>
      <c r="S42" s="254" t="s">
        <v>467</v>
      </c>
      <c r="T42" s="220">
        <f>Promedio_parcelas!H17</f>
        <v>1.62</v>
      </c>
      <c r="U42" s="221">
        <f>Promedio_parcelas!AC3</f>
        <v>136.89000000000001</v>
      </c>
      <c r="V42" s="221">
        <f>Promedio_parcelas!F17-Promedio_parcelas!H17</f>
        <v>166.54599999999999</v>
      </c>
      <c r="W42" s="222">
        <f>Promedio_parcelas!AD3</f>
        <v>3818.0670500000001</v>
      </c>
      <c r="X42" s="223">
        <f>W42+U42</f>
        <v>3954.95705</v>
      </c>
    </row>
    <row r="43" spans="12:24" ht="15" thickBot="1" x14ac:dyDescent="0.35">
      <c r="R43" s="233" t="s">
        <v>68</v>
      </c>
      <c r="S43" s="255" t="s">
        <v>468</v>
      </c>
      <c r="T43" s="224">
        <f>Promedio_parcelas!H40</f>
        <v>52.951999999999998</v>
      </c>
      <c r="U43" s="219">
        <f>Promedio_parcelas!AC27</f>
        <v>4474.4439999999995</v>
      </c>
      <c r="V43" s="219">
        <f>Promedio_parcelas!F40-Promedio_parcelas!H40</f>
        <v>90.02600000000001</v>
      </c>
      <c r="W43" s="218">
        <f>Promedio_parcelas!AD27</f>
        <v>2063.8460500000001</v>
      </c>
      <c r="X43" s="225">
        <f t="shared" ref="X43:X46" si="2">W43+U43</f>
        <v>6538.2900499999996</v>
      </c>
    </row>
    <row r="44" spans="12:24" ht="15" thickBot="1" x14ac:dyDescent="0.35">
      <c r="R44" s="234" t="s">
        <v>12</v>
      </c>
      <c r="S44" s="256" t="s">
        <v>469</v>
      </c>
      <c r="T44" s="226">
        <f>Promedio_parcelas!H55</f>
        <v>145.548</v>
      </c>
      <c r="U44" s="217">
        <f>Promedio_parcelas!AC41</f>
        <v>12298.806</v>
      </c>
      <c r="V44" s="217">
        <f>Promedio_parcelas!F55-Promedio_parcelas!H55</f>
        <v>245.33199999999999</v>
      </c>
      <c r="W44" s="216">
        <f>Promedio_parcelas!AD41</f>
        <v>5624.2360999999992</v>
      </c>
      <c r="X44" s="227">
        <f t="shared" si="2"/>
        <v>17923.042099999999</v>
      </c>
    </row>
    <row r="45" spans="12:24" ht="15" thickBot="1" x14ac:dyDescent="0.35">
      <c r="R45" s="233" t="s">
        <v>37</v>
      </c>
      <c r="S45" s="255" t="s">
        <v>470</v>
      </c>
      <c r="T45" s="224">
        <f>Promedio_parcelas!H69</f>
        <v>88.244</v>
      </c>
      <c r="U45" s="219">
        <f>Promedio_parcelas!AC56</f>
        <v>7456.6180000000004</v>
      </c>
      <c r="V45" s="219">
        <f>Promedio_parcelas!F69-Promedio_parcelas!H69</f>
        <v>191.20599999999999</v>
      </c>
      <c r="W45" s="218">
        <f>Promedio_parcelas!AD56</f>
        <v>4383.3975500000006</v>
      </c>
      <c r="X45" s="225">
        <f t="shared" si="2"/>
        <v>11840.01555</v>
      </c>
    </row>
    <row r="46" spans="12:24" ht="13.8" customHeight="1" x14ac:dyDescent="0.3">
      <c r="R46" s="282" t="s">
        <v>228</v>
      </c>
      <c r="S46" s="283" t="s">
        <v>471</v>
      </c>
      <c r="T46" s="284">
        <f>Promedio_parcelas!H84</f>
        <v>66.054000000000002</v>
      </c>
      <c r="U46" s="285">
        <f>Promedio_parcelas!AC70</f>
        <v>5581.5630000000001</v>
      </c>
      <c r="V46" s="285">
        <f>Promedio_parcelas!F84-Promedio_parcelas!H84</f>
        <v>202.78799999999998</v>
      </c>
      <c r="W46" s="286">
        <f>Promedio_parcelas!AD70</f>
        <v>4648.9148999999998</v>
      </c>
      <c r="X46" s="287">
        <f t="shared" si="2"/>
        <v>10230.4779</v>
      </c>
    </row>
    <row r="47" spans="12:24" ht="15" thickBot="1" x14ac:dyDescent="0.35">
      <c r="R47" s="293" t="s">
        <v>67</v>
      </c>
      <c r="S47" s="288" t="s">
        <v>461</v>
      </c>
      <c r="T47" s="289" t="s">
        <v>462</v>
      </c>
      <c r="U47" s="290" t="s">
        <v>463</v>
      </c>
      <c r="V47" s="290" t="s">
        <v>464</v>
      </c>
      <c r="W47" s="291" t="s">
        <v>465</v>
      </c>
      <c r="X47" s="292" t="s">
        <v>466</v>
      </c>
    </row>
  </sheetData>
  <mergeCells count="21">
    <mergeCell ref="X40:X41"/>
    <mergeCell ref="R39:R41"/>
    <mergeCell ref="S39:S41"/>
    <mergeCell ref="T40:U40"/>
    <mergeCell ref="V40:W40"/>
    <mergeCell ref="T39:X39"/>
    <mergeCell ref="B25:B30"/>
    <mergeCell ref="I25:I30"/>
    <mergeCell ref="J25:J30"/>
    <mergeCell ref="B14:B19"/>
    <mergeCell ref="I14:I19"/>
    <mergeCell ref="J14:J19"/>
    <mergeCell ref="B20:B24"/>
    <mergeCell ref="I20:I24"/>
    <mergeCell ref="J20:J24"/>
    <mergeCell ref="B9:B13"/>
    <mergeCell ref="I9:I13"/>
    <mergeCell ref="J9:J13"/>
    <mergeCell ref="B3:B8"/>
    <mergeCell ref="I3:I8"/>
    <mergeCell ref="J3:J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BB8F-CFC9-4CC0-958C-FEF660319EA7}">
  <dimension ref="B1:V84"/>
  <sheetViews>
    <sheetView workbookViewId="0">
      <selection activeCell="L24" sqref="L24"/>
    </sheetView>
  </sheetViews>
  <sheetFormatPr baseColWidth="10" defaultRowHeight="14.4" x14ac:dyDescent="0.3"/>
  <cols>
    <col min="2" max="2" width="9.5546875" bestFit="1" customWidth="1"/>
    <col min="3" max="3" width="9.33203125" bestFit="1" customWidth="1"/>
    <col min="4" max="4" width="7.6640625" customWidth="1"/>
    <col min="5" max="5" width="8.5546875" bestFit="1" customWidth="1"/>
    <col min="6" max="6" width="5.5546875" bestFit="1" customWidth="1"/>
    <col min="7" max="7" width="7.77734375" bestFit="1" customWidth="1"/>
    <col min="8" max="8" width="5.5546875" bestFit="1" customWidth="1"/>
    <col min="9" max="9" width="10" customWidth="1"/>
    <col min="10" max="11" width="6.88671875" customWidth="1"/>
    <col min="22" max="22" width="9.33203125" customWidth="1"/>
  </cols>
  <sheetData>
    <row r="1" spans="2:22" ht="15" thickBot="1" x14ac:dyDescent="0.35"/>
    <row r="2" spans="2:22" ht="43.8" thickBot="1" x14ac:dyDescent="0.35">
      <c r="B2" s="267" t="s">
        <v>0</v>
      </c>
      <c r="C2" s="268" t="s">
        <v>43</v>
      </c>
      <c r="D2" s="268" t="s">
        <v>475</v>
      </c>
      <c r="E2" s="268" t="s">
        <v>5</v>
      </c>
      <c r="F2" s="268" t="s">
        <v>472</v>
      </c>
      <c r="G2" s="268" t="s">
        <v>473</v>
      </c>
      <c r="H2" s="268" t="s">
        <v>474</v>
      </c>
      <c r="I2" s="251" t="s">
        <v>476</v>
      </c>
      <c r="J2" s="275" t="s">
        <v>48</v>
      </c>
      <c r="K2" s="266" t="s">
        <v>49</v>
      </c>
      <c r="V2" s="253" t="s">
        <v>453</v>
      </c>
    </row>
    <row r="3" spans="2:22" x14ac:dyDescent="0.3">
      <c r="B3" s="41" t="s">
        <v>65</v>
      </c>
      <c r="C3" s="269" t="s">
        <v>2</v>
      </c>
      <c r="D3" s="269">
        <v>62.8</v>
      </c>
      <c r="E3" s="272">
        <v>1714.0619999999999</v>
      </c>
      <c r="F3" s="272">
        <v>14.391999999999999</v>
      </c>
      <c r="G3" s="272">
        <v>13.282</v>
      </c>
      <c r="H3" s="272">
        <v>27.63</v>
      </c>
      <c r="I3" s="257">
        <v>147.34399999999999</v>
      </c>
      <c r="J3" s="276">
        <v>198.97200000000001</v>
      </c>
      <c r="K3" s="260">
        <v>90.912000000000006</v>
      </c>
      <c r="V3" s="44">
        <f>Promedio_parcelas!D3-10</f>
        <v>0</v>
      </c>
    </row>
    <row r="4" spans="2:22" x14ac:dyDescent="0.3">
      <c r="B4" s="42" t="s">
        <v>65</v>
      </c>
      <c r="C4" s="270" t="s">
        <v>66</v>
      </c>
      <c r="D4" s="270">
        <v>66.8</v>
      </c>
      <c r="E4" s="273">
        <v>1689.204</v>
      </c>
      <c r="F4" s="273">
        <v>15.076000000000001</v>
      </c>
      <c r="G4" s="273">
        <v>13.628</v>
      </c>
      <c r="H4" s="273">
        <v>29.366</v>
      </c>
      <c r="I4" s="258">
        <v>137.49799999999999</v>
      </c>
      <c r="J4" s="277">
        <v>213.45599999999999</v>
      </c>
      <c r="K4" s="261">
        <v>97.528000000000006</v>
      </c>
      <c r="V4">
        <f>Promedio_parcelas!D4-10</f>
        <v>10</v>
      </c>
    </row>
    <row r="5" spans="2:22" x14ac:dyDescent="0.3">
      <c r="B5" s="42" t="s">
        <v>65</v>
      </c>
      <c r="C5" s="270" t="s">
        <v>2</v>
      </c>
      <c r="D5" s="270">
        <v>66.8</v>
      </c>
      <c r="E5" s="273">
        <v>1582.248</v>
      </c>
      <c r="F5" s="273">
        <v>14.438000000000001</v>
      </c>
      <c r="G5" s="273">
        <v>13.321999999999999</v>
      </c>
      <c r="H5" s="273">
        <v>25.515999999999998</v>
      </c>
      <c r="I5" s="258">
        <v>159.024</v>
      </c>
      <c r="J5" s="277">
        <v>184.99</v>
      </c>
      <c r="K5" s="261">
        <v>84.522000000000006</v>
      </c>
      <c r="V5">
        <f>Promedio_parcelas!D5-10</f>
        <v>10</v>
      </c>
    </row>
    <row r="6" spans="2:22" x14ac:dyDescent="0.3">
      <c r="B6" s="42" t="s">
        <v>65</v>
      </c>
      <c r="C6" s="270" t="s">
        <v>66</v>
      </c>
      <c r="D6" s="270">
        <v>72.8</v>
      </c>
      <c r="E6" s="273">
        <v>1545.12</v>
      </c>
      <c r="F6" s="273">
        <v>15.404</v>
      </c>
      <c r="G6" s="273">
        <v>13.62</v>
      </c>
      <c r="H6" s="273">
        <v>28.167999999999999</v>
      </c>
      <c r="I6" s="258">
        <v>153.16999999999999</v>
      </c>
      <c r="J6" s="277">
        <v>205.03800000000001</v>
      </c>
      <c r="K6" s="261">
        <v>93.683999999999997</v>
      </c>
      <c r="V6">
        <f>Promedio_parcelas!D6-10</f>
        <v>20</v>
      </c>
    </row>
    <row r="7" spans="2:22" x14ac:dyDescent="0.3">
      <c r="B7" s="42" t="s">
        <v>65</v>
      </c>
      <c r="C7" s="270" t="s">
        <v>66</v>
      </c>
      <c r="D7" s="270">
        <v>82.8</v>
      </c>
      <c r="E7" s="273">
        <v>1496.7139999999999</v>
      </c>
      <c r="F7" s="273">
        <v>16.867999999999999</v>
      </c>
      <c r="G7" s="273">
        <v>14.252000000000001</v>
      </c>
      <c r="H7" s="273">
        <v>32.682000000000002</v>
      </c>
      <c r="I7" s="258">
        <v>110.40600000000001</v>
      </c>
      <c r="J7" s="277">
        <v>243.614</v>
      </c>
      <c r="K7" s="261">
        <v>111.304</v>
      </c>
      <c r="V7">
        <f>Promedio_parcelas!D7-10</f>
        <v>30</v>
      </c>
    </row>
    <row r="8" spans="2:22" x14ac:dyDescent="0.3">
      <c r="B8" s="42" t="s">
        <v>65</v>
      </c>
      <c r="C8" s="270" t="s">
        <v>2</v>
      </c>
      <c r="D8" s="270">
        <v>82.8</v>
      </c>
      <c r="E8" s="273">
        <v>1197.3720000000001</v>
      </c>
      <c r="F8" s="273">
        <v>14.84</v>
      </c>
      <c r="G8" s="273">
        <v>13.468</v>
      </c>
      <c r="H8" s="273">
        <v>20.224</v>
      </c>
      <c r="I8" s="258">
        <v>184.15</v>
      </c>
      <c r="J8" s="277">
        <v>147.45400000000001</v>
      </c>
      <c r="K8" s="261">
        <v>67.373999999999995</v>
      </c>
      <c r="V8">
        <f>Promedio_parcelas!D8-10</f>
        <v>30</v>
      </c>
    </row>
    <row r="9" spans="2:22" x14ac:dyDescent="0.3">
      <c r="B9" s="42" t="s">
        <v>65</v>
      </c>
      <c r="C9" s="270" t="s">
        <v>66</v>
      </c>
      <c r="D9" s="270">
        <v>92.8</v>
      </c>
      <c r="E9" s="273">
        <v>1166.104</v>
      </c>
      <c r="F9" s="273">
        <v>16.571999999999999</v>
      </c>
      <c r="G9" s="273">
        <v>13.766</v>
      </c>
      <c r="H9" s="273">
        <v>24.577999999999999</v>
      </c>
      <c r="I9" s="258">
        <v>136.17400000000001</v>
      </c>
      <c r="J9" s="277">
        <v>180.63399999999999</v>
      </c>
      <c r="K9" s="261">
        <v>82.531999999999996</v>
      </c>
      <c r="V9">
        <f>Promedio_parcelas!D9-10</f>
        <v>40</v>
      </c>
    </row>
    <row r="10" spans="2:22" x14ac:dyDescent="0.3">
      <c r="B10" s="42" t="s">
        <v>65</v>
      </c>
      <c r="C10" s="270" t="s">
        <v>66</v>
      </c>
      <c r="D10" s="270">
        <v>102.8</v>
      </c>
      <c r="E10" s="273">
        <v>1140.0360000000001</v>
      </c>
      <c r="F10" s="273">
        <v>18.239999999999998</v>
      </c>
      <c r="G10" s="273">
        <v>14.294</v>
      </c>
      <c r="H10" s="273">
        <v>29.134</v>
      </c>
      <c r="I10" s="258">
        <v>108.89400000000001</v>
      </c>
      <c r="J10" s="277">
        <v>218.66</v>
      </c>
      <c r="K10" s="261">
        <v>99.903999999999996</v>
      </c>
      <c r="V10">
        <f>Promedio_parcelas!D10-10</f>
        <v>50</v>
      </c>
    </row>
    <row r="11" spans="2:22" x14ac:dyDescent="0.3">
      <c r="B11" s="42" t="s">
        <v>65</v>
      </c>
      <c r="C11" s="270" t="s">
        <v>2</v>
      </c>
      <c r="D11" s="270">
        <v>102.8</v>
      </c>
      <c r="E11" s="273">
        <v>912.03</v>
      </c>
      <c r="F11" s="273">
        <v>16.672000000000001</v>
      </c>
      <c r="G11" s="273">
        <v>13.808</v>
      </c>
      <c r="H11" s="273">
        <v>19.43</v>
      </c>
      <c r="I11" s="258">
        <v>166.316</v>
      </c>
      <c r="J11" s="277">
        <v>143.834</v>
      </c>
      <c r="K11" s="261">
        <v>65.72</v>
      </c>
      <c r="V11">
        <f>Promedio_parcelas!D11-10</f>
        <v>50</v>
      </c>
    </row>
    <row r="12" spans="2:22" x14ac:dyDescent="0.3">
      <c r="B12" s="42" t="s">
        <v>65</v>
      </c>
      <c r="C12" s="270" t="s">
        <v>66</v>
      </c>
      <c r="D12" s="270">
        <v>112.8</v>
      </c>
      <c r="E12" s="273">
        <v>893.9</v>
      </c>
      <c r="F12" s="273">
        <v>18.538</v>
      </c>
      <c r="G12" s="273">
        <v>14.226000000000001</v>
      </c>
      <c r="H12" s="273">
        <v>23.6</v>
      </c>
      <c r="I12" s="258">
        <v>135.16999999999999</v>
      </c>
      <c r="J12" s="277">
        <v>177.37799999999999</v>
      </c>
      <c r="K12" s="261">
        <v>81.043999999999997</v>
      </c>
      <c r="V12">
        <f>Promedio_parcelas!D12-10</f>
        <v>60</v>
      </c>
    </row>
    <row r="13" spans="2:22" x14ac:dyDescent="0.3">
      <c r="B13" s="42" t="s">
        <v>65</v>
      </c>
      <c r="C13" s="270" t="s">
        <v>66</v>
      </c>
      <c r="D13" s="270">
        <v>122.8</v>
      </c>
      <c r="E13" s="273">
        <v>877.98599999999999</v>
      </c>
      <c r="F13" s="273">
        <v>20.326000000000001</v>
      </c>
      <c r="G13" s="273">
        <v>14.84</v>
      </c>
      <c r="H13" s="273">
        <v>27.911999999999999</v>
      </c>
      <c r="I13" s="258">
        <v>113.01</v>
      </c>
      <c r="J13" s="277">
        <v>215.298</v>
      </c>
      <c r="K13" s="261">
        <v>98.37</v>
      </c>
      <c r="V13">
        <f>Promedio_parcelas!D13-10</f>
        <v>70</v>
      </c>
    </row>
    <row r="14" spans="2:22" x14ac:dyDescent="0.3">
      <c r="B14" s="42" t="s">
        <v>65</v>
      </c>
      <c r="C14" s="270" t="s">
        <v>2</v>
      </c>
      <c r="D14" s="270">
        <v>122.8</v>
      </c>
      <c r="E14" s="273">
        <v>702.38800000000003</v>
      </c>
      <c r="F14" s="273">
        <v>18.917999999999999</v>
      </c>
      <c r="G14" s="273">
        <v>14.407999999999999</v>
      </c>
      <c r="H14" s="273">
        <v>19.314</v>
      </c>
      <c r="I14" s="258">
        <v>165.38800000000001</v>
      </c>
      <c r="J14" s="277">
        <v>147.38</v>
      </c>
      <c r="K14" s="261">
        <v>67.34</v>
      </c>
      <c r="V14">
        <f>Promedio_parcelas!D14-10</f>
        <v>70</v>
      </c>
    </row>
    <row r="15" spans="2:22" x14ac:dyDescent="0.3">
      <c r="B15" s="42" t="s">
        <v>65</v>
      </c>
      <c r="C15" s="270" t="s">
        <v>66</v>
      </c>
      <c r="D15" s="270">
        <v>132.80000000000001</v>
      </c>
      <c r="E15" s="273">
        <v>691.09400000000005</v>
      </c>
      <c r="F15" s="273">
        <v>20.853999999999999</v>
      </c>
      <c r="G15" s="273">
        <v>14.901999999999999</v>
      </c>
      <c r="H15" s="273">
        <v>23.154</v>
      </c>
      <c r="I15" s="258">
        <v>138.86799999999999</v>
      </c>
      <c r="J15" s="277">
        <v>180.19</v>
      </c>
      <c r="K15" s="261">
        <v>82.328000000000003</v>
      </c>
      <c r="V15">
        <f>Promedio_parcelas!D15-10</f>
        <v>80</v>
      </c>
    </row>
    <row r="16" spans="2:22" x14ac:dyDescent="0.3">
      <c r="B16" s="42" t="s">
        <v>65</v>
      </c>
      <c r="C16" s="270" t="s">
        <v>66</v>
      </c>
      <c r="D16" s="270">
        <v>142.80000000000001</v>
      </c>
      <c r="E16" s="273">
        <v>680.79399999999998</v>
      </c>
      <c r="F16" s="273">
        <v>22.702000000000002</v>
      </c>
      <c r="G16" s="273">
        <v>15.566000000000001</v>
      </c>
      <c r="H16" s="273">
        <v>27.082000000000001</v>
      </c>
      <c r="I16" s="258">
        <v>118.506</v>
      </c>
      <c r="J16" s="277">
        <v>216.822</v>
      </c>
      <c r="K16" s="261">
        <v>99.063999999999993</v>
      </c>
      <c r="V16">
        <f>Promedio_parcelas!D16-10</f>
        <v>90</v>
      </c>
    </row>
    <row r="17" spans="2:22" ht="15" thickBot="1" x14ac:dyDescent="0.35">
      <c r="B17" s="40" t="s">
        <v>65</v>
      </c>
      <c r="C17" s="271" t="s">
        <v>2</v>
      </c>
      <c r="D17" s="271">
        <v>142.80000000000001</v>
      </c>
      <c r="E17" s="274">
        <v>544.63199999999995</v>
      </c>
      <c r="F17" s="274">
        <v>21.417999999999999</v>
      </c>
      <c r="G17" s="274">
        <v>15.246</v>
      </c>
      <c r="H17" s="274">
        <v>19.25</v>
      </c>
      <c r="I17" s="259">
        <v>168.166</v>
      </c>
      <c r="J17" s="278">
        <v>152.82400000000001</v>
      </c>
      <c r="K17" s="262">
        <v>69.825999999999993</v>
      </c>
      <c r="V17" s="47">
        <f>Promedio_parcelas!D17-10</f>
        <v>90</v>
      </c>
    </row>
    <row r="18" spans="2:22" x14ac:dyDescent="0.3">
      <c r="B18" s="42" t="s">
        <v>67</v>
      </c>
      <c r="C18" s="270" t="s">
        <v>66</v>
      </c>
      <c r="D18" s="270">
        <v>66.8</v>
      </c>
      <c r="E18" s="273">
        <v>1748.6780000000001</v>
      </c>
      <c r="F18" s="273">
        <v>15.646000000000001</v>
      </c>
      <c r="G18" s="273">
        <v>14.012</v>
      </c>
      <c r="H18" s="273">
        <v>32.735999999999997</v>
      </c>
      <c r="I18" s="258">
        <v>180.816</v>
      </c>
      <c r="J18" s="277">
        <v>241.55600000000001</v>
      </c>
      <c r="K18" s="261">
        <v>110.364</v>
      </c>
      <c r="V18">
        <f>Promedio_parcelas!D18-10</f>
        <v>10</v>
      </c>
    </row>
    <row r="19" spans="2:22" x14ac:dyDescent="0.3">
      <c r="B19" s="42" t="s">
        <v>67</v>
      </c>
      <c r="C19" s="270" t="s">
        <v>66</v>
      </c>
      <c r="D19" s="270">
        <v>72.8</v>
      </c>
      <c r="E19" s="273">
        <v>1701.43</v>
      </c>
      <c r="F19" s="273">
        <v>16.408000000000001</v>
      </c>
      <c r="G19" s="273">
        <v>14.545999999999999</v>
      </c>
      <c r="H19" s="273">
        <v>35.22</v>
      </c>
      <c r="I19" s="258">
        <v>201.482</v>
      </c>
      <c r="J19" s="277">
        <v>266.358</v>
      </c>
      <c r="K19" s="261">
        <v>121.69199999999999</v>
      </c>
      <c r="V19">
        <f>Promedio_parcelas!D19-10</f>
        <v>20</v>
      </c>
    </row>
    <row r="20" spans="2:22" x14ac:dyDescent="0.3">
      <c r="B20" s="42" t="s">
        <v>67</v>
      </c>
      <c r="C20" s="270" t="s">
        <v>66</v>
      </c>
      <c r="D20" s="270">
        <v>82.8</v>
      </c>
      <c r="E20" s="273">
        <v>1643.354</v>
      </c>
      <c r="F20" s="273">
        <v>17.66</v>
      </c>
      <c r="G20" s="273">
        <v>15.314</v>
      </c>
      <c r="H20" s="273">
        <v>39.378</v>
      </c>
      <c r="I20" s="258">
        <v>235.25800000000001</v>
      </c>
      <c r="J20" s="277">
        <v>307.28199999999998</v>
      </c>
      <c r="K20" s="261">
        <v>140.38800000000001</v>
      </c>
      <c r="V20">
        <f>Promedio_parcelas!D20-10</f>
        <v>30</v>
      </c>
    </row>
    <row r="21" spans="2:22" x14ac:dyDescent="0.3">
      <c r="B21" s="42" t="s">
        <v>67</v>
      </c>
      <c r="C21" s="270" t="s">
        <v>66</v>
      </c>
      <c r="D21" s="270">
        <v>92.8</v>
      </c>
      <c r="E21" s="273">
        <v>1593.8320000000001</v>
      </c>
      <c r="F21" s="273">
        <v>18.821999999999999</v>
      </c>
      <c r="G21" s="273">
        <v>16.100000000000001</v>
      </c>
      <c r="H21" s="273">
        <v>43.372</v>
      </c>
      <c r="I21" s="258">
        <v>270.726</v>
      </c>
      <c r="J21" s="277">
        <v>349.85199999999998</v>
      </c>
      <c r="K21" s="261">
        <v>159.834</v>
      </c>
      <c r="V21">
        <f>Promedio_parcelas!D21-10</f>
        <v>40</v>
      </c>
    </row>
    <row r="22" spans="2:22" x14ac:dyDescent="0.3">
      <c r="B22" s="42" t="s">
        <v>67</v>
      </c>
      <c r="C22" s="270" t="s">
        <v>66</v>
      </c>
      <c r="D22" s="270">
        <v>102.8</v>
      </c>
      <c r="E22" s="273">
        <v>1549.452</v>
      </c>
      <c r="F22" s="273">
        <v>19.898</v>
      </c>
      <c r="G22" s="273">
        <v>16.893999999999998</v>
      </c>
      <c r="H22" s="273">
        <v>47.14</v>
      </c>
      <c r="I22" s="258">
        <v>306.84199999999998</v>
      </c>
      <c r="J22" s="277">
        <v>392.91199999999998</v>
      </c>
      <c r="K22" s="261">
        <v>179.50399999999999</v>
      </c>
      <c r="V22">
        <f>Promedio_parcelas!D22-10</f>
        <v>50</v>
      </c>
    </row>
    <row r="23" spans="2:22" x14ac:dyDescent="0.3">
      <c r="B23" s="42" t="s">
        <v>67</v>
      </c>
      <c r="C23" s="270" t="s">
        <v>66</v>
      </c>
      <c r="D23" s="270">
        <v>112.8</v>
      </c>
      <c r="E23" s="273">
        <v>1508.77</v>
      </c>
      <c r="F23" s="273">
        <v>20.898</v>
      </c>
      <c r="G23" s="273">
        <v>17.686</v>
      </c>
      <c r="H23" s="273">
        <v>50.642000000000003</v>
      </c>
      <c r="I23" s="258">
        <v>343.06200000000001</v>
      </c>
      <c r="J23" s="277">
        <v>435.84</v>
      </c>
      <c r="K23" s="261">
        <v>199.11799999999999</v>
      </c>
      <c r="V23">
        <f>Promedio_parcelas!D23-10</f>
        <v>60</v>
      </c>
    </row>
    <row r="24" spans="2:22" x14ac:dyDescent="0.3">
      <c r="B24" s="42" t="s">
        <v>67</v>
      </c>
      <c r="C24" s="270" t="s">
        <v>66</v>
      </c>
      <c r="D24" s="270">
        <v>122.8</v>
      </c>
      <c r="E24" s="273">
        <v>1470.8579999999999</v>
      </c>
      <c r="F24" s="273">
        <v>21.821999999999999</v>
      </c>
      <c r="G24" s="273">
        <v>18.47</v>
      </c>
      <c r="H24" s="273">
        <v>53.85</v>
      </c>
      <c r="I24" s="258">
        <v>378.93</v>
      </c>
      <c r="J24" s="277">
        <v>478.14</v>
      </c>
      <c r="K24" s="261">
        <v>218.43799999999999</v>
      </c>
      <c r="V24">
        <f>Promedio_parcelas!D24-10</f>
        <v>70</v>
      </c>
    </row>
    <row r="25" spans="2:22" x14ac:dyDescent="0.3">
      <c r="B25" s="42" t="s">
        <v>67</v>
      </c>
      <c r="C25" s="270" t="s">
        <v>66</v>
      </c>
      <c r="D25" s="270">
        <v>132.80000000000001</v>
      </c>
      <c r="E25" s="273">
        <v>1435.09</v>
      </c>
      <c r="F25" s="273">
        <v>22.678000000000001</v>
      </c>
      <c r="G25" s="273">
        <v>19.245999999999999</v>
      </c>
      <c r="H25" s="273">
        <v>56.762</v>
      </c>
      <c r="I25" s="258">
        <v>414.08</v>
      </c>
      <c r="J25" s="277">
        <v>519.39800000000002</v>
      </c>
      <c r="K25" s="261">
        <v>237.29</v>
      </c>
      <c r="V25">
        <f>Promedio_parcelas!D25-10</f>
        <v>80</v>
      </c>
    </row>
    <row r="26" spans="2:22" ht="15" thickBot="1" x14ac:dyDescent="0.35">
      <c r="B26" s="42" t="s">
        <v>67</v>
      </c>
      <c r="C26" s="270" t="s">
        <v>66</v>
      </c>
      <c r="D26" s="270">
        <v>142.80000000000001</v>
      </c>
      <c r="E26" s="273">
        <v>1401.0319999999999</v>
      </c>
      <c r="F26" s="273">
        <v>23.466000000000001</v>
      </c>
      <c r="G26" s="273">
        <v>20.007999999999999</v>
      </c>
      <c r="H26" s="273">
        <v>59.378</v>
      </c>
      <c r="I26" s="258">
        <v>448.20800000000003</v>
      </c>
      <c r="J26" s="277">
        <v>559.29399999999998</v>
      </c>
      <c r="K26" s="261">
        <v>255.51400000000001</v>
      </c>
      <c r="V26">
        <f>Promedio_parcelas!D26-10</f>
        <v>90</v>
      </c>
    </row>
    <row r="27" spans="2:22" x14ac:dyDescent="0.3">
      <c r="B27" s="41" t="s">
        <v>68</v>
      </c>
      <c r="C27" s="269" t="s">
        <v>2</v>
      </c>
      <c r="D27" s="269">
        <v>62.8</v>
      </c>
      <c r="E27" s="272">
        <v>1685.797</v>
      </c>
      <c r="F27" s="272">
        <v>14.932</v>
      </c>
      <c r="G27" s="272">
        <v>13.496</v>
      </c>
      <c r="H27" s="272">
        <v>28.965</v>
      </c>
      <c r="I27" s="257">
        <v>155.60400000000001</v>
      </c>
      <c r="J27" s="279">
        <v>209.72200000000001</v>
      </c>
      <c r="K27" s="263">
        <v>95.822000000000003</v>
      </c>
      <c r="V27" s="44">
        <f>Promedio_parcelas!D27-10</f>
        <v>0</v>
      </c>
    </row>
    <row r="28" spans="2:22" x14ac:dyDescent="0.3">
      <c r="B28" s="42" t="s">
        <v>68</v>
      </c>
      <c r="C28" s="270" t="s">
        <v>66</v>
      </c>
      <c r="D28" s="270">
        <v>66.8</v>
      </c>
      <c r="E28" s="273">
        <v>1632.3779999999999</v>
      </c>
      <c r="F28" s="273">
        <v>15.606</v>
      </c>
      <c r="G28" s="273">
        <v>14.006</v>
      </c>
      <c r="H28" s="273">
        <v>30.04</v>
      </c>
      <c r="I28" s="258">
        <v>165.762</v>
      </c>
      <c r="J28" s="280">
        <v>221.584</v>
      </c>
      <c r="K28" s="264">
        <v>101.24</v>
      </c>
      <c r="V28">
        <f>Promedio_parcelas!D28-10</f>
        <v>10</v>
      </c>
    </row>
    <row r="29" spans="2:22" x14ac:dyDescent="0.3">
      <c r="B29" s="42" t="s">
        <v>68</v>
      </c>
      <c r="C29" s="270" t="s">
        <v>66</v>
      </c>
      <c r="D29" s="270">
        <v>72.8</v>
      </c>
      <c r="E29" s="273">
        <v>1588.886</v>
      </c>
      <c r="F29" s="273">
        <v>16.443999999999999</v>
      </c>
      <c r="G29" s="273">
        <v>14.542</v>
      </c>
      <c r="H29" s="273">
        <v>32.448</v>
      </c>
      <c r="I29" s="258">
        <v>184.99</v>
      </c>
      <c r="J29" s="280">
        <v>244.85</v>
      </c>
      <c r="K29" s="264">
        <v>111.86799999999999</v>
      </c>
      <c r="V29">
        <f>Promedio_parcelas!D29-10</f>
        <v>20</v>
      </c>
    </row>
    <row r="30" spans="2:22" x14ac:dyDescent="0.3">
      <c r="B30" s="42" t="s">
        <v>68</v>
      </c>
      <c r="C30" s="270" t="s">
        <v>2</v>
      </c>
      <c r="D30" s="270">
        <v>72.8</v>
      </c>
      <c r="E30" s="273">
        <v>1358.499</v>
      </c>
      <c r="F30" s="273">
        <v>16.132000000000001</v>
      </c>
      <c r="G30" s="273">
        <v>14.68</v>
      </c>
      <c r="H30" s="273">
        <v>26.693999999999999</v>
      </c>
      <c r="I30" s="258">
        <v>151.76900000000001</v>
      </c>
      <c r="J30" s="280">
        <v>201.23099999999999</v>
      </c>
      <c r="K30" s="264">
        <v>91.941999999999993</v>
      </c>
      <c r="V30">
        <f>Promedio_parcelas!D30-10</f>
        <v>20</v>
      </c>
    </row>
    <row r="31" spans="2:22" x14ac:dyDescent="0.3">
      <c r="B31" s="42" t="s">
        <v>68</v>
      </c>
      <c r="C31" s="270" t="s">
        <v>66</v>
      </c>
      <c r="D31" s="270">
        <v>82.8</v>
      </c>
      <c r="E31" s="273">
        <v>1237.97</v>
      </c>
      <c r="F31" s="273">
        <v>17.596</v>
      </c>
      <c r="G31" s="273">
        <v>15.416</v>
      </c>
      <c r="H31" s="273">
        <v>28.943999999999999</v>
      </c>
      <c r="I31" s="258">
        <v>173.364</v>
      </c>
      <c r="J31" s="280">
        <v>226.56200000000001</v>
      </c>
      <c r="K31" s="264">
        <v>103.51</v>
      </c>
      <c r="V31">
        <f>Promedio_parcelas!D31-10</f>
        <v>30</v>
      </c>
    </row>
    <row r="32" spans="2:22" x14ac:dyDescent="0.3">
      <c r="B32" s="42" t="s">
        <v>68</v>
      </c>
      <c r="C32" s="270" t="s">
        <v>66</v>
      </c>
      <c r="D32" s="270">
        <v>92.8</v>
      </c>
      <c r="E32" s="273">
        <v>1199.9559999999999</v>
      </c>
      <c r="F32" s="273">
        <v>19.013999999999999</v>
      </c>
      <c r="G32" s="273">
        <v>16.198</v>
      </c>
      <c r="H32" s="273">
        <v>32.804000000000002</v>
      </c>
      <c r="I32" s="258">
        <v>205.19800000000001</v>
      </c>
      <c r="J32" s="280">
        <v>265.3</v>
      </c>
      <c r="K32" s="264">
        <v>121.21</v>
      </c>
      <c r="V32">
        <f>Promedio_parcelas!D32-10</f>
        <v>40</v>
      </c>
    </row>
    <row r="33" spans="2:22" x14ac:dyDescent="0.3">
      <c r="B33" s="42" t="s">
        <v>68</v>
      </c>
      <c r="C33" s="270" t="s">
        <v>2</v>
      </c>
      <c r="D33" s="270">
        <v>92.8</v>
      </c>
      <c r="E33" s="273">
        <v>911.96600000000001</v>
      </c>
      <c r="F33" s="273">
        <v>18.361000000000001</v>
      </c>
      <c r="G33" s="273">
        <v>16.108000000000001</v>
      </c>
      <c r="H33" s="273">
        <v>23.231999999999999</v>
      </c>
      <c r="I33" s="258">
        <v>144.55699999999999</v>
      </c>
      <c r="J33" s="280">
        <v>187.29599999999999</v>
      </c>
      <c r="K33" s="264">
        <v>85.578000000000003</v>
      </c>
      <c r="V33">
        <f>Promedio_parcelas!D33-10</f>
        <v>40</v>
      </c>
    </row>
    <row r="34" spans="2:22" x14ac:dyDescent="0.3">
      <c r="B34" s="42" t="s">
        <v>68</v>
      </c>
      <c r="C34" s="270" t="s">
        <v>66</v>
      </c>
      <c r="D34" s="270">
        <v>102.8</v>
      </c>
      <c r="E34" s="273">
        <v>838.34400000000005</v>
      </c>
      <c r="F34" s="273">
        <v>19.963999999999999</v>
      </c>
      <c r="G34" s="273">
        <v>16.896000000000001</v>
      </c>
      <c r="H34" s="273">
        <v>25.324000000000002</v>
      </c>
      <c r="I34" s="258">
        <v>164.56200000000001</v>
      </c>
      <c r="J34" s="280">
        <v>211.23599999999999</v>
      </c>
      <c r="K34" s="264">
        <v>96.51</v>
      </c>
      <c r="V34">
        <f>Promedio_parcelas!D34-10</f>
        <v>50</v>
      </c>
    </row>
    <row r="35" spans="2:22" x14ac:dyDescent="0.3">
      <c r="B35" s="42" t="s">
        <v>68</v>
      </c>
      <c r="C35" s="270" t="s">
        <v>66</v>
      </c>
      <c r="D35" s="270">
        <v>112.8</v>
      </c>
      <c r="E35" s="273">
        <v>816.94399999999996</v>
      </c>
      <c r="F35" s="273">
        <v>21.466000000000001</v>
      </c>
      <c r="G35" s="273">
        <v>17.716000000000001</v>
      </c>
      <c r="H35" s="273">
        <v>28.59</v>
      </c>
      <c r="I35" s="258">
        <v>193.786</v>
      </c>
      <c r="J35" s="280">
        <v>246.67400000000001</v>
      </c>
      <c r="K35" s="264">
        <v>112.702</v>
      </c>
      <c r="V35">
        <f>Promedio_parcelas!D35-10</f>
        <v>60</v>
      </c>
    </row>
    <row r="36" spans="2:22" x14ac:dyDescent="0.3">
      <c r="B36" s="42" t="s">
        <v>68</v>
      </c>
      <c r="C36" s="270" t="s">
        <v>2</v>
      </c>
      <c r="D36" s="270">
        <v>112.8</v>
      </c>
      <c r="E36" s="273">
        <v>620.87900000000002</v>
      </c>
      <c r="F36" s="273">
        <v>20.797999999999998</v>
      </c>
      <c r="G36" s="273">
        <v>17.596</v>
      </c>
      <c r="H36" s="273">
        <v>20.38</v>
      </c>
      <c r="I36" s="258">
        <v>137.49100000000001</v>
      </c>
      <c r="J36" s="280">
        <v>175.256</v>
      </c>
      <c r="K36" s="264">
        <v>80.075000000000003</v>
      </c>
      <c r="V36">
        <f>Promedio_parcelas!D36-10</f>
        <v>60</v>
      </c>
    </row>
    <row r="37" spans="2:22" x14ac:dyDescent="0.3">
      <c r="B37" s="42" t="s">
        <v>68</v>
      </c>
      <c r="C37" s="270" t="s">
        <v>66</v>
      </c>
      <c r="D37" s="270">
        <v>122.8</v>
      </c>
      <c r="E37" s="273">
        <v>574.01599999999996</v>
      </c>
      <c r="F37" s="273">
        <v>22.484000000000002</v>
      </c>
      <c r="G37" s="273">
        <v>18.373999999999999</v>
      </c>
      <c r="H37" s="273">
        <v>22.091999999999999</v>
      </c>
      <c r="I37" s="258">
        <v>155.066</v>
      </c>
      <c r="J37" s="280">
        <v>196.38</v>
      </c>
      <c r="K37" s="264">
        <v>89.727999999999994</v>
      </c>
      <c r="V37">
        <f>Promedio_parcelas!D37-10</f>
        <v>70</v>
      </c>
    </row>
    <row r="38" spans="2:22" x14ac:dyDescent="0.3">
      <c r="B38" s="42" t="s">
        <v>68</v>
      </c>
      <c r="C38" s="270" t="s">
        <v>66</v>
      </c>
      <c r="D38" s="270">
        <v>132.80000000000001</v>
      </c>
      <c r="E38" s="273">
        <v>561.78399999999999</v>
      </c>
      <c r="F38" s="273">
        <v>24.006</v>
      </c>
      <c r="G38" s="273">
        <v>19.186</v>
      </c>
      <c r="H38" s="273">
        <v>24.716000000000001</v>
      </c>
      <c r="I38" s="258">
        <v>180.30799999999999</v>
      </c>
      <c r="J38" s="280">
        <v>226.982</v>
      </c>
      <c r="K38" s="264">
        <v>103.70399999999999</v>
      </c>
      <c r="V38">
        <f>Promedio_parcelas!D38-10</f>
        <v>80</v>
      </c>
    </row>
    <row r="39" spans="2:22" x14ac:dyDescent="0.3">
      <c r="B39" s="42" t="s">
        <v>68</v>
      </c>
      <c r="C39" s="270" t="s">
        <v>2</v>
      </c>
      <c r="D39" s="270">
        <v>132.80000000000001</v>
      </c>
      <c r="E39" s="273">
        <v>426.95400000000001</v>
      </c>
      <c r="F39" s="273">
        <v>23.318000000000001</v>
      </c>
      <c r="G39" s="273">
        <v>19.013999999999999</v>
      </c>
      <c r="H39" s="273">
        <v>17.710999999999999</v>
      </c>
      <c r="I39" s="258">
        <v>128.64599999999999</v>
      </c>
      <c r="J39" s="280">
        <v>162.08000000000001</v>
      </c>
      <c r="K39" s="264">
        <v>74.055999999999997</v>
      </c>
      <c r="V39">
        <f>Promedio_parcelas!D39-10</f>
        <v>80</v>
      </c>
    </row>
    <row r="40" spans="2:22" ht="15" thickBot="1" x14ac:dyDescent="0.35">
      <c r="B40" s="40" t="s">
        <v>68</v>
      </c>
      <c r="C40" s="271" t="s">
        <v>66</v>
      </c>
      <c r="D40" s="271">
        <v>142.80000000000001</v>
      </c>
      <c r="E40" s="274">
        <v>396.48599999999999</v>
      </c>
      <c r="F40" s="274">
        <v>25.036000000000001</v>
      </c>
      <c r="G40" s="274">
        <v>19.72</v>
      </c>
      <c r="H40" s="274">
        <v>19.027999999999999</v>
      </c>
      <c r="I40" s="259">
        <v>142.97800000000001</v>
      </c>
      <c r="J40" s="281">
        <v>179.44</v>
      </c>
      <c r="K40" s="265">
        <v>81.988</v>
      </c>
      <c r="V40" s="47">
        <f>Promedio_parcelas!D40-10</f>
        <v>90</v>
      </c>
    </row>
    <row r="41" spans="2:22" x14ac:dyDescent="0.3">
      <c r="B41" s="42" t="s">
        <v>12</v>
      </c>
      <c r="C41" s="270" t="s">
        <v>2</v>
      </c>
      <c r="D41" s="270">
        <v>62.8</v>
      </c>
      <c r="E41" s="273">
        <v>1714.0619999999999</v>
      </c>
      <c r="F41" s="273">
        <v>15.305999999999999</v>
      </c>
      <c r="G41" s="273">
        <v>13.5</v>
      </c>
      <c r="H41" s="273">
        <v>30.774000000000001</v>
      </c>
      <c r="I41" s="258">
        <v>165.59</v>
      </c>
      <c r="J41" s="277">
        <v>222.864</v>
      </c>
      <c r="K41" s="261">
        <v>101.822</v>
      </c>
      <c r="V41">
        <f>Promedio_parcelas!D41-10</f>
        <v>0</v>
      </c>
    </row>
    <row r="42" spans="2:22" x14ac:dyDescent="0.3">
      <c r="B42" s="42" t="s">
        <v>12</v>
      </c>
      <c r="C42" s="270" t="s">
        <v>66</v>
      </c>
      <c r="D42" s="270">
        <v>66.8</v>
      </c>
      <c r="E42" s="273">
        <v>1692.7460000000001</v>
      </c>
      <c r="F42" s="273">
        <v>15.93</v>
      </c>
      <c r="G42" s="273">
        <v>14.016</v>
      </c>
      <c r="H42" s="273">
        <v>32.564</v>
      </c>
      <c r="I42" s="258">
        <v>178.346</v>
      </c>
      <c r="J42" s="277">
        <v>240.62</v>
      </c>
      <c r="K42" s="261">
        <v>109.932</v>
      </c>
      <c r="V42">
        <f>Promedio_parcelas!D42-10</f>
        <v>10</v>
      </c>
    </row>
    <row r="43" spans="2:22" x14ac:dyDescent="0.3">
      <c r="B43" s="42" t="s">
        <v>12</v>
      </c>
      <c r="C43" s="270" t="s">
        <v>2</v>
      </c>
      <c r="D43" s="270">
        <v>66.8</v>
      </c>
      <c r="E43" s="273">
        <v>1585.4380000000001</v>
      </c>
      <c r="F43" s="273">
        <v>16.308</v>
      </c>
      <c r="G43" s="273">
        <v>14.016</v>
      </c>
      <c r="H43" s="273">
        <v>32.045999999999999</v>
      </c>
      <c r="I43" s="258">
        <v>180.358</v>
      </c>
      <c r="J43" s="277">
        <v>237.38399999999999</v>
      </c>
      <c r="K43" s="261">
        <v>108.45</v>
      </c>
      <c r="V43">
        <f>Promedio_parcelas!D43-10</f>
        <v>10</v>
      </c>
    </row>
    <row r="44" spans="2:22" x14ac:dyDescent="0.3">
      <c r="B44" s="42" t="s">
        <v>12</v>
      </c>
      <c r="C44" s="270" t="s">
        <v>66</v>
      </c>
      <c r="D44" s="270">
        <v>72.8</v>
      </c>
      <c r="E44" s="273">
        <v>1553.356</v>
      </c>
      <c r="F44" s="273">
        <v>17.138000000000002</v>
      </c>
      <c r="G44" s="273">
        <v>14.561999999999999</v>
      </c>
      <c r="H44" s="273">
        <v>34.701999999999998</v>
      </c>
      <c r="I44" s="258">
        <v>200.036</v>
      </c>
      <c r="J44" s="277">
        <v>263.59800000000001</v>
      </c>
      <c r="K44" s="261">
        <v>120.428</v>
      </c>
      <c r="V44">
        <f>Promedio_parcelas!D44-10</f>
        <v>20</v>
      </c>
    </row>
    <row r="45" spans="2:22" x14ac:dyDescent="0.3">
      <c r="B45" s="42" t="s">
        <v>12</v>
      </c>
      <c r="C45" s="270" t="s">
        <v>66</v>
      </c>
      <c r="D45" s="270">
        <v>82.8</v>
      </c>
      <c r="E45" s="273">
        <v>1506.942</v>
      </c>
      <c r="F45" s="273">
        <v>18.45</v>
      </c>
      <c r="G45" s="273">
        <v>15.346</v>
      </c>
      <c r="H45" s="273">
        <v>39.018000000000001</v>
      </c>
      <c r="I45" s="258">
        <v>220.92400000000001</v>
      </c>
      <c r="J45" s="277">
        <v>306.01799999999997</v>
      </c>
      <c r="K45" s="261">
        <v>139.80199999999999</v>
      </c>
      <c r="V45">
        <f>Promedio_parcelas!D45-10</f>
        <v>30</v>
      </c>
    </row>
    <row r="46" spans="2:22" x14ac:dyDescent="0.3">
      <c r="B46" s="42" t="s">
        <v>12</v>
      </c>
      <c r="C46" s="270" t="s">
        <v>2</v>
      </c>
      <c r="D46" s="270">
        <v>82.8</v>
      </c>
      <c r="E46" s="273">
        <v>1205.5540000000001</v>
      </c>
      <c r="F46" s="273">
        <v>19.885999999999999</v>
      </c>
      <c r="G46" s="273">
        <v>15.346</v>
      </c>
      <c r="H46" s="273">
        <v>36.316000000000003</v>
      </c>
      <c r="I46" s="258">
        <v>234.928</v>
      </c>
      <c r="J46" s="277">
        <v>286.71199999999999</v>
      </c>
      <c r="K46" s="261">
        <v>130.976</v>
      </c>
      <c r="V46">
        <f>Promedio_parcelas!D46-10</f>
        <v>30</v>
      </c>
    </row>
    <row r="47" spans="2:22" x14ac:dyDescent="0.3">
      <c r="B47" s="42" t="s">
        <v>12</v>
      </c>
      <c r="C47" s="270" t="s">
        <v>66</v>
      </c>
      <c r="D47" s="270">
        <v>92.8</v>
      </c>
      <c r="E47" s="273">
        <v>1180.81</v>
      </c>
      <c r="F47" s="273">
        <v>21.262</v>
      </c>
      <c r="G47" s="273">
        <v>16.173999999999999</v>
      </c>
      <c r="H47" s="273">
        <v>40.673999999999999</v>
      </c>
      <c r="I47" s="258">
        <v>258.62799999999999</v>
      </c>
      <c r="J47" s="277">
        <v>332.43799999999999</v>
      </c>
      <c r="K47" s="261">
        <v>151.86600000000001</v>
      </c>
      <c r="V47">
        <f>Promedio_parcelas!D47-10</f>
        <v>40</v>
      </c>
    </row>
    <row r="48" spans="2:22" x14ac:dyDescent="0.3">
      <c r="B48" s="42" t="s">
        <v>12</v>
      </c>
      <c r="C48" s="270" t="s">
        <v>66</v>
      </c>
      <c r="D48" s="270">
        <v>102.8</v>
      </c>
      <c r="E48" s="273">
        <v>1157.8699999999999</v>
      </c>
      <c r="F48" s="273">
        <v>22.527999999999999</v>
      </c>
      <c r="G48" s="273">
        <v>17.013999999999999</v>
      </c>
      <c r="H48" s="273">
        <v>44.808</v>
      </c>
      <c r="I48" s="258">
        <v>272.83</v>
      </c>
      <c r="J48" s="277">
        <v>379.07600000000002</v>
      </c>
      <c r="K48" s="261">
        <v>173.17</v>
      </c>
      <c r="V48">
        <f>Promedio_parcelas!D48-10</f>
        <v>50</v>
      </c>
    </row>
    <row r="49" spans="2:22" x14ac:dyDescent="0.3">
      <c r="B49" s="42" t="s">
        <v>12</v>
      </c>
      <c r="C49" s="270" t="s">
        <v>2</v>
      </c>
      <c r="D49" s="270">
        <v>102.8</v>
      </c>
      <c r="E49" s="273">
        <v>926.29600000000005</v>
      </c>
      <c r="F49" s="273">
        <v>24.01</v>
      </c>
      <c r="G49" s="273">
        <v>17.013999999999999</v>
      </c>
      <c r="H49" s="273">
        <v>40.75</v>
      </c>
      <c r="I49" s="258">
        <v>297.36799999999999</v>
      </c>
      <c r="J49" s="277">
        <v>347.36599999999999</v>
      </c>
      <c r="K49" s="261">
        <v>158.684</v>
      </c>
      <c r="V49">
        <f>Promedio_parcelas!D49-10</f>
        <v>50</v>
      </c>
    </row>
    <row r="50" spans="2:22" x14ac:dyDescent="0.3">
      <c r="B50" s="42" t="s">
        <v>12</v>
      </c>
      <c r="C50" s="270" t="s">
        <v>66</v>
      </c>
      <c r="D50" s="270">
        <v>112.8</v>
      </c>
      <c r="E50" s="273">
        <v>911.44</v>
      </c>
      <c r="F50" s="273">
        <v>25.326000000000001</v>
      </c>
      <c r="G50" s="273">
        <v>17.878</v>
      </c>
      <c r="H50" s="273">
        <v>44.667999999999999</v>
      </c>
      <c r="I50" s="258">
        <v>311.67399999999998</v>
      </c>
      <c r="J50" s="277">
        <v>394.16199999999998</v>
      </c>
      <c r="K50" s="261">
        <v>180.06399999999999</v>
      </c>
      <c r="V50">
        <f>Promedio_parcelas!D50-10</f>
        <v>60</v>
      </c>
    </row>
    <row r="51" spans="2:22" x14ac:dyDescent="0.3">
      <c r="B51" s="42" t="s">
        <v>12</v>
      </c>
      <c r="C51" s="270" t="s">
        <v>66</v>
      </c>
      <c r="D51" s="270">
        <v>122.8</v>
      </c>
      <c r="E51" s="273">
        <v>897.22400000000005</v>
      </c>
      <c r="F51" s="273">
        <v>26.54</v>
      </c>
      <c r="G51" s="273">
        <v>18.739999999999998</v>
      </c>
      <c r="H51" s="273">
        <v>48.314</v>
      </c>
      <c r="I51" s="258">
        <v>315.76799999999997</v>
      </c>
      <c r="J51" s="277">
        <v>440.99799999999999</v>
      </c>
      <c r="K51" s="261">
        <v>201.458</v>
      </c>
      <c r="V51">
        <f>Promedio_parcelas!D51-10</f>
        <v>70</v>
      </c>
    </row>
    <row r="52" spans="2:22" x14ac:dyDescent="0.3">
      <c r="B52" s="42" t="s">
        <v>12</v>
      </c>
      <c r="C52" s="270" t="s">
        <v>2</v>
      </c>
      <c r="D52" s="270">
        <v>122.8</v>
      </c>
      <c r="E52" s="273">
        <v>717.78</v>
      </c>
      <c r="F52" s="273">
        <v>28.047999999999998</v>
      </c>
      <c r="G52" s="273">
        <v>18.739999999999998</v>
      </c>
      <c r="H52" s="273">
        <v>43.213999999999999</v>
      </c>
      <c r="I52" s="258">
        <v>350.77800000000002</v>
      </c>
      <c r="J52" s="277">
        <v>397.18200000000002</v>
      </c>
      <c r="K52" s="261">
        <v>181.44</v>
      </c>
      <c r="V52">
        <f>Promedio_parcelas!D52-10</f>
        <v>70</v>
      </c>
    </row>
    <row r="53" spans="2:22" x14ac:dyDescent="0.3">
      <c r="B53" s="42" t="s">
        <v>12</v>
      </c>
      <c r="C53" s="270" t="s">
        <v>66</v>
      </c>
      <c r="D53" s="270">
        <v>132.80000000000001</v>
      </c>
      <c r="E53" s="273">
        <v>707.87400000000002</v>
      </c>
      <c r="F53" s="273">
        <v>29.303999999999998</v>
      </c>
      <c r="G53" s="273">
        <v>19.61</v>
      </c>
      <c r="H53" s="273">
        <v>46.552</v>
      </c>
      <c r="I53" s="258">
        <v>353.464</v>
      </c>
      <c r="J53" s="277">
        <v>442.43</v>
      </c>
      <c r="K53" s="261">
        <v>202.11199999999999</v>
      </c>
      <c r="V53">
        <f>Promedio_parcelas!D53-10</f>
        <v>80</v>
      </c>
    </row>
    <row r="54" spans="2:22" x14ac:dyDescent="0.3">
      <c r="B54" s="42" t="s">
        <v>12</v>
      </c>
      <c r="C54" s="270" t="s">
        <v>66</v>
      </c>
      <c r="D54" s="270">
        <v>142.80000000000001</v>
      </c>
      <c r="E54" s="273">
        <v>698.26400000000001</v>
      </c>
      <c r="F54" s="273">
        <v>30.456</v>
      </c>
      <c r="G54" s="273">
        <v>20.478000000000002</v>
      </c>
      <c r="H54" s="273">
        <v>49.636000000000003</v>
      </c>
      <c r="I54" s="258">
        <v>346.238</v>
      </c>
      <c r="J54" s="277">
        <v>487.15199999999999</v>
      </c>
      <c r="K54" s="261">
        <v>222.542</v>
      </c>
      <c r="V54">
        <f>Promedio_parcelas!D54-10</f>
        <v>90</v>
      </c>
    </row>
    <row r="55" spans="2:22" ht="15" thickBot="1" x14ac:dyDescent="0.35">
      <c r="B55" s="42" t="s">
        <v>12</v>
      </c>
      <c r="C55" s="270" t="s">
        <v>2</v>
      </c>
      <c r="D55" s="270">
        <v>142.80000000000001</v>
      </c>
      <c r="E55" s="273">
        <v>558.61</v>
      </c>
      <c r="F55" s="273">
        <v>31.954000000000001</v>
      </c>
      <c r="G55" s="273">
        <v>20.478000000000002</v>
      </c>
      <c r="H55" s="273">
        <v>43.762</v>
      </c>
      <c r="I55" s="258">
        <v>390.88</v>
      </c>
      <c r="J55" s="277">
        <v>432.16</v>
      </c>
      <c r="K55" s="261">
        <v>197.422</v>
      </c>
      <c r="V55">
        <f>Promedio_parcelas!D55-10</f>
        <v>90</v>
      </c>
    </row>
    <row r="56" spans="2:22" x14ac:dyDescent="0.3">
      <c r="B56" s="41" t="s">
        <v>37</v>
      </c>
      <c r="C56" s="269" t="s">
        <v>2</v>
      </c>
      <c r="D56" s="269">
        <v>62.8</v>
      </c>
      <c r="E56" s="272">
        <v>1714.0619999999999</v>
      </c>
      <c r="F56" s="272">
        <v>14.942</v>
      </c>
      <c r="G56" s="272">
        <v>13.496</v>
      </c>
      <c r="H56" s="272">
        <v>29.492000000000001</v>
      </c>
      <c r="I56" s="257">
        <v>158.33799999999999</v>
      </c>
      <c r="J56" s="276">
        <v>213.41800000000001</v>
      </c>
      <c r="K56" s="260">
        <v>97.51</v>
      </c>
      <c r="V56" s="44">
        <f>Promedio_parcelas!D56-10</f>
        <v>0</v>
      </c>
    </row>
    <row r="57" spans="2:22" x14ac:dyDescent="0.3">
      <c r="B57" s="42" t="s">
        <v>37</v>
      </c>
      <c r="C57" s="270" t="s">
        <v>66</v>
      </c>
      <c r="D57" s="270">
        <v>66.8</v>
      </c>
      <c r="E57" s="273">
        <v>1687.6759999999999</v>
      </c>
      <c r="F57" s="273">
        <v>15.587999999999999</v>
      </c>
      <c r="G57" s="273">
        <v>14.002000000000001</v>
      </c>
      <c r="H57" s="273">
        <v>31.172000000000001</v>
      </c>
      <c r="I57" s="258">
        <v>171.93600000000001</v>
      </c>
      <c r="J57" s="277">
        <v>229.792</v>
      </c>
      <c r="K57" s="261">
        <v>104.99</v>
      </c>
      <c r="V57">
        <f>Promedio_parcelas!D57-10</f>
        <v>10</v>
      </c>
    </row>
    <row r="58" spans="2:22" x14ac:dyDescent="0.3">
      <c r="B58" s="42" t="s">
        <v>37</v>
      </c>
      <c r="C58" s="270" t="s">
        <v>66</v>
      </c>
      <c r="D58" s="270">
        <v>72.8</v>
      </c>
      <c r="E58" s="273">
        <v>1642.5920000000001</v>
      </c>
      <c r="F58" s="273">
        <v>16.393999999999998</v>
      </c>
      <c r="G58" s="273">
        <v>14.53</v>
      </c>
      <c r="H58" s="273">
        <v>33.637999999999998</v>
      </c>
      <c r="I58" s="258">
        <v>176.53</v>
      </c>
      <c r="J58" s="277">
        <v>253.81399999999999</v>
      </c>
      <c r="K58" s="261">
        <v>115.964</v>
      </c>
      <c r="V58">
        <f>Promedio_parcelas!D58-10</f>
        <v>20</v>
      </c>
    </row>
    <row r="59" spans="2:22" x14ac:dyDescent="0.3">
      <c r="B59" s="42" t="s">
        <v>37</v>
      </c>
      <c r="C59" s="270" t="s">
        <v>2</v>
      </c>
      <c r="D59" s="270">
        <v>72.8</v>
      </c>
      <c r="E59" s="273">
        <v>1404.4190000000001</v>
      </c>
      <c r="F59" s="273">
        <v>16.946000000000002</v>
      </c>
      <c r="G59" s="273">
        <v>14.599</v>
      </c>
      <c r="H59" s="273">
        <v>30.763999999999999</v>
      </c>
      <c r="I59" s="258">
        <v>191.85400000000001</v>
      </c>
      <c r="J59" s="277">
        <v>232.87299999999999</v>
      </c>
      <c r="K59" s="261">
        <v>106.389</v>
      </c>
      <c r="V59">
        <f>Promedio_parcelas!D59-10</f>
        <v>20</v>
      </c>
    </row>
    <row r="60" spans="2:22" x14ac:dyDescent="0.3">
      <c r="B60" s="42" t="s">
        <v>37</v>
      </c>
      <c r="C60" s="270" t="s">
        <v>66</v>
      </c>
      <c r="D60" s="270">
        <v>82.8</v>
      </c>
      <c r="E60" s="273">
        <v>1290.4659999999999</v>
      </c>
      <c r="F60" s="273">
        <v>18.288</v>
      </c>
      <c r="G60" s="273">
        <v>15.39</v>
      </c>
      <c r="H60" s="273">
        <v>32.893999999999998</v>
      </c>
      <c r="I60" s="258">
        <v>198.23400000000001</v>
      </c>
      <c r="J60" s="277">
        <v>258.05399999999997</v>
      </c>
      <c r="K60" s="261">
        <v>117.892</v>
      </c>
      <c r="V60">
        <f>Promedio_parcelas!D60-10</f>
        <v>30</v>
      </c>
    </row>
    <row r="61" spans="2:22" x14ac:dyDescent="0.3">
      <c r="B61" s="42" t="s">
        <v>37</v>
      </c>
      <c r="C61" s="270" t="s">
        <v>66</v>
      </c>
      <c r="D61" s="270">
        <v>92.8</v>
      </c>
      <c r="E61" s="273">
        <v>1257.194</v>
      </c>
      <c r="F61" s="273">
        <v>19.654</v>
      </c>
      <c r="G61" s="273">
        <v>16.16</v>
      </c>
      <c r="H61" s="273">
        <v>37.018000000000001</v>
      </c>
      <c r="I61" s="258">
        <v>211.93100000000001</v>
      </c>
      <c r="J61" s="277">
        <v>299.964</v>
      </c>
      <c r="K61" s="261">
        <v>137.036</v>
      </c>
      <c r="V61">
        <f>Promedio_parcelas!D61-10</f>
        <v>40</v>
      </c>
    </row>
    <row r="62" spans="2:22" x14ac:dyDescent="0.3">
      <c r="B62" s="42" t="s">
        <v>37</v>
      </c>
      <c r="C62" s="270" t="s">
        <v>2</v>
      </c>
      <c r="D62" s="270">
        <v>92.8</v>
      </c>
      <c r="E62" s="273">
        <v>1074.8979999999999</v>
      </c>
      <c r="F62" s="273">
        <v>20.233000000000001</v>
      </c>
      <c r="G62" s="273">
        <v>16.14</v>
      </c>
      <c r="H62" s="273">
        <v>33.581000000000003</v>
      </c>
      <c r="I62" s="258">
        <v>232.73599999999999</v>
      </c>
      <c r="J62" s="277">
        <v>272.82299999999998</v>
      </c>
      <c r="K62" s="261">
        <v>124.63200000000001</v>
      </c>
      <c r="V62">
        <f>Promedio_parcelas!D62-10</f>
        <v>40</v>
      </c>
    </row>
    <row r="63" spans="2:22" x14ac:dyDescent="0.3">
      <c r="B63" s="42" t="s">
        <v>37</v>
      </c>
      <c r="C63" s="270" t="s">
        <v>66</v>
      </c>
      <c r="D63" s="270">
        <v>102.8</v>
      </c>
      <c r="E63" s="273">
        <v>996.11199999999997</v>
      </c>
      <c r="F63" s="273">
        <v>21.552</v>
      </c>
      <c r="G63" s="273">
        <v>16.916</v>
      </c>
      <c r="H63" s="273">
        <v>35.311999999999998</v>
      </c>
      <c r="I63" s="258">
        <v>232.01</v>
      </c>
      <c r="J63" s="277">
        <v>296.25</v>
      </c>
      <c r="K63" s="261">
        <v>135.334</v>
      </c>
      <c r="V63">
        <f>Promedio_parcelas!D63-10</f>
        <v>50</v>
      </c>
    </row>
    <row r="64" spans="2:22" x14ac:dyDescent="0.3">
      <c r="B64" s="42" t="s">
        <v>37</v>
      </c>
      <c r="C64" s="270" t="s">
        <v>66</v>
      </c>
      <c r="D64" s="270">
        <v>112.8</v>
      </c>
      <c r="E64" s="273">
        <v>975.86599999999999</v>
      </c>
      <c r="F64" s="273">
        <v>22.896000000000001</v>
      </c>
      <c r="G64" s="273">
        <v>17.734000000000002</v>
      </c>
      <c r="H64" s="273">
        <v>39.082000000000001</v>
      </c>
      <c r="I64" s="258">
        <v>241.96299999999999</v>
      </c>
      <c r="J64" s="277">
        <v>339.01600000000002</v>
      </c>
      <c r="K64" s="261">
        <v>154.87</v>
      </c>
      <c r="V64">
        <f>Promedio_parcelas!D64-10</f>
        <v>60</v>
      </c>
    </row>
    <row r="65" spans="2:22" x14ac:dyDescent="0.3">
      <c r="B65" s="42" t="s">
        <v>37</v>
      </c>
      <c r="C65" s="270" t="s">
        <v>2</v>
      </c>
      <c r="D65" s="270">
        <v>112.8</v>
      </c>
      <c r="E65" s="273">
        <v>834.36599999999999</v>
      </c>
      <c r="F65" s="273">
        <v>23.501000000000001</v>
      </c>
      <c r="G65" s="273">
        <v>17.713000000000001</v>
      </c>
      <c r="H65" s="273">
        <v>35.237000000000002</v>
      </c>
      <c r="I65" s="258">
        <v>267.46199999999999</v>
      </c>
      <c r="J65" s="277">
        <v>306.53899999999999</v>
      </c>
      <c r="K65" s="261">
        <v>140.03299999999999</v>
      </c>
      <c r="V65">
        <f>Promedio_parcelas!D65-10</f>
        <v>60</v>
      </c>
    </row>
    <row r="66" spans="2:22" x14ac:dyDescent="0.3">
      <c r="B66" s="42" t="s">
        <v>37</v>
      </c>
      <c r="C66" s="270" t="s">
        <v>66</v>
      </c>
      <c r="D66" s="270">
        <v>122.8</v>
      </c>
      <c r="E66" s="273">
        <v>776.18799999999999</v>
      </c>
      <c r="F66" s="273">
        <v>24.768000000000001</v>
      </c>
      <c r="G66" s="273">
        <v>18.506</v>
      </c>
      <c r="H66" s="273">
        <v>36.426000000000002</v>
      </c>
      <c r="I66" s="258">
        <v>259.80799999999999</v>
      </c>
      <c r="J66" s="277">
        <v>327.18799999999999</v>
      </c>
      <c r="K66" s="261">
        <v>149.46600000000001</v>
      </c>
      <c r="V66">
        <f>Promedio_parcelas!D66-10</f>
        <v>70</v>
      </c>
    </row>
    <row r="67" spans="2:22" x14ac:dyDescent="0.3">
      <c r="B67" s="42" t="s">
        <v>37</v>
      </c>
      <c r="C67" s="270" t="s">
        <v>66</v>
      </c>
      <c r="D67" s="270">
        <v>132.80000000000001</v>
      </c>
      <c r="E67" s="273">
        <v>762.83199999999999</v>
      </c>
      <c r="F67" s="273">
        <v>26.071999999999999</v>
      </c>
      <c r="G67" s="273">
        <v>19.335999999999999</v>
      </c>
      <c r="H67" s="273">
        <v>39.707999999999998</v>
      </c>
      <c r="I67" s="258">
        <v>264.91300000000001</v>
      </c>
      <c r="J67" s="277">
        <v>368.49200000000002</v>
      </c>
      <c r="K67" s="261">
        <v>168.33600000000001</v>
      </c>
      <c r="V67">
        <f>Promedio_parcelas!D67-10</f>
        <v>80</v>
      </c>
    </row>
    <row r="68" spans="2:22" x14ac:dyDescent="0.3">
      <c r="B68" s="42" t="s">
        <v>37</v>
      </c>
      <c r="C68" s="270" t="s">
        <v>2</v>
      </c>
      <c r="D68" s="270">
        <v>132.80000000000001</v>
      </c>
      <c r="E68" s="273">
        <v>652.221</v>
      </c>
      <c r="F68" s="273">
        <v>26.71</v>
      </c>
      <c r="G68" s="273">
        <v>19.308</v>
      </c>
      <c r="H68" s="273">
        <v>35.659999999999997</v>
      </c>
      <c r="I68" s="258">
        <v>294.16800000000001</v>
      </c>
      <c r="J68" s="277">
        <v>331.86200000000002</v>
      </c>
      <c r="K68" s="261">
        <v>151.60300000000001</v>
      </c>
      <c r="V68">
        <f>Promedio_parcelas!D68-10</f>
        <v>80</v>
      </c>
    </row>
    <row r="69" spans="2:22" ht="15" thickBot="1" x14ac:dyDescent="0.35">
      <c r="B69" s="40" t="s">
        <v>37</v>
      </c>
      <c r="C69" s="271" t="s">
        <v>66</v>
      </c>
      <c r="D69" s="271">
        <v>142.80000000000001</v>
      </c>
      <c r="E69" s="274">
        <v>608.13599999999997</v>
      </c>
      <c r="F69" s="274">
        <v>27.911999999999999</v>
      </c>
      <c r="G69" s="274">
        <v>20.085999999999999</v>
      </c>
      <c r="H69" s="274">
        <v>36.33</v>
      </c>
      <c r="I69" s="259">
        <v>279.45</v>
      </c>
      <c r="J69" s="278">
        <v>348.56599999999997</v>
      </c>
      <c r="K69" s="262">
        <v>159.23400000000001</v>
      </c>
      <c r="V69" s="47">
        <f>Promedio_parcelas!D69-10</f>
        <v>90</v>
      </c>
    </row>
    <row r="70" spans="2:22" x14ac:dyDescent="0.3">
      <c r="B70" s="41" t="s">
        <v>69</v>
      </c>
      <c r="C70" s="269" t="s">
        <v>2</v>
      </c>
      <c r="D70" s="269">
        <v>62.8</v>
      </c>
      <c r="E70" s="272">
        <v>1714.0619999999999</v>
      </c>
      <c r="F70" s="272">
        <v>15.044</v>
      </c>
      <c r="G70" s="272">
        <v>13.504</v>
      </c>
      <c r="H70" s="272">
        <v>29.847999999999999</v>
      </c>
      <c r="I70" s="257">
        <v>160.38800000000001</v>
      </c>
      <c r="J70" s="276">
        <v>216.078</v>
      </c>
      <c r="K70" s="260">
        <v>98.724000000000004</v>
      </c>
      <c r="V70" s="44">
        <f>Promedio_parcelas!D70-10</f>
        <v>0</v>
      </c>
    </row>
    <row r="71" spans="2:22" x14ac:dyDescent="0.3">
      <c r="B71" s="42" t="s">
        <v>69</v>
      </c>
      <c r="C71" s="270" t="s">
        <v>66</v>
      </c>
      <c r="D71" s="270">
        <v>66.8</v>
      </c>
      <c r="E71" s="273">
        <v>1688.6559999999999</v>
      </c>
      <c r="F71" s="273">
        <v>15.688000000000001</v>
      </c>
      <c r="G71" s="273">
        <v>14.01</v>
      </c>
      <c r="H71" s="273">
        <v>31.556000000000001</v>
      </c>
      <c r="I71" s="258">
        <v>164.108</v>
      </c>
      <c r="J71" s="277">
        <v>232.852</v>
      </c>
      <c r="K71" s="261">
        <v>106.386</v>
      </c>
      <c r="V71">
        <f>Promedio_parcelas!D71-10</f>
        <v>10</v>
      </c>
    </row>
    <row r="72" spans="2:22" x14ac:dyDescent="0.3">
      <c r="B72" s="42" t="s">
        <v>69</v>
      </c>
      <c r="C72" s="270" t="s">
        <v>2</v>
      </c>
      <c r="D72" s="270">
        <v>66.8</v>
      </c>
      <c r="E72" s="273">
        <v>1581.7560000000001</v>
      </c>
      <c r="F72" s="273">
        <v>15.688000000000001</v>
      </c>
      <c r="G72" s="273">
        <v>13.952</v>
      </c>
      <c r="H72" s="273">
        <v>29.667999999999999</v>
      </c>
      <c r="I72" s="258">
        <v>174.33</v>
      </c>
      <c r="J72" s="277">
        <v>219.07400000000001</v>
      </c>
      <c r="K72" s="261">
        <v>100.092</v>
      </c>
      <c r="V72">
        <f>Promedio_parcelas!D72-10</f>
        <v>10</v>
      </c>
    </row>
    <row r="73" spans="2:22" x14ac:dyDescent="0.3">
      <c r="B73" s="42" t="s">
        <v>69</v>
      </c>
      <c r="C73" s="270" t="s">
        <v>66</v>
      </c>
      <c r="D73" s="270">
        <v>72.8</v>
      </c>
      <c r="E73" s="273">
        <v>1542.6559999999999</v>
      </c>
      <c r="F73" s="273">
        <v>16.553999999999998</v>
      </c>
      <c r="G73" s="273">
        <v>14.496</v>
      </c>
      <c r="H73" s="273">
        <v>32.19</v>
      </c>
      <c r="I73" s="258">
        <v>183.6</v>
      </c>
      <c r="J73" s="277">
        <v>242.834</v>
      </c>
      <c r="K73" s="261">
        <v>110.946</v>
      </c>
      <c r="V73">
        <f>Promedio_parcelas!D73-10</f>
        <v>20</v>
      </c>
    </row>
    <row r="74" spans="2:22" x14ac:dyDescent="0.3">
      <c r="B74" s="42" t="s">
        <v>69</v>
      </c>
      <c r="C74" s="270" t="s">
        <v>66</v>
      </c>
      <c r="D74" s="270">
        <v>82.8</v>
      </c>
      <c r="E74" s="273">
        <v>1491.588</v>
      </c>
      <c r="F74" s="273">
        <v>17.902000000000001</v>
      </c>
      <c r="G74" s="273">
        <v>15.28</v>
      </c>
      <c r="H74" s="273">
        <v>36.415999999999997</v>
      </c>
      <c r="I74" s="258">
        <v>173.59399999999999</v>
      </c>
      <c r="J74" s="277">
        <v>283.51600000000002</v>
      </c>
      <c r="K74" s="261">
        <v>129.53</v>
      </c>
      <c r="V74">
        <f>Promedio_parcelas!D74-10</f>
        <v>30</v>
      </c>
    </row>
    <row r="75" spans="2:22" x14ac:dyDescent="0.3">
      <c r="B75" s="42" t="s">
        <v>69</v>
      </c>
      <c r="C75" s="270" t="s">
        <v>2</v>
      </c>
      <c r="D75" s="270">
        <v>82.8</v>
      </c>
      <c r="E75" s="273">
        <v>1193.2739999999999</v>
      </c>
      <c r="F75" s="273">
        <v>17.902000000000001</v>
      </c>
      <c r="G75" s="273">
        <v>15.22</v>
      </c>
      <c r="H75" s="273">
        <v>29.135999999999999</v>
      </c>
      <c r="I75" s="258">
        <v>216.99199999999999</v>
      </c>
      <c r="J75" s="277">
        <v>226.81399999999999</v>
      </c>
      <c r="K75" s="261">
        <v>103.626</v>
      </c>
      <c r="V75">
        <f>Promedio_parcelas!D75-10</f>
        <v>30</v>
      </c>
    </row>
    <row r="76" spans="2:22" x14ac:dyDescent="0.3">
      <c r="B76" s="42" t="s">
        <v>69</v>
      </c>
      <c r="C76" s="270" t="s">
        <v>66</v>
      </c>
      <c r="D76" s="270">
        <v>92.8</v>
      </c>
      <c r="E76" s="273">
        <v>1159.2460000000001</v>
      </c>
      <c r="F76" s="273">
        <v>19.366</v>
      </c>
      <c r="G76" s="273">
        <v>16.015999999999998</v>
      </c>
      <c r="H76" s="273">
        <v>33.17</v>
      </c>
      <c r="I76" s="258">
        <v>206.614</v>
      </c>
      <c r="J76" s="277">
        <v>267.036</v>
      </c>
      <c r="K76" s="261">
        <v>122</v>
      </c>
      <c r="V76">
        <f>Promedio_parcelas!D76-10</f>
        <v>40</v>
      </c>
    </row>
    <row r="77" spans="2:22" x14ac:dyDescent="0.3">
      <c r="B77" s="42" t="s">
        <v>69</v>
      </c>
      <c r="C77" s="270" t="s">
        <v>66</v>
      </c>
      <c r="D77" s="270">
        <v>102.8</v>
      </c>
      <c r="E77" s="273">
        <v>1129.94</v>
      </c>
      <c r="F77" s="273">
        <v>20.728000000000002</v>
      </c>
      <c r="G77" s="273">
        <v>16.838000000000001</v>
      </c>
      <c r="H77" s="273">
        <v>37.085999999999999</v>
      </c>
      <c r="I77" s="258">
        <v>193.036</v>
      </c>
      <c r="J77" s="277">
        <v>308.964</v>
      </c>
      <c r="K77" s="261">
        <v>141.15199999999999</v>
      </c>
      <c r="V77">
        <f>Promedio_parcelas!D77-10</f>
        <v>50</v>
      </c>
    </row>
    <row r="78" spans="2:22" x14ac:dyDescent="0.3">
      <c r="B78" s="42" t="s">
        <v>69</v>
      </c>
      <c r="C78" s="270" t="s">
        <v>2</v>
      </c>
      <c r="D78" s="270">
        <v>102.8</v>
      </c>
      <c r="E78" s="273">
        <v>903.952</v>
      </c>
      <c r="F78" s="273">
        <v>20.728000000000002</v>
      </c>
      <c r="G78" s="273">
        <v>16.777999999999999</v>
      </c>
      <c r="H78" s="273">
        <v>29.666</v>
      </c>
      <c r="I78" s="258">
        <v>241.29400000000001</v>
      </c>
      <c r="J78" s="277">
        <v>247.17</v>
      </c>
      <c r="K78" s="261">
        <v>112.92</v>
      </c>
      <c r="V78">
        <f>Promedio_parcelas!D78-10</f>
        <v>50</v>
      </c>
    </row>
    <row r="79" spans="2:22" x14ac:dyDescent="0.3">
      <c r="B79" s="42" t="s">
        <v>69</v>
      </c>
      <c r="C79" s="270" t="s">
        <v>66</v>
      </c>
      <c r="D79" s="270">
        <v>112.8</v>
      </c>
      <c r="E79" s="273">
        <v>883.202</v>
      </c>
      <c r="F79" s="273">
        <v>22.181999999999999</v>
      </c>
      <c r="G79" s="273">
        <v>17.591999999999999</v>
      </c>
      <c r="H79" s="273">
        <v>33.26</v>
      </c>
      <c r="I79" s="258">
        <v>225.51400000000001</v>
      </c>
      <c r="J79" s="277">
        <v>286.524</v>
      </c>
      <c r="K79" s="261">
        <v>130.898</v>
      </c>
      <c r="V79">
        <f>Promedio_parcelas!D79-10</f>
        <v>60</v>
      </c>
    </row>
    <row r="80" spans="2:22" x14ac:dyDescent="0.3">
      <c r="B80" s="42" t="s">
        <v>69</v>
      </c>
      <c r="C80" s="270" t="s">
        <v>66</v>
      </c>
      <c r="D80" s="270">
        <v>122.8</v>
      </c>
      <c r="E80" s="273">
        <v>864.62199999999996</v>
      </c>
      <c r="F80" s="273">
        <v>23.533999999999999</v>
      </c>
      <c r="G80" s="273">
        <v>18.417999999999999</v>
      </c>
      <c r="H80" s="273">
        <v>36.700000000000003</v>
      </c>
      <c r="I80" s="258">
        <v>207.28</v>
      </c>
      <c r="J80" s="277">
        <v>326.98599999999999</v>
      </c>
      <c r="K80" s="261">
        <v>149.38399999999999</v>
      </c>
      <c r="V80">
        <f>Promedio_parcelas!D80-10</f>
        <v>70</v>
      </c>
    </row>
    <row r="81" spans="2:22" x14ac:dyDescent="0.3">
      <c r="B81" s="42" t="s">
        <v>69</v>
      </c>
      <c r="C81" s="270" t="s">
        <v>2</v>
      </c>
      <c r="D81" s="270">
        <v>122.8</v>
      </c>
      <c r="E81" s="273">
        <v>691.69799999999998</v>
      </c>
      <c r="F81" s="273">
        <v>23.533999999999999</v>
      </c>
      <c r="G81" s="273">
        <v>18.341999999999999</v>
      </c>
      <c r="H81" s="273">
        <v>29.361999999999998</v>
      </c>
      <c r="I81" s="258">
        <v>259.10000000000002</v>
      </c>
      <c r="J81" s="277">
        <v>261.58600000000001</v>
      </c>
      <c r="K81" s="261">
        <v>119.508</v>
      </c>
      <c r="V81">
        <f>Promedio_parcelas!D81-10</f>
        <v>70</v>
      </c>
    </row>
    <row r="82" spans="2:22" x14ac:dyDescent="0.3">
      <c r="B82" s="42" t="s">
        <v>69</v>
      </c>
      <c r="C82" s="270" t="s">
        <v>66</v>
      </c>
      <c r="D82" s="270">
        <v>132.80000000000001</v>
      </c>
      <c r="E82" s="273">
        <v>678.21199999999999</v>
      </c>
      <c r="F82" s="273">
        <v>24.96</v>
      </c>
      <c r="G82" s="273">
        <v>19.14</v>
      </c>
      <c r="H82" s="273">
        <v>32.438000000000002</v>
      </c>
      <c r="I82" s="258">
        <v>237.708</v>
      </c>
      <c r="J82" s="277">
        <v>298.37400000000002</v>
      </c>
      <c r="K82" s="261">
        <v>136.31399999999999</v>
      </c>
      <c r="V82">
        <f>Promedio_parcelas!D82-10</f>
        <v>80</v>
      </c>
    </row>
    <row r="83" spans="2:22" x14ac:dyDescent="0.3">
      <c r="B83" s="42" t="s">
        <v>69</v>
      </c>
      <c r="C83" s="270" t="s">
        <v>66</v>
      </c>
      <c r="D83" s="270">
        <v>142.80000000000001</v>
      </c>
      <c r="E83" s="273">
        <v>665.82799999999997</v>
      </c>
      <c r="F83" s="273">
        <v>26.283999999999999</v>
      </c>
      <c r="G83" s="273">
        <v>19.948</v>
      </c>
      <c r="H83" s="273">
        <v>35.368000000000002</v>
      </c>
      <c r="I83" s="258">
        <v>215.07599999999999</v>
      </c>
      <c r="J83" s="277">
        <v>335.858</v>
      </c>
      <c r="K83" s="261">
        <v>153.43199999999999</v>
      </c>
      <c r="V83">
        <f>Promedio_parcelas!D83-10</f>
        <v>90</v>
      </c>
    </row>
    <row r="84" spans="2:22" ht="15" thickBot="1" x14ac:dyDescent="0.35">
      <c r="B84" s="40" t="s">
        <v>69</v>
      </c>
      <c r="C84" s="271" t="s">
        <v>2</v>
      </c>
      <c r="D84" s="271">
        <v>142.80000000000001</v>
      </c>
      <c r="E84" s="274">
        <v>532.66399999999999</v>
      </c>
      <c r="F84" s="274">
        <v>26.283999999999999</v>
      </c>
      <c r="G84" s="274">
        <v>19.853999999999999</v>
      </c>
      <c r="H84" s="274">
        <v>28.297999999999998</v>
      </c>
      <c r="I84" s="259">
        <v>268.84199999999998</v>
      </c>
      <c r="J84" s="278">
        <v>268.68400000000003</v>
      </c>
      <c r="K84" s="262">
        <v>122.746</v>
      </c>
      <c r="V84" s="47">
        <f>Promedio_parcelas!D84-10</f>
        <v>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59B9-DD8F-4A55-8212-73CE8E0631D4}">
  <dimension ref="B1:P25"/>
  <sheetViews>
    <sheetView zoomScale="90" zoomScaleNormal="90" workbookViewId="0">
      <selection activeCell="N34" sqref="N34"/>
    </sheetView>
  </sheetViews>
  <sheetFormatPr baseColWidth="10" defaultColWidth="11.44140625" defaultRowHeight="14.4" x14ac:dyDescent="0.3"/>
  <cols>
    <col min="2" max="2" width="24.5546875" bestFit="1" customWidth="1"/>
    <col min="3" max="3" width="10.44140625" bestFit="1" customWidth="1"/>
    <col min="4" max="4" width="9.88671875" bestFit="1" customWidth="1"/>
    <col min="5" max="5" width="14" bestFit="1" customWidth="1"/>
    <col min="8" max="8" width="15.6640625" customWidth="1"/>
    <col min="11" max="11" width="21.33203125" bestFit="1" customWidth="1"/>
  </cols>
  <sheetData>
    <row r="1" spans="2:16" ht="15" thickBot="1" x14ac:dyDescent="0.35"/>
    <row r="2" spans="2:16" x14ac:dyDescent="0.3">
      <c r="B2" s="344" t="s">
        <v>70</v>
      </c>
      <c r="C2" s="345"/>
      <c r="D2" s="345"/>
      <c r="E2" s="345"/>
      <c r="F2" s="345"/>
      <c r="G2" s="345"/>
      <c r="H2" s="345"/>
      <c r="K2" s="344" t="s">
        <v>71</v>
      </c>
      <c r="L2" s="345"/>
      <c r="M2" s="345"/>
      <c r="N2" s="345"/>
      <c r="O2" s="345"/>
      <c r="P2" s="348"/>
    </row>
    <row r="3" spans="2:16" ht="15" thickBot="1" x14ac:dyDescent="0.35">
      <c r="B3" s="346"/>
      <c r="C3" s="347"/>
      <c r="D3" s="347"/>
      <c r="E3" s="347"/>
      <c r="F3" s="347"/>
      <c r="G3" s="347"/>
      <c r="H3" s="347"/>
      <c r="K3" s="346"/>
      <c r="L3" s="347"/>
      <c r="M3" s="347"/>
      <c r="N3" s="347"/>
      <c r="O3" s="347"/>
      <c r="P3" s="349"/>
    </row>
    <row r="4" spans="2:16" x14ac:dyDescent="0.3">
      <c r="B4" s="340" t="s">
        <v>72</v>
      </c>
      <c r="C4" s="337" t="s">
        <v>73</v>
      </c>
      <c r="D4" s="338"/>
      <c r="E4" s="342" t="s">
        <v>74</v>
      </c>
      <c r="F4" s="337" t="s">
        <v>75</v>
      </c>
      <c r="G4" s="338"/>
      <c r="H4" s="352" t="s">
        <v>76</v>
      </c>
      <c r="K4" s="340" t="s">
        <v>72</v>
      </c>
      <c r="L4" s="337" t="s">
        <v>73</v>
      </c>
      <c r="M4" s="338" t="s">
        <v>77</v>
      </c>
      <c r="N4" s="342" t="s">
        <v>78</v>
      </c>
      <c r="O4" s="337" t="s">
        <v>79</v>
      </c>
      <c r="P4" s="339" t="s">
        <v>80</v>
      </c>
    </row>
    <row r="5" spans="2:16" ht="27.6" x14ac:dyDescent="0.3">
      <c r="B5" s="350"/>
      <c r="C5" s="87" t="s">
        <v>81</v>
      </c>
      <c r="D5" s="88" t="s">
        <v>77</v>
      </c>
      <c r="E5" s="351"/>
      <c r="F5" s="87" t="s">
        <v>82</v>
      </c>
      <c r="G5" s="89" t="s">
        <v>83</v>
      </c>
      <c r="H5" s="353"/>
      <c r="K5" s="341"/>
      <c r="L5" s="155" t="s">
        <v>81</v>
      </c>
      <c r="M5" s="156" t="s">
        <v>77</v>
      </c>
      <c r="N5" s="343"/>
      <c r="O5" s="155" t="s">
        <v>82</v>
      </c>
      <c r="P5" s="154" t="s">
        <v>83</v>
      </c>
    </row>
    <row r="6" spans="2:16" x14ac:dyDescent="0.3">
      <c r="B6" s="90" t="s">
        <v>84</v>
      </c>
      <c r="C6" s="91">
        <v>298.11099999999999</v>
      </c>
      <c r="D6" s="92" t="s">
        <v>85</v>
      </c>
      <c r="E6" s="91" t="s">
        <v>86</v>
      </c>
      <c r="F6" s="91" t="s">
        <v>87</v>
      </c>
      <c r="G6" s="92" t="s">
        <v>88</v>
      </c>
      <c r="H6" s="93" t="s">
        <v>89</v>
      </c>
      <c r="K6" s="94" t="s">
        <v>90</v>
      </c>
      <c r="L6" s="152">
        <v>4.3259999999999996</v>
      </c>
      <c r="M6" s="153">
        <v>8.6110000000000007</v>
      </c>
      <c r="N6" s="101">
        <v>12.936999999999999</v>
      </c>
      <c r="O6" s="152" t="s">
        <v>91</v>
      </c>
      <c r="P6" s="151" t="s">
        <v>92</v>
      </c>
    </row>
    <row r="7" spans="2:16" x14ac:dyDescent="0.3">
      <c r="B7" s="94" t="s">
        <v>93</v>
      </c>
      <c r="C7" s="95">
        <v>814.08</v>
      </c>
      <c r="D7" s="95" t="s">
        <v>94</v>
      </c>
      <c r="E7" s="95" t="s">
        <v>95</v>
      </c>
      <c r="F7" s="95" t="s">
        <v>96</v>
      </c>
      <c r="G7" s="95" t="s">
        <v>97</v>
      </c>
      <c r="H7" s="96" t="s">
        <v>98</v>
      </c>
      <c r="K7" s="90" t="s">
        <v>99</v>
      </c>
      <c r="L7" s="91">
        <v>136.17500000000001</v>
      </c>
      <c r="M7" s="147">
        <v>23.635000000000002</v>
      </c>
      <c r="N7" s="91">
        <v>159.81</v>
      </c>
      <c r="O7" s="91" t="s">
        <v>100</v>
      </c>
      <c r="P7" s="146" t="s">
        <v>101</v>
      </c>
    </row>
    <row r="8" spans="2:16" x14ac:dyDescent="0.3">
      <c r="B8" s="97" t="s">
        <v>102</v>
      </c>
      <c r="C8" s="98" t="s">
        <v>103</v>
      </c>
      <c r="D8" s="98">
        <v>733.78200000000004</v>
      </c>
      <c r="E8" s="98" t="s">
        <v>104</v>
      </c>
      <c r="F8" s="98" t="s">
        <v>105</v>
      </c>
      <c r="G8" s="98" t="s">
        <v>106</v>
      </c>
      <c r="H8" s="99" t="s">
        <v>107</v>
      </c>
      <c r="K8" s="94" t="s">
        <v>108</v>
      </c>
      <c r="L8" s="113">
        <v>88.864000000000004</v>
      </c>
      <c r="M8" s="150">
        <v>19.378</v>
      </c>
      <c r="N8" s="113">
        <v>108.242</v>
      </c>
      <c r="O8" s="113" t="s">
        <v>109</v>
      </c>
      <c r="P8" s="149" t="s">
        <v>110</v>
      </c>
    </row>
    <row r="9" spans="2:16" x14ac:dyDescent="0.3">
      <c r="B9" s="100" t="s">
        <v>108</v>
      </c>
      <c r="C9" s="101">
        <v>438.33300000000003</v>
      </c>
      <c r="D9" s="101">
        <v>305.75700000000001</v>
      </c>
      <c r="E9" s="101">
        <v>744.09100000000001</v>
      </c>
      <c r="F9" s="101" t="s">
        <v>111</v>
      </c>
      <c r="G9" s="101" t="s">
        <v>112</v>
      </c>
      <c r="H9" s="102" t="s">
        <v>113</v>
      </c>
      <c r="K9" s="97" t="s">
        <v>93</v>
      </c>
      <c r="L9" s="91">
        <v>10.28</v>
      </c>
      <c r="M9" s="147">
        <v>56.238999999999997</v>
      </c>
      <c r="N9" s="91">
        <v>66.519000000000005</v>
      </c>
      <c r="O9" s="91" t="s">
        <v>114</v>
      </c>
      <c r="P9" s="146" t="s">
        <v>115</v>
      </c>
    </row>
    <row r="10" spans="2:16" x14ac:dyDescent="0.3">
      <c r="B10" s="97" t="s">
        <v>99</v>
      </c>
      <c r="C10" s="98">
        <v>265.09500000000003</v>
      </c>
      <c r="D10" s="98">
        <v>212.74700000000001</v>
      </c>
      <c r="E10" s="98">
        <v>477.84199999999998</v>
      </c>
      <c r="F10" s="98" t="s">
        <v>116</v>
      </c>
      <c r="G10" s="98" t="s">
        <v>117</v>
      </c>
      <c r="H10" s="99" t="s">
        <v>118</v>
      </c>
      <c r="K10" s="100" t="s">
        <v>84</v>
      </c>
      <c r="L10" s="113">
        <v>643</v>
      </c>
      <c r="M10" s="150">
        <v>57.250999999999998</v>
      </c>
      <c r="N10" s="113">
        <v>57.895000000000003</v>
      </c>
      <c r="O10" s="113" t="s">
        <v>119</v>
      </c>
      <c r="P10" s="149" t="s">
        <v>120</v>
      </c>
    </row>
    <row r="11" spans="2:16" x14ac:dyDescent="0.3">
      <c r="B11" s="100" t="s">
        <v>121</v>
      </c>
      <c r="C11" s="101">
        <v>42.825000000000003</v>
      </c>
      <c r="D11" s="101">
        <v>87.522999999999996</v>
      </c>
      <c r="E11" s="101">
        <v>130.34800000000001</v>
      </c>
      <c r="F11" s="101" t="s">
        <v>122</v>
      </c>
      <c r="G11" s="101" t="s">
        <v>123</v>
      </c>
      <c r="H11" s="102" t="s">
        <v>124</v>
      </c>
      <c r="K11" s="97" t="s">
        <v>102</v>
      </c>
      <c r="L11" s="91">
        <v>9.7330000000000005</v>
      </c>
      <c r="M11" s="147">
        <v>10.013999999999999</v>
      </c>
      <c r="N11" s="91">
        <v>19.747</v>
      </c>
      <c r="O11" s="91" t="s">
        <v>125</v>
      </c>
      <c r="P11" s="146" t="s">
        <v>126</v>
      </c>
    </row>
    <row r="12" spans="2:16" x14ac:dyDescent="0.3">
      <c r="B12" s="103" t="s">
        <v>127</v>
      </c>
      <c r="C12" s="98">
        <v>57.835999999999999</v>
      </c>
      <c r="D12" s="98">
        <v>30.388999999999999</v>
      </c>
      <c r="E12" s="98">
        <v>88.224999999999994</v>
      </c>
      <c r="F12" s="98" t="s">
        <v>128</v>
      </c>
      <c r="G12" s="98" t="s">
        <v>129</v>
      </c>
      <c r="H12" s="99" t="s">
        <v>130</v>
      </c>
      <c r="K12" s="104" t="s">
        <v>131</v>
      </c>
      <c r="L12" s="113">
        <v>2.9580000000000002</v>
      </c>
      <c r="M12" s="150">
        <v>36.878999999999998</v>
      </c>
      <c r="N12" s="113">
        <v>39.837000000000003</v>
      </c>
      <c r="O12" s="113" t="s">
        <v>132</v>
      </c>
      <c r="P12" s="149" t="s">
        <v>133</v>
      </c>
    </row>
    <row r="13" spans="2:16" x14ac:dyDescent="0.3">
      <c r="B13" s="104" t="s">
        <v>134</v>
      </c>
      <c r="C13" s="101">
        <v>24.533000000000001</v>
      </c>
      <c r="D13" s="101">
        <v>151.61799999999999</v>
      </c>
      <c r="E13" s="101">
        <v>176.15100000000001</v>
      </c>
      <c r="F13" s="101" t="s">
        <v>135</v>
      </c>
      <c r="G13" s="101" t="s">
        <v>136</v>
      </c>
      <c r="H13" s="102" t="s">
        <v>137</v>
      </c>
      <c r="K13" s="103" t="s">
        <v>138</v>
      </c>
      <c r="L13" s="91">
        <v>1.016</v>
      </c>
      <c r="M13" s="147">
        <v>4.0129999999999999</v>
      </c>
      <c r="N13" s="91">
        <v>5.0289999999999999</v>
      </c>
      <c r="O13" s="91" t="s">
        <v>139</v>
      </c>
      <c r="P13" s="146" t="s">
        <v>140</v>
      </c>
    </row>
    <row r="14" spans="2:16" ht="15" thickBot="1" x14ac:dyDescent="0.35">
      <c r="B14" s="105" t="s">
        <v>141</v>
      </c>
      <c r="C14" s="106">
        <v>119.376</v>
      </c>
      <c r="D14" s="106">
        <v>10.756</v>
      </c>
      <c r="E14" s="106">
        <v>130.13200000000001</v>
      </c>
      <c r="F14" s="106" t="s">
        <v>142</v>
      </c>
      <c r="G14" s="106" t="s">
        <v>143</v>
      </c>
      <c r="H14" s="107" t="s">
        <v>144</v>
      </c>
      <c r="K14" s="145" t="s">
        <v>145</v>
      </c>
      <c r="L14" s="143">
        <v>253.99700000000001</v>
      </c>
      <c r="M14" s="144">
        <v>216.01900000000001</v>
      </c>
      <c r="N14" s="143">
        <v>470.01600000000002</v>
      </c>
      <c r="O14" s="143" t="s">
        <v>146</v>
      </c>
      <c r="P14" s="142" t="s">
        <v>105</v>
      </c>
    </row>
    <row r="15" spans="2:16" x14ac:dyDescent="0.3">
      <c r="B15" s="108" t="s">
        <v>145</v>
      </c>
      <c r="C15" s="109" t="s">
        <v>147</v>
      </c>
      <c r="D15" s="110" t="s">
        <v>148</v>
      </c>
      <c r="E15" s="109" t="s">
        <v>149</v>
      </c>
      <c r="F15" s="109" t="s">
        <v>111</v>
      </c>
      <c r="G15" s="110" t="s">
        <v>150</v>
      </c>
      <c r="H15" s="111" t="s">
        <v>151</v>
      </c>
      <c r="K15" s="105" t="s">
        <v>152</v>
      </c>
      <c r="L15" s="91">
        <v>21.959</v>
      </c>
      <c r="M15" s="147">
        <v>216.64400000000001</v>
      </c>
      <c r="N15" s="91">
        <v>238.60300000000001</v>
      </c>
      <c r="O15" s="91" t="s">
        <v>153</v>
      </c>
      <c r="P15" s="146" t="s">
        <v>154</v>
      </c>
    </row>
    <row r="16" spans="2:16" x14ac:dyDescent="0.3">
      <c r="B16" s="90" t="s">
        <v>155</v>
      </c>
      <c r="C16" s="91">
        <v>162.78</v>
      </c>
      <c r="D16" s="92" t="s">
        <v>156</v>
      </c>
      <c r="E16" s="91" t="s">
        <v>157</v>
      </c>
      <c r="F16" s="91" t="s">
        <v>158</v>
      </c>
      <c r="G16" s="92" t="s">
        <v>159</v>
      </c>
      <c r="H16" s="93" t="s">
        <v>160</v>
      </c>
      <c r="K16" s="100" t="s">
        <v>161</v>
      </c>
      <c r="L16" s="113">
        <v>18.289000000000001</v>
      </c>
      <c r="M16" s="150">
        <v>196.65199999999999</v>
      </c>
      <c r="N16" s="113">
        <v>214.94200000000001</v>
      </c>
      <c r="O16" s="113" t="s">
        <v>162</v>
      </c>
      <c r="P16" s="149" t="s">
        <v>163</v>
      </c>
    </row>
    <row r="17" spans="2:16" x14ac:dyDescent="0.3">
      <c r="B17" s="112" t="s">
        <v>164</v>
      </c>
      <c r="C17" s="113">
        <v>76.498999999999995</v>
      </c>
      <c r="D17" s="114">
        <v>410.41300000000001</v>
      </c>
      <c r="E17" s="113">
        <v>486.91199999999998</v>
      </c>
      <c r="F17" s="113" t="s">
        <v>165</v>
      </c>
      <c r="G17" s="114" t="s">
        <v>166</v>
      </c>
      <c r="H17" s="115" t="s">
        <v>167</v>
      </c>
      <c r="K17" s="90" t="s">
        <v>168</v>
      </c>
      <c r="L17" s="91">
        <v>35.206000000000003</v>
      </c>
      <c r="M17" s="147">
        <v>74.314999999999998</v>
      </c>
      <c r="N17" s="91">
        <v>109.521</v>
      </c>
      <c r="O17" s="91" t="s">
        <v>169</v>
      </c>
      <c r="P17" s="252">
        <v>35</v>
      </c>
    </row>
    <row r="18" spans="2:16" x14ac:dyDescent="0.3">
      <c r="B18" s="90" t="s">
        <v>170</v>
      </c>
      <c r="C18" s="91">
        <v>135.68299999999999</v>
      </c>
      <c r="D18" s="92">
        <v>37.899000000000001</v>
      </c>
      <c r="E18" s="91">
        <v>173.58199999999999</v>
      </c>
      <c r="F18" s="91" t="s">
        <v>171</v>
      </c>
      <c r="G18" s="92" t="s">
        <v>172</v>
      </c>
      <c r="H18" s="93" t="s">
        <v>173</v>
      </c>
      <c r="K18" s="112" t="s">
        <v>170</v>
      </c>
      <c r="L18" s="113">
        <v>77.457999999999998</v>
      </c>
      <c r="M18" s="150">
        <v>10.757999999999999</v>
      </c>
      <c r="N18" s="113">
        <v>88.215999999999994</v>
      </c>
      <c r="O18" s="113" t="s">
        <v>174</v>
      </c>
      <c r="P18" s="149" t="s">
        <v>175</v>
      </c>
    </row>
    <row r="19" spans="2:16" x14ac:dyDescent="0.3">
      <c r="B19" s="112" t="s">
        <v>176</v>
      </c>
      <c r="C19" s="113">
        <v>1.9910000000000001</v>
      </c>
      <c r="D19" s="114">
        <v>148.458</v>
      </c>
      <c r="E19" s="113">
        <v>150.44900000000001</v>
      </c>
      <c r="F19" s="113" t="s">
        <v>177</v>
      </c>
      <c r="G19" s="114" t="s">
        <v>178</v>
      </c>
      <c r="H19" s="115" t="s">
        <v>179</v>
      </c>
      <c r="K19" s="90" t="s">
        <v>164</v>
      </c>
      <c r="L19" s="91">
        <v>1.6220000000000001</v>
      </c>
      <c r="M19" s="147">
        <v>67.036000000000001</v>
      </c>
      <c r="N19" s="91">
        <v>68.659000000000006</v>
      </c>
      <c r="O19" s="91" t="s">
        <v>115</v>
      </c>
      <c r="P19" s="146" t="s">
        <v>180</v>
      </c>
    </row>
    <row r="20" spans="2:16" x14ac:dyDescent="0.3">
      <c r="B20" s="90" t="s">
        <v>181</v>
      </c>
      <c r="C20" s="91">
        <v>1.9910000000000001</v>
      </c>
      <c r="D20" s="92">
        <v>90.563999999999993</v>
      </c>
      <c r="E20" s="91">
        <v>92.555000000000007</v>
      </c>
      <c r="F20" s="91" t="s">
        <v>182</v>
      </c>
      <c r="G20" s="92" t="s">
        <v>183</v>
      </c>
      <c r="H20" s="93" t="s">
        <v>184</v>
      </c>
      <c r="K20" s="112" t="s">
        <v>155</v>
      </c>
      <c r="L20" s="113" t="s">
        <v>185</v>
      </c>
      <c r="M20" s="150">
        <v>24.637</v>
      </c>
      <c r="N20" s="113">
        <v>24.637</v>
      </c>
      <c r="O20" s="113" t="s">
        <v>186</v>
      </c>
      <c r="P20" s="149" t="s">
        <v>187</v>
      </c>
    </row>
    <row r="21" spans="2:16" ht="15" thickBot="1" x14ac:dyDescent="0.35">
      <c r="B21" s="112" t="s">
        <v>188</v>
      </c>
      <c r="C21" s="113">
        <v>21.991</v>
      </c>
      <c r="D21" s="114">
        <v>14.426</v>
      </c>
      <c r="E21" s="113">
        <v>36.417000000000002</v>
      </c>
      <c r="F21" s="113" t="s">
        <v>189</v>
      </c>
      <c r="G21" s="126" t="s">
        <v>190</v>
      </c>
      <c r="H21" s="115" t="s">
        <v>191</v>
      </c>
      <c r="K21" s="90" t="s">
        <v>192</v>
      </c>
      <c r="L21" s="91">
        <v>8.7929999999999993</v>
      </c>
      <c r="M21" s="147">
        <v>17.036999999999999</v>
      </c>
      <c r="N21" s="91">
        <v>25.83</v>
      </c>
      <c r="O21" s="91" t="s">
        <v>193</v>
      </c>
      <c r="P21" s="146" t="s">
        <v>194</v>
      </c>
    </row>
    <row r="22" spans="2:16" ht="15" thickBot="1" x14ac:dyDescent="0.35">
      <c r="B22" s="122" t="s">
        <v>192</v>
      </c>
      <c r="C22" s="123">
        <v>7.0640000000000001</v>
      </c>
      <c r="D22" s="116" t="s">
        <v>195</v>
      </c>
      <c r="E22" s="123">
        <v>10.478999999999999</v>
      </c>
      <c r="F22" s="124" t="s">
        <v>196</v>
      </c>
      <c r="G22" s="128">
        <v>84.5</v>
      </c>
      <c r="H22" s="125" t="s">
        <v>197</v>
      </c>
      <c r="K22" s="117" t="s">
        <v>198</v>
      </c>
      <c r="L22" s="113" t="s">
        <v>199</v>
      </c>
      <c r="M22" s="150" t="s">
        <v>200</v>
      </c>
      <c r="N22" s="113">
        <v>42.970999999999997</v>
      </c>
      <c r="O22" s="113" t="s">
        <v>201</v>
      </c>
      <c r="P22" s="149" t="s">
        <v>202</v>
      </c>
    </row>
    <row r="23" spans="2:16" x14ac:dyDescent="0.3">
      <c r="B23" s="117" t="s">
        <v>203</v>
      </c>
      <c r="C23" s="113">
        <v>9</v>
      </c>
      <c r="D23" s="114">
        <v>18.728999999999999</v>
      </c>
      <c r="E23" s="113">
        <v>18.739000000000001</v>
      </c>
      <c r="F23" s="113" t="s">
        <v>204</v>
      </c>
      <c r="G23" s="127" t="s">
        <v>205</v>
      </c>
      <c r="H23" s="115" t="s">
        <v>206</v>
      </c>
      <c r="K23" s="148" t="s">
        <v>207</v>
      </c>
      <c r="L23" s="91">
        <v>94.491</v>
      </c>
      <c r="M23" s="147">
        <v>54.929000000000002</v>
      </c>
      <c r="N23" s="91">
        <v>149.41999999999999</v>
      </c>
      <c r="O23" s="91" t="s">
        <v>208</v>
      </c>
      <c r="P23" s="146" t="s">
        <v>209</v>
      </c>
    </row>
    <row r="24" spans="2:16" ht="15" thickBot="1" x14ac:dyDescent="0.35">
      <c r="B24" s="90" t="s">
        <v>210</v>
      </c>
      <c r="C24" s="91">
        <v>56.274999999999999</v>
      </c>
      <c r="D24" s="92">
        <v>75.099000000000004</v>
      </c>
      <c r="E24" s="91">
        <v>131.374</v>
      </c>
      <c r="F24" s="91" t="s">
        <v>211</v>
      </c>
      <c r="G24" s="92" t="s">
        <v>212</v>
      </c>
      <c r="H24" s="93" t="s">
        <v>213</v>
      </c>
      <c r="K24" s="145" t="s">
        <v>214</v>
      </c>
      <c r="L24" s="143">
        <v>261.66000000000003</v>
      </c>
      <c r="M24" s="144">
        <v>701.13900000000001</v>
      </c>
      <c r="N24" s="143">
        <v>962.79899999999998</v>
      </c>
      <c r="O24" s="143" t="s">
        <v>215</v>
      </c>
      <c r="P24" s="142" t="s">
        <v>216</v>
      </c>
    </row>
    <row r="25" spans="2:16" ht="15" thickBot="1" x14ac:dyDescent="0.35">
      <c r="B25" s="118" t="s">
        <v>214</v>
      </c>
      <c r="C25" s="119">
        <v>464.28300000000002</v>
      </c>
      <c r="D25" s="120" t="s">
        <v>217</v>
      </c>
      <c r="E25" s="119" t="s">
        <v>218</v>
      </c>
      <c r="F25" s="119" t="s">
        <v>219</v>
      </c>
      <c r="G25" s="120" t="s">
        <v>220</v>
      </c>
      <c r="H25" s="121">
        <v>181</v>
      </c>
    </row>
  </sheetData>
  <mergeCells count="11">
    <mergeCell ref="L4:M4"/>
    <mergeCell ref="O4:P4"/>
    <mergeCell ref="K4:K5"/>
    <mergeCell ref="N4:N5"/>
    <mergeCell ref="B2:H3"/>
    <mergeCell ref="K2:P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8FEB-5965-4B15-903A-E20E9E7CC45B}">
  <dimension ref="A1:K45"/>
  <sheetViews>
    <sheetView zoomScale="124" zoomScaleNormal="124" workbookViewId="0">
      <selection activeCell="B2" sqref="B2"/>
    </sheetView>
  </sheetViews>
  <sheetFormatPr baseColWidth="10" defaultColWidth="11.44140625" defaultRowHeight="14.4" x14ac:dyDescent="0.3"/>
  <cols>
    <col min="1" max="1" width="19.109375" bestFit="1" customWidth="1"/>
    <col min="2" max="2" width="16.6640625" bestFit="1" customWidth="1"/>
    <col min="3" max="3" width="18" bestFit="1" customWidth="1"/>
    <col min="4" max="4" width="21.33203125" bestFit="1" customWidth="1"/>
    <col min="11" max="11" width="11.77734375" bestFit="1" customWidth="1"/>
  </cols>
  <sheetData>
    <row r="1" spans="1:5" ht="15" thickBot="1" x14ac:dyDescent="0.35">
      <c r="A1" s="130" t="s">
        <v>221</v>
      </c>
      <c r="B1" s="35">
        <v>0.04</v>
      </c>
    </row>
    <row r="3" spans="1:5" ht="15" thickBot="1" x14ac:dyDescent="0.35"/>
    <row r="4" spans="1:5" ht="15" thickBot="1" x14ac:dyDescent="0.35">
      <c r="A4" s="131" t="s">
        <v>222</v>
      </c>
      <c r="B4" s="132" t="s">
        <v>223</v>
      </c>
      <c r="C4" s="132" t="s">
        <v>224</v>
      </c>
      <c r="D4" s="133" t="s">
        <v>225</v>
      </c>
      <c r="E4" s="354" t="s">
        <v>226</v>
      </c>
    </row>
    <row r="5" spans="1:5" x14ac:dyDescent="0.3">
      <c r="A5" s="43">
        <v>0</v>
      </c>
      <c r="B5" s="166">
        <f>Promedio_parcelas!Z3</f>
        <v>-4056.9140349999989</v>
      </c>
      <c r="C5" s="44"/>
      <c r="D5" s="136">
        <f>B5</f>
        <v>-4056.9140349999989</v>
      </c>
      <c r="E5" s="355"/>
    </row>
    <row r="6" spans="1:5" x14ac:dyDescent="0.3">
      <c r="A6" s="45">
        <v>10</v>
      </c>
      <c r="B6" s="167">
        <f>Promedio_parcelas!Z5</f>
        <v>-7223.6199039999992</v>
      </c>
      <c r="C6">
        <f>1/(1+$B$1)^A6</f>
        <v>0.67556416882579851</v>
      </c>
      <c r="D6" s="138">
        <f>B5*C6</f>
        <v>-2740.7057580524906</v>
      </c>
      <c r="E6" s="355"/>
    </row>
    <row r="7" spans="1:5" x14ac:dyDescent="0.3">
      <c r="A7" s="45">
        <v>30</v>
      </c>
      <c r="B7" s="167">
        <f>Promedio_parcelas!Z8</f>
        <v>-10879.918051999997</v>
      </c>
      <c r="C7">
        <f>1/(1+$B$1)^A7</f>
        <v>0.30831866797342034</v>
      </c>
      <c r="D7" s="138">
        <f>B6*C7</f>
        <v>-2227.1768667475662</v>
      </c>
      <c r="E7" s="355"/>
    </row>
    <row r="8" spans="1:5" x14ac:dyDescent="0.3">
      <c r="A8" s="45">
        <v>50</v>
      </c>
      <c r="B8" s="167">
        <f>Promedio_parcelas!Z11</f>
        <v>-12353.616729999998</v>
      </c>
      <c r="C8">
        <f>1/(1+$B$1)^A8</f>
        <v>0.14071261533323939</v>
      </c>
      <c r="D8" s="138">
        <f>B7*C8</f>
        <v>-1530.941723708243</v>
      </c>
      <c r="E8" s="355"/>
    </row>
    <row r="9" spans="1:5" x14ac:dyDescent="0.3">
      <c r="A9" s="45">
        <v>70</v>
      </c>
      <c r="B9" s="167">
        <f>Promedio_parcelas!Z14</f>
        <v>-12655.582635999997</v>
      </c>
      <c r="C9">
        <f>1/(1+$B$1)^A9</f>
        <v>6.4219400803934235E-2</v>
      </c>
      <c r="D9" s="138">
        <f>B8*C9</f>
        <v>-793.34186416205728</v>
      </c>
      <c r="E9" s="355"/>
    </row>
    <row r="10" spans="1:5" ht="15" thickBot="1" x14ac:dyDescent="0.35">
      <c r="A10" s="46">
        <v>90</v>
      </c>
      <c r="B10" s="141">
        <f>Promedio_parcelas!Z17</f>
        <v>852.98542000000145</v>
      </c>
      <c r="C10" s="47">
        <f>1/(1+$B$1)^A10</f>
        <v>2.9308896219784344E-2</v>
      </c>
      <c r="D10" s="140">
        <f>B9*C10</f>
        <v>-370.92115807942872</v>
      </c>
      <c r="E10" s="355"/>
    </row>
    <row r="11" spans="1:5" ht="15" thickBot="1" x14ac:dyDescent="0.35">
      <c r="C11" s="46" t="s">
        <v>227</v>
      </c>
      <c r="D11" s="168">
        <f>SUM(D5:D10)</f>
        <v>-11720.001405749786</v>
      </c>
      <c r="E11" s="356"/>
    </row>
    <row r="12" spans="1:5" ht="15" thickBot="1" x14ac:dyDescent="0.35"/>
    <row r="13" spans="1:5" ht="15" thickBot="1" x14ac:dyDescent="0.35">
      <c r="A13" s="131" t="s">
        <v>222</v>
      </c>
      <c r="B13" s="132" t="s">
        <v>223</v>
      </c>
      <c r="C13" s="132" t="s">
        <v>224</v>
      </c>
      <c r="D13" s="134" t="s">
        <v>225</v>
      </c>
      <c r="E13" s="354" t="s">
        <v>68</v>
      </c>
    </row>
    <row r="14" spans="1:5" x14ac:dyDescent="0.3">
      <c r="A14" s="43">
        <v>0</v>
      </c>
      <c r="B14" s="135">
        <f>Promedio_parcelas!Z27</f>
        <v>-4055.7356817999998</v>
      </c>
      <c r="C14" s="44"/>
      <c r="D14" s="136">
        <f>B14</f>
        <v>-4055.7356817999998</v>
      </c>
      <c r="E14" s="357"/>
    </row>
    <row r="15" spans="1:5" x14ac:dyDescent="0.3">
      <c r="A15" s="45">
        <v>20</v>
      </c>
      <c r="B15" s="137">
        <f>Promedio_parcelas!Z30</f>
        <v>-9309.1108648999962</v>
      </c>
      <c r="C15">
        <f>1/(1+$B$1)^A15</f>
        <v>0.45638694620129205</v>
      </c>
      <c r="D15" s="138">
        <f>B14*C15</f>
        <v>-1850.984822416317</v>
      </c>
      <c r="E15" s="357"/>
    </row>
    <row r="16" spans="1:5" x14ac:dyDescent="0.3">
      <c r="A16" s="45">
        <v>40</v>
      </c>
      <c r="B16" s="137">
        <f>Promedio_parcelas!Z33</f>
        <v>-10345.0723174</v>
      </c>
      <c r="C16">
        <f>1/(1+$B$1)^A16</f>
        <v>0.20828904466294101</v>
      </c>
      <c r="D16" s="138">
        <f>B15*C16</f>
        <v>-1938.9858087114249</v>
      </c>
      <c r="E16" s="357"/>
    </row>
    <row r="17" spans="1:11" x14ac:dyDescent="0.3">
      <c r="A17" s="45">
        <v>60</v>
      </c>
      <c r="B17" s="137">
        <f>Promedio_parcelas!Z36</f>
        <v>-9844.8257670999992</v>
      </c>
      <c r="C17">
        <f>1/(1+$B$1)^A17</f>
        <v>9.506040102090417E-2</v>
      </c>
      <c r="D17" s="138">
        <f>B16*C17</f>
        <v>-983.40672308229841</v>
      </c>
      <c r="E17" s="357"/>
    </row>
    <row r="18" spans="1:11" ht="15" thickBot="1" x14ac:dyDescent="0.35">
      <c r="A18" s="46">
        <v>80</v>
      </c>
      <c r="B18" s="139">
        <f>Promedio_parcelas!Z39</f>
        <v>-8716.3460525999981</v>
      </c>
      <c r="C18" s="47">
        <f>1/(1+$B$1)^A18</f>
        <v>4.3384326126600647E-2</v>
      </c>
      <c r="D18" s="140">
        <f>B17*C18</f>
        <v>-427.11113173942778</v>
      </c>
      <c r="E18" s="357"/>
    </row>
    <row r="19" spans="1:11" ht="15" thickBot="1" x14ac:dyDescent="0.35">
      <c r="A19" s="45"/>
      <c r="C19" s="46" t="s">
        <v>227</v>
      </c>
      <c r="D19" s="168">
        <f>SUM(D14:D18)</f>
        <v>-9256.2241677494676</v>
      </c>
      <c r="E19" s="356"/>
    </row>
    <row r="20" spans="1:11" ht="15" thickBot="1" x14ac:dyDescent="0.35"/>
    <row r="21" spans="1:11" ht="15" thickBot="1" x14ac:dyDescent="0.35">
      <c r="A21" s="131" t="s">
        <v>222</v>
      </c>
      <c r="B21" s="132" t="s">
        <v>223</v>
      </c>
      <c r="C21" s="132" t="s">
        <v>224</v>
      </c>
      <c r="D21" s="133" t="s">
        <v>225</v>
      </c>
      <c r="E21" s="354" t="s">
        <v>12</v>
      </c>
    </row>
    <row r="22" spans="1:11" x14ac:dyDescent="0.3">
      <c r="A22" s="43">
        <v>0</v>
      </c>
      <c r="B22" s="166">
        <f>Promedio_parcelas!Z41</f>
        <v>-4056.9140349999989</v>
      </c>
      <c r="C22" s="44"/>
      <c r="D22" s="136">
        <f>B22</f>
        <v>-4056.9140349999989</v>
      </c>
      <c r="E22" s="355"/>
    </row>
    <row r="23" spans="1:11" x14ac:dyDescent="0.3">
      <c r="A23" s="45">
        <v>10</v>
      </c>
      <c r="B23" s="167">
        <f>Promedio_parcelas!Z43</f>
        <v>-7237.8097939999998</v>
      </c>
      <c r="C23">
        <f>1/(1+$B$1)^A23</f>
        <v>0.67556416882579851</v>
      </c>
      <c r="D23" s="138">
        <f>B22*C23</f>
        <v>-2740.7057580524906</v>
      </c>
      <c r="E23" s="355"/>
    </row>
    <row r="24" spans="1:11" x14ac:dyDescent="0.3">
      <c r="A24" s="45">
        <v>30</v>
      </c>
      <c r="B24" s="167">
        <f>Promedio_parcelas!Z46</f>
        <v>819.42731600000081</v>
      </c>
      <c r="C24">
        <f>1/(1+$B$1)^A24</f>
        <v>0.30831866797342034</v>
      </c>
      <c r="D24" s="138">
        <f>B23*C24</f>
        <v>-2231.5518747310557</v>
      </c>
      <c r="E24" s="355"/>
    </row>
    <row r="25" spans="1:11" x14ac:dyDescent="0.3">
      <c r="A25" s="45">
        <v>50</v>
      </c>
      <c r="B25" s="167">
        <f>Promedio_parcelas!Z49</f>
        <v>1049.8745960000019</v>
      </c>
      <c r="C25">
        <f>1/(1+$B$1)^A25</f>
        <v>0.14071261533323939</v>
      </c>
      <c r="D25" s="138">
        <f>B24*C25</f>
        <v>115.30376070985692</v>
      </c>
      <c r="E25" s="355"/>
    </row>
    <row r="26" spans="1:11" x14ac:dyDescent="0.3">
      <c r="A26" s="45">
        <v>70</v>
      </c>
      <c r="B26" s="167">
        <f>Promedio_parcelas!Z52</f>
        <v>2368.0075199999997</v>
      </c>
      <c r="C26">
        <f>1/(1+$B$1)^A26</f>
        <v>6.4219400803934235E-2</v>
      </c>
      <c r="D26" s="138">
        <f>B25*C26</f>
        <v>67.422317474392656</v>
      </c>
      <c r="E26" s="355"/>
    </row>
    <row r="27" spans="1:11" ht="15" thickBot="1" x14ac:dyDescent="0.35">
      <c r="A27" s="46">
        <v>90</v>
      </c>
      <c r="B27" s="141">
        <f>Promedio_parcelas!Z55</f>
        <v>2320.1653900000028</v>
      </c>
      <c r="C27" s="47">
        <f>1/(1+$B$1)^A27</f>
        <v>2.9308896219784344E-2</v>
      </c>
      <c r="D27" s="140">
        <f>B26*C27</f>
        <v>69.403686651348892</v>
      </c>
      <c r="E27" s="355"/>
    </row>
    <row r="28" spans="1:11" ht="15" thickBot="1" x14ac:dyDescent="0.35">
      <c r="C28" s="46" t="s">
        <v>227</v>
      </c>
      <c r="D28" s="168">
        <f>SUM(D22:D27)</f>
        <v>-8777.0419029479453</v>
      </c>
      <c r="E28" s="356"/>
    </row>
    <row r="29" spans="1:11" ht="15" thickBot="1" x14ac:dyDescent="0.35"/>
    <row r="30" spans="1:11" ht="15" thickBot="1" x14ac:dyDescent="0.35">
      <c r="A30" s="131" t="s">
        <v>222</v>
      </c>
      <c r="B30" s="132" t="s">
        <v>223</v>
      </c>
      <c r="C30" s="132" t="s">
        <v>224</v>
      </c>
      <c r="D30" s="134" t="s">
        <v>225</v>
      </c>
      <c r="E30" s="354" t="s">
        <v>37</v>
      </c>
      <c r="K30" s="167"/>
    </row>
    <row r="31" spans="1:11" x14ac:dyDescent="0.3">
      <c r="A31" s="43">
        <v>0</v>
      </c>
      <c r="B31" s="166">
        <f>Promedio_parcelas!Z56</f>
        <v>-4056.9140349999989</v>
      </c>
      <c r="C31" s="44"/>
      <c r="D31" s="136">
        <f>B31</f>
        <v>-4056.9140349999989</v>
      </c>
      <c r="E31" s="357"/>
    </row>
    <row r="32" spans="1:11" x14ac:dyDescent="0.3">
      <c r="A32" s="45">
        <v>20</v>
      </c>
      <c r="B32" s="167">
        <f>Promedio_parcelas!Z59</f>
        <v>-9616.5732022999964</v>
      </c>
      <c r="C32">
        <f>1/(1+$B$1)^A32</f>
        <v>0.45638694620129205</v>
      </c>
      <c r="D32" s="138">
        <f>B31*C32</f>
        <v>-1851.5226074348111</v>
      </c>
      <c r="E32" s="357"/>
    </row>
    <row r="33" spans="1:5" x14ac:dyDescent="0.3">
      <c r="A33" s="45">
        <v>40</v>
      </c>
      <c r="B33" s="167">
        <f>Promedio_parcelas!Z62</f>
        <v>-12143.005147599995</v>
      </c>
      <c r="C33">
        <f>1/(1+$B$1)^A33</f>
        <v>0.20828904466294101</v>
      </c>
      <c r="D33" s="138">
        <f>B32*C33</f>
        <v>-2003.0268452383057</v>
      </c>
      <c r="E33" s="357"/>
    </row>
    <row r="34" spans="1:5" x14ac:dyDescent="0.3">
      <c r="A34" s="45">
        <v>60</v>
      </c>
      <c r="B34" s="167">
        <f>Promedio_parcelas!Z65</f>
        <v>1150.6413068000011</v>
      </c>
      <c r="C34">
        <f>1/(1+$B$1)^A34</f>
        <v>9.506040102090417E-2</v>
      </c>
      <c r="D34" s="138">
        <f>B33*C34</f>
        <v>-1154.3189389297593</v>
      </c>
      <c r="E34" s="357"/>
    </row>
    <row r="35" spans="1:5" ht="15" thickBot="1" x14ac:dyDescent="0.35">
      <c r="A35" s="46">
        <v>80</v>
      </c>
      <c r="B35" s="141">
        <f>Promedio_parcelas!Z68</f>
        <v>936.69935410000187</v>
      </c>
      <c r="C35" s="47">
        <f>1/(1+$B$1)^A35</f>
        <v>4.3384326126600647E-2</v>
      </c>
      <c r="D35" s="140">
        <f>B34*C35</f>
        <v>49.919797708949197</v>
      </c>
      <c r="E35" s="357"/>
    </row>
    <row r="36" spans="1:5" ht="15" thickBot="1" x14ac:dyDescent="0.35">
      <c r="A36" s="45"/>
      <c r="C36" s="46" t="s">
        <v>227</v>
      </c>
      <c r="D36" s="168">
        <f>SUM(D31:D35)</f>
        <v>-9015.8626288939249</v>
      </c>
      <c r="E36" s="356"/>
    </row>
    <row r="37" spans="1:5" ht="15" thickBot="1" x14ac:dyDescent="0.35"/>
    <row r="38" spans="1:5" ht="15" thickBot="1" x14ac:dyDescent="0.35">
      <c r="A38" s="131" t="s">
        <v>222</v>
      </c>
      <c r="B38" s="132" t="s">
        <v>223</v>
      </c>
      <c r="C38" s="132" t="s">
        <v>224</v>
      </c>
      <c r="D38" s="133" t="s">
        <v>225</v>
      </c>
      <c r="E38" s="354" t="s">
        <v>228</v>
      </c>
    </row>
    <row r="39" spans="1:5" x14ac:dyDescent="0.3">
      <c r="A39" s="43">
        <v>0</v>
      </c>
      <c r="B39" s="166">
        <f>Promedio_parcelas!Z70</f>
        <v>-4056.9140349999989</v>
      </c>
      <c r="C39" s="44"/>
      <c r="D39" s="136">
        <f>B39</f>
        <v>-4056.9140349999989</v>
      </c>
      <c r="E39" s="355"/>
    </row>
    <row r="40" spans="1:5" x14ac:dyDescent="0.3">
      <c r="A40" s="45">
        <v>10</v>
      </c>
      <c r="B40" s="167">
        <f>Promedio_parcelas!Z72</f>
        <v>-7221.4306679999991</v>
      </c>
      <c r="C40">
        <f>1/(1+$B$1)^A40</f>
        <v>0.67556416882579851</v>
      </c>
      <c r="D40" s="138">
        <f>B39*C40</f>
        <v>-2740.7057580524906</v>
      </c>
      <c r="E40" s="355"/>
    </row>
    <row r="41" spans="1:5" x14ac:dyDescent="0.3">
      <c r="A41" s="45">
        <v>30</v>
      </c>
      <c r="B41" s="167">
        <f>Promedio_parcelas!Z75</f>
        <v>-10843.409583999995</v>
      </c>
      <c r="C41">
        <f>1/(1+$B$1)^A41</f>
        <v>0.30831866797342034</v>
      </c>
      <c r="D41" s="138">
        <f>B40*C41</f>
        <v>-2226.5018844201668</v>
      </c>
      <c r="E41" s="355"/>
    </row>
    <row r="42" spans="1:5" x14ac:dyDescent="0.3">
      <c r="A42" s="45">
        <v>50</v>
      </c>
      <c r="B42" s="167">
        <f>Promedio_parcelas!Z78</f>
        <v>-12246.087047999996</v>
      </c>
      <c r="C42">
        <f>1/(1+$B$1)^A42</f>
        <v>0.14071261533323939</v>
      </c>
      <c r="D42" s="138">
        <f>B41*C42</f>
        <v>-1525.8045216941528</v>
      </c>
      <c r="E42" s="355"/>
    </row>
    <row r="43" spans="1:5" x14ac:dyDescent="0.3">
      <c r="A43" s="45">
        <v>70</v>
      </c>
      <c r="B43" s="167">
        <f>Promedio_parcelas!Z81</f>
        <v>-12466.214015999996</v>
      </c>
      <c r="C43">
        <f>1/(1+$B$1)^A43</f>
        <v>6.4219400803934235E-2</v>
      </c>
      <c r="D43" s="138">
        <f>B42*C43</f>
        <v>-786.43637241537954</v>
      </c>
      <c r="E43" s="355"/>
    </row>
    <row r="44" spans="1:5" ht="15" thickBot="1" x14ac:dyDescent="0.35">
      <c r="A44" s="46">
        <v>90</v>
      </c>
      <c r="B44" s="141">
        <f>Promedio_parcelas!Z84</f>
        <v>-11994.325199999997</v>
      </c>
      <c r="C44" s="47">
        <f>1/(1+$B$1)^A44</f>
        <v>2.9308896219784344E-2</v>
      </c>
      <c r="D44" s="140">
        <f>B43*C44</f>
        <v>-365.37097284856492</v>
      </c>
      <c r="E44" s="355"/>
    </row>
    <row r="45" spans="1:5" ht="15" thickBot="1" x14ac:dyDescent="0.35">
      <c r="C45" s="46" t="s">
        <v>227</v>
      </c>
      <c r="D45" s="168">
        <f>SUM(D39:D44)</f>
        <v>-11701.733544430754</v>
      </c>
      <c r="E45" s="356"/>
    </row>
  </sheetData>
  <mergeCells count="5">
    <mergeCell ref="E4:E11"/>
    <mergeCell ref="E13:E19"/>
    <mergeCell ref="E21:E28"/>
    <mergeCell ref="E30:E36"/>
    <mergeCell ref="E38:E4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53BF-F086-4537-9BF1-F8AE8CAEB16A}">
  <dimension ref="B1:G105"/>
  <sheetViews>
    <sheetView workbookViewId="0">
      <selection activeCell="H6" sqref="H6"/>
    </sheetView>
  </sheetViews>
  <sheetFormatPr baseColWidth="10" defaultColWidth="11.44140625" defaultRowHeight="14.4" x14ac:dyDescent="0.3"/>
  <sheetData>
    <row r="1" spans="2:7" ht="15" thickBot="1" x14ac:dyDescent="0.35"/>
    <row r="2" spans="2:7" x14ac:dyDescent="0.3">
      <c r="B2" s="61" t="s">
        <v>229</v>
      </c>
      <c r="C2" s="358" t="s">
        <v>230</v>
      </c>
      <c r="D2" s="62" t="s">
        <v>231</v>
      </c>
      <c r="E2" s="63" t="s">
        <v>232</v>
      </c>
      <c r="F2" s="360" t="s">
        <v>233</v>
      </c>
      <c r="G2" s="362" t="s">
        <v>234</v>
      </c>
    </row>
    <row r="3" spans="2:7" ht="41.4" thickBot="1" x14ac:dyDescent="0.35">
      <c r="B3" s="78" t="s">
        <v>235</v>
      </c>
      <c r="C3" s="359"/>
      <c r="D3" s="79" t="s">
        <v>236</v>
      </c>
      <c r="E3" s="80">
        <v>1</v>
      </c>
      <c r="F3" s="361"/>
      <c r="G3" s="363"/>
    </row>
    <row r="4" spans="2:7" ht="23.4" thickBot="1" x14ac:dyDescent="0.35">
      <c r="B4" s="72" t="s">
        <v>237</v>
      </c>
      <c r="C4" s="73" t="s">
        <v>238</v>
      </c>
      <c r="D4" s="74" t="s">
        <v>34</v>
      </c>
      <c r="E4" s="75"/>
      <c r="F4" s="76">
        <v>203.7</v>
      </c>
      <c r="G4" s="77"/>
    </row>
    <row r="5" spans="2:7" ht="46.2" thickBot="1" x14ac:dyDescent="0.35">
      <c r="B5" s="64" t="s">
        <v>239</v>
      </c>
      <c r="C5" s="57" t="s">
        <v>240</v>
      </c>
      <c r="D5" s="58" t="s">
        <v>241</v>
      </c>
      <c r="E5" s="59"/>
      <c r="F5" s="60">
        <v>0.41</v>
      </c>
      <c r="G5" s="65"/>
    </row>
    <row r="6" spans="2:7" ht="80.400000000000006" thickBot="1" x14ac:dyDescent="0.35">
      <c r="B6" s="64" t="s">
        <v>242</v>
      </c>
      <c r="C6" s="57" t="s">
        <v>240</v>
      </c>
      <c r="D6" s="58" t="s">
        <v>243</v>
      </c>
      <c r="E6" s="59"/>
      <c r="F6" s="60">
        <v>0.67</v>
      </c>
      <c r="G6" s="65"/>
    </row>
    <row r="7" spans="2:7" ht="91.8" thickBot="1" x14ac:dyDescent="0.35">
      <c r="B7" s="64" t="s">
        <v>244</v>
      </c>
      <c r="C7" s="57" t="s">
        <v>240</v>
      </c>
      <c r="D7" s="58" t="s">
        <v>245</v>
      </c>
      <c r="E7" s="59"/>
      <c r="F7" s="60">
        <v>0.63</v>
      </c>
      <c r="G7" s="65"/>
    </row>
    <row r="8" spans="2:7" ht="91.8" thickBot="1" x14ac:dyDescent="0.35">
      <c r="B8" s="64" t="s">
        <v>246</v>
      </c>
      <c r="C8" s="57" t="s">
        <v>240</v>
      </c>
      <c r="D8" s="58" t="s">
        <v>247</v>
      </c>
      <c r="E8" s="59"/>
      <c r="F8" s="60">
        <v>0.54</v>
      </c>
      <c r="G8" s="65"/>
    </row>
    <row r="9" spans="2:7" ht="80.400000000000006" thickBot="1" x14ac:dyDescent="0.35">
      <c r="B9" s="64" t="s">
        <v>248</v>
      </c>
      <c r="C9" s="57" t="s">
        <v>240</v>
      </c>
      <c r="D9" s="58" t="s">
        <v>249</v>
      </c>
      <c r="E9" s="59"/>
      <c r="F9" s="60">
        <v>0.43</v>
      </c>
      <c r="G9" s="65"/>
    </row>
    <row r="10" spans="2:7" ht="69" thickBot="1" x14ac:dyDescent="0.35">
      <c r="B10" s="64" t="s">
        <v>250</v>
      </c>
      <c r="C10" s="57" t="s">
        <v>240</v>
      </c>
      <c r="D10" s="58" t="s">
        <v>251</v>
      </c>
      <c r="E10" s="59"/>
      <c r="F10" s="60">
        <v>1.01</v>
      </c>
      <c r="G10" s="65"/>
    </row>
    <row r="11" spans="2:7" ht="91.8" thickBot="1" x14ac:dyDescent="0.35">
      <c r="B11" s="64" t="s">
        <v>252</v>
      </c>
      <c r="C11" s="57" t="s">
        <v>240</v>
      </c>
      <c r="D11" s="58" t="s">
        <v>253</v>
      </c>
      <c r="E11" s="59"/>
      <c r="F11" s="60">
        <v>0.92</v>
      </c>
      <c r="G11" s="65"/>
    </row>
    <row r="12" spans="2:7" ht="80.400000000000006" thickBot="1" x14ac:dyDescent="0.35">
      <c r="B12" s="64" t="s">
        <v>254</v>
      </c>
      <c r="C12" s="57" t="s">
        <v>240</v>
      </c>
      <c r="D12" s="58" t="s">
        <v>255</v>
      </c>
      <c r="E12" s="59"/>
      <c r="F12" s="60">
        <v>0.64</v>
      </c>
      <c r="G12" s="65"/>
    </row>
    <row r="13" spans="2:7" ht="34.799999999999997" thickBot="1" x14ac:dyDescent="0.35">
      <c r="B13" s="64" t="s">
        <v>256</v>
      </c>
      <c r="C13" s="57" t="s">
        <v>240</v>
      </c>
      <c r="D13" s="58" t="s">
        <v>257</v>
      </c>
      <c r="E13" s="59"/>
      <c r="F13" s="60">
        <v>2.36</v>
      </c>
      <c r="G13" s="65"/>
    </row>
    <row r="14" spans="2:7" ht="46.2" thickBot="1" x14ac:dyDescent="0.35">
      <c r="B14" s="64" t="s">
        <v>258</v>
      </c>
      <c r="C14" s="57" t="s">
        <v>259</v>
      </c>
      <c r="D14" s="58" t="s">
        <v>260</v>
      </c>
      <c r="E14" s="59"/>
      <c r="F14" s="60">
        <v>8.57</v>
      </c>
      <c r="G14" s="65"/>
    </row>
    <row r="15" spans="2:7" ht="57.6" thickBot="1" x14ac:dyDescent="0.35">
      <c r="B15" s="64" t="s">
        <v>261</v>
      </c>
      <c r="C15" s="57" t="s">
        <v>259</v>
      </c>
      <c r="D15" s="58" t="s">
        <v>262</v>
      </c>
      <c r="E15" s="59"/>
      <c r="F15" s="60">
        <v>4.45</v>
      </c>
      <c r="G15" s="65"/>
    </row>
    <row r="16" spans="2:7" ht="57.6" thickBot="1" x14ac:dyDescent="0.35">
      <c r="B16" s="64" t="s">
        <v>263</v>
      </c>
      <c r="C16" s="57" t="s">
        <v>259</v>
      </c>
      <c r="D16" s="58" t="s">
        <v>264</v>
      </c>
      <c r="E16" s="59"/>
      <c r="F16" s="60">
        <v>2.85</v>
      </c>
      <c r="G16" s="65"/>
    </row>
    <row r="17" spans="2:7" ht="46.2" thickBot="1" x14ac:dyDescent="0.35">
      <c r="B17" s="64" t="s">
        <v>265</v>
      </c>
      <c r="C17" s="57" t="s">
        <v>266</v>
      </c>
      <c r="D17" s="58" t="s">
        <v>267</v>
      </c>
      <c r="E17" s="59"/>
      <c r="F17" s="60">
        <v>3.48</v>
      </c>
      <c r="G17" s="65"/>
    </row>
    <row r="18" spans="2:7" ht="57.6" thickBot="1" x14ac:dyDescent="0.35">
      <c r="B18" s="64" t="s">
        <v>268</v>
      </c>
      <c r="C18" s="57" t="s">
        <v>259</v>
      </c>
      <c r="D18" s="58" t="s">
        <v>269</v>
      </c>
      <c r="E18" s="59"/>
      <c r="F18" s="60">
        <v>11.24</v>
      </c>
      <c r="G18" s="65"/>
    </row>
    <row r="19" spans="2:7" ht="69" thickBot="1" x14ac:dyDescent="0.35">
      <c r="B19" s="64" t="s">
        <v>270</v>
      </c>
      <c r="C19" s="57" t="s">
        <v>259</v>
      </c>
      <c r="D19" s="58" t="s">
        <v>271</v>
      </c>
      <c r="E19" s="59"/>
      <c r="F19" s="60">
        <v>13.26</v>
      </c>
      <c r="G19" s="65"/>
    </row>
    <row r="20" spans="2:7" ht="69" thickBot="1" x14ac:dyDescent="0.35">
      <c r="B20" s="64" t="s">
        <v>272</v>
      </c>
      <c r="C20" s="57" t="s">
        <v>259</v>
      </c>
      <c r="D20" s="58" t="s">
        <v>273</v>
      </c>
      <c r="E20" s="59"/>
      <c r="F20" s="60">
        <v>5.62</v>
      </c>
      <c r="G20" s="65"/>
    </row>
    <row r="21" spans="2:7" ht="69" thickBot="1" x14ac:dyDescent="0.35">
      <c r="B21" s="64" t="s">
        <v>274</v>
      </c>
      <c r="C21" s="57" t="s">
        <v>259</v>
      </c>
      <c r="D21" s="58" t="s">
        <v>275</v>
      </c>
      <c r="E21" s="59"/>
      <c r="F21" s="60">
        <v>7.42</v>
      </c>
      <c r="G21" s="65"/>
    </row>
    <row r="22" spans="2:7" ht="57.6" thickBot="1" x14ac:dyDescent="0.35">
      <c r="B22" s="64" t="s">
        <v>276</v>
      </c>
      <c r="C22" s="57" t="s">
        <v>259</v>
      </c>
      <c r="D22" s="58" t="s">
        <v>277</v>
      </c>
      <c r="E22" s="59"/>
      <c r="F22" s="60">
        <v>44.94</v>
      </c>
      <c r="G22" s="65"/>
    </row>
    <row r="23" spans="2:7" ht="57.6" thickBot="1" x14ac:dyDescent="0.35">
      <c r="B23" s="64" t="s">
        <v>278</v>
      </c>
      <c r="C23" s="57" t="s">
        <v>259</v>
      </c>
      <c r="D23" s="58" t="s">
        <v>279</v>
      </c>
      <c r="E23" s="59"/>
      <c r="F23" s="60">
        <v>55.39</v>
      </c>
      <c r="G23" s="65"/>
    </row>
    <row r="24" spans="2:7" ht="69" thickBot="1" x14ac:dyDescent="0.35">
      <c r="B24" s="64" t="s">
        <v>280</v>
      </c>
      <c r="C24" s="57" t="s">
        <v>259</v>
      </c>
      <c r="D24" s="58" t="s">
        <v>281</v>
      </c>
      <c r="E24" s="59"/>
      <c r="F24" s="60">
        <v>27.35</v>
      </c>
      <c r="G24" s="65"/>
    </row>
    <row r="25" spans="2:7" ht="69" thickBot="1" x14ac:dyDescent="0.35">
      <c r="B25" s="64" t="s">
        <v>282</v>
      </c>
      <c r="C25" s="57" t="s">
        <v>259</v>
      </c>
      <c r="D25" s="58" t="s">
        <v>283</v>
      </c>
      <c r="E25" s="59"/>
      <c r="F25" s="60">
        <v>33.630000000000003</v>
      </c>
      <c r="G25" s="65"/>
    </row>
    <row r="26" spans="2:7" ht="69" thickBot="1" x14ac:dyDescent="0.35">
      <c r="B26" s="64" t="s">
        <v>284</v>
      </c>
      <c r="C26" s="57" t="s">
        <v>259</v>
      </c>
      <c r="D26" s="58" t="s">
        <v>285</v>
      </c>
      <c r="E26" s="59"/>
      <c r="F26" s="60">
        <v>20.39</v>
      </c>
      <c r="G26" s="65"/>
    </row>
    <row r="27" spans="2:7" ht="69" thickBot="1" x14ac:dyDescent="0.35">
      <c r="B27" s="64" t="s">
        <v>286</v>
      </c>
      <c r="C27" s="57" t="s">
        <v>259</v>
      </c>
      <c r="D27" s="58" t="s">
        <v>287</v>
      </c>
      <c r="E27" s="59"/>
      <c r="F27" s="60">
        <v>25.29</v>
      </c>
      <c r="G27" s="65"/>
    </row>
    <row r="28" spans="2:7" ht="80.400000000000006" thickBot="1" x14ac:dyDescent="0.35">
      <c r="B28" s="64" t="s">
        <v>288</v>
      </c>
      <c r="C28" s="57" t="s">
        <v>259</v>
      </c>
      <c r="D28" s="58" t="s">
        <v>289</v>
      </c>
      <c r="E28" s="59"/>
      <c r="F28" s="60">
        <v>20.86</v>
      </c>
      <c r="G28" s="65"/>
    </row>
    <row r="29" spans="2:7" ht="80.400000000000006" thickBot="1" x14ac:dyDescent="0.35">
      <c r="B29" s="64" t="s">
        <v>290</v>
      </c>
      <c r="C29" s="57" t="s">
        <v>259</v>
      </c>
      <c r="D29" s="58" t="s">
        <v>291</v>
      </c>
      <c r="E29" s="59"/>
      <c r="F29" s="60">
        <v>25.73</v>
      </c>
      <c r="G29" s="65"/>
    </row>
    <row r="30" spans="2:7" ht="80.400000000000006" thickBot="1" x14ac:dyDescent="0.35">
      <c r="B30" s="64" t="s">
        <v>292</v>
      </c>
      <c r="C30" s="57" t="s">
        <v>259</v>
      </c>
      <c r="D30" s="58" t="s">
        <v>293</v>
      </c>
      <c r="E30" s="59"/>
      <c r="F30" s="60">
        <v>19.5</v>
      </c>
      <c r="G30" s="65"/>
    </row>
    <row r="31" spans="2:7" ht="80.400000000000006" thickBot="1" x14ac:dyDescent="0.35">
      <c r="B31" s="64" t="s">
        <v>294</v>
      </c>
      <c r="C31" s="57" t="s">
        <v>259</v>
      </c>
      <c r="D31" s="58" t="s">
        <v>295</v>
      </c>
      <c r="E31" s="59"/>
      <c r="F31" s="60">
        <v>24.14</v>
      </c>
      <c r="G31" s="65"/>
    </row>
    <row r="32" spans="2:7" ht="69" thickBot="1" x14ac:dyDescent="0.35">
      <c r="B32" s="64" t="s">
        <v>296</v>
      </c>
      <c r="C32" s="57" t="s">
        <v>259</v>
      </c>
      <c r="D32" s="58" t="s">
        <v>297</v>
      </c>
      <c r="E32" s="59"/>
      <c r="F32" s="60">
        <v>21.94</v>
      </c>
      <c r="G32" s="65"/>
    </row>
    <row r="33" spans="2:7" ht="69" thickBot="1" x14ac:dyDescent="0.35">
      <c r="B33" s="64" t="s">
        <v>298</v>
      </c>
      <c r="C33" s="57" t="s">
        <v>259</v>
      </c>
      <c r="D33" s="58" t="s">
        <v>299</v>
      </c>
      <c r="E33" s="59"/>
      <c r="F33" s="60">
        <v>26.82</v>
      </c>
      <c r="G33" s="65"/>
    </row>
    <row r="34" spans="2:7" ht="80.400000000000006" thickBot="1" x14ac:dyDescent="0.35">
      <c r="B34" s="64" t="s">
        <v>300</v>
      </c>
      <c r="C34" s="57" t="s">
        <v>259</v>
      </c>
      <c r="D34" s="58" t="s">
        <v>301</v>
      </c>
      <c r="E34" s="59"/>
      <c r="F34" s="60">
        <v>18.23</v>
      </c>
      <c r="G34" s="65"/>
    </row>
    <row r="35" spans="2:7" ht="80.400000000000006" thickBot="1" x14ac:dyDescent="0.35">
      <c r="B35" s="64" t="s">
        <v>302</v>
      </c>
      <c r="C35" s="57" t="s">
        <v>259</v>
      </c>
      <c r="D35" s="58" t="s">
        <v>303</v>
      </c>
      <c r="E35" s="59"/>
      <c r="F35" s="60">
        <v>22.2</v>
      </c>
      <c r="G35" s="65"/>
    </row>
    <row r="36" spans="2:7" ht="80.400000000000006" thickBot="1" x14ac:dyDescent="0.35">
      <c r="B36" s="64" t="s">
        <v>304</v>
      </c>
      <c r="C36" s="57" t="s">
        <v>259</v>
      </c>
      <c r="D36" s="58" t="s">
        <v>305</v>
      </c>
      <c r="E36" s="59"/>
      <c r="F36" s="60">
        <v>17.100000000000001</v>
      </c>
      <c r="G36" s="65"/>
    </row>
    <row r="37" spans="2:7" ht="80.400000000000006" thickBot="1" x14ac:dyDescent="0.35">
      <c r="B37" s="64" t="s">
        <v>306</v>
      </c>
      <c r="C37" s="57" t="s">
        <v>259</v>
      </c>
      <c r="D37" s="58" t="s">
        <v>307</v>
      </c>
      <c r="E37" s="59"/>
      <c r="F37" s="60">
        <v>20.79</v>
      </c>
      <c r="G37" s="65"/>
    </row>
    <row r="38" spans="2:7" ht="57.6" thickBot="1" x14ac:dyDescent="0.35">
      <c r="B38" s="64" t="s">
        <v>308</v>
      </c>
      <c r="C38" s="57" t="s">
        <v>259</v>
      </c>
      <c r="D38" s="58" t="s">
        <v>309</v>
      </c>
      <c r="E38" s="59"/>
      <c r="F38" s="60">
        <v>54.59</v>
      </c>
      <c r="G38" s="65"/>
    </row>
    <row r="39" spans="2:7" ht="57.6" thickBot="1" x14ac:dyDescent="0.35">
      <c r="B39" s="64" t="s">
        <v>310</v>
      </c>
      <c r="C39" s="57" t="s">
        <v>259</v>
      </c>
      <c r="D39" s="58" t="s">
        <v>311</v>
      </c>
      <c r="E39" s="59"/>
      <c r="F39" s="60">
        <v>65.069999999999993</v>
      </c>
      <c r="G39" s="65"/>
    </row>
    <row r="40" spans="2:7" ht="69" thickBot="1" x14ac:dyDescent="0.35">
      <c r="B40" s="64" t="s">
        <v>312</v>
      </c>
      <c r="C40" s="57" t="s">
        <v>259</v>
      </c>
      <c r="D40" s="58" t="s">
        <v>313</v>
      </c>
      <c r="E40" s="59"/>
      <c r="F40" s="60">
        <v>31.82</v>
      </c>
      <c r="G40" s="65"/>
    </row>
    <row r="41" spans="2:7" ht="69" thickBot="1" x14ac:dyDescent="0.35">
      <c r="B41" s="64" t="s">
        <v>314</v>
      </c>
      <c r="C41" s="57" t="s">
        <v>259</v>
      </c>
      <c r="D41" s="58" t="s">
        <v>315</v>
      </c>
      <c r="E41" s="59"/>
      <c r="F41" s="60">
        <v>38.11</v>
      </c>
      <c r="G41" s="65"/>
    </row>
    <row r="42" spans="2:7" ht="80.400000000000006" thickBot="1" x14ac:dyDescent="0.35">
      <c r="B42" s="64" t="s">
        <v>316</v>
      </c>
      <c r="C42" s="57" t="s">
        <v>259</v>
      </c>
      <c r="D42" s="58" t="s">
        <v>317</v>
      </c>
      <c r="E42" s="59"/>
      <c r="F42" s="60">
        <v>24.39</v>
      </c>
      <c r="G42" s="65"/>
    </row>
    <row r="43" spans="2:7" ht="80.400000000000006" thickBot="1" x14ac:dyDescent="0.35">
      <c r="B43" s="64" t="s">
        <v>318</v>
      </c>
      <c r="C43" s="57" t="s">
        <v>259</v>
      </c>
      <c r="D43" s="58" t="s">
        <v>319</v>
      </c>
      <c r="E43" s="59"/>
      <c r="F43" s="60">
        <v>29.26</v>
      </c>
      <c r="G43" s="65"/>
    </row>
    <row r="44" spans="2:7" ht="80.400000000000006" thickBot="1" x14ac:dyDescent="0.35">
      <c r="B44" s="64" t="s">
        <v>320</v>
      </c>
      <c r="C44" s="57" t="s">
        <v>259</v>
      </c>
      <c r="D44" s="58" t="s">
        <v>321</v>
      </c>
      <c r="E44" s="59"/>
      <c r="F44" s="60">
        <v>24.39</v>
      </c>
      <c r="G44" s="65"/>
    </row>
    <row r="45" spans="2:7" ht="80.400000000000006" thickBot="1" x14ac:dyDescent="0.35">
      <c r="B45" s="64" t="s">
        <v>322</v>
      </c>
      <c r="C45" s="57" t="s">
        <v>259</v>
      </c>
      <c r="D45" s="58" t="s">
        <v>323</v>
      </c>
      <c r="E45" s="59"/>
      <c r="F45" s="60">
        <v>29.26</v>
      </c>
      <c r="G45" s="65"/>
    </row>
    <row r="46" spans="2:7" ht="80.400000000000006" thickBot="1" x14ac:dyDescent="0.35">
      <c r="B46" s="64" t="s">
        <v>324</v>
      </c>
      <c r="C46" s="57" t="s">
        <v>259</v>
      </c>
      <c r="D46" s="58" t="s">
        <v>325</v>
      </c>
      <c r="E46" s="59"/>
      <c r="F46" s="60">
        <v>22.06</v>
      </c>
      <c r="G46" s="65"/>
    </row>
    <row r="47" spans="2:7" ht="80.400000000000006" thickBot="1" x14ac:dyDescent="0.35">
      <c r="B47" s="64" t="s">
        <v>326</v>
      </c>
      <c r="C47" s="57" t="s">
        <v>259</v>
      </c>
      <c r="D47" s="58" t="s">
        <v>327</v>
      </c>
      <c r="E47" s="59"/>
      <c r="F47" s="60">
        <v>26.71</v>
      </c>
      <c r="G47" s="65"/>
    </row>
    <row r="48" spans="2:7" ht="69" thickBot="1" x14ac:dyDescent="0.35">
      <c r="B48" s="64" t="s">
        <v>328</v>
      </c>
      <c r="C48" s="57" t="s">
        <v>259</v>
      </c>
      <c r="D48" s="58" t="s">
        <v>329</v>
      </c>
      <c r="E48" s="59"/>
      <c r="F48" s="60">
        <v>24.08</v>
      </c>
      <c r="G48" s="65"/>
    </row>
    <row r="49" spans="2:7" ht="69" thickBot="1" x14ac:dyDescent="0.35">
      <c r="B49" s="64" t="s">
        <v>330</v>
      </c>
      <c r="C49" s="57" t="s">
        <v>259</v>
      </c>
      <c r="D49" s="58" t="s">
        <v>331</v>
      </c>
      <c r="E49" s="59"/>
      <c r="F49" s="60">
        <v>28.91</v>
      </c>
      <c r="G49" s="65"/>
    </row>
    <row r="50" spans="2:7" ht="80.400000000000006" thickBot="1" x14ac:dyDescent="0.35">
      <c r="B50" s="64" t="s">
        <v>332</v>
      </c>
      <c r="C50" s="57" t="s">
        <v>259</v>
      </c>
      <c r="D50" s="58" t="s">
        <v>333</v>
      </c>
      <c r="E50" s="59"/>
      <c r="F50" s="60">
        <v>20.11</v>
      </c>
      <c r="G50" s="65"/>
    </row>
    <row r="51" spans="2:7" ht="80.400000000000006" thickBot="1" x14ac:dyDescent="0.35">
      <c r="B51" s="64" t="s">
        <v>334</v>
      </c>
      <c r="C51" s="57" t="s">
        <v>259</v>
      </c>
      <c r="D51" s="58" t="s">
        <v>335</v>
      </c>
      <c r="E51" s="59"/>
      <c r="F51" s="60">
        <v>24.08</v>
      </c>
      <c r="G51" s="65"/>
    </row>
    <row r="52" spans="2:7" ht="80.400000000000006" thickBot="1" x14ac:dyDescent="0.35">
      <c r="B52" s="64" t="s">
        <v>336</v>
      </c>
      <c r="C52" s="57" t="s">
        <v>259</v>
      </c>
      <c r="D52" s="58" t="s">
        <v>337</v>
      </c>
      <c r="E52" s="59"/>
      <c r="F52" s="60">
        <v>18.27</v>
      </c>
      <c r="G52" s="65"/>
    </row>
    <row r="53" spans="2:7" ht="80.400000000000006" thickBot="1" x14ac:dyDescent="0.35">
      <c r="B53" s="64" t="s">
        <v>338</v>
      </c>
      <c r="C53" s="57" t="s">
        <v>259</v>
      </c>
      <c r="D53" s="58" t="s">
        <v>339</v>
      </c>
      <c r="E53" s="59"/>
      <c r="F53" s="60">
        <v>21.96</v>
      </c>
      <c r="G53" s="65"/>
    </row>
    <row r="54" spans="2:7" ht="91.8" thickBot="1" x14ac:dyDescent="0.35">
      <c r="B54" s="64" t="s">
        <v>340</v>
      </c>
      <c r="C54" s="57" t="s">
        <v>259</v>
      </c>
      <c r="D54" s="58" t="s">
        <v>341</v>
      </c>
      <c r="E54" s="59"/>
      <c r="F54" s="60">
        <v>12.22</v>
      </c>
      <c r="G54" s="65"/>
    </row>
    <row r="55" spans="2:7" ht="80.400000000000006" thickBot="1" x14ac:dyDescent="0.35">
      <c r="B55" s="64" t="s">
        <v>342</v>
      </c>
      <c r="C55" s="57" t="s">
        <v>259</v>
      </c>
      <c r="D55" s="58" t="s">
        <v>343</v>
      </c>
      <c r="E55" s="59"/>
      <c r="F55" s="60">
        <v>14.5</v>
      </c>
      <c r="G55" s="65"/>
    </row>
    <row r="56" spans="2:7" ht="91.8" thickBot="1" x14ac:dyDescent="0.35">
      <c r="B56" s="64" t="s">
        <v>344</v>
      </c>
      <c r="C56" s="57" t="s">
        <v>259</v>
      </c>
      <c r="D56" s="58" t="s">
        <v>345</v>
      </c>
      <c r="E56" s="59"/>
      <c r="F56" s="60">
        <v>14.14</v>
      </c>
      <c r="G56" s="65"/>
    </row>
    <row r="57" spans="2:7" ht="80.400000000000006" thickBot="1" x14ac:dyDescent="0.35">
      <c r="B57" s="64" t="s">
        <v>346</v>
      </c>
      <c r="C57" s="57" t="s">
        <v>259</v>
      </c>
      <c r="D57" s="58" t="s">
        <v>347</v>
      </c>
      <c r="E57" s="59"/>
      <c r="F57" s="60">
        <v>16.66</v>
      </c>
      <c r="G57" s="65"/>
    </row>
    <row r="58" spans="2:7" ht="91.8" thickBot="1" x14ac:dyDescent="0.35">
      <c r="B58" s="64" t="s">
        <v>348</v>
      </c>
      <c r="C58" s="57" t="s">
        <v>259</v>
      </c>
      <c r="D58" s="58" t="s">
        <v>349</v>
      </c>
      <c r="E58" s="59"/>
      <c r="F58" s="60">
        <v>13.4</v>
      </c>
      <c r="G58" s="65"/>
    </row>
    <row r="59" spans="2:7" ht="91.8" thickBot="1" x14ac:dyDescent="0.35">
      <c r="B59" s="64" t="s">
        <v>350</v>
      </c>
      <c r="C59" s="57" t="s">
        <v>259</v>
      </c>
      <c r="D59" s="58" t="s">
        <v>351</v>
      </c>
      <c r="E59" s="59"/>
      <c r="F59" s="60">
        <v>15.8</v>
      </c>
      <c r="G59" s="65"/>
    </row>
    <row r="60" spans="2:7" ht="91.8" thickBot="1" x14ac:dyDescent="0.35">
      <c r="B60" s="64" t="s">
        <v>352</v>
      </c>
      <c r="C60" s="57" t="s">
        <v>259</v>
      </c>
      <c r="D60" s="58" t="s">
        <v>353</v>
      </c>
      <c r="E60" s="59"/>
      <c r="F60" s="60">
        <v>15.4</v>
      </c>
      <c r="G60" s="65"/>
    </row>
    <row r="61" spans="2:7" ht="91.8" thickBot="1" x14ac:dyDescent="0.35">
      <c r="B61" s="64" t="s">
        <v>354</v>
      </c>
      <c r="C61" s="57" t="s">
        <v>259</v>
      </c>
      <c r="D61" s="58" t="s">
        <v>355</v>
      </c>
      <c r="E61" s="59"/>
      <c r="F61" s="60">
        <v>18.07</v>
      </c>
      <c r="G61" s="65"/>
    </row>
    <row r="62" spans="2:7" ht="91.8" thickBot="1" x14ac:dyDescent="0.35">
      <c r="B62" s="64" t="s">
        <v>356</v>
      </c>
      <c r="C62" s="57" t="s">
        <v>259</v>
      </c>
      <c r="D62" s="58" t="s">
        <v>357</v>
      </c>
      <c r="E62" s="59"/>
      <c r="F62" s="60">
        <v>6.47</v>
      </c>
      <c r="G62" s="65"/>
    </row>
    <row r="63" spans="2:7" ht="80.400000000000006" thickBot="1" x14ac:dyDescent="0.35">
      <c r="B63" s="64" t="s">
        <v>358</v>
      </c>
      <c r="C63" s="57" t="s">
        <v>259</v>
      </c>
      <c r="D63" s="58" t="s">
        <v>359</v>
      </c>
      <c r="E63" s="59"/>
      <c r="F63" s="60">
        <v>7.58</v>
      </c>
      <c r="G63" s="65"/>
    </row>
    <row r="64" spans="2:7" ht="91.8" thickBot="1" x14ac:dyDescent="0.35">
      <c r="B64" s="64" t="s">
        <v>360</v>
      </c>
      <c r="C64" s="57" t="s">
        <v>259</v>
      </c>
      <c r="D64" s="58" t="s">
        <v>361</v>
      </c>
      <c r="E64" s="59"/>
      <c r="F64" s="60">
        <v>7.55</v>
      </c>
      <c r="G64" s="65"/>
    </row>
    <row r="65" spans="2:7" ht="80.400000000000006" thickBot="1" x14ac:dyDescent="0.35">
      <c r="B65" s="64" t="s">
        <v>362</v>
      </c>
      <c r="C65" s="57" t="s">
        <v>259</v>
      </c>
      <c r="D65" s="58" t="s">
        <v>363</v>
      </c>
      <c r="E65" s="59"/>
      <c r="F65" s="60">
        <v>8.83</v>
      </c>
      <c r="G65" s="65"/>
    </row>
    <row r="66" spans="2:7" ht="103.2" thickBot="1" x14ac:dyDescent="0.35">
      <c r="B66" s="64" t="s">
        <v>364</v>
      </c>
      <c r="C66" s="57" t="s">
        <v>259</v>
      </c>
      <c r="D66" s="58" t="s">
        <v>365</v>
      </c>
      <c r="E66" s="59"/>
      <c r="F66" s="60">
        <v>6.92</v>
      </c>
      <c r="G66" s="65"/>
    </row>
    <row r="67" spans="2:7" ht="91.8" thickBot="1" x14ac:dyDescent="0.35">
      <c r="B67" s="64" t="s">
        <v>366</v>
      </c>
      <c r="C67" s="57" t="s">
        <v>259</v>
      </c>
      <c r="D67" s="58" t="s">
        <v>367</v>
      </c>
      <c r="E67" s="59"/>
      <c r="F67" s="60">
        <v>8.2200000000000006</v>
      </c>
      <c r="G67" s="65"/>
    </row>
    <row r="68" spans="2:7" ht="103.2" thickBot="1" x14ac:dyDescent="0.35">
      <c r="B68" s="64" t="s">
        <v>368</v>
      </c>
      <c r="C68" s="57" t="s">
        <v>259</v>
      </c>
      <c r="D68" s="58" t="s">
        <v>369</v>
      </c>
      <c r="E68" s="59"/>
      <c r="F68" s="60">
        <v>8.25</v>
      </c>
      <c r="G68" s="65"/>
    </row>
    <row r="69" spans="2:7" ht="91.8" thickBot="1" x14ac:dyDescent="0.35">
      <c r="B69" s="64" t="s">
        <v>370</v>
      </c>
      <c r="C69" s="57" t="s">
        <v>259</v>
      </c>
      <c r="D69" s="58" t="s">
        <v>371</v>
      </c>
      <c r="E69" s="59"/>
      <c r="F69" s="60">
        <v>9.68</v>
      </c>
      <c r="G69" s="65"/>
    </row>
    <row r="70" spans="2:7" ht="91.8" thickBot="1" x14ac:dyDescent="0.35">
      <c r="B70" s="64" t="s">
        <v>372</v>
      </c>
      <c r="C70" s="57" t="s">
        <v>259</v>
      </c>
      <c r="D70" s="58" t="s">
        <v>373</v>
      </c>
      <c r="E70" s="59"/>
      <c r="F70" s="60">
        <v>3.55</v>
      </c>
      <c r="G70" s="65"/>
    </row>
    <row r="71" spans="2:7" ht="80.400000000000006" thickBot="1" x14ac:dyDescent="0.35">
      <c r="B71" s="64" t="s">
        <v>374</v>
      </c>
      <c r="C71" s="57" t="s">
        <v>259</v>
      </c>
      <c r="D71" s="58" t="s">
        <v>375</v>
      </c>
      <c r="E71" s="59"/>
      <c r="F71" s="60">
        <v>4.1100000000000003</v>
      </c>
      <c r="G71" s="65"/>
    </row>
    <row r="72" spans="2:7" ht="91.8" thickBot="1" x14ac:dyDescent="0.35">
      <c r="B72" s="64" t="s">
        <v>376</v>
      </c>
      <c r="C72" s="57" t="s">
        <v>259</v>
      </c>
      <c r="D72" s="58" t="s">
        <v>377</v>
      </c>
      <c r="E72" s="59"/>
      <c r="F72" s="60">
        <v>4.1900000000000004</v>
      </c>
      <c r="G72" s="65"/>
    </row>
    <row r="73" spans="2:7" ht="80.400000000000006" thickBot="1" x14ac:dyDescent="0.35">
      <c r="B73" s="64" t="s">
        <v>378</v>
      </c>
      <c r="C73" s="57" t="s">
        <v>259</v>
      </c>
      <c r="D73" s="58" t="s">
        <v>379</v>
      </c>
      <c r="E73" s="59"/>
      <c r="F73" s="60">
        <v>5.05</v>
      </c>
      <c r="G73" s="65"/>
    </row>
    <row r="74" spans="2:7" ht="103.2" thickBot="1" x14ac:dyDescent="0.35">
      <c r="B74" s="64" t="s">
        <v>380</v>
      </c>
      <c r="C74" s="57" t="s">
        <v>259</v>
      </c>
      <c r="D74" s="58" t="s">
        <v>381</v>
      </c>
      <c r="E74" s="59"/>
      <c r="F74" s="60">
        <v>3.9</v>
      </c>
      <c r="G74" s="65"/>
    </row>
    <row r="75" spans="2:7" ht="91.8" thickBot="1" x14ac:dyDescent="0.35">
      <c r="B75" s="64" t="s">
        <v>382</v>
      </c>
      <c r="C75" s="57" t="s">
        <v>259</v>
      </c>
      <c r="D75" s="58" t="s">
        <v>383</v>
      </c>
      <c r="E75" s="59"/>
      <c r="F75" s="60">
        <v>4.55</v>
      </c>
      <c r="G75" s="65"/>
    </row>
    <row r="76" spans="2:7" ht="103.2" thickBot="1" x14ac:dyDescent="0.35">
      <c r="B76" s="64" t="s">
        <v>384</v>
      </c>
      <c r="C76" s="57" t="s">
        <v>259</v>
      </c>
      <c r="D76" s="58" t="s">
        <v>385</v>
      </c>
      <c r="E76" s="59"/>
      <c r="F76" s="60">
        <v>4.6100000000000003</v>
      </c>
      <c r="G76" s="65"/>
    </row>
    <row r="77" spans="2:7" ht="91.8" thickBot="1" x14ac:dyDescent="0.35">
      <c r="B77" s="64" t="s">
        <v>386</v>
      </c>
      <c r="C77" s="57" t="s">
        <v>259</v>
      </c>
      <c r="D77" s="58" t="s">
        <v>387</v>
      </c>
      <c r="E77" s="59"/>
      <c r="F77" s="60">
        <v>5.46</v>
      </c>
      <c r="G77" s="65"/>
    </row>
    <row r="78" spans="2:7" ht="57.6" thickBot="1" x14ac:dyDescent="0.35">
      <c r="B78" s="64" t="s">
        <v>388</v>
      </c>
      <c r="C78" s="57" t="s">
        <v>266</v>
      </c>
      <c r="D78" s="58" t="s">
        <v>389</v>
      </c>
      <c r="E78" s="59"/>
      <c r="F78" s="60">
        <v>19.04</v>
      </c>
      <c r="G78" s="65"/>
    </row>
    <row r="79" spans="2:7" ht="57.6" thickBot="1" x14ac:dyDescent="0.35">
      <c r="B79" s="64" t="s">
        <v>390</v>
      </c>
      <c r="C79" s="57" t="s">
        <v>266</v>
      </c>
      <c r="D79" s="58" t="s">
        <v>391</v>
      </c>
      <c r="E79" s="59"/>
      <c r="F79" s="60">
        <v>21.7</v>
      </c>
      <c r="G79" s="65"/>
    </row>
    <row r="80" spans="2:7" ht="80.400000000000006" thickBot="1" x14ac:dyDescent="0.35">
      <c r="B80" s="64" t="s">
        <v>392</v>
      </c>
      <c r="C80" s="57" t="s">
        <v>259</v>
      </c>
      <c r="D80" s="58" t="s">
        <v>393</v>
      </c>
      <c r="E80" s="59"/>
      <c r="F80" s="60">
        <v>5.72</v>
      </c>
      <c r="G80" s="65"/>
    </row>
    <row r="81" spans="2:7" ht="80.400000000000006" thickBot="1" x14ac:dyDescent="0.35">
      <c r="B81" s="64" t="s">
        <v>394</v>
      </c>
      <c r="C81" s="57" t="s">
        <v>266</v>
      </c>
      <c r="D81" s="58" t="s">
        <v>393</v>
      </c>
      <c r="E81" s="59"/>
      <c r="F81" s="60">
        <v>9.5500000000000007</v>
      </c>
      <c r="G81" s="65"/>
    </row>
    <row r="82" spans="2:7" ht="91.8" thickBot="1" x14ac:dyDescent="0.35">
      <c r="B82" s="64" t="s">
        <v>395</v>
      </c>
      <c r="C82" s="57" t="s">
        <v>259</v>
      </c>
      <c r="D82" s="58" t="s">
        <v>396</v>
      </c>
      <c r="E82" s="59"/>
      <c r="F82" s="60">
        <v>8.31</v>
      </c>
      <c r="G82" s="65"/>
    </row>
    <row r="83" spans="2:7" ht="91.8" thickBot="1" x14ac:dyDescent="0.35">
      <c r="B83" s="64" t="s">
        <v>397</v>
      </c>
      <c r="C83" s="57" t="s">
        <v>266</v>
      </c>
      <c r="D83" s="58" t="s">
        <v>396</v>
      </c>
      <c r="E83" s="59"/>
      <c r="F83" s="60">
        <v>13.85</v>
      </c>
      <c r="G83" s="65"/>
    </row>
    <row r="84" spans="2:7" ht="69" thickBot="1" x14ac:dyDescent="0.35">
      <c r="B84" s="64" t="s">
        <v>398</v>
      </c>
      <c r="C84" s="57" t="s">
        <v>259</v>
      </c>
      <c r="D84" s="58" t="s">
        <v>399</v>
      </c>
      <c r="E84" s="59"/>
      <c r="F84" s="60">
        <v>53.01</v>
      </c>
      <c r="G84" s="65"/>
    </row>
    <row r="85" spans="2:7" ht="80.400000000000006" thickBot="1" x14ac:dyDescent="0.35">
      <c r="B85" s="64" t="s">
        <v>400</v>
      </c>
      <c r="C85" s="57" t="s">
        <v>259</v>
      </c>
      <c r="D85" s="58" t="s">
        <v>401</v>
      </c>
      <c r="E85" s="59"/>
      <c r="F85" s="60">
        <v>33.869999999999997</v>
      </c>
      <c r="G85" s="65"/>
    </row>
    <row r="86" spans="2:7" ht="80.400000000000006" thickBot="1" x14ac:dyDescent="0.35">
      <c r="B86" s="64" t="s">
        <v>402</v>
      </c>
      <c r="C86" s="57" t="s">
        <v>259</v>
      </c>
      <c r="D86" s="58" t="s">
        <v>403</v>
      </c>
      <c r="E86" s="59"/>
      <c r="F86" s="60">
        <v>16.899999999999999</v>
      </c>
      <c r="G86" s="65"/>
    </row>
    <row r="87" spans="2:7" ht="80.400000000000006" thickBot="1" x14ac:dyDescent="0.35">
      <c r="B87" s="64" t="s">
        <v>404</v>
      </c>
      <c r="C87" s="57" t="s">
        <v>266</v>
      </c>
      <c r="D87" s="58" t="s">
        <v>405</v>
      </c>
      <c r="E87" s="59"/>
      <c r="F87" s="60">
        <v>20.76</v>
      </c>
      <c r="G87" s="65"/>
    </row>
    <row r="88" spans="2:7" ht="69" thickBot="1" x14ac:dyDescent="0.35">
      <c r="B88" s="64" t="s">
        <v>406</v>
      </c>
      <c r="C88" s="57" t="s">
        <v>259</v>
      </c>
      <c r="D88" s="58" t="s">
        <v>407</v>
      </c>
      <c r="E88" s="59"/>
      <c r="F88" s="60">
        <v>59.79</v>
      </c>
      <c r="G88" s="65"/>
    </row>
    <row r="89" spans="2:7" ht="91.8" thickBot="1" x14ac:dyDescent="0.35">
      <c r="B89" s="64" t="s">
        <v>408</v>
      </c>
      <c r="C89" s="57" t="s">
        <v>259</v>
      </c>
      <c r="D89" s="58" t="s">
        <v>409</v>
      </c>
      <c r="E89" s="59"/>
      <c r="F89" s="60">
        <v>37.24</v>
      </c>
      <c r="G89" s="65"/>
    </row>
    <row r="90" spans="2:7" ht="91.8" thickBot="1" x14ac:dyDescent="0.35">
      <c r="B90" s="64" t="s">
        <v>410</v>
      </c>
      <c r="C90" s="57" t="s">
        <v>259</v>
      </c>
      <c r="D90" s="58" t="s">
        <v>411</v>
      </c>
      <c r="E90" s="59"/>
      <c r="F90" s="60">
        <v>19.48</v>
      </c>
      <c r="G90" s="65"/>
    </row>
    <row r="91" spans="2:7" ht="80.400000000000006" thickBot="1" x14ac:dyDescent="0.35">
      <c r="B91" s="64" t="s">
        <v>412</v>
      </c>
      <c r="C91" s="57" t="s">
        <v>266</v>
      </c>
      <c r="D91" s="58" t="s">
        <v>413</v>
      </c>
      <c r="E91" s="59"/>
      <c r="F91" s="60">
        <v>23.7</v>
      </c>
      <c r="G91" s="65"/>
    </row>
    <row r="92" spans="2:7" ht="80.400000000000006" thickBot="1" x14ac:dyDescent="0.35">
      <c r="B92" s="64" t="s">
        <v>414</v>
      </c>
      <c r="C92" s="57" t="s">
        <v>259</v>
      </c>
      <c r="D92" s="58" t="s">
        <v>415</v>
      </c>
      <c r="E92" s="59"/>
      <c r="F92" s="60">
        <v>22.27</v>
      </c>
      <c r="G92" s="65"/>
    </row>
    <row r="93" spans="2:7" ht="91.8" thickBot="1" x14ac:dyDescent="0.35">
      <c r="B93" s="64" t="s">
        <v>416</v>
      </c>
      <c r="C93" s="57" t="s">
        <v>259</v>
      </c>
      <c r="D93" s="58" t="s">
        <v>417</v>
      </c>
      <c r="E93" s="59"/>
      <c r="F93" s="60">
        <v>30.97</v>
      </c>
      <c r="G93" s="65"/>
    </row>
    <row r="94" spans="2:7" ht="80.400000000000006" thickBot="1" x14ac:dyDescent="0.35">
      <c r="B94" s="64" t="s">
        <v>418</v>
      </c>
      <c r="C94" s="57" t="s">
        <v>259</v>
      </c>
      <c r="D94" s="58" t="s">
        <v>419</v>
      </c>
      <c r="E94" s="59"/>
      <c r="F94" s="60">
        <v>27.65</v>
      </c>
      <c r="G94" s="65"/>
    </row>
    <row r="95" spans="2:7" ht="91.8" thickBot="1" x14ac:dyDescent="0.35">
      <c r="B95" s="64" t="s">
        <v>420</v>
      </c>
      <c r="C95" s="57" t="s">
        <v>259</v>
      </c>
      <c r="D95" s="58" t="s">
        <v>421</v>
      </c>
      <c r="E95" s="59"/>
      <c r="F95" s="60">
        <v>38.46</v>
      </c>
      <c r="G95" s="65"/>
    </row>
    <row r="96" spans="2:7" ht="69" thickBot="1" x14ac:dyDescent="0.35">
      <c r="B96" s="64" t="s">
        <v>422</v>
      </c>
      <c r="C96" s="57" t="s">
        <v>266</v>
      </c>
      <c r="D96" s="58" t="s">
        <v>423</v>
      </c>
      <c r="E96" s="59"/>
      <c r="F96" s="60">
        <v>41.67</v>
      </c>
      <c r="G96" s="65"/>
    </row>
    <row r="97" spans="2:7" ht="69" thickBot="1" x14ac:dyDescent="0.35">
      <c r="B97" s="64" t="s">
        <v>424</v>
      </c>
      <c r="C97" s="57" t="s">
        <v>266</v>
      </c>
      <c r="D97" s="58" t="s">
        <v>425</v>
      </c>
      <c r="E97" s="59"/>
      <c r="F97" s="60">
        <v>36.119999999999997</v>
      </c>
      <c r="G97" s="65"/>
    </row>
    <row r="98" spans="2:7" ht="57.6" thickBot="1" x14ac:dyDescent="0.35">
      <c r="B98" s="64" t="s">
        <v>426</v>
      </c>
      <c r="C98" s="57" t="s">
        <v>266</v>
      </c>
      <c r="D98" s="58" t="s">
        <v>427</v>
      </c>
      <c r="E98" s="59"/>
      <c r="F98" s="60">
        <v>30.25</v>
      </c>
      <c r="G98" s="65"/>
    </row>
    <row r="99" spans="2:7" ht="46.2" thickBot="1" x14ac:dyDescent="0.35">
      <c r="B99" s="64" t="s">
        <v>428</v>
      </c>
      <c r="C99" s="57" t="s">
        <v>259</v>
      </c>
      <c r="D99" s="58" t="s">
        <v>429</v>
      </c>
      <c r="E99" s="59"/>
      <c r="F99" s="60">
        <v>2.0099999999999998</v>
      </c>
      <c r="G99" s="65"/>
    </row>
    <row r="100" spans="2:7" ht="57.6" thickBot="1" x14ac:dyDescent="0.35">
      <c r="B100" s="64" t="s">
        <v>430</v>
      </c>
      <c r="C100" s="57" t="s">
        <v>259</v>
      </c>
      <c r="D100" s="58" t="s">
        <v>431</v>
      </c>
      <c r="E100" s="59"/>
      <c r="F100" s="60">
        <v>1.7</v>
      </c>
      <c r="G100" s="65"/>
    </row>
    <row r="101" spans="2:7" ht="57.6" thickBot="1" x14ac:dyDescent="0.35">
      <c r="B101" s="64" t="s">
        <v>432</v>
      </c>
      <c r="C101" s="57" t="s">
        <v>259</v>
      </c>
      <c r="D101" s="58" t="s">
        <v>433</v>
      </c>
      <c r="E101" s="59"/>
      <c r="F101" s="60">
        <v>3.85</v>
      </c>
      <c r="G101" s="65"/>
    </row>
    <row r="102" spans="2:7" ht="57.6" thickBot="1" x14ac:dyDescent="0.35">
      <c r="B102" s="64" t="s">
        <v>434</v>
      </c>
      <c r="C102" s="57" t="s">
        <v>266</v>
      </c>
      <c r="D102" s="58" t="s">
        <v>433</v>
      </c>
      <c r="E102" s="59"/>
      <c r="F102" s="60">
        <v>6.56</v>
      </c>
      <c r="G102" s="65"/>
    </row>
    <row r="103" spans="2:7" ht="69" thickBot="1" x14ac:dyDescent="0.35">
      <c r="B103" s="64" t="s">
        <v>435</v>
      </c>
      <c r="C103" s="57" t="s">
        <v>259</v>
      </c>
      <c r="D103" s="58" t="s">
        <v>436</v>
      </c>
      <c r="E103" s="59"/>
      <c r="F103" s="60">
        <v>4.75</v>
      </c>
      <c r="G103" s="65"/>
    </row>
    <row r="104" spans="2:7" ht="57.6" thickBot="1" x14ac:dyDescent="0.35">
      <c r="B104" s="64" t="s">
        <v>437</v>
      </c>
      <c r="C104" s="57" t="s">
        <v>266</v>
      </c>
      <c r="D104" s="58" t="s">
        <v>438</v>
      </c>
      <c r="E104" s="59"/>
      <c r="F104" s="60">
        <v>7.95</v>
      </c>
      <c r="G104" s="65"/>
    </row>
    <row r="105" spans="2:7" ht="46.2" thickBot="1" x14ac:dyDescent="0.35">
      <c r="B105" s="66" t="s">
        <v>439</v>
      </c>
      <c r="C105" s="67" t="s">
        <v>259</v>
      </c>
      <c r="D105" s="68" t="s">
        <v>440</v>
      </c>
      <c r="E105" s="69"/>
      <c r="F105" s="70">
        <v>1.48</v>
      </c>
      <c r="G105" s="71"/>
    </row>
  </sheetData>
  <mergeCells count="3">
    <mergeCell ref="C2:C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Individual</vt:lpstr>
      <vt:lpstr>Promedio_parcelas</vt:lpstr>
      <vt:lpstr>Tablas resumen</vt:lpstr>
      <vt:lpstr>Tabla producción</vt:lpstr>
      <vt:lpstr>Precios</vt:lpstr>
      <vt:lpstr>VAN</vt:lpstr>
      <vt:lpstr>Tragsa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MATEU FERNANDEZ</dc:creator>
  <cp:keywords/>
  <dc:description/>
  <cp:lastModifiedBy>RICARDO MATEU FERNANDEZ</cp:lastModifiedBy>
  <cp:revision/>
  <dcterms:created xsi:type="dcterms:W3CDTF">2025-03-06T16:01:17Z</dcterms:created>
  <dcterms:modified xsi:type="dcterms:W3CDTF">2025-09-09T16:54:49Z</dcterms:modified>
  <cp:category/>
  <cp:contentStatus/>
</cp:coreProperties>
</file>