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D:\Learning\Maven Analytics\maven_toys\"/>
    </mc:Choice>
  </mc:AlternateContent>
  <xr:revisionPtr revIDLastSave="0" documentId="13_ncr:1_{3E45C0F8-8CB8-45D5-8EF8-640C8C8D0360}" xr6:coauthVersionLast="47" xr6:coauthVersionMax="47" xr10:uidLastSave="{00000000-0000-0000-0000-000000000000}"/>
  <bookViews>
    <workbookView xWindow="-108" yWindow="-108" windowWidth="23256" windowHeight="12456" activeTab="2" xr2:uid="{EA944FB1-DE3F-40F9-BBAA-0980B1568DEE}"/>
  </bookViews>
  <sheets>
    <sheet name="Data" sheetId="16" r:id="rId1"/>
    <sheet name="Data Prep" sheetId="22" state="hidden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Data!$A$1:$J$4535</definedName>
    <definedName name="CurrentMonth">'Data Prep'!$B$13</definedName>
    <definedName name="CurrentYear">'Data Prep'!$B$12</definedName>
    <definedName name="PMYear">'Data Prep'!$B$16</definedName>
    <definedName name="PrevMonth">'Data Prep'!$B$15</definedName>
    <definedName name="PrevYear">'Data Prep'!$B$14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12" i="22"/>
  <c r="L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13" i="22" l="1"/>
  <c r="B14" i="22"/>
  <c r="K2" i="22" s="1"/>
  <c r="K3" i="22" s="1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AF9" i="22" l="1"/>
  <c r="B18" i="22"/>
  <c r="E6" i="23" s="1"/>
  <c r="AF26" i="22"/>
  <c r="AF19" i="22"/>
  <c r="AF21" i="22"/>
  <c r="AF7" i="22"/>
  <c r="AF8" i="22"/>
  <c r="AF35" i="22"/>
  <c r="AF12" i="22"/>
  <c r="AF6" i="22"/>
  <c r="AF23" i="22"/>
  <c r="AF24" i="22"/>
  <c r="AF20" i="22"/>
  <c r="AF30" i="22"/>
  <c r="AF33" i="22"/>
  <c r="AF31" i="22"/>
  <c r="AF32" i="22"/>
  <c r="AF25" i="22"/>
  <c r="AF28" i="22"/>
  <c r="K5" i="22"/>
  <c r="AF5" i="22"/>
  <c r="AF36" i="22"/>
  <c r="AF17" i="22"/>
  <c r="AF10" i="22"/>
  <c r="AF13" i="22"/>
  <c r="M4" i="22"/>
  <c r="M12" i="22"/>
  <c r="M5" i="22"/>
  <c r="M6" i="22"/>
  <c r="M14" i="22"/>
  <c r="M7" i="22"/>
  <c r="M3" i="22"/>
  <c r="M8" i="22"/>
  <c r="M11" i="22"/>
  <c r="M13" i="22"/>
  <c r="AF34" i="22"/>
  <c r="AF27" i="22"/>
  <c r="AF22" i="22"/>
  <c r="AF4" i="22"/>
  <c r="AF3" i="22"/>
  <c r="AF14" i="22"/>
  <c r="AF15" i="22"/>
  <c r="AF16" i="22"/>
  <c r="AF18" i="22"/>
  <c r="AF11" i="22"/>
  <c r="AF29" i="22"/>
  <c r="P7" i="22"/>
  <c r="L8" i="22"/>
  <c r="P5" i="22"/>
  <c r="L9" i="22"/>
  <c r="M9" i="22" s="1"/>
  <c r="P3" i="22"/>
  <c r="P8" i="22"/>
  <c r="L10" i="22"/>
  <c r="M10" i="22" s="1"/>
  <c r="P9" i="22"/>
  <c r="P4" i="22"/>
  <c r="L11" i="22"/>
  <c r="P6" i="22"/>
  <c r="L4" i="22"/>
  <c r="L12" i="22"/>
  <c r="P11" i="22"/>
  <c r="L5" i="22"/>
  <c r="L13" i="22"/>
  <c r="P12" i="22"/>
  <c r="L6" i="22"/>
  <c r="L14" i="22"/>
  <c r="P10" i="22"/>
  <c r="L7" i="22"/>
  <c r="L3" i="22"/>
  <c r="K8" i="22"/>
  <c r="K10" i="22"/>
  <c r="K11" i="22"/>
  <c r="K4" i="22"/>
  <c r="K12" i="22"/>
  <c r="K13" i="22"/>
  <c r="K6" i="22"/>
  <c r="K14" i="22"/>
  <c r="K7" i="22"/>
  <c r="K9" i="22"/>
  <c r="B15" i="22"/>
  <c r="B16" i="22"/>
  <c r="F2" i="22"/>
  <c r="F3" i="22"/>
  <c r="AG4" i="22" l="1"/>
  <c r="AG34" i="22"/>
  <c r="AH34" i="22" s="1"/>
  <c r="AG33" i="22"/>
  <c r="AH33" i="22" s="1"/>
  <c r="AG16" i="22"/>
  <c r="AH16" i="22" s="1"/>
  <c r="AG31" i="22"/>
  <c r="AH31" i="22" s="1"/>
  <c r="AG22" i="22"/>
  <c r="AH22" i="22" s="1"/>
  <c r="AG26" i="22"/>
  <c r="AH26" i="22" s="1"/>
  <c r="AG25" i="22"/>
  <c r="AH25" i="22" s="1"/>
  <c r="AG8" i="22"/>
  <c r="AH8" i="22" s="1"/>
  <c r="AG15" i="22"/>
  <c r="AH15" i="22" s="1"/>
  <c r="AG14" i="22"/>
  <c r="AH14" i="22" s="1"/>
  <c r="AG3" i="22"/>
  <c r="AH3" i="22" s="1"/>
  <c r="AG18" i="22"/>
  <c r="AH18" i="22" s="1"/>
  <c r="AG17" i="22"/>
  <c r="AH17" i="22" s="1"/>
  <c r="AG6" i="22"/>
  <c r="AH6" i="22" s="1"/>
  <c r="AG29" i="22"/>
  <c r="AH29" i="22" s="1"/>
  <c r="AG36" i="22"/>
  <c r="AH36" i="22" s="1"/>
  <c r="AG10" i="22"/>
  <c r="AH10" i="22" s="1"/>
  <c r="AG9" i="22"/>
  <c r="AH9" i="22" s="1"/>
  <c r="AG19" i="22"/>
  <c r="AH19" i="22" s="1"/>
  <c r="AG23" i="22"/>
  <c r="AH23" i="22" s="1"/>
  <c r="AG21" i="22"/>
  <c r="AH21" i="22" s="1"/>
  <c r="AG28" i="22"/>
  <c r="AH28" i="22" s="1"/>
  <c r="AG35" i="22"/>
  <c r="AH35" i="22" s="1"/>
  <c r="AG7" i="22"/>
  <c r="AH7" i="22" s="1"/>
  <c r="AG13" i="22"/>
  <c r="AH13" i="22" s="1"/>
  <c r="AG20" i="22"/>
  <c r="AH20" i="22" s="1"/>
  <c r="AG27" i="22"/>
  <c r="AH27" i="22" s="1"/>
  <c r="AG11" i="22"/>
  <c r="AH11" i="22" s="1"/>
  <c r="AG5" i="22"/>
  <c r="AH5" i="22" s="1"/>
  <c r="AG12" i="22"/>
  <c r="AH12" i="22" s="1"/>
  <c r="AG32" i="22"/>
  <c r="AH32" i="22" s="1"/>
  <c r="AG30" i="22"/>
  <c r="AH30" i="22" s="1"/>
  <c r="AG24" i="22"/>
  <c r="AH24" i="22" s="1"/>
  <c r="AH4" i="22"/>
  <c r="S11" i="22"/>
  <c r="S9" i="22"/>
  <c r="S8" i="22"/>
  <c r="S3" i="22"/>
  <c r="X3" i="22" s="1"/>
  <c r="S10" i="22"/>
  <c r="S6" i="22"/>
  <c r="S5" i="22"/>
  <c r="S12" i="22"/>
  <c r="S4" i="22"/>
  <c r="S7" i="22"/>
  <c r="F4" i="22"/>
  <c r="F6" i="22" s="1"/>
  <c r="B15" i="23" s="1"/>
  <c r="Q3" i="22"/>
  <c r="R3" i="22" s="1"/>
  <c r="Q8" i="22"/>
  <c r="R8" i="22" s="1"/>
  <c r="Q9" i="22"/>
  <c r="R9" i="22" s="1"/>
  <c r="Q4" i="22"/>
  <c r="R4" i="22" s="1"/>
  <c r="Q6" i="22"/>
  <c r="R6" i="22" s="1"/>
  <c r="Q11" i="22"/>
  <c r="R11" i="22" s="1"/>
  <c r="Q12" i="22"/>
  <c r="R12" i="22" s="1"/>
  <c r="Q10" i="22"/>
  <c r="R10" i="22" s="1"/>
  <c r="Q7" i="22"/>
  <c r="R7" i="22" s="1"/>
  <c r="Q5" i="22"/>
  <c r="R5" i="22" s="1"/>
  <c r="F5" i="22"/>
  <c r="C15" i="23" s="1"/>
  <c r="AI24" i="22" l="1"/>
  <c r="AJ13" i="22"/>
  <c r="AI15" i="22"/>
  <c r="AJ26" i="22"/>
  <c r="AI30" i="22"/>
  <c r="AJ30" i="22"/>
  <c r="AI36" i="22"/>
  <c r="AJ36" i="22"/>
  <c r="AI18" i="22"/>
  <c r="AJ29" i="22"/>
  <c r="AI29" i="22"/>
  <c r="AI25" i="22"/>
  <c r="AJ25" i="22"/>
  <c r="AI34" i="22"/>
  <c r="AI16" i="22"/>
  <c r="AJ4" i="22"/>
  <c r="AI6" i="22"/>
  <c r="AJ10" i="22"/>
  <c r="AJ9" i="22"/>
  <c r="AI3" i="22"/>
  <c r="AJ14" i="22"/>
  <c r="AI19" i="22"/>
  <c r="AI20" i="22"/>
  <c r="AI9" i="22"/>
  <c r="AJ32" i="22"/>
  <c r="AJ8" i="22"/>
  <c r="AJ34" i="22"/>
  <c r="AI23" i="22"/>
  <c r="AJ6" i="22"/>
  <c r="AJ21" i="22"/>
  <c r="AI26" i="22"/>
  <c r="AJ11" i="22"/>
  <c r="AI17" i="22"/>
  <c r="AJ20" i="22"/>
  <c r="AI32" i="22"/>
  <c r="AI10" i="22"/>
  <c r="AJ17" i="22"/>
  <c r="AJ15" i="22"/>
  <c r="AI8" i="22"/>
  <c r="AJ35" i="22"/>
  <c r="AI33" i="22"/>
  <c r="AI14" i="22"/>
  <c r="AJ28" i="22"/>
  <c r="AJ33" i="22"/>
  <c r="AJ23" i="22"/>
  <c r="AI35" i="22"/>
  <c r="AJ5" i="22"/>
  <c r="AJ22" i="22"/>
  <c r="AI22" i="22"/>
  <c r="AI11" i="22"/>
  <c r="AJ31" i="22"/>
  <c r="AI31" i="22"/>
  <c r="AI27" i="22"/>
  <c r="AJ27" i="22"/>
  <c r="AJ19" i="22"/>
  <c r="AI28" i="22"/>
  <c r="AJ18" i="22"/>
  <c r="AJ24" i="22"/>
  <c r="AI5" i="22"/>
  <c r="AI21" i="22"/>
  <c r="AJ3" i="22"/>
  <c r="AI12" i="22"/>
  <c r="AI13" i="22"/>
  <c r="AJ12" i="22"/>
  <c r="AJ7" i="22"/>
  <c r="AI7" i="22"/>
  <c r="AI4" i="22"/>
  <c r="AJ16" i="22"/>
  <c r="Y3" i="22"/>
  <c r="X6" i="22"/>
  <c r="Z8" i="22"/>
  <c r="Y11" i="22"/>
  <c r="V7" i="22"/>
  <c r="W7" i="22" s="1"/>
  <c r="Z3" i="22"/>
  <c r="Y6" i="22"/>
  <c r="X9" i="22"/>
  <c r="Z11" i="22"/>
  <c r="V8" i="22"/>
  <c r="W8" i="22" s="1"/>
  <c r="X4" i="22"/>
  <c r="Z6" i="22"/>
  <c r="Y9" i="22"/>
  <c r="X12" i="22"/>
  <c r="V9" i="22"/>
  <c r="W9" i="22" s="1"/>
  <c r="Y4" i="22"/>
  <c r="X7" i="22"/>
  <c r="Z9" i="22"/>
  <c r="Y12" i="22"/>
  <c r="V10" i="22"/>
  <c r="W10" i="22" s="1"/>
  <c r="Z4" i="22"/>
  <c r="Y7" i="22"/>
  <c r="X10" i="22"/>
  <c r="Z12" i="22"/>
  <c r="V11" i="22"/>
  <c r="W11" i="22" s="1"/>
  <c r="X5" i="22"/>
  <c r="Z7" i="22"/>
  <c r="Y10" i="22"/>
  <c r="V4" i="22"/>
  <c r="W4" i="22" s="1"/>
  <c r="V12" i="22"/>
  <c r="W12" i="22" s="1"/>
  <c r="Y5" i="22"/>
  <c r="X8" i="22"/>
  <c r="Z10" i="22"/>
  <c r="V5" i="22"/>
  <c r="W5" i="22" s="1"/>
  <c r="V3" i="22"/>
  <c r="W3" i="22" s="1"/>
  <c r="Z5" i="22"/>
  <c r="Y8" i="22"/>
  <c r="X11" i="22"/>
  <c r="V6" i="22"/>
  <c r="W6" i="22" s="1"/>
  <c r="AA4" i="22" l="1"/>
  <c r="AB4" i="22"/>
  <c r="AB8" i="22"/>
  <c r="AA8" i="22"/>
  <c r="AA5" i="22"/>
  <c r="AB5" i="22"/>
  <c r="AA11" i="22"/>
  <c r="AB11" i="22"/>
  <c r="AB3" i="22"/>
  <c r="AA3" i="22"/>
  <c r="AB6" i="22"/>
  <c r="AA6" i="22"/>
  <c r="AA9" i="22"/>
  <c r="AB9" i="22"/>
  <c r="AA10" i="22"/>
  <c r="AB10" i="22"/>
  <c r="AA12" i="22"/>
  <c r="AB12" i="22"/>
  <c r="AB7" i="22"/>
  <c r="AA7" i="22"/>
  <c r="AM18" i="22"/>
  <c r="K30" i="23" s="1"/>
  <c r="AN5" i="22"/>
  <c r="L15" i="23" s="1"/>
  <c r="AO14" i="22"/>
  <c r="M26" i="23" s="1"/>
  <c r="AN15" i="22"/>
  <c r="L27" i="23" s="1"/>
  <c r="AN3" i="22"/>
  <c r="L13" i="23" s="1"/>
  <c r="AO3" i="22"/>
  <c r="M13" i="23" s="1"/>
  <c r="AN16" i="22"/>
  <c r="L28" i="23" s="1"/>
  <c r="AO15" i="22"/>
  <c r="M27" i="23" s="1"/>
  <c r="AM14" i="22"/>
  <c r="K26" i="23" s="1"/>
  <c r="AM13" i="22"/>
  <c r="K25" i="23" s="1"/>
  <c r="AM17" i="22"/>
  <c r="K29" i="23" s="1"/>
  <c r="AO5" i="22"/>
  <c r="M15" i="23" s="1"/>
  <c r="AM7" i="22"/>
  <c r="K17" i="23" s="1"/>
  <c r="AO4" i="22"/>
  <c r="M14" i="23" s="1"/>
  <c r="AN4" i="22"/>
  <c r="L14" i="23" s="1"/>
  <c r="AN14" i="22"/>
  <c r="L26" i="23" s="1"/>
  <c r="AM4" i="22"/>
  <c r="K14" i="23" s="1"/>
  <c r="AM3" i="22"/>
  <c r="K13" i="23" s="1"/>
  <c r="AO8" i="22"/>
  <c r="M18" i="23" s="1"/>
  <c r="AN8" i="22"/>
  <c r="L18" i="23" s="1"/>
  <c r="AO16" i="22"/>
  <c r="M28" i="23" s="1"/>
  <c r="AM6" i="22"/>
  <c r="K16" i="23" s="1"/>
  <c r="AO17" i="22"/>
  <c r="M29" i="23" s="1"/>
  <c r="AN6" i="22"/>
  <c r="L16" i="23" s="1"/>
  <c r="AO7" i="22"/>
  <c r="M17" i="23" s="1"/>
  <c r="AM8" i="22"/>
  <c r="K18" i="23" s="1"/>
  <c r="AN7" i="22"/>
  <c r="L17" i="23" s="1"/>
  <c r="AM5" i="22"/>
  <c r="K15" i="23" s="1"/>
  <c r="AM16" i="22"/>
  <c r="K28" i="23" s="1"/>
  <c r="AO18" i="22"/>
  <c r="M30" i="23" s="1"/>
  <c r="AN18" i="22"/>
  <c r="L30" i="23" s="1"/>
  <c r="AN17" i="22"/>
  <c r="L29" i="23" s="1"/>
  <c r="AO6" i="22"/>
  <c r="M16" i="23" s="1"/>
  <c r="AM15" i="22"/>
  <c r="K27" i="23" s="1"/>
  <c r="AO13" i="22"/>
  <c r="M25" i="23" s="1"/>
  <c r="AN13" i="22"/>
  <c r="L25" i="23" s="1"/>
  <c r="M19" i="23" l="1"/>
  <c r="M31" i="23"/>
</calcChain>
</file>

<file path=xl/sharedStrings.xml><?xml version="1.0" encoding="utf-8"?>
<sst xmlns="http://schemas.openxmlformats.org/spreadsheetml/2006/main" count="25564" uniqueCount="128">
  <si>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</si>
  <si>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</si>
  <si>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</si>
  <si>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</si>
  <si>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</si>
  <si>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</si>
  <si>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</si>
  <si>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</si>
  <si>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</si>
  <si>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</si>
  <si>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</si>
  <si>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</si>
  <si>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</si>
  <si>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</si>
  <si>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</si>
  <si>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</si>
  <si>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</si>
  <si>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</si>
  <si>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</si>
  <si>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</si>
  <si>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</si>
  <si>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</si>
  <si>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</si>
  <si>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</si>
  <si>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</si>
  <si>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</si>
  <si>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</si>
  <si>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</si>
  <si>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</si>
  <si>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</si>
  <si>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</si>
  <si>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</si>
  <si>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</si>
  <si>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</si>
  <si>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</si>
  <si>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</si>
  <si>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</si>
  <si>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</si>
  <si>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</si>
  <si>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</si>
  <si>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</si>
  <si>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</si>
  <si>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</si>
  <si>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</si>
  <si>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</si>
  <si>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</si>
  <si>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</si>
  <si>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</si>
  <si>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</si>
  <si>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</si>
  <si>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</si>
  <si>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</si>
  <si>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</si>
  <si>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</si>
  <si>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</si>
  <si>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</si>
  <si>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</si>
  <si>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</si>
  <si>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</si>
  <si>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</si>
  <si>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</si>
  <si>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</si>
  <si>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</si>
  <si>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</si>
  <si>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</si>
  <si>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</si>
  <si>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</si>
  <si>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</si>
  <si>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</si>
  <si>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</si>
  <si>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</si>
  <si>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</si>
  <si>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</si>
  <si>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</si>
  <si>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</si>
  <si>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</si>
  <si>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</si>
  <si>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</si>
  <si>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</si>
  <si>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</si>
  <si>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</si>
  <si>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</si>
  <si>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</si>
  <si>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Revenue:</t>
  </si>
  <si>
    <t>PY Revenue:</t>
  </si>
  <si>
    <t>PM Revenue:</t>
  </si>
  <si>
    <t>Previous Month Year:</t>
  </si>
  <si>
    <r>
      <t>YoY %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:</t>
    </r>
  </si>
  <si>
    <t>MoM  %Δ:</t>
  </si>
  <si>
    <t>REVENUE TREND</t>
  </si>
  <si>
    <t>May</t>
  </si>
  <si>
    <t>Month #</t>
  </si>
  <si>
    <t>STORE PERFORMANCE</t>
  </si>
  <si>
    <t>MoM  %Δ</t>
  </si>
  <si>
    <t>PM Revenue</t>
  </si>
  <si>
    <t>Rank</t>
  </si>
  <si>
    <t>STORE PERFORMANCE (SORTED)</t>
  </si>
  <si>
    <t>PRODUCT PERFORMANCE</t>
  </si>
  <si>
    <t>Product</t>
  </si>
  <si>
    <t>MoM  Δ</t>
  </si>
  <si>
    <t>Rank 1</t>
  </si>
  <si>
    <t>Rank 2</t>
  </si>
  <si>
    <t>TOP PERFORMING PRODUCTS</t>
  </si>
  <si>
    <t>BOTTOM PERFORMING PRODUCTS</t>
  </si>
  <si>
    <t>J</t>
  </si>
  <si>
    <t>F</t>
  </si>
  <si>
    <t>M</t>
  </si>
  <si>
    <t>S</t>
  </si>
  <si>
    <t>O</t>
  </si>
  <si>
    <t>N</t>
  </si>
  <si>
    <t>D</t>
  </si>
  <si>
    <t>A</t>
  </si>
  <si>
    <r>
      <t xml:space="preserve">MoM Revenue </t>
    </r>
    <r>
      <rPr>
        <b/>
        <sz val="12"/>
        <color theme="2" tint="-0.499984740745262"/>
        <rFont val="Calibri"/>
        <family val="2"/>
      </rPr>
      <t>Δ</t>
    </r>
  </si>
  <si>
    <t>How did</t>
  </si>
  <si>
    <t>Current Period</t>
  </si>
  <si>
    <t>Month#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</si>
  <si>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</si>
  <si>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</si>
  <si>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</si>
  <si>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</si>
  <si>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</si>
  <si>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</si>
  <si>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</si>
  <si>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</si>
  <si>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</si>
  <si>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</si>
  <si>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</si>
  <si>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perform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</si>
</sst>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$$-409]#,##0"/>
    <numFmt numFmtId="166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2"/>
      <color theme="1"/>
      <name val="Wingdings 3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0" fillId="0" borderId="0" xfId="0" applyAlignment="1">
      <alignment horizontal="center"/>
    </xf>
    <xf numFmtId="0" fontId="1" fillId="6" borderId="0" xfId="0" applyFont="1" applyFill="1"/>
    <xf numFmtId="0" fontId="1" fillId="5" borderId="0" xfId="0" applyFont="1" applyFill="1" applyAlignment="1">
      <alignment horizontal="centerContinuous"/>
    </xf>
    <xf numFmtId="165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1" fillId="7" borderId="0" xfId="0" applyFont="1" applyFill="1" applyAlignment="1">
      <alignment horizontal="centerContinuous"/>
    </xf>
    <xf numFmtId="0" fontId="1" fillId="0" borderId="0" xfId="0" applyFont="1"/>
    <xf numFmtId="0" fontId="3" fillId="7" borderId="0" xfId="0" applyFont="1" applyFill="1" applyAlignment="1">
      <alignment horizontal="centerContinuous"/>
    </xf>
    <xf numFmtId="0" fontId="3" fillId="5" borderId="0" xfId="0" applyFont="1" applyFill="1" applyAlignment="1">
      <alignment horizontal="centerContinuous"/>
    </xf>
    <xf numFmtId="0" fontId="1" fillId="4" borderId="0" xfId="0" applyFont="1" applyFill="1" applyAlignment="1">
      <alignment horizontal="center"/>
    </xf>
    <xf numFmtId="9" fontId="0" fillId="0" borderId="0" xfId="1" applyNumberFormat="1" applyFont="1"/>
    <xf numFmtId="166" fontId="1" fillId="8" borderId="0" xfId="1" applyNumberFormat="1" applyFont="1" applyFill="1" applyAlignment="1">
      <alignment horizontal="center" vertical="center"/>
    </xf>
    <xf numFmtId="0" fontId="8" fillId="0" borderId="0" xfId="0" applyFont="1"/>
    <xf numFmtId="165" fontId="8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165" fontId="8" fillId="0" borderId="1" xfId="0" applyNumberFormat="1" applyFont="1" applyBorder="1"/>
    <xf numFmtId="0" fontId="8" fillId="0" borderId="1" xfId="0" applyFont="1" applyBorder="1"/>
    <xf numFmtId="165" fontId="8" fillId="0" borderId="0" xfId="0" applyNumberFormat="1" applyFont="1" applyBorder="1"/>
    <xf numFmtId="165" fontId="12" fillId="0" borderId="0" xfId="0" applyNumberFormat="1" applyFont="1"/>
    <xf numFmtId="165" fontId="13" fillId="0" borderId="0" xfId="0" applyNumberFormat="1" applyFont="1"/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/>
    <xf numFmtId="0" fontId="6" fillId="0" borderId="0" xfId="0" applyFont="1" applyAlignment="1">
      <alignment horizontal="left" vertical="center"/>
    </xf>
    <xf numFmtId="0" fontId="11" fillId="9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left" vertical="center" indent="2"/>
    </xf>
    <xf numFmtId="0" fontId="15" fillId="0" borderId="0" xfId="0" applyFont="1" applyAlignment="1">
      <alignment horizontal="left" vertical="center" indent="3"/>
    </xf>
  </cellXfs>
  <cellStyles count="2">
    <cellStyle name="Normal" xfId="0" builtinId="0"/>
    <cellStyle name="Percent" xfId="1" builtinId="5"/>
  </cellStyles>
  <dxfs count="11"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D8D8D8"/>
      <color rgb="FFFF5B5B"/>
      <color rgb="FFF2F2F2"/>
      <color rgb="FFFF6565"/>
      <color rgb="FFF98386"/>
      <color rgb="FFF9777A"/>
      <color rgb="FFFF4343"/>
      <color rgb="FFFF9595"/>
      <color rgb="FF20E2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Prep'!$X$2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D8D8D8"/>
            </a:solidFill>
            <a:ln>
              <a:noFill/>
            </a:ln>
            <a:effectLst/>
          </c:spPr>
          <c:invertIfNegative val="0"/>
          <c:cat>
            <c:strRef>
              <c:f>'Data Prep'!$V$3:$V$12</c:f>
              <c:strCache>
                <c:ptCount val="10"/>
                <c:pt idx="0">
                  <c:v>Hollywood</c:v>
                </c:pt>
                <c:pt idx="1">
                  <c:v>Michigan Ave</c:v>
                </c:pt>
                <c:pt idx="2">
                  <c:v>Beverly Hills</c:v>
                </c:pt>
                <c:pt idx="3">
                  <c:v>JFK</c:v>
                </c:pt>
                <c:pt idx="4">
                  <c:v>Millenium</c:v>
                </c:pt>
                <c:pt idx="5">
                  <c:v>Lincoln Park</c:v>
                </c:pt>
                <c:pt idx="6">
                  <c:v>Times Square</c:v>
                </c:pt>
                <c:pt idx="7">
                  <c:v>Fifth Avenue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Prep'!$X$3:$X$12</c:f>
              <c:numCache>
                <c:formatCode>General</c:formatCode>
                <c:ptCount val="10"/>
                <c:pt idx="0">
                  <c:v>7938.76</c:v>
                </c:pt>
                <c:pt idx="1">
                  <c:v>10132.16</c:v>
                </c:pt>
                <c:pt idx="2">
                  <c:v>11411.519999999999</c:v>
                </c:pt>
                <c:pt idx="3">
                  <c:v>13127.479999999996</c:v>
                </c:pt>
                <c:pt idx="4">
                  <c:v>15332.379999999996</c:v>
                </c:pt>
                <c:pt idx="5">
                  <c:v>17049.52</c:v>
                </c:pt>
                <c:pt idx="6">
                  <c:v>17895.43</c:v>
                </c:pt>
                <c:pt idx="7">
                  <c:v>18815.63</c:v>
                </c:pt>
                <c:pt idx="8">
                  <c:v>21919.900000000005</c:v>
                </c:pt>
                <c:pt idx="9">
                  <c:v>27284.929999999993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1-4352-A0B3-2C0E34BCB830}"/>
            </c:ext>
          </c:extLst>
        </c:ser>
        <c:ser>
          <c:idx val="1"/>
          <c:order val="1"/>
          <c:tx>
            <c:strRef>
              <c:f>'Data Prep'!$AA$2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$$-409]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Prep'!$V$3:$V$12</c:f>
              <c:strCache>
                <c:ptCount val="10"/>
                <c:pt idx="0">
                  <c:v>Hollywood</c:v>
                </c:pt>
                <c:pt idx="1">
                  <c:v>Michigan Ave</c:v>
                </c:pt>
                <c:pt idx="2">
                  <c:v>Beverly Hills</c:v>
                </c:pt>
                <c:pt idx="3">
                  <c:v>JFK</c:v>
                </c:pt>
                <c:pt idx="4">
                  <c:v>Millenium</c:v>
                </c:pt>
                <c:pt idx="5">
                  <c:v>Lincoln Park</c:v>
                </c:pt>
                <c:pt idx="6">
                  <c:v>Times Square</c:v>
                </c:pt>
                <c:pt idx="7">
                  <c:v>Fifth Avenue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Prep'!$AA$3:$AA$12</c:f>
              <c:numCache>
                <c:formatCode>[$$-409]#,##0</c:formatCode>
                <c:ptCount val="10"/>
                <c:pt idx="0">
                  <c:v>7938.76</c:v>
                </c:pt>
                <c:pt idx="1">
                  <c:v>0</c:v>
                </c:pt>
                <c:pt idx="2">
                  <c:v>11411.519999999999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21919.900000000005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E1-4352-A0B3-2C0E34BCB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159752832"/>
        <c:axId val="1159753248"/>
      </c:barChart>
      <c:catAx>
        <c:axId val="115975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53248"/>
        <c:crosses val="autoZero"/>
        <c:auto val="1"/>
        <c:lblAlgn val="ctr"/>
        <c:lblOffset val="100"/>
        <c:noMultiLvlLbl val="0"/>
      </c:catAx>
      <c:valAx>
        <c:axId val="11597532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/>
                  <a:t>Revenue</a:t>
                </a:r>
              </a:p>
            </c:rich>
          </c:tx>
          <c:layout>
            <c:manualLayout>
              <c:xMode val="edge"/>
              <c:yMode val="edge"/>
              <c:x val="0.32158478516101524"/>
              <c:y val="0.94536605556096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597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Prep'!$Z$2</c:f>
              <c:strCache>
                <c:ptCount val="1"/>
                <c:pt idx="0">
                  <c:v>MoM  %Δ</c:v>
                </c:pt>
              </c:strCache>
            </c:strRef>
          </c:tx>
          <c:spPr>
            <a:solidFill>
              <a:srgbClr val="D8D8D8"/>
            </a:solidFill>
            <a:ln>
              <a:noFill/>
            </a:ln>
            <a:effectLst/>
          </c:spPr>
          <c:invertIfNegative val="0"/>
          <c:cat>
            <c:numRef>
              <c:f>'Data Prep'!$N$3:$N$12</c:f>
              <c:numCache>
                <c:formatCode>General</c:formatCode>
                <c:ptCount val="10"/>
              </c:numCache>
            </c:numRef>
          </c:cat>
          <c:val>
            <c:numRef>
              <c:f>'Data Prep'!$Z$3:$Z$12</c:f>
              <c:numCache>
                <c:formatCode>0%</c:formatCode>
                <c:ptCount val="10"/>
                <c:pt idx="0">
                  <c:v>-0.38433214032284957</c:v>
                </c:pt>
                <c:pt idx="1">
                  <c:v>-0.37191308088754005</c:v>
                </c:pt>
                <c:pt idx="2">
                  <c:v>-0.2308389142321009</c:v>
                </c:pt>
                <c:pt idx="3">
                  <c:v>-0.45456773986071997</c:v>
                </c:pt>
                <c:pt idx="4">
                  <c:v>-0.26604704420362923</c:v>
                </c:pt>
                <c:pt idx="5">
                  <c:v>-0.21897920227359058</c:v>
                </c:pt>
                <c:pt idx="6">
                  <c:v>-0.21569956865608453</c:v>
                </c:pt>
                <c:pt idx="7">
                  <c:v>-0.15063980885408579</c:v>
                </c:pt>
                <c:pt idx="8">
                  <c:v>-0.31611678607118188</c:v>
                </c:pt>
                <c:pt idx="9">
                  <c:v>-0.2442216113563439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7-4A9B-8D8A-F85DDBA57ED4}"/>
            </c:ext>
          </c:extLst>
        </c:ser>
        <c:ser>
          <c:idx val="1"/>
          <c:order val="1"/>
          <c:tx>
            <c:strRef>
              <c:f>'Data Prep'!$AB$2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Prep'!$AB$3:$AB$12</c:f>
              <c:numCache>
                <c:formatCode>0%</c:formatCode>
                <c:ptCount val="10"/>
                <c:pt idx="0">
                  <c:v>-0.38433214032284957</c:v>
                </c:pt>
                <c:pt idx="1">
                  <c:v>0</c:v>
                </c:pt>
                <c:pt idx="2">
                  <c:v>-0.2308389142321009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-0.31611678607118188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10B7-4A9B-8D8A-F85DDBA5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159752832"/>
        <c:axId val="1159753248"/>
      </c:barChart>
      <c:catAx>
        <c:axId val="1159752832"/>
        <c:scaling>
          <c:orientation val="minMax"/>
        </c:scaling>
        <c:delete val="0"/>
        <c:axPos val="l"/>
        <c:numFmt formatCode="&quot;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53248"/>
        <c:crosses val="autoZero"/>
        <c:auto val="1"/>
        <c:lblAlgn val="ctr"/>
        <c:lblOffset val="100"/>
        <c:noMultiLvlLbl val="0"/>
      </c:catAx>
      <c:valAx>
        <c:axId val="11597532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50" b="0" i="0" u="none" strike="noStrike" baseline="0">
                    <a:effectLst/>
                  </a:rPr>
                  <a:t>MoM  %</a:t>
                </a:r>
                <a:r>
                  <a:rPr lang="el-GR" sz="1050" b="0" i="0" u="none" strike="noStrike" baseline="0">
                    <a:effectLst/>
                  </a:rPr>
                  <a:t>Δ</a:t>
                </a:r>
                <a:r>
                  <a:rPr lang="el-GR" sz="1050" b="0" i="0" u="none" strike="noStrike" baseline="0"/>
                  <a:t> </a:t>
                </a:r>
                <a:endParaRPr lang="en-US" sz="1050" b="0"/>
              </a:p>
            </c:rich>
          </c:tx>
          <c:layout>
            <c:manualLayout>
              <c:xMode val="edge"/>
              <c:yMode val="edge"/>
              <c:x val="0.40607398248772625"/>
              <c:y val="0.94266207941726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1597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Prep'!$K$2</c:f>
              <c:strCache>
                <c:ptCount val="1"/>
                <c:pt idx="0">
                  <c:v>2020</c:v>
                </c:pt>
              </c:strCache>
            </c:strRef>
          </c:tx>
          <c:spPr>
            <a:ln w="158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Prep'!$J$3:$J$14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[$$-409]#,##0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CA-4382-B473-A1A377859D67}"/>
            </c:ext>
          </c:extLst>
        </c:ser>
        <c:ser>
          <c:idx val="1"/>
          <c:order val="1"/>
          <c:tx>
            <c:strRef>
              <c:f>'Data Prep'!$L$2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Prep'!$J$3:$J$14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Prep'!$L$3:$L$14</c:f>
              <c:numCache>
                <c:formatCode>[$$-409]#,##0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CA-4382-B473-A1A377859D67}"/>
            </c:ext>
          </c:extLst>
        </c:ser>
        <c:ser>
          <c:idx val="2"/>
          <c:order val="2"/>
          <c:tx>
            <c:strRef>
              <c:f>'Data Prep'!$M$2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Prep'!$J$3:$J$14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Prep'!$M$3:$M$14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41270.179999999986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A-4382-B473-A1A37785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709984"/>
        <c:axId val="1159715808"/>
      </c:lineChart>
      <c:catAx>
        <c:axId val="115970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44035336575575112"/>
              <c:y val="0.88330981476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15808"/>
        <c:crosses val="autoZero"/>
        <c:auto val="1"/>
        <c:lblAlgn val="ctr"/>
        <c:lblOffset val="100"/>
        <c:noMultiLvlLbl val="0"/>
      </c:catAx>
      <c:valAx>
        <c:axId val="1159715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2.6540064844835527E-2"/>
              <c:y val="6.14402290622763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,&quot;K&quot;" sourceLinked="0"/>
        <c:majorTickMark val="out"/>
        <c:minorTickMark val="none"/>
        <c:tickLblPos val="nextTo"/>
        <c:spPr>
          <a:noFill/>
          <a:ln>
            <a:solidFill>
              <a:schemeClr val="accent3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09984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530206</xdr:colOff>
      <xdr:row>13</xdr:row>
      <xdr:rowOff>200122</xdr:rowOff>
    </xdr:from>
    <xdr:to>
      <xdr:col>3</xdr:col>
      <xdr:colOff>45297</xdr:colOff>
      <xdr:row>16</xdr:row>
      <xdr:rowOff>0</xdr:rowOff>
    </xdr:to>
    <xdr:sp macro="" textlink="'Data Prep'!F5">
      <xdr:nvSpPr>
        <xdr:cNvPr id="46" name="TextBox 45">
          <a:extLst>
            <a:ext uri="{FF2B5EF4-FFF2-40B4-BE49-F238E27FC236}">
              <a16:creationId xmlns:a16="http://schemas.microsoft.com/office/drawing/2014/main" id="{5173E55A-2DDB-444E-AA89-065F7EF31E6B}"/>
            </a:ext>
          </a:extLst>
        </xdr:cNvPr>
        <xdr:cNvSpPr txBox="1"/>
      </xdr:nvSpPr>
      <xdr:spPr>
        <a:xfrm>
          <a:off x="2146570" y="2886364"/>
          <a:ext cx="1131454" cy="469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1D9C29C-E9B4-499F-9C5D-F85636FCDD80}" type="TxLink">
            <a:rPr lang="en-US" sz="24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14.0%</a:t>
          </a:fld>
          <a:endParaRPr lang="en-NZ" sz="24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absolute">
    <xdr:from>
      <xdr:col>1</xdr:col>
      <xdr:colOff>407036</xdr:colOff>
      <xdr:row>13</xdr:row>
      <xdr:rowOff>215516</xdr:rowOff>
    </xdr:from>
    <xdr:to>
      <xdr:col>2</xdr:col>
      <xdr:colOff>106853</xdr:colOff>
      <xdr:row>16</xdr:row>
      <xdr:rowOff>15394</xdr:rowOff>
    </xdr:to>
    <xdr:sp macro="" textlink="'Data Prep'!F6">
      <xdr:nvSpPr>
        <xdr:cNvPr id="45" name="TextBox 44">
          <a:extLst>
            <a:ext uri="{FF2B5EF4-FFF2-40B4-BE49-F238E27FC236}">
              <a16:creationId xmlns:a16="http://schemas.microsoft.com/office/drawing/2014/main" id="{69B507D6-9DB6-4B39-967D-71266C27AA24}"/>
            </a:ext>
          </a:extLst>
        </xdr:cNvPr>
        <xdr:cNvSpPr txBox="1"/>
      </xdr:nvSpPr>
      <xdr:spPr>
        <a:xfrm>
          <a:off x="591763" y="2901758"/>
          <a:ext cx="1131454" cy="469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E39E250-32A4-467F-98E8-BFCFD7A214E7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-31.0%</a:t>
          </a:fld>
          <a:endParaRPr lang="en-NZ" sz="5400"/>
        </a:p>
      </xdr:txBody>
    </xdr:sp>
    <xdr:clientData/>
  </xdr:twoCellAnchor>
  <xdr:twoCellAnchor editAs="absolute">
    <xdr:from>
      <xdr:col>3</xdr:col>
      <xdr:colOff>1262303</xdr:colOff>
      <xdr:row>7</xdr:row>
      <xdr:rowOff>176184</xdr:rowOff>
    </xdr:from>
    <xdr:to>
      <xdr:col>9</xdr:col>
      <xdr:colOff>100061</xdr:colOff>
      <xdr:row>10</xdr:row>
      <xdr:rowOff>7202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EF602D7-8102-4612-9EB7-4E27E02E1C30}"/>
            </a:ext>
          </a:extLst>
        </xdr:cNvPr>
        <xdr:cNvSpPr txBox="1"/>
      </xdr:nvSpPr>
      <xdr:spPr>
        <a:xfrm>
          <a:off x="4495030" y="1677093"/>
          <a:ext cx="4656667" cy="385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NZ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NZ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our </a:t>
          </a:r>
          <a:r>
            <a:rPr lang="en-NZ" sz="1600" b="1" baseline="0">
              <a:solidFill>
                <a:schemeClr val="accent1">
                  <a:lumMod val="75000"/>
                </a:schemeClr>
              </a:solidFill>
            </a:rPr>
            <a:t>stores</a:t>
          </a:r>
          <a:r>
            <a:rPr lang="en-NZ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rank compared to </a:t>
          </a:r>
          <a:r>
            <a:rPr lang="en-NZ" sz="1600" b="1" baseline="0">
              <a:solidFill>
                <a:srgbClr val="D8D8D8"/>
              </a:solidFill>
            </a:rPr>
            <a:t>other regions</a:t>
          </a:r>
          <a:endParaRPr lang="en-NZ" sz="1600" b="1">
            <a:solidFill>
              <a:srgbClr val="D8D8D8"/>
            </a:solidFill>
          </a:endParaRPr>
        </a:p>
      </xdr:txBody>
    </xdr:sp>
    <xdr:clientData/>
  </xdr:twoCellAnchor>
  <xdr:twoCellAnchor editAs="absolute">
    <xdr:from>
      <xdr:col>3</xdr:col>
      <xdr:colOff>312188</xdr:colOff>
      <xdr:row>9</xdr:row>
      <xdr:rowOff>134293</xdr:rowOff>
    </xdr:from>
    <xdr:to>
      <xdr:col>6</xdr:col>
      <xdr:colOff>442202</xdr:colOff>
      <xdr:row>31</xdr:row>
      <xdr:rowOff>45412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5A83426-53F6-49A2-B2FA-9712B2B4C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1890837</xdr:colOff>
      <xdr:row>9</xdr:row>
      <xdr:rowOff>134293</xdr:rowOff>
    </xdr:from>
    <xdr:to>
      <xdr:col>9</xdr:col>
      <xdr:colOff>217286</xdr:colOff>
      <xdr:row>31</xdr:row>
      <xdr:rowOff>45412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8BFA860-D59D-4A4D-86AF-6914AA936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56033</xdr:colOff>
      <xdr:row>21</xdr:row>
      <xdr:rowOff>129386</xdr:rowOff>
    </xdr:from>
    <xdr:to>
      <xdr:col>3</xdr:col>
      <xdr:colOff>246302</xdr:colOff>
      <xdr:row>31</xdr:row>
      <xdr:rowOff>45412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6C63167-3ACF-4A09-8856-C9F923F96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175645</xdr:colOff>
      <xdr:row>7</xdr:row>
      <xdr:rowOff>153093</xdr:rowOff>
    </xdr:from>
    <xdr:to>
      <xdr:col>3</xdr:col>
      <xdr:colOff>200122</xdr:colOff>
      <xdr:row>9</xdr:row>
      <xdr:rowOff>169333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684A3B3-EEDE-4F7E-AA0D-E0CBFFA40D14}"/>
            </a:ext>
          </a:extLst>
        </xdr:cNvPr>
        <xdr:cNvSpPr txBox="1"/>
      </xdr:nvSpPr>
      <xdr:spPr>
        <a:xfrm>
          <a:off x="360372" y="1654002"/>
          <a:ext cx="3072477" cy="3856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NZ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NZ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NZ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</a:t>
          </a:r>
        </a:p>
      </xdr:txBody>
    </xdr:sp>
    <xdr:clientData/>
  </xdr:twoCellAnchor>
  <xdr:twoCellAnchor editAs="absolute">
    <xdr:from>
      <xdr:col>1</xdr:col>
      <xdr:colOff>142530</xdr:colOff>
      <xdr:row>9</xdr:row>
      <xdr:rowOff>129540</xdr:rowOff>
    </xdr:from>
    <xdr:to>
      <xdr:col>3</xdr:col>
      <xdr:colOff>233236</xdr:colOff>
      <xdr:row>13</xdr:row>
      <xdr:rowOff>222058</xdr:rowOff>
    </xdr:to>
    <xdr:sp macro="" textlink="'Data Prep'!$F$2">
      <xdr:nvSpPr>
        <xdr:cNvPr id="25" name="TextBox 24">
          <a:extLst>
            <a:ext uri="{FF2B5EF4-FFF2-40B4-BE49-F238E27FC236}">
              <a16:creationId xmlns:a16="http://schemas.microsoft.com/office/drawing/2014/main" id="{0F405D00-6F2B-40EC-BD4D-8759FE0D887D}"/>
            </a:ext>
          </a:extLst>
        </xdr:cNvPr>
        <xdr:cNvSpPr txBox="1"/>
      </xdr:nvSpPr>
      <xdr:spPr>
        <a:xfrm>
          <a:off x="327257" y="1999904"/>
          <a:ext cx="3138706" cy="9083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4AAC444-1D40-49F7-B599-E47133429849}" type="TxLink">
            <a:rPr lang="en-US" sz="6000" b="1" i="0" u="none" strike="noStrike" cap="none" spc="0">
              <a:ln>
                <a:noFill/>
              </a:ln>
              <a:solidFill>
                <a:schemeClr val="accent1">
                  <a:lumMod val="75000"/>
                </a:schemeClr>
              </a:solidFill>
              <a:effectLst/>
              <a:latin typeface="Calibri"/>
              <a:cs typeface="Calibri"/>
            </a:rPr>
            <a:pPr algn="ctr"/>
            <a:t>$41,270</a:t>
          </a:fld>
          <a:endParaRPr lang="en-NZ" sz="13800" b="1" cap="none" spc="0">
            <a:ln>
              <a:noFill/>
            </a:ln>
            <a:solidFill>
              <a:schemeClr val="accent1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7620</xdr:colOff>
      <xdr:row>1</xdr:row>
      <xdr:rowOff>76200</xdr:rowOff>
    </xdr:from>
    <xdr:to>
      <xdr:col>10</xdr:col>
      <xdr:colOff>0</xdr:colOff>
      <xdr:row>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FC9542-756B-4F72-9525-4C562420A993}"/>
            </a:ext>
          </a:extLst>
        </xdr:cNvPr>
        <xdr:cNvSpPr txBox="1"/>
      </xdr:nvSpPr>
      <xdr:spPr>
        <a:xfrm>
          <a:off x="617220" y="259080"/>
          <a:ext cx="6088380" cy="586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3200" b="1">
              <a:solidFill>
                <a:schemeClr val="tx1">
                  <a:lumMod val="75000"/>
                  <a:lumOff val="25000"/>
                </a:schemeClr>
              </a:solidFill>
            </a:rPr>
            <a:t>REGIONAL</a:t>
          </a:r>
          <a:r>
            <a:rPr lang="en-NZ" sz="3200" b="1" baseline="0">
              <a:solidFill>
                <a:schemeClr val="tx1">
                  <a:lumMod val="75000"/>
                  <a:lumOff val="25000"/>
                </a:schemeClr>
              </a:solidFill>
            </a:rPr>
            <a:t> REVENUE DASHBOARD</a:t>
          </a:r>
          <a:endParaRPr lang="en-NZ" sz="3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6</xdr:row>
      <xdr:rowOff>175260</xdr:rowOff>
    </xdr:from>
    <xdr:to>
      <xdr:col>13</xdr:col>
      <xdr:colOff>169333</xdr:colOff>
      <xdr:row>6</xdr:row>
      <xdr:rowOff>175260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872CE6B-6CA0-47A5-9962-AAF509885A58}"/>
            </a:ext>
          </a:extLst>
        </xdr:cNvPr>
        <xdr:cNvCxnSpPr/>
      </xdr:nvCxnSpPr>
      <xdr:spPr>
        <a:xfrm>
          <a:off x="260927" y="1491442"/>
          <a:ext cx="12439073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376825</xdr:colOff>
      <xdr:row>16</xdr:row>
      <xdr:rowOff>30480</xdr:rowOff>
    </xdr:from>
    <xdr:to>
      <xdr:col>2</xdr:col>
      <xdr:colOff>137064</xdr:colOff>
      <xdr:row>17</xdr:row>
      <xdr:rowOff>91055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63B6D78-C394-4223-8516-E356B8B715C0}"/>
            </a:ext>
          </a:extLst>
        </xdr:cNvPr>
        <xdr:cNvSpPr txBox="1"/>
      </xdr:nvSpPr>
      <xdr:spPr>
        <a:xfrm>
          <a:off x="561552" y="3386359"/>
          <a:ext cx="1191876" cy="2837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  <a:endParaRPr lang="en-NZ" sz="1200" b="0">
            <a:solidFill>
              <a:schemeClr val="tx1">
                <a:lumMod val="75000"/>
                <a:lumOff val="2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ctr"/>
          <a:endParaRPr lang="en-NZ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433584</xdr:colOff>
      <xdr:row>16</xdr:row>
      <xdr:rowOff>30480</xdr:rowOff>
    </xdr:from>
    <xdr:to>
      <xdr:col>3</xdr:col>
      <xdr:colOff>3374</xdr:colOff>
      <xdr:row>17</xdr:row>
      <xdr:rowOff>91055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002EB63-2116-452B-8DEE-D71AA3AA3DD5}"/>
            </a:ext>
          </a:extLst>
        </xdr:cNvPr>
        <xdr:cNvSpPr txBox="1"/>
      </xdr:nvSpPr>
      <xdr:spPr>
        <a:xfrm>
          <a:off x="2049948" y="3386359"/>
          <a:ext cx="1186153" cy="283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>
              <a:solidFill>
                <a:schemeClr val="tx1">
                  <a:lumMod val="75000"/>
                  <a:lumOff val="25000"/>
                </a:schemeClr>
              </a:solidFill>
            </a:rPr>
            <a:t>vs. Last</a:t>
          </a:r>
          <a:r>
            <a:rPr lang="en-US" sz="1200" b="0" baseline="0">
              <a:solidFill>
                <a:schemeClr val="tx1">
                  <a:lumMod val="75000"/>
                  <a:lumOff val="25000"/>
                </a:schemeClr>
              </a:solidFill>
            </a:rPr>
            <a:t> Year</a:t>
          </a:r>
          <a:endParaRPr lang="en-NZ" sz="1200" b="0">
            <a:solidFill>
              <a:schemeClr val="tx1">
                <a:lumMod val="75000"/>
                <a:lumOff val="2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ctr"/>
          <a:endParaRPr lang="en-NZ" sz="12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60035</xdr:colOff>
      <xdr:row>18</xdr:row>
      <xdr:rowOff>107759</xdr:rowOff>
    </xdr:from>
    <xdr:to>
      <xdr:col>3</xdr:col>
      <xdr:colOff>307878</xdr:colOff>
      <xdr:row>21</xdr:row>
      <xdr:rowOff>30789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9745526-4A33-4A66-9A89-BB05634227EF}"/>
            </a:ext>
          </a:extLst>
        </xdr:cNvPr>
        <xdr:cNvSpPr txBox="1"/>
      </xdr:nvSpPr>
      <xdr:spPr>
        <a:xfrm>
          <a:off x="244762" y="3910062"/>
          <a:ext cx="3295843" cy="592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NZ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NZ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NZ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NZ" sz="1600" b="1">
              <a:solidFill>
                <a:srgbClr val="D8D8D8"/>
              </a:solidFill>
            </a:rPr>
            <a:t>2020</a:t>
          </a:r>
        </a:p>
      </xdr:txBody>
    </xdr:sp>
    <xdr:clientData/>
  </xdr:twoCellAnchor>
  <xdr:twoCellAnchor editAs="absolute">
    <xdr:from>
      <xdr:col>9</xdr:col>
      <xdr:colOff>384851</xdr:colOff>
      <xdr:row>7</xdr:row>
      <xdr:rowOff>122305</xdr:rowOff>
    </xdr:from>
    <xdr:to>
      <xdr:col>12</xdr:col>
      <xdr:colOff>1062184</xdr:colOff>
      <xdr:row>9</xdr:row>
      <xdr:rowOff>138050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B3335FA-3D8A-4E85-82FE-E602F18BFF9B}"/>
            </a:ext>
          </a:extLst>
        </xdr:cNvPr>
        <xdr:cNvSpPr txBox="1"/>
      </xdr:nvSpPr>
      <xdr:spPr>
        <a:xfrm>
          <a:off x="9436487" y="1623214"/>
          <a:ext cx="3448242" cy="385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NZ" sz="1600" b="0">
              <a:solidFill>
                <a:schemeClr val="tx1">
                  <a:lumMod val="65000"/>
                  <a:lumOff val="35000"/>
                </a:schemeClr>
              </a:solidFill>
            </a:rPr>
            <a:t>Where these</a:t>
          </a:r>
          <a:r>
            <a:rPr lang="en-NZ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 products </a:t>
          </a:r>
          <a:r>
            <a:rPr lang="en-NZ" sz="1600" b="1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drove</a:t>
          </a:r>
          <a:r>
            <a:rPr lang="en-NZ" sz="1600" b="0" baseline="0">
              <a:solidFill>
                <a:schemeClr val="accent6">
                  <a:lumMod val="75000"/>
                </a:schemeClr>
              </a:solidFill>
            </a:rPr>
            <a:t> </a:t>
          </a:r>
          <a:r>
            <a:rPr lang="en-NZ" sz="1600" b="1" baseline="0">
              <a:solidFill>
                <a:schemeClr val="accent6">
                  <a:lumMod val="75000"/>
                </a:schemeClr>
              </a:solidFill>
            </a:rPr>
            <a:t>growth</a:t>
          </a:r>
          <a:r>
            <a:rPr lang="en-NZ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...</a:t>
          </a:r>
        </a:p>
      </xdr:txBody>
    </xdr:sp>
    <xdr:clientData/>
  </xdr:twoCellAnchor>
  <xdr:twoCellAnchor editAs="absolute">
    <xdr:from>
      <xdr:col>9</xdr:col>
      <xdr:colOff>353574</xdr:colOff>
      <xdr:row>19</xdr:row>
      <xdr:rowOff>191116</xdr:rowOff>
    </xdr:from>
    <xdr:to>
      <xdr:col>12</xdr:col>
      <xdr:colOff>1062184</xdr:colOff>
      <xdr:row>21</xdr:row>
      <xdr:rowOff>184728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E2DEAB7-5B82-4AAB-9C44-391CBB6C8B02}"/>
            </a:ext>
          </a:extLst>
        </xdr:cNvPr>
        <xdr:cNvSpPr txBox="1"/>
      </xdr:nvSpPr>
      <xdr:spPr>
        <a:xfrm>
          <a:off x="9405210" y="4216631"/>
          <a:ext cx="3479519" cy="4400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NZ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NZ" sz="1600" b="1" baseline="0">
              <a:solidFill>
                <a:srgbClr val="FF0000"/>
              </a:solidFill>
            </a:rPr>
            <a:t>caused losses</a:t>
          </a:r>
        </a:p>
      </xdr:txBody>
    </xdr:sp>
    <xdr:clientData/>
  </xdr:twoCellAnchor>
  <xdr:twoCellAnchor>
    <xdr:from>
      <xdr:col>26</xdr:col>
      <xdr:colOff>7620</xdr:colOff>
      <xdr:row>23</xdr:row>
      <xdr:rowOff>114299</xdr:rowOff>
    </xdr:from>
    <xdr:to>
      <xdr:col>31</xdr:col>
      <xdr:colOff>267940</xdr:colOff>
      <xdr:row>27</xdr:row>
      <xdr:rowOff>85240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F716EBA-75FD-4B64-83B1-B40B92240526}"/>
            </a:ext>
          </a:extLst>
        </xdr:cNvPr>
        <xdr:cNvSpPr txBox="1"/>
      </xdr:nvSpPr>
      <xdr:spPr>
        <a:xfrm>
          <a:off x="19065240" y="4351019"/>
          <a:ext cx="3308320" cy="7024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NZ" sz="1600" b="1">
              <a:solidFill>
                <a:schemeClr val="tx1">
                  <a:lumMod val="75000"/>
                  <a:lumOff val="25000"/>
                </a:schemeClr>
              </a:solidFill>
            </a:rPr>
            <a:t>Bottom Performing</a:t>
          </a:r>
          <a:r>
            <a:rPr lang="en-NZ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Products</a:t>
          </a:r>
        </a:p>
      </xdr:txBody>
    </xdr:sp>
    <xdr:clientData/>
  </xdr:twoCellAnchor>
  <xdr:twoCellAnchor>
    <xdr:from>
      <xdr:col>26</xdr:col>
      <xdr:colOff>38100</xdr:colOff>
      <xdr:row>39</xdr:row>
      <xdr:rowOff>91439</xdr:rowOff>
    </xdr:from>
    <xdr:to>
      <xdr:col>31</xdr:col>
      <xdr:colOff>298420</xdr:colOff>
      <xdr:row>43</xdr:row>
      <xdr:rowOff>62380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BA633B2-9D33-4708-BF10-D2FC8A0BD45C}"/>
            </a:ext>
          </a:extLst>
        </xdr:cNvPr>
        <xdr:cNvSpPr txBox="1"/>
      </xdr:nvSpPr>
      <xdr:spPr>
        <a:xfrm>
          <a:off x="19095720" y="7071359"/>
          <a:ext cx="3308320" cy="7024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NZ" sz="1600" b="1">
              <a:solidFill>
                <a:schemeClr val="tx1">
                  <a:lumMod val="75000"/>
                  <a:lumOff val="25000"/>
                </a:schemeClr>
              </a:solidFill>
            </a:rPr>
            <a:t>Bottom Performing</a:t>
          </a:r>
          <a:r>
            <a:rPr lang="en-NZ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Products</a:t>
          </a:r>
        </a:p>
      </xdr:txBody>
    </xdr:sp>
    <xdr:clientData/>
  </xdr:twoCellAnchor>
  <xdr:twoCellAnchor editAs="absolute">
    <xdr:from>
      <xdr:col>1</xdr:col>
      <xdr:colOff>76200</xdr:colOff>
      <xdr:row>13</xdr:row>
      <xdr:rowOff>168718</xdr:rowOff>
    </xdr:from>
    <xdr:to>
      <xdr:col>3</xdr:col>
      <xdr:colOff>184728</xdr:colOff>
      <xdr:row>13</xdr:row>
      <xdr:rowOff>168718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1A7F922D-982D-45F6-8CFE-18AE1061037D}"/>
            </a:ext>
          </a:extLst>
        </xdr:cNvPr>
        <xdr:cNvCxnSpPr/>
      </xdr:nvCxnSpPr>
      <xdr:spPr>
        <a:xfrm>
          <a:off x="260927" y="2854960"/>
          <a:ext cx="3156528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173566</xdr:colOff>
      <xdr:row>13</xdr:row>
      <xdr:rowOff>184035</xdr:rowOff>
    </xdr:from>
    <xdr:to>
      <xdr:col>2</xdr:col>
      <xdr:colOff>173566</xdr:colOff>
      <xdr:row>17</xdr:row>
      <xdr:rowOff>45335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67D62B42-7AFC-491F-AC4A-FB079002439B}"/>
            </a:ext>
          </a:extLst>
        </xdr:cNvPr>
        <xdr:cNvCxnSpPr/>
      </xdr:nvCxnSpPr>
      <xdr:spPr>
        <a:xfrm>
          <a:off x="1789930" y="2870277"/>
          <a:ext cx="0" cy="754149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164364</xdr:colOff>
      <xdr:row>1</xdr:row>
      <xdr:rowOff>23091</xdr:rowOff>
    </xdr:from>
    <xdr:to>
      <xdr:col>12</xdr:col>
      <xdr:colOff>1060105</xdr:colOff>
      <xdr:row>5</xdr:row>
      <xdr:rowOff>14294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285E800-5D61-48E5-A630-86E2B64F8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6121" y="207818"/>
          <a:ext cx="1911741" cy="7301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6C1CF-598C-4DCF-80BA-11D9474CBB12}" name="Data" displayName="Data" ref="A1:J4535" totalsRowShown="0" headerRowDxfId="10">
  <autoFilter ref="A1:J4535" xr:uid="{EA76C1CF-598C-4DCF-80BA-11D9474CBB12}"/>
  <tableColumns count="10">
    <tableColumn id="1" xr3:uid="{2F3FF356-026B-40E2-971C-5C4B4401E2DA}" name="Year"/>
    <tableColumn id="2" xr3:uid="{861F137D-ECE0-47CC-BD9C-5A07C7F1AC03}" name="Month"/>
    <tableColumn id="3" xr3:uid="{FD9DAACE-C2E0-4D30-9356-CC2FB901E586}" name="Store Name"/>
    <tableColumn id="4" xr3:uid="{460D193C-42D5-4BA2-B985-671EACBA74A6}" name="Region"/>
    <tableColumn id="5" xr3:uid="{355DE3A5-AE3A-4F96-B3BB-DC277EE6B875}" name="Store Type"/>
    <tableColumn id="6" xr3:uid="{F8A1627A-F38F-4DA3-84BD-568939517B2F}" name="Product Name"/>
    <tableColumn id="7" xr3:uid="{57C941D0-0DE9-4303-AE05-E72630AE1AA0}" name="Product Category"/>
    <tableColumn id="8" xr3:uid="{0DF73AC1-C0A6-4385-834C-350C539D4899}" name="Units Sold"/>
    <tableColumn id="9" xr3:uid="{D4AAF1E9-A5F4-49A8-9510-486C3FAD8F5D}" name="Revenue" dataDxfId="9"/>
    <tableColumn id="10" xr3:uid="{1BE73FCA-C87D-4A68-8C09-6DFFD248CEBF}" name="Profit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535"/>
  <sheetViews>
    <sheetView showGridLines="0" topLeftCell="A4254" zoomScaleNormal="100" workbookViewId="0">
      <selection activeCell="A4267" sqref="A4267:J4535"/>
    </sheetView>
  </sheetViews>
  <sheetFormatPr defaultRowHeight="14.4" x14ac:dyDescent="0.3"/>
  <cols>
    <col min="1" max="1" width="7.109375" customWidth="1"/>
    <col min="2" max="2" width="9.109375" customWidth="1"/>
    <col min="3" max="3" width="14.33203125" customWidth="1"/>
    <col min="4" max="4" width="15" customWidth="1"/>
    <col min="5" max="5" width="16.33203125" customWidth="1"/>
    <col min="6" max="6" width="20.44140625" bestFit="1" customWidth="1"/>
    <col min="7" max="7" width="18.88671875" customWidth="1"/>
    <col min="8" max="8" width="12.109375" customWidth="1"/>
    <col min="9" max="9" width="11" customWidth="1"/>
    <col min="12" max="13" width="11.44140625" bestFit="1" customWidth="1"/>
    <col min="16" max="16" width="15.44140625" bestFit="1" customWidth="1"/>
    <col min="18" max="18" width="18.33203125" bestFit="1" customWidth="1"/>
    <col min="27" max="27" width="14.33203125" customWidth="1"/>
    <col min="28" max="28" width="11.44140625" customWidth="1"/>
    <col min="32" max="33" width="14.33203125" customWidth="1"/>
    <col min="34" max="34" width="11.44140625" customWidth="1"/>
    <col min="37" max="37" width="12.33203125" bestFit="1" customWidth="1"/>
    <col min="38" max="38" width="17.6640625" bestFit="1" customWidth="1"/>
    <col min="48" max="49" width="14.33203125" customWidth="1"/>
    <col min="50" max="50" width="17.44140625" bestFit="1" customWidth="1"/>
    <col min="51" max="51" width="11.44140625" customWidth="1"/>
  </cols>
  <sheetData>
    <row r="1" spans="1:51" x14ac:dyDescent="0.3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3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3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3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3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3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3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3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3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3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3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3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3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3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3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3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3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3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3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3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3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3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3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3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3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3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3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3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3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3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3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3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3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66" si="2">_xlfn.XLOOKUP(AW35,C:C,D:D)</f>
        <v>Chicago</v>
      </c>
      <c r="AW35" t="s">
        <v>54</v>
      </c>
      <c r="AX35" t="s">
        <v>21</v>
      </c>
      <c r="AY35" s="3">
        <f t="shared" ref="AY35:AY66" si="3">SUMIFS(I:I,D:D,_xlfn.SINGLE(Region),C:C,AW35,G:G,AX35,A:A,_xlfn.SINGLE(CurYear),B:B,_xlfn.SINGLE(CurMonth))</f>
        <v>0</v>
      </c>
    </row>
    <row r="36" spans="1:51" x14ac:dyDescent="0.3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3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3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3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3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3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3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3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3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3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3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3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3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3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3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3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3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3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9188-496F-4817-BF60-7A20E3FFDBEC}">
  <dimension ref="A1:AO36"/>
  <sheetViews>
    <sheetView workbookViewId="0">
      <selection activeCell="F20" sqref="F20"/>
    </sheetView>
  </sheetViews>
  <sheetFormatPr defaultRowHeight="14.4" x14ac:dyDescent="0.3"/>
  <cols>
    <col min="1" max="1" width="19.33203125" bestFit="1" customWidth="1"/>
    <col min="2" max="2" width="8.88671875" bestFit="1" customWidth="1"/>
    <col min="5" max="5" width="13.33203125" bestFit="1" customWidth="1"/>
    <col min="10" max="10" width="9.6640625" bestFit="1" customWidth="1"/>
    <col min="15" max="15" width="11.77734375" bestFit="1" customWidth="1"/>
    <col min="17" max="17" width="11.109375" bestFit="1" customWidth="1"/>
    <col min="22" max="22" width="11.77734375" bestFit="1" customWidth="1"/>
    <col min="23" max="23" width="11.77734375" customWidth="1"/>
    <col min="25" max="25" width="11.6640625" bestFit="1" customWidth="1"/>
    <col min="31" max="31" width="15.21875" bestFit="1" customWidth="1"/>
    <col min="33" max="33" width="11.6640625" bestFit="1" customWidth="1"/>
    <col min="39" max="39" width="14.44140625" bestFit="1" customWidth="1"/>
  </cols>
  <sheetData>
    <row r="1" spans="1:41" x14ac:dyDescent="0.3">
      <c r="A1" s="16" t="s">
        <v>75</v>
      </c>
      <c r="B1" s="8"/>
      <c r="E1" s="15" t="s">
        <v>82</v>
      </c>
      <c r="F1" s="13"/>
      <c r="I1" s="15" t="s">
        <v>89</v>
      </c>
      <c r="J1" s="13"/>
      <c r="K1" s="15"/>
      <c r="L1" s="13"/>
      <c r="M1" s="15"/>
      <c r="O1" s="15" t="s">
        <v>92</v>
      </c>
      <c r="P1" s="13"/>
      <c r="Q1" s="15"/>
      <c r="R1" s="13"/>
      <c r="S1" s="15"/>
      <c r="U1" s="15" t="s">
        <v>96</v>
      </c>
      <c r="V1" s="15"/>
      <c r="W1" s="15"/>
      <c r="X1" s="15"/>
      <c r="Y1" s="15"/>
      <c r="Z1" s="15"/>
      <c r="AA1" s="15"/>
      <c r="AB1" s="15"/>
      <c r="AE1" s="15" t="s">
        <v>97</v>
      </c>
      <c r="AF1" s="15"/>
      <c r="AG1" s="15"/>
      <c r="AH1" s="15"/>
      <c r="AI1" s="15"/>
      <c r="AJ1" s="15"/>
      <c r="AL1" s="15" t="s">
        <v>102</v>
      </c>
      <c r="AM1" s="15"/>
      <c r="AN1" s="15"/>
      <c r="AO1" s="15"/>
    </row>
    <row r="2" spans="1:41" x14ac:dyDescent="0.3">
      <c r="A2" s="7" t="s">
        <v>52</v>
      </c>
      <c r="B2" s="7" t="s">
        <v>76</v>
      </c>
      <c r="E2" s="14" t="s">
        <v>83</v>
      </c>
      <c r="F2" s="12">
        <f>SUMIFS(Data[Revenue],Data[Region],Region,Data[Month],CurrentMonth,Data[Year],CurrentYear)</f>
        <v>41270.179999999986</v>
      </c>
      <c r="I2" s="17" t="s">
        <v>91</v>
      </c>
      <c r="J2" s="17" t="s">
        <v>49</v>
      </c>
      <c r="K2" s="17">
        <f>PrevYear</f>
        <v>2020</v>
      </c>
      <c r="L2" s="17">
        <f>CurrentYear</f>
        <v>2021</v>
      </c>
      <c r="M2" s="17" t="s">
        <v>76</v>
      </c>
      <c r="O2" s="5" t="s">
        <v>63</v>
      </c>
      <c r="P2" s="5" t="s">
        <v>46</v>
      </c>
      <c r="Q2" s="5" t="s">
        <v>94</v>
      </c>
      <c r="R2" s="5" t="s">
        <v>93</v>
      </c>
      <c r="S2" s="5" t="s">
        <v>95</v>
      </c>
      <c r="U2" s="5" t="s">
        <v>95</v>
      </c>
      <c r="V2" s="5" t="s">
        <v>63</v>
      </c>
      <c r="W2" s="5" t="s">
        <v>52</v>
      </c>
      <c r="X2" s="5" t="s">
        <v>46</v>
      </c>
      <c r="Y2" s="5" t="s">
        <v>94</v>
      </c>
      <c r="Z2" s="5" t="s">
        <v>93</v>
      </c>
      <c r="AA2" s="5" t="s">
        <v>76</v>
      </c>
      <c r="AB2" s="5" t="s">
        <v>76</v>
      </c>
      <c r="AE2" s="5" t="s">
        <v>98</v>
      </c>
      <c r="AF2" s="5" t="s">
        <v>46</v>
      </c>
      <c r="AG2" s="5" t="s">
        <v>94</v>
      </c>
      <c r="AH2" s="5" t="s">
        <v>99</v>
      </c>
      <c r="AI2" s="5" t="s">
        <v>100</v>
      </c>
      <c r="AJ2" s="5" t="s">
        <v>101</v>
      </c>
      <c r="AL2" s="5" t="s">
        <v>95</v>
      </c>
      <c r="AM2" s="5" t="s">
        <v>98</v>
      </c>
      <c r="AN2" s="5" t="s">
        <v>46</v>
      </c>
      <c r="AO2" s="5" t="s">
        <v>99</v>
      </c>
    </row>
    <row r="3" spans="1:41" x14ac:dyDescent="0.3">
      <c r="A3" t="s">
        <v>4</v>
      </c>
      <c r="B3" t="str">
        <f>Dashboard!C6</f>
        <v>Los Angeles</v>
      </c>
      <c r="E3" s="14" t="s">
        <v>84</v>
      </c>
      <c r="F3" s="12">
        <f>SUMIFS(Data[Revenue],Data[Region],Region,Data[Month],CurrentMonth,Data[Year],PrevYear)</f>
        <v>36202.770000000004</v>
      </c>
      <c r="I3" s="6">
        <v>1</v>
      </c>
      <c r="J3" s="6" t="s">
        <v>104</v>
      </c>
      <c r="K3" s="9">
        <f>SUMIFS(Data[[Revenue]:[Revenue]],Data[[Region]:[Region]],Region,Data[[Month]:[Month]],'Data Prep'!$I3,Data[[Year]:[Year]],'Data Prep'!K$2)</f>
        <v>37135.47</v>
      </c>
      <c r="L3" s="9">
        <f>IF(I3&gt;CurrentMonth,NA(),SUMIFS(Data[[Revenue]:[Revenue]],Data[[Region]:[Region]],Region,Data[[Month]:[Month]],'Data Prep'!$I3,Data[[Year]:[Year]],'Data Prep'!L$2))</f>
        <v>51959.660000000011</v>
      </c>
      <c r="M3" t="e">
        <f t="shared" ref="M3:M14" si="0">IF(I3=CurrentMonth,L3,NA())</f>
        <v>#N/A</v>
      </c>
      <c r="O3" t="s">
        <v>59</v>
      </c>
      <c r="P3" s="9">
        <f>SUMIFS(Data[Revenue],Data[Store Name],$O3,Data[Month],CurrentMonth,Data[Year],CurrentYear)</f>
        <v>7938.76</v>
      </c>
      <c r="Q3" s="9">
        <f>SUMIFS(Data[Revenue],Data[Store Name],$O3,Data[Month],PrevMonth,Data[Year],PMYear)</f>
        <v>12894.550000000001</v>
      </c>
      <c r="R3" s="10">
        <f t="shared" ref="R3:R12" si="1">P3/Q3-1</f>
        <v>-0.38433214032284957</v>
      </c>
      <c r="S3">
        <f>_xlfn.RANK.AVG(P3,$P$3:$P$12,1)</f>
        <v>1</v>
      </c>
      <c r="U3">
        <v>1</v>
      </c>
      <c r="V3" t="str">
        <f>INDEX($O$3:$R$12,MATCH($U3,$S$3:$S$12,0),MATCH(V$2,$O$2:$R$2,0))</f>
        <v>Hollywood</v>
      </c>
      <c r="W3" t="str">
        <f>VLOOKUP(V3,Data[[Store Name]:[Region]],2,FALSE)</f>
        <v>Los Angeles</v>
      </c>
      <c r="X3">
        <f>INDEX($O$3:$R$12,MATCH($U3,$S$3:$S$12,0),MATCH(X$2,$O$2:$R$2,0))</f>
        <v>7938.76</v>
      </c>
      <c r="Y3" s="9">
        <f t="shared" ref="Y3:Z3" si="2">INDEX($O$3:$R$12,MATCH($U3,$S$3:$S$12,0),MATCH(Y$2,$O$2:$R$2,0))</f>
        <v>12894.550000000001</v>
      </c>
      <c r="Z3" s="18">
        <f t="shared" si="2"/>
        <v>-0.38433214032284957</v>
      </c>
      <c r="AA3" s="9">
        <f t="shared" ref="AA3:AA12" si="3">IF($W3=Region,X3,0)</f>
        <v>7938.76</v>
      </c>
      <c r="AB3" s="18">
        <f t="shared" ref="AB3:AB12" si="4">IF($W3=Region,Z3,0)</f>
        <v>-0.38433214032284957</v>
      </c>
      <c r="AE3" t="s">
        <v>13</v>
      </c>
      <c r="AF3" s="9">
        <f>SUMIFS(Data[Revenue],Data[Region],Region,Data[Product Name],$AE3,Data[Month],CurrentMonth,Data[Year],CurrentYear)</f>
        <v>1087.3200000000002</v>
      </c>
      <c r="AG3" s="9">
        <f>SUMIFS(Data[Revenue],Data[Region],Region,Data[Product Name],$AE3,Data[Month],PrevMonth,Data[Year],PMYear)</f>
        <v>1630.98</v>
      </c>
      <c r="AH3" s="9">
        <f>AF3- AG3</f>
        <v>-543.65999999999985</v>
      </c>
      <c r="AI3">
        <f>_xlfn.RANK.AVG(AH3,$AH$3:$AH$36,0)</f>
        <v>21</v>
      </c>
      <c r="AJ3">
        <f>_xlfn.RANK.AVG(AH3,$AH$3:$AH$36,1)</f>
        <v>14</v>
      </c>
      <c r="AL3">
        <v>1</v>
      </c>
      <c r="AM3" t="str">
        <f>INDEX($AE$3:$AH$36,MATCH($AL3,$AI$3:$AI$36,0),MATCH(AM$2,$AE$2:$AH$2,0))</f>
        <v>Deck Of Cards</v>
      </c>
      <c r="AN3" s="9">
        <f t="shared" ref="AN3:AO3" si="5">INDEX($AE$3:$AH$36,MATCH($AL3,$AI$3:$AI$36,0),MATCH(AN$2,$AE$2:$AH$2,0))</f>
        <v>2006.13</v>
      </c>
      <c r="AO3" s="9">
        <f t="shared" si="5"/>
        <v>503.2800000000002</v>
      </c>
    </row>
    <row r="4" spans="1:41" x14ac:dyDescent="0.3">
      <c r="A4" t="s">
        <v>5</v>
      </c>
      <c r="E4" s="14" t="s">
        <v>85</v>
      </c>
      <c r="F4" s="12">
        <f>SUMIFS(Data[Revenue],Data[Region],Region,Data[Month],PrevMonth,Data[Year],PMYear)</f>
        <v>59782.98000000001</v>
      </c>
      <c r="I4" s="6">
        <v>2</v>
      </c>
      <c r="J4" s="6" t="s">
        <v>105</v>
      </c>
      <c r="K4" s="9">
        <f>SUMIFS(Data[[Revenue]:[Revenue]],Data[[Region]:[Region]],Region,Data[[Month]:[Month]],'Data Prep'!$I4,Data[[Year]:[Year]],'Data Prep'!K$2)</f>
        <v>31324.390000000007</v>
      </c>
      <c r="L4" s="9">
        <f>IF(I4&gt;CurrentMonth,NA(),SUMIFS(Data[[Revenue]:[Revenue]],Data[[Region]:[Region]],Region,Data[[Month]:[Month]],'Data Prep'!$I4,Data[[Year]:[Year]],'Data Prep'!L$2))</f>
        <v>53726.850000000006</v>
      </c>
      <c r="M4" t="e">
        <f t="shared" si="0"/>
        <v>#N/A</v>
      </c>
      <c r="O4" t="s">
        <v>56</v>
      </c>
      <c r="P4" s="9">
        <f>SUMIFS(Data[Revenue],Data[Store Name],$O4,Data[Month],CurrentMonth,Data[Year],CurrentYear)</f>
        <v>11411.519999999999</v>
      </c>
      <c r="Q4" s="9">
        <f>SUMIFS(Data[Revenue],Data[Store Name],$O4,Data[Month],PrevMonth,Data[Year],PMYear)</f>
        <v>14836.320000000002</v>
      </c>
      <c r="R4" s="10">
        <f t="shared" si="1"/>
        <v>-0.2308389142321009</v>
      </c>
      <c r="S4">
        <f t="shared" ref="S4:S12" si="6">_xlfn.RANK.AVG(P4,$P$3:$P$12,1)</f>
        <v>3</v>
      </c>
      <c r="U4">
        <v>2</v>
      </c>
      <c r="V4" t="str">
        <f t="shared" ref="V4:Z12" si="7">INDEX($O$3:$R$12,MATCH($U4,$S$3:$S$12,0),MATCH(V$2,$O$2:$R$2,0))</f>
        <v>Michigan Ave</v>
      </c>
      <c r="W4" t="str">
        <f>VLOOKUP(V4,Data[[Store Name]:[Region]],2,FALSE)</f>
        <v>Chicago</v>
      </c>
      <c r="X4">
        <f t="shared" si="7"/>
        <v>10132.16</v>
      </c>
      <c r="Y4" s="9">
        <f t="shared" si="7"/>
        <v>16131.78</v>
      </c>
      <c r="Z4" s="18">
        <f t="shared" si="7"/>
        <v>-0.37191308088754005</v>
      </c>
      <c r="AA4" s="9">
        <f t="shared" si="3"/>
        <v>0</v>
      </c>
      <c r="AB4" s="18">
        <f t="shared" si="4"/>
        <v>0</v>
      </c>
      <c r="AE4" t="s">
        <v>24</v>
      </c>
      <c r="AF4" s="9">
        <f>SUMIFS(Data[Revenue],Data[Region],Region,Data[Product Name],$AE4,Data[Month],CurrentMonth,Data[Year],CurrentYear)</f>
        <v>2805.84</v>
      </c>
      <c r="AG4" s="9">
        <f>SUMIFS(Data[Revenue],Data[Region],Region,Data[Product Name],$AE4,Data[Month],PrevMonth,Data[Year],PMYear)</f>
        <v>2403.1499999999996</v>
      </c>
      <c r="AH4" s="9">
        <f t="shared" ref="AH4:AH36" si="8">AF4- AG4</f>
        <v>402.69000000000051</v>
      </c>
      <c r="AI4">
        <f t="shared" ref="AI4:AI36" si="9">_xlfn.RANK.AVG(AH4,$AH$3:$AH$36,0)</f>
        <v>2</v>
      </c>
      <c r="AJ4">
        <f t="shared" ref="AJ4:AJ36" si="10">_xlfn.RANK.AVG(AH4,$AH$3:$AH$36,1)</f>
        <v>33</v>
      </c>
      <c r="AL4">
        <v>2</v>
      </c>
      <c r="AM4" t="str">
        <f t="shared" ref="AM4:AO8" si="11">INDEX($AE$3:$AH$36,MATCH($AL4,$AI$3:$AI$36,0),MATCH(AM$2,$AE$2:$AH$2,0))</f>
        <v>Animal Figures</v>
      </c>
      <c r="AN4" s="9">
        <f t="shared" si="11"/>
        <v>2805.84</v>
      </c>
      <c r="AO4" s="9">
        <f t="shared" si="11"/>
        <v>402.69000000000051</v>
      </c>
    </row>
    <row r="5" spans="1:41" x14ac:dyDescent="0.3">
      <c r="A5" t="s">
        <v>48</v>
      </c>
      <c r="E5" s="14" t="s">
        <v>87</v>
      </c>
      <c r="F5" s="19">
        <f>F2/F3-1</f>
        <v>0.13997299101698513</v>
      </c>
      <c r="G5" s="9"/>
      <c r="I5" s="6">
        <v>3</v>
      </c>
      <c r="J5" s="6" t="s">
        <v>106</v>
      </c>
      <c r="K5" s="9">
        <f>SUMIFS(Data[[Revenue]:[Revenue]],Data[[Region]:[Region]],Region,Data[[Month]:[Month]],'Data Prep'!$I5,Data[[Year]:[Year]],'Data Prep'!K$2)</f>
        <v>38310.149999999987</v>
      </c>
      <c r="L5" s="9">
        <f>IF(I5&gt;CurrentMonth,NA(),SUMIFS(Data[[Revenue]:[Revenue]],Data[[Region]:[Region]],Region,Data[[Month]:[Month]],'Data Prep'!$I5,Data[[Year]:[Year]],'Data Prep'!L$2))</f>
        <v>53604.229999999989</v>
      </c>
      <c r="M5" t="e">
        <f t="shared" si="0"/>
        <v>#N/A</v>
      </c>
      <c r="O5" t="s">
        <v>54</v>
      </c>
      <c r="P5" s="9">
        <f>SUMIFS(Data[Revenue],Data[Store Name],$O5,Data[Month],CurrentMonth,Data[Year],CurrentYear)</f>
        <v>10132.16</v>
      </c>
      <c r="Q5" s="9">
        <f>SUMIFS(Data[Revenue],Data[Store Name],$O5,Data[Month],PrevMonth,Data[Year],PMYear)</f>
        <v>16131.78</v>
      </c>
      <c r="R5" s="10">
        <f t="shared" si="1"/>
        <v>-0.37191308088754005</v>
      </c>
      <c r="S5">
        <f t="shared" si="6"/>
        <v>2</v>
      </c>
      <c r="U5">
        <v>3</v>
      </c>
      <c r="V5" t="str">
        <f t="shared" si="7"/>
        <v>Beverly Hills</v>
      </c>
      <c r="W5" t="str">
        <f>VLOOKUP(V5,Data[[Store Name]:[Region]],2,FALSE)</f>
        <v>Los Angeles</v>
      </c>
      <c r="X5">
        <f t="shared" si="7"/>
        <v>11411.519999999999</v>
      </c>
      <c r="Y5" s="9">
        <f t="shared" si="7"/>
        <v>14836.320000000002</v>
      </c>
      <c r="Z5" s="18">
        <f t="shared" si="7"/>
        <v>-0.2308389142321009</v>
      </c>
      <c r="AA5" s="9">
        <f t="shared" si="3"/>
        <v>11411.519999999999</v>
      </c>
      <c r="AB5" s="18">
        <f t="shared" si="4"/>
        <v>-0.2308389142321009</v>
      </c>
      <c r="AE5" t="s">
        <v>18</v>
      </c>
      <c r="AF5" s="9">
        <f>SUMIFS(Data[Revenue],Data[Region],Region,Data[Product Name],$AE5,Data[Month],CurrentMonth,Data[Year],CurrentYear)</f>
        <v>0</v>
      </c>
      <c r="AG5" s="9">
        <f>SUMIFS(Data[Revenue],Data[Region],Region,Data[Product Name],$AE5,Data[Month],PrevMonth,Data[Year],PMYear)</f>
        <v>116.91</v>
      </c>
      <c r="AH5" s="9">
        <f t="shared" si="8"/>
        <v>-116.91</v>
      </c>
      <c r="AI5">
        <f t="shared" si="9"/>
        <v>14</v>
      </c>
      <c r="AJ5">
        <f t="shared" si="10"/>
        <v>21</v>
      </c>
      <c r="AL5">
        <v>3</v>
      </c>
      <c r="AM5" t="str">
        <f t="shared" si="11"/>
        <v>Monopoly</v>
      </c>
      <c r="AN5" s="9">
        <f t="shared" si="11"/>
        <v>359.82</v>
      </c>
      <c r="AO5" s="9">
        <f t="shared" si="11"/>
        <v>359.82</v>
      </c>
    </row>
    <row r="6" spans="1:41" x14ac:dyDescent="0.3">
      <c r="E6" s="14" t="s">
        <v>88</v>
      </c>
      <c r="F6" s="19">
        <f>F2/F4-1</f>
        <v>-0.30966673123353872</v>
      </c>
      <c r="I6" s="6">
        <v>4</v>
      </c>
      <c r="J6" s="6" t="s">
        <v>111</v>
      </c>
      <c r="K6" s="9">
        <f>SUMIFS(Data[[Revenue]:[Revenue]],Data[[Region]:[Region]],Region,Data[[Month]:[Month]],'Data Prep'!$I6,Data[[Year]:[Year]],'Data Prep'!K$2)</f>
        <v>43124.819999999992</v>
      </c>
      <c r="L6" s="9">
        <f>IF(I6&gt;CurrentMonth,NA(),SUMIFS(Data[[Revenue]:[Revenue]],Data[[Region]:[Region]],Region,Data[[Month]:[Month]],'Data Prep'!$I6,Data[[Year]:[Year]],'Data Prep'!L$2))</f>
        <v>50597.080000000009</v>
      </c>
      <c r="M6" t="e">
        <f t="shared" si="0"/>
        <v>#N/A</v>
      </c>
      <c r="O6" t="s">
        <v>55</v>
      </c>
      <c r="P6" s="9">
        <f>SUMIFS(Data[Revenue],Data[Store Name],$O6,Data[Month],CurrentMonth,Data[Year],CurrentYear)</f>
        <v>15332.379999999996</v>
      </c>
      <c r="Q6" s="9">
        <f>SUMIFS(Data[Revenue],Data[Store Name],$O6,Data[Month],PrevMonth,Data[Year],PMYear)</f>
        <v>20890.14</v>
      </c>
      <c r="R6" s="10">
        <f t="shared" si="1"/>
        <v>-0.26604704420362923</v>
      </c>
      <c r="S6">
        <f t="shared" si="6"/>
        <v>5</v>
      </c>
      <c r="U6">
        <v>4</v>
      </c>
      <c r="V6" t="str">
        <f t="shared" si="7"/>
        <v>JFK</v>
      </c>
      <c r="W6" t="str">
        <f>VLOOKUP(V6,Data[[Store Name]:[Region]],2,FALSE)</f>
        <v>New York</v>
      </c>
      <c r="X6">
        <f t="shared" si="7"/>
        <v>13127.479999999996</v>
      </c>
      <c r="Y6" s="9">
        <f t="shared" si="7"/>
        <v>24068.03</v>
      </c>
      <c r="Z6" s="18">
        <f t="shared" si="7"/>
        <v>-0.45456773986071997</v>
      </c>
      <c r="AA6" s="9">
        <f t="shared" si="3"/>
        <v>0</v>
      </c>
      <c r="AB6" s="18">
        <f t="shared" si="4"/>
        <v>0</v>
      </c>
      <c r="AE6" t="s">
        <v>30</v>
      </c>
      <c r="AF6" s="9">
        <f>SUMIFS(Data[Revenue],Data[Region],Region,Data[Product Name],$AE6,Data[Month],CurrentMonth,Data[Year],CurrentYear)</f>
        <v>0</v>
      </c>
      <c r="AG6" s="9">
        <f>SUMIFS(Data[Revenue],Data[Region],Region,Data[Product Name],$AE6,Data[Month],PrevMonth,Data[Year],PMYear)</f>
        <v>0</v>
      </c>
      <c r="AH6" s="9">
        <f t="shared" si="8"/>
        <v>0</v>
      </c>
      <c r="AI6">
        <f t="shared" si="9"/>
        <v>8</v>
      </c>
      <c r="AJ6">
        <f t="shared" si="10"/>
        <v>27</v>
      </c>
      <c r="AL6">
        <v>4</v>
      </c>
      <c r="AM6" t="str">
        <f t="shared" si="11"/>
        <v>Nerf Gun</v>
      </c>
      <c r="AN6" s="9">
        <f t="shared" si="11"/>
        <v>2498.7499999999995</v>
      </c>
      <c r="AO6" s="9">
        <f t="shared" si="11"/>
        <v>159.91999999999962</v>
      </c>
    </row>
    <row r="7" spans="1:41" x14ac:dyDescent="0.3">
      <c r="I7" s="6">
        <v>5</v>
      </c>
      <c r="J7" s="6" t="s">
        <v>106</v>
      </c>
      <c r="K7" s="9">
        <f>SUMIFS(Data[[Revenue]:[Revenue]],Data[[Region]:[Region]],Region,Data[[Month]:[Month]],'Data Prep'!$I7,Data[[Year]:[Year]],'Data Prep'!K$2)</f>
        <v>48602.219999999994</v>
      </c>
      <c r="L7" s="9">
        <f>IF(I7&gt;CurrentMonth,NA(),SUMIFS(Data[[Revenue]:[Revenue]],Data[[Region]:[Region]],Region,Data[[Month]:[Month]],'Data Prep'!$I7,Data[[Year]:[Year]],'Data Prep'!L$2))</f>
        <v>66944.169999999984</v>
      </c>
      <c r="M7" t="e">
        <f t="shared" si="0"/>
        <v>#N/A</v>
      </c>
      <c r="O7" t="s">
        <v>53</v>
      </c>
      <c r="P7" s="9">
        <f>SUMIFS(Data[Revenue],Data[Store Name],$O7,Data[Month],CurrentMonth,Data[Year],CurrentYear)</f>
        <v>17049.52</v>
      </c>
      <c r="Q7" s="9">
        <f>SUMIFS(Data[Revenue],Data[Store Name],$O7,Data[Month],PrevMonth,Data[Year],PMYear)</f>
        <v>21829.790000000008</v>
      </c>
      <c r="R7" s="10">
        <f t="shared" si="1"/>
        <v>-0.21897920227359058</v>
      </c>
      <c r="S7">
        <f t="shared" si="6"/>
        <v>6</v>
      </c>
      <c r="U7">
        <v>5</v>
      </c>
      <c r="V7" t="str">
        <f t="shared" si="7"/>
        <v>Millenium</v>
      </c>
      <c r="W7" t="str">
        <f>VLOOKUP(V7,Data[[Store Name]:[Region]],2,FALSE)</f>
        <v>Chicago</v>
      </c>
      <c r="X7">
        <f t="shared" si="7"/>
        <v>15332.379999999996</v>
      </c>
      <c r="Y7" s="9">
        <f t="shared" si="7"/>
        <v>20890.14</v>
      </c>
      <c r="Z7" s="18">
        <f t="shared" si="7"/>
        <v>-0.26604704420362923</v>
      </c>
      <c r="AA7" s="9">
        <f t="shared" si="3"/>
        <v>0</v>
      </c>
      <c r="AB7" s="18">
        <f t="shared" si="4"/>
        <v>0</v>
      </c>
      <c r="AE7" t="s">
        <v>20</v>
      </c>
      <c r="AF7" s="9">
        <f>SUMIFS(Data[Revenue],Data[Region],Region,Data[Product Name],$AE7,Data[Month],CurrentMonth,Data[Year],CurrentYear)</f>
        <v>4377.08</v>
      </c>
      <c r="AG7" s="9">
        <f>SUMIFS(Data[Revenue],Data[Region],Region,Data[Product Name],$AE7,Data[Month],PrevMonth,Data[Year],PMYear)</f>
        <v>5291.47</v>
      </c>
      <c r="AH7" s="9">
        <f t="shared" si="8"/>
        <v>-914.39000000000033</v>
      </c>
      <c r="AI7">
        <f t="shared" si="9"/>
        <v>26</v>
      </c>
      <c r="AJ7">
        <f t="shared" si="10"/>
        <v>9</v>
      </c>
      <c r="AL7">
        <v>5</v>
      </c>
      <c r="AM7" t="str">
        <f t="shared" si="11"/>
        <v>Dino Egg</v>
      </c>
      <c r="AN7" s="9">
        <f t="shared" si="11"/>
        <v>3901.45</v>
      </c>
      <c r="AO7" s="9">
        <f t="shared" si="11"/>
        <v>32.9699999999998</v>
      </c>
    </row>
    <row r="8" spans="1:41" x14ac:dyDescent="0.3">
      <c r="I8" s="6">
        <v>6</v>
      </c>
      <c r="J8" s="6" t="s">
        <v>104</v>
      </c>
      <c r="K8" s="9">
        <f>SUMIFS(Data[[Revenue]:[Revenue]],Data[[Region]:[Region]],Region,Data[[Month]:[Month]],'Data Prep'!$I8,Data[[Year]:[Year]],'Data Prep'!K$2)</f>
        <v>42487.139999999992</v>
      </c>
      <c r="L8" s="9">
        <f>IF(I8&gt;CurrentMonth,NA(),SUMIFS(Data[[Revenue]:[Revenue]],Data[[Region]:[Region]],Region,Data[[Month]:[Month]],'Data Prep'!$I8,Data[[Year]:[Year]],'Data Prep'!L$2))</f>
        <v>46196.220000000008</v>
      </c>
      <c r="M8" t="e">
        <f t="shared" si="0"/>
        <v>#N/A</v>
      </c>
      <c r="O8" t="s">
        <v>58</v>
      </c>
      <c r="P8" s="9">
        <f>SUMIFS(Data[Revenue],Data[Store Name],$O8,Data[Month],CurrentMonth,Data[Year],CurrentYear)</f>
        <v>18815.63</v>
      </c>
      <c r="Q8" s="9">
        <f>SUMIFS(Data[Revenue],Data[Store Name],$O8,Data[Month],PrevMonth,Data[Year],PMYear)</f>
        <v>22152.709999999995</v>
      </c>
      <c r="R8" s="10">
        <f t="shared" si="1"/>
        <v>-0.15063980885408579</v>
      </c>
      <c r="S8">
        <f t="shared" si="6"/>
        <v>8</v>
      </c>
      <c r="U8">
        <v>6</v>
      </c>
      <c r="V8" t="str">
        <f t="shared" si="7"/>
        <v>Lincoln Park</v>
      </c>
      <c r="W8" t="str">
        <f>VLOOKUP(V8,Data[[Store Name]:[Region]],2,FALSE)</f>
        <v>Chicago</v>
      </c>
      <c r="X8">
        <f t="shared" si="7"/>
        <v>17049.52</v>
      </c>
      <c r="Y8" s="9">
        <f t="shared" si="7"/>
        <v>21829.790000000008</v>
      </c>
      <c r="Z8" s="18">
        <f t="shared" si="7"/>
        <v>-0.21897920227359058</v>
      </c>
      <c r="AA8" s="9">
        <f t="shared" si="3"/>
        <v>0</v>
      </c>
      <c r="AB8" s="18">
        <f t="shared" si="4"/>
        <v>0</v>
      </c>
      <c r="AE8" t="s">
        <v>25</v>
      </c>
      <c r="AF8" s="9">
        <f>SUMIFS(Data[Revenue],Data[Region],Region,Data[Product Name],$AE8,Data[Month],CurrentMonth,Data[Year],CurrentYear)</f>
        <v>1263.21</v>
      </c>
      <c r="AG8" s="9">
        <f>SUMIFS(Data[Revenue],Data[Region],Region,Data[Product Name],$AE8,Data[Month],PrevMonth,Data[Year],PMYear)</f>
        <v>1295.19</v>
      </c>
      <c r="AH8" s="9">
        <f t="shared" si="8"/>
        <v>-31.980000000000018</v>
      </c>
      <c r="AI8">
        <f t="shared" si="9"/>
        <v>11</v>
      </c>
      <c r="AJ8">
        <f t="shared" si="10"/>
        <v>24</v>
      </c>
      <c r="AL8">
        <v>6</v>
      </c>
      <c r="AM8" t="str">
        <f t="shared" si="11"/>
        <v>Mr. Potatohead</v>
      </c>
      <c r="AN8" s="9">
        <f t="shared" si="11"/>
        <v>439.56</v>
      </c>
      <c r="AO8" s="9">
        <f t="shared" si="11"/>
        <v>29.970000000000027</v>
      </c>
    </row>
    <row r="9" spans="1:41" x14ac:dyDescent="0.3">
      <c r="I9" s="6">
        <v>7</v>
      </c>
      <c r="J9" s="6" t="s">
        <v>104</v>
      </c>
      <c r="K9" s="9">
        <f>SUMIFS(Data[[Revenue]:[Revenue]],Data[[Region]:[Region]],Region,Data[[Month]:[Month]],'Data Prep'!$I9,Data[[Year]:[Year]],'Data Prep'!K$2)</f>
        <v>44643.76</v>
      </c>
      <c r="L9" s="9">
        <f>IF(I9&gt;CurrentMonth,NA(),SUMIFS(Data[[Revenue]:[Revenue]],Data[[Region]:[Region]],Region,Data[[Month]:[Month]],'Data Prep'!$I9,Data[[Year]:[Year]],'Data Prep'!L$2))</f>
        <v>59782.98000000001</v>
      </c>
      <c r="M9" t="e">
        <f t="shared" si="0"/>
        <v>#N/A</v>
      </c>
      <c r="O9" t="s">
        <v>62</v>
      </c>
      <c r="P9" s="9">
        <f>SUMIFS(Data[Revenue],Data[Store Name],$O9,Data[Month],CurrentMonth,Data[Year],CurrentYear)</f>
        <v>17895.43</v>
      </c>
      <c r="Q9" s="9">
        <f>SUMIFS(Data[Revenue],Data[Store Name],$O9,Data[Month],PrevMonth,Data[Year],PMYear)</f>
        <v>22817.06</v>
      </c>
      <c r="R9" s="10">
        <f t="shared" si="1"/>
        <v>-0.21569956865608453</v>
      </c>
      <c r="S9">
        <f t="shared" si="6"/>
        <v>7</v>
      </c>
      <c r="U9">
        <v>7</v>
      </c>
      <c r="V9" t="str">
        <f t="shared" si="7"/>
        <v>Times Square</v>
      </c>
      <c r="W9" t="str">
        <f>VLOOKUP(V9,Data[[Store Name]:[Region]],2,FALSE)</f>
        <v>New York</v>
      </c>
      <c r="X9">
        <f t="shared" si="7"/>
        <v>17895.43</v>
      </c>
      <c r="Y9" s="9">
        <f t="shared" si="7"/>
        <v>22817.06</v>
      </c>
      <c r="Z9" s="18">
        <f t="shared" si="7"/>
        <v>-0.21569956865608453</v>
      </c>
      <c r="AA9" s="9">
        <f t="shared" si="3"/>
        <v>0</v>
      </c>
      <c r="AB9" s="18">
        <f t="shared" si="4"/>
        <v>0</v>
      </c>
      <c r="AE9" t="s">
        <v>8</v>
      </c>
      <c r="AF9" s="9">
        <f>SUMIFS(Data[Revenue],Data[Region],Region,Data[Product Name],$AE9,Data[Month],CurrentMonth,Data[Year],CurrentYear)</f>
        <v>2006.13</v>
      </c>
      <c r="AG9" s="9">
        <f>SUMIFS(Data[Revenue],Data[Region],Region,Data[Product Name],$AE9,Data[Month],PrevMonth,Data[Year],PMYear)</f>
        <v>1502.85</v>
      </c>
      <c r="AH9" s="9">
        <f t="shared" si="8"/>
        <v>503.2800000000002</v>
      </c>
      <c r="AI9">
        <f t="shared" si="9"/>
        <v>1</v>
      </c>
      <c r="AJ9">
        <f t="shared" si="10"/>
        <v>34</v>
      </c>
    </row>
    <row r="10" spans="1:41" x14ac:dyDescent="0.3">
      <c r="I10" s="6">
        <v>8</v>
      </c>
      <c r="J10" s="6" t="s">
        <v>111</v>
      </c>
      <c r="K10" s="9">
        <f>SUMIFS(Data[[Revenue]:[Revenue]],Data[[Region]:[Region]],Region,Data[[Month]:[Month]],'Data Prep'!$I10,Data[[Year]:[Year]],'Data Prep'!K$2)</f>
        <v>36202.770000000004</v>
      </c>
      <c r="L10" s="9">
        <f>IF(I10&gt;CurrentMonth,NA(),SUMIFS(Data[[Revenue]:[Revenue]],Data[[Region]:[Region]],Region,Data[[Month]:[Month]],'Data Prep'!$I10,Data[[Year]:[Year]],'Data Prep'!L$2))</f>
        <v>41270.179999999986</v>
      </c>
      <c r="M10">
        <f t="shared" si="0"/>
        <v>41270.179999999986</v>
      </c>
      <c r="O10" t="s">
        <v>60</v>
      </c>
      <c r="P10" s="9">
        <f>SUMIFS(Data[Revenue],Data[Store Name],$O10,Data[Month],CurrentMonth,Data[Year],CurrentYear)</f>
        <v>13127.479999999996</v>
      </c>
      <c r="Q10" s="9">
        <f>SUMIFS(Data[Revenue],Data[Store Name],$O10,Data[Month],PrevMonth,Data[Year],PMYear)</f>
        <v>24068.03</v>
      </c>
      <c r="R10" s="10">
        <f t="shared" si="1"/>
        <v>-0.45456773986071997</v>
      </c>
      <c r="S10">
        <f t="shared" si="6"/>
        <v>4</v>
      </c>
      <c r="U10">
        <v>8</v>
      </c>
      <c r="V10" t="str">
        <f t="shared" si="7"/>
        <v>Fifth Avenue</v>
      </c>
      <c r="W10" t="str">
        <f>VLOOKUP(V10,Data[[Store Name]:[Region]],2,FALSE)</f>
        <v>New York</v>
      </c>
      <c r="X10">
        <f t="shared" si="7"/>
        <v>18815.63</v>
      </c>
      <c r="Y10" s="9">
        <f t="shared" si="7"/>
        <v>22152.709999999995</v>
      </c>
      <c r="Z10" s="18">
        <f t="shared" si="7"/>
        <v>-0.15063980885408579</v>
      </c>
      <c r="AA10" s="9">
        <f t="shared" si="3"/>
        <v>0</v>
      </c>
      <c r="AB10" s="18">
        <f t="shared" si="4"/>
        <v>0</v>
      </c>
      <c r="AE10" t="s">
        <v>17</v>
      </c>
      <c r="AF10" s="9">
        <f>SUMIFS(Data[Revenue],Data[Region],Region,Data[Product Name],$AE10,Data[Month],CurrentMonth,Data[Year],CurrentYear)</f>
        <v>3901.45</v>
      </c>
      <c r="AG10" s="9">
        <f>SUMIFS(Data[Revenue],Data[Region],Region,Data[Product Name],$AE10,Data[Month],PrevMonth,Data[Year],PMYear)</f>
        <v>3868.48</v>
      </c>
      <c r="AH10" s="9">
        <f t="shared" si="8"/>
        <v>32.9699999999998</v>
      </c>
      <c r="AI10">
        <f t="shared" si="9"/>
        <v>5</v>
      </c>
      <c r="AJ10">
        <f t="shared" si="10"/>
        <v>30</v>
      </c>
    </row>
    <row r="11" spans="1:41" x14ac:dyDescent="0.3">
      <c r="A11" s="16" t="s">
        <v>77</v>
      </c>
      <c r="B11" s="8"/>
      <c r="I11" s="6">
        <v>9</v>
      </c>
      <c r="J11" s="6" t="s">
        <v>107</v>
      </c>
      <c r="K11" s="9">
        <f>SUMIFS(Data[[Revenue]:[Revenue]],Data[[Region]:[Region]],Region,Data[[Month]:[Month]],'Data Prep'!$I11,Data[[Year]:[Year]],'Data Prep'!K$2)</f>
        <v>34881.53</v>
      </c>
      <c r="L11" s="9" t="e">
        <f>IF(I11&gt;CurrentMonth,NA(),SUMIFS(Data[[Revenue]:[Revenue]],Data[[Region]:[Region]],Region,Data[[Month]:[Month]],'Data Prep'!$I11,Data[[Year]:[Year]],'Data Prep'!L$2))</f>
        <v>#N/A</v>
      </c>
      <c r="M11" t="e">
        <f t="shared" si="0"/>
        <v>#N/A</v>
      </c>
      <c r="O11" t="s">
        <v>61</v>
      </c>
      <c r="P11" s="9">
        <f>SUMIFS(Data[Revenue],Data[Store Name],$O11,Data[Month],CurrentMonth,Data[Year],CurrentYear)</f>
        <v>21919.900000000005</v>
      </c>
      <c r="Q11" s="9">
        <f>SUMIFS(Data[Revenue],Data[Store Name],$O11,Data[Month],PrevMonth,Data[Year],PMYear)</f>
        <v>32052.109999999993</v>
      </c>
      <c r="R11" s="10">
        <f t="shared" si="1"/>
        <v>-0.31611678607118188</v>
      </c>
      <c r="S11">
        <f t="shared" si="6"/>
        <v>9</v>
      </c>
      <c r="U11">
        <v>9</v>
      </c>
      <c r="V11" t="str">
        <f t="shared" si="7"/>
        <v>LAX</v>
      </c>
      <c r="W11" t="str">
        <f>VLOOKUP(V11,Data[[Store Name]:[Region]],2,FALSE)</f>
        <v>Los Angeles</v>
      </c>
      <c r="X11">
        <f t="shared" si="7"/>
        <v>21919.900000000005</v>
      </c>
      <c r="Y11" s="9">
        <f t="shared" si="7"/>
        <v>32052.109999999993</v>
      </c>
      <c r="Z11" s="18">
        <f t="shared" si="7"/>
        <v>-0.31611678607118188</v>
      </c>
      <c r="AA11" s="9">
        <f t="shared" si="3"/>
        <v>21919.900000000005</v>
      </c>
      <c r="AB11" s="18">
        <f t="shared" si="4"/>
        <v>-0.31611678607118188</v>
      </c>
      <c r="AE11" t="s">
        <v>28</v>
      </c>
      <c r="AF11" s="9">
        <f>SUMIFS(Data[Revenue],Data[Region],Region,Data[Product Name],$AE11,Data[Month],CurrentMonth,Data[Year],CurrentYear)</f>
        <v>1469.02</v>
      </c>
      <c r="AG11" s="9">
        <f>SUMIFS(Data[Revenue],Data[Region],Region,Data[Product Name],$AE11,Data[Month],PrevMonth,Data[Year],PMYear)</f>
        <v>2623.25</v>
      </c>
      <c r="AH11" s="9">
        <f t="shared" si="8"/>
        <v>-1154.23</v>
      </c>
      <c r="AI11">
        <f t="shared" si="9"/>
        <v>28</v>
      </c>
      <c r="AJ11">
        <f t="shared" si="10"/>
        <v>7</v>
      </c>
      <c r="AL11" s="15" t="s">
        <v>103</v>
      </c>
      <c r="AM11" s="15"/>
      <c r="AN11" s="15"/>
      <c r="AO11" s="15"/>
    </row>
    <row r="12" spans="1:41" x14ac:dyDescent="0.3">
      <c r="A12" s="7" t="s">
        <v>78</v>
      </c>
      <c r="B12" s="11">
        <f>MAX(Data[Year])</f>
        <v>2021</v>
      </c>
      <c r="I12" s="6">
        <v>10</v>
      </c>
      <c r="J12" s="6" t="s">
        <v>108</v>
      </c>
      <c r="K12" s="9">
        <f>SUMIFS(Data[[Revenue]:[Revenue]],Data[[Region]:[Region]],Region,Data[[Month]:[Month]],'Data Prep'!$I12,Data[[Year]:[Year]],'Data Prep'!K$2)</f>
        <v>43505.939999999995</v>
      </c>
      <c r="L12" s="9" t="e">
        <f>IF(I12&gt;CurrentMonth,NA(),SUMIFS(Data[[Revenue]:[Revenue]],Data[[Region]:[Region]],Region,Data[[Month]:[Month]],'Data Prep'!$I12,Data[[Year]:[Year]],'Data Prep'!L$2))</f>
        <v>#N/A</v>
      </c>
      <c r="M12" t="e">
        <f t="shared" si="0"/>
        <v>#N/A</v>
      </c>
      <c r="O12" t="s">
        <v>57</v>
      </c>
      <c r="P12" s="9">
        <f>SUMIFS(Data[Revenue],Data[Store Name],$O12,Data[Month],CurrentMonth,Data[Year],CurrentYear)</f>
        <v>27284.929999999993</v>
      </c>
      <c r="Q12" s="9">
        <f>SUMIFS(Data[Revenue],Data[Store Name],$O12,Data[Month],PrevMonth,Data[Year],PMYear)</f>
        <v>36101.759999999995</v>
      </c>
      <c r="R12" s="10">
        <f t="shared" si="1"/>
        <v>-0.2442216113563439</v>
      </c>
      <c r="S12">
        <f t="shared" si="6"/>
        <v>10</v>
      </c>
      <c r="U12">
        <v>10</v>
      </c>
      <c r="V12" t="str">
        <f t="shared" si="7"/>
        <v>O'Hare</v>
      </c>
      <c r="W12" t="str">
        <f>VLOOKUP(V12,Data[[Store Name]:[Region]],2,FALSE)</f>
        <v>Chicago</v>
      </c>
      <c r="X12">
        <f t="shared" si="7"/>
        <v>27284.929999999993</v>
      </c>
      <c r="Y12" s="9">
        <f t="shared" si="7"/>
        <v>36101.759999999995</v>
      </c>
      <c r="Z12" s="18">
        <f t="shared" si="7"/>
        <v>-0.2442216113563439</v>
      </c>
      <c r="AA12" s="9">
        <f t="shared" si="3"/>
        <v>0</v>
      </c>
      <c r="AB12" s="18">
        <f t="shared" si="4"/>
        <v>0</v>
      </c>
      <c r="AE12" t="s">
        <v>32</v>
      </c>
      <c r="AF12" s="9">
        <f>SUMIFS(Data[Revenue],Data[Region],Region,Data[Product Name],$AE12,Data[Month],CurrentMonth,Data[Year],CurrentYear)</f>
        <v>714.34999999999991</v>
      </c>
      <c r="AG12" s="9">
        <f>SUMIFS(Data[Revenue],Data[Region],Region,Data[Product Name],$AE12,Data[Month],PrevMonth,Data[Year],PMYear)</f>
        <v>857.22</v>
      </c>
      <c r="AH12" s="9">
        <f t="shared" si="8"/>
        <v>-142.87000000000012</v>
      </c>
      <c r="AI12">
        <f t="shared" si="9"/>
        <v>15</v>
      </c>
      <c r="AJ12">
        <f t="shared" si="10"/>
        <v>20</v>
      </c>
      <c r="AL12" s="5" t="s">
        <v>95</v>
      </c>
      <c r="AM12" s="5" t="s">
        <v>98</v>
      </c>
      <c r="AN12" s="5" t="s">
        <v>46</v>
      </c>
      <c r="AO12" s="5" t="s">
        <v>99</v>
      </c>
    </row>
    <row r="13" spans="1:41" x14ac:dyDescent="0.3">
      <c r="A13" s="7" t="s">
        <v>79</v>
      </c>
      <c r="B13" s="11">
        <f>_xlfn.MAXIFS(Data[Month],Data[Year],CurrentYear)</f>
        <v>8</v>
      </c>
      <c r="I13" s="6">
        <v>11</v>
      </c>
      <c r="J13" s="6" t="s">
        <v>109</v>
      </c>
      <c r="K13" s="9">
        <f>SUMIFS(Data[[Revenue]:[Revenue]],Data[[Region]:[Region]],Region,Data[[Month]:[Month]],'Data Prep'!$I13,Data[[Year]:[Year]],'Data Prep'!K$2)</f>
        <v>43677.41</v>
      </c>
      <c r="L13" s="9" t="e">
        <f>IF(I13&gt;CurrentMonth,NA(),SUMIFS(Data[[Revenue]:[Revenue]],Data[[Region]:[Region]],Region,Data[[Month]:[Month]],'Data Prep'!$I13,Data[[Year]:[Year]],'Data Prep'!L$2))</f>
        <v>#N/A</v>
      </c>
      <c r="M13" t="e">
        <f t="shared" si="0"/>
        <v>#N/A</v>
      </c>
      <c r="Y13" s="9"/>
      <c r="Z13" s="10"/>
      <c r="AE13" t="s">
        <v>31</v>
      </c>
      <c r="AF13" s="9">
        <f>SUMIFS(Data[Revenue],Data[Region],Region,Data[Product Name],$AE13,Data[Month],CurrentMonth,Data[Year],CurrentYear)</f>
        <v>919.54</v>
      </c>
      <c r="AG13" s="9">
        <f>SUMIFS(Data[Revenue],Data[Region],Region,Data[Product Name],$AE13,Data[Month],PrevMonth,Data[Year],PMYear)</f>
        <v>2878.5599999999995</v>
      </c>
      <c r="AH13" s="9">
        <f t="shared" si="8"/>
        <v>-1959.0199999999995</v>
      </c>
      <c r="AI13">
        <f t="shared" si="9"/>
        <v>32</v>
      </c>
      <c r="AJ13">
        <f t="shared" si="10"/>
        <v>3</v>
      </c>
      <c r="AL13">
        <v>1</v>
      </c>
      <c r="AM13" t="str">
        <f>INDEX($AE$3:$AH$36,MATCH($AL13,$AJ$3:$AJ$36,0),MATCH(AM$2,$AE$2:$AH$2,0))</f>
        <v>Lego Bricks</v>
      </c>
      <c r="AN13" s="9">
        <f t="shared" ref="AN13:AO13" si="12">INDEX($AE$3:$AH$36,MATCH($AL13,$AJ$3:$AJ$36,0),MATCH(AN$2,$AE$2:$AH$2,0))</f>
        <v>4518.87</v>
      </c>
      <c r="AO13" s="9">
        <f t="shared" si="12"/>
        <v>-3999.0000000000009</v>
      </c>
    </row>
    <row r="14" spans="1:41" x14ac:dyDescent="0.3">
      <c r="A14" s="7" t="s">
        <v>80</v>
      </c>
      <c r="B14" s="11">
        <f>CurrentYear-1</f>
        <v>2020</v>
      </c>
      <c r="I14" s="6">
        <v>12</v>
      </c>
      <c r="J14" s="6" t="s">
        <v>110</v>
      </c>
      <c r="K14" s="9">
        <f>SUMIFS(Data[[Revenue]:[Revenue]],Data[[Region]:[Region]],Region,Data[[Month]:[Month]],'Data Prep'!$I14,Data[[Year]:[Year]],'Data Prep'!K$2)</f>
        <v>61614.720000000001</v>
      </c>
      <c r="L14" s="9" t="e">
        <f>IF(I14&gt;CurrentMonth,NA(),SUMIFS(Data[[Revenue]:[Revenue]],Data[[Region]:[Region]],Region,Data[[Month]:[Month]],'Data Prep'!$I14,Data[[Year]:[Year]],'Data Prep'!L$2))</f>
        <v>#N/A</v>
      </c>
      <c r="M14" t="e">
        <f t="shared" si="0"/>
        <v>#N/A</v>
      </c>
      <c r="AE14" t="s">
        <v>15</v>
      </c>
      <c r="AF14" s="9">
        <f>SUMIFS(Data[Revenue],Data[Region],Region,Data[Product Name],$AE14,Data[Month],CurrentMonth,Data[Year],CurrentYear)</f>
        <v>4518.87</v>
      </c>
      <c r="AG14" s="9">
        <f>SUMIFS(Data[Revenue],Data[Region],Region,Data[Product Name],$AE14,Data[Month],PrevMonth,Data[Year],PMYear)</f>
        <v>8517.8700000000008</v>
      </c>
      <c r="AH14" s="9">
        <f t="shared" si="8"/>
        <v>-3999.0000000000009</v>
      </c>
      <c r="AI14">
        <f t="shared" si="9"/>
        <v>34</v>
      </c>
      <c r="AJ14">
        <f t="shared" si="10"/>
        <v>1</v>
      </c>
      <c r="AL14">
        <v>2</v>
      </c>
      <c r="AM14" t="str">
        <f t="shared" ref="AM14:AO18" si="13">INDEX($AE$3:$AH$36,MATCH($AL14,$AJ$3:$AJ$36,0),MATCH(AM$2,$AE$2:$AH$2,0))</f>
        <v>Etch A Sketch</v>
      </c>
      <c r="AN14" s="9">
        <f t="shared" si="13"/>
        <v>902.56999999999994</v>
      </c>
      <c r="AO14" s="9">
        <f t="shared" si="13"/>
        <v>-2539.79</v>
      </c>
    </row>
    <row r="15" spans="1:41" x14ac:dyDescent="0.3">
      <c r="A15" s="7" t="s">
        <v>81</v>
      </c>
      <c r="B15" s="11">
        <f>IF(CurrentMonth=1,12,CurrentMonth-1)</f>
        <v>7</v>
      </c>
      <c r="AE15" t="s">
        <v>71</v>
      </c>
      <c r="AF15" s="9">
        <f>SUMIFS(Data[Revenue],Data[Region],Region,Data[Product Name],$AE15,Data[Month],CurrentMonth,Data[Year],CurrentYear)</f>
        <v>0</v>
      </c>
      <c r="AG15" s="9">
        <f>SUMIFS(Data[Revenue],Data[Region],Region,Data[Product Name],$AE15,Data[Month],PrevMonth,Data[Year],PMYear)</f>
        <v>369.63</v>
      </c>
      <c r="AH15" s="9">
        <f t="shared" si="8"/>
        <v>-369.63</v>
      </c>
      <c r="AI15">
        <f t="shared" si="9"/>
        <v>17</v>
      </c>
      <c r="AJ15">
        <f t="shared" si="10"/>
        <v>18</v>
      </c>
      <c r="AL15">
        <v>3</v>
      </c>
      <c r="AM15" t="str">
        <f t="shared" si="13"/>
        <v>Kids Makeup Kit</v>
      </c>
      <c r="AN15" s="9">
        <f t="shared" si="13"/>
        <v>919.54</v>
      </c>
      <c r="AO15" s="9">
        <f t="shared" si="13"/>
        <v>-1959.0199999999995</v>
      </c>
    </row>
    <row r="16" spans="1:41" x14ac:dyDescent="0.3">
      <c r="A16" s="7" t="s">
        <v>86</v>
      </c>
      <c r="B16" s="11">
        <f>IF(CurrentMonth=1,PrevYear,CurrentYear)</f>
        <v>2021</v>
      </c>
      <c r="AE16" t="s">
        <v>19</v>
      </c>
      <c r="AF16" s="9">
        <f>SUMIFS(Data[Revenue],Data[Region],Region,Data[Product Name],$AE16,Data[Month],CurrentMonth,Data[Year],CurrentYear)</f>
        <v>359.82</v>
      </c>
      <c r="AG16" s="9">
        <f>SUMIFS(Data[Revenue],Data[Region],Region,Data[Product Name],$AE16,Data[Month],PrevMonth,Data[Year],PMYear)</f>
        <v>0</v>
      </c>
      <c r="AH16" s="9">
        <f t="shared" si="8"/>
        <v>359.82</v>
      </c>
      <c r="AI16">
        <f t="shared" si="9"/>
        <v>3</v>
      </c>
      <c r="AJ16">
        <f t="shared" si="10"/>
        <v>32</v>
      </c>
      <c r="AL16">
        <v>4</v>
      </c>
      <c r="AM16" t="str">
        <f t="shared" si="13"/>
        <v>Splash Balls</v>
      </c>
      <c r="AN16" s="9">
        <f t="shared" si="13"/>
        <v>395.56</v>
      </c>
      <c r="AO16" s="9">
        <f t="shared" si="13"/>
        <v>-1842.9500000000003</v>
      </c>
    </row>
    <row r="17" spans="1:41" x14ac:dyDescent="0.3">
      <c r="AE17" t="s">
        <v>27</v>
      </c>
      <c r="AF17" s="9">
        <f>SUMIFS(Data[Revenue],Data[Region],Region,Data[Product Name],$AE17,Data[Month],CurrentMonth,Data[Year],CurrentYear)</f>
        <v>986.7</v>
      </c>
      <c r="AG17" s="9">
        <f>SUMIFS(Data[Revenue],Data[Region],Region,Data[Product Name],$AE17,Data[Month],PrevMonth,Data[Year],PMYear)</f>
        <v>1034.5400000000002</v>
      </c>
      <c r="AH17" s="9">
        <f t="shared" si="8"/>
        <v>-47.840000000000146</v>
      </c>
      <c r="AI17">
        <f t="shared" si="9"/>
        <v>12</v>
      </c>
      <c r="AJ17">
        <f t="shared" si="10"/>
        <v>23</v>
      </c>
      <c r="AL17">
        <v>5</v>
      </c>
      <c r="AM17" t="str">
        <f t="shared" si="13"/>
        <v>Magic Sand</v>
      </c>
      <c r="AN17" s="9">
        <f t="shared" si="13"/>
        <v>3229.9799999999996</v>
      </c>
      <c r="AO17" s="9">
        <f t="shared" si="13"/>
        <v>-1694.9400000000005</v>
      </c>
    </row>
    <row r="18" spans="1:41" x14ac:dyDescent="0.3">
      <c r="A18" s="7" t="s">
        <v>114</v>
      </c>
      <c r="B18" t="str">
        <f>VLOOKUP(CurrentMonth,A22:B33,2,FALSE)&amp;" "&amp;CurrentYear</f>
        <v>August 2021</v>
      </c>
      <c r="AE18" t="s">
        <v>11</v>
      </c>
      <c r="AF18" s="9">
        <f>SUMIFS(Data[Revenue],Data[Region],Region,Data[Product Name],$AE18,Data[Month],CurrentMonth,Data[Year],CurrentYear)</f>
        <v>29.940000000000005</v>
      </c>
      <c r="AG18" s="9">
        <f>SUMIFS(Data[Revenue],Data[Region],Region,Data[Product Name],$AE18,Data[Month],PrevMonth,Data[Year],PMYear)</f>
        <v>494.01</v>
      </c>
      <c r="AH18" s="9">
        <f t="shared" si="8"/>
        <v>-464.07</v>
      </c>
      <c r="AI18">
        <f t="shared" si="9"/>
        <v>20</v>
      </c>
      <c r="AJ18">
        <f t="shared" si="10"/>
        <v>15</v>
      </c>
      <c r="AL18">
        <v>6</v>
      </c>
      <c r="AM18" t="str">
        <f t="shared" si="13"/>
        <v>Toy Robot</v>
      </c>
      <c r="AN18" s="9">
        <f t="shared" si="13"/>
        <v>0</v>
      </c>
      <c r="AO18" s="9">
        <f t="shared" si="13"/>
        <v>-1663.3599999999997</v>
      </c>
    </row>
    <row r="19" spans="1:41" x14ac:dyDescent="0.3">
      <c r="AE19" t="s">
        <v>26</v>
      </c>
      <c r="AF19" s="9">
        <f>SUMIFS(Data[Revenue],Data[Region],Region,Data[Product Name],$AE19,Data[Month],CurrentMonth,Data[Year],CurrentYear)</f>
        <v>4077.9599999999996</v>
      </c>
      <c r="AG19" s="9">
        <f>SUMIFS(Data[Revenue],Data[Region],Region,Data[Product Name],$AE19,Data[Month],PrevMonth,Data[Year],PMYear)</f>
        <v>5037.4799999999996</v>
      </c>
      <c r="AH19" s="9">
        <f t="shared" si="8"/>
        <v>-959.52</v>
      </c>
      <c r="AI19">
        <f t="shared" si="9"/>
        <v>27</v>
      </c>
      <c r="AJ19">
        <f t="shared" si="10"/>
        <v>8</v>
      </c>
    </row>
    <row r="20" spans="1:41" x14ac:dyDescent="0.3">
      <c r="F20" s="31"/>
      <c r="AE20" t="s">
        <v>6</v>
      </c>
      <c r="AF20" s="9">
        <f>SUMIFS(Data[Revenue],Data[Region],Region,Data[Product Name],$AE20,Data[Month],CurrentMonth,Data[Year],CurrentYear)</f>
        <v>395.56</v>
      </c>
      <c r="AG20" s="9">
        <f>SUMIFS(Data[Revenue],Data[Region],Region,Data[Product Name],$AE20,Data[Month],PrevMonth,Data[Year],PMYear)</f>
        <v>2238.5100000000002</v>
      </c>
      <c r="AH20" s="9">
        <f t="shared" si="8"/>
        <v>-1842.9500000000003</v>
      </c>
      <c r="AI20">
        <f t="shared" si="9"/>
        <v>31</v>
      </c>
      <c r="AJ20">
        <f t="shared" si="10"/>
        <v>4</v>
      </c>
    </row>
    <row r="21" spans="1:41" x14ac:dyDescent="0.3">
      <c r="A21" s="7" t="s">
        <v>115</v>
      </c>
      <c r="B21" s="7" t="s">
        <v>49</v>
      </c>
      <c r="AE21" t="s">
        <v>16</v>
      </c>
      <c r="AF21" s="9">
        <f>SUMIFS(Data[Revenue],Data[Region],Region,Data[Product Name],$AE21,Data[Month],CurrentMonth,Data[Year],CurrentYear)</f>
        <v>142.88999999999999</v>
      </c>
      <c r="AG21" s="9">
        <f>SUMIFS(Data[Revenue],Data[Region],Region,Data[Product Name],$AE21,Data[Month],PrevMonth,Data[Year],PMYear)</f>
        <v>545.57999999999993</v>
      </c>
      <c r="AH21" s="9">
        <f t="shared" si="8"/>
        <v>-402.68999999999994</v>
      </c>
      <c r="AI21">
        <f t="shared" si="9"/>
        <v>19</v>
      </c>
      <c r="AJ21">
        <f t="shared" si="10"/>
        <v>16</v>
      </c>
    </row>
    <row r="22" spans="1:41" x14ac:dyDescent="0.3">
      <c r="A22">
        <v>1</v>
      </c>
      <c r="B22" t="s">
        <v>116</v>
      </c>
      <c r="AE22" t="s">
        <v>23</v>
      </c>
      <c r="AF22" s="9">
        <f>SUMIFS(Data[Revenue],Data[Region],Region,Data[Product Name],$AE22,Data[Month],CurrentMonth,Data[Year],CurrentYear)</f>
        <v>0</v>
      </c>
      <c r="AG22" s="9">
        <f>SUMIFS(Data[Revenue],Data[Region],Region,Data[Product Name],$AE22,Data[Month],PrevMonth,Data[Year],PMYear)</f>
        <v>1663.3599999999997</v>
      </c>
      <c r="AH22" s="9">
        <f t="shared" si="8"/>
        <v>-1663.3599999999997</v>
      </c>
      <c r="AI22">
        <f t="shared" si="9"/>
        <v>29</v>
      </c>
      <c r="AJ22">
        <f t="shared" si="10"/>
        <v>6</v>
      </c>
    </row>
    <row r="23" spans="1:41" x14ac:dyDescent="0.3">
      <c r="A23">
        <v>2</v>
      </c>
      <c r="B23" t="s">
        <v>117</v>
      </c>
      <c r="AE23" t="s">
        <v>10</v>
      </c>
      <c r="AF23" s="9">
        <f>SUMIFS(Data[Revenue],Data[Region],Region,Data[Product Name],$AE23,Data[Month],CurrentMonth,Data[Year],CurrentYear)</f>
        <v>2498.7499999999995</v>
      </c>
      <c r="AG23" s="9">
        <f>SUMIFS(Data[Revenue],Data[Region],Region,Data[Product Name],$AE23,Data[Month],PrevMonth,Data[Year],PMYear)</f>
        <v>2338.83</v>
      </c>
      <c r="AH23" s="9">
        <f t="shared" si="8"/>
        <v>159.91999999999962</v>
      </c>
      <c r="AI23">
        <f t="shared" si="9"/>
        <v>4</v>
      </c>
      <c r="AJ23">
        <f t="shared" si="10"/>
        <v>31</v>
      </c>
    </row>
    <row r="24" spans="1:41" x14ac:dyDescent="0.3">
      <c r="A24">
        <v>3</v>
      </c>
      <c r="B24" t="s">
        <v>118</v>
      </c>
      <c r="AE24" t="s">
        <v>66</v>
      </c>
      <c r="AF24" s="9">
        <f>SUMIFS(Data[Revenue],Data[Region],Region,Data[Product Name],$AE24,Data[Month],CurrentMonth,Data[Year],CurrentYear)</f>
        <v>0</v>
      </c>
      <c r="AG24" s="9">
        <f>SUMIFS(Data[Revenue],Data[Region],Region,Data[Product Name],$AE24,Data[Month],PrevMonth,Data[Year],PMYear)</f>
        <v>0</v>
      </c>
      <c r="AH24" s="9">
        <f t="shared" si="8"/>
        <v>0</v>
      </c>
      <c r="AI24">
        <f t="shared" si="9"/>
        <v>8</v>
      </c>
      <c r="AJ24">
        <f t="shared" si="10"/>
        <v>27</v>
      </c>
    </row>
    <row r="25" spans="1:41" x14ac:dyDescent="0.3">
      <c r="A25">
        <v>4</v>
      </c>
      <c r="B25" t="s">
        <v>119</v>
      </c>
      <c r="AE25" t="s">
        <v>29</v>
      </c>
      <c r="AF25" s="9">
        <f>SUMIFS(Data[Revenue],Data[Region],Region,Data[Product Name],$AE25,Data[Month],CurrentMonth,Data[Year],CurrentYear)</f>
        <v>0</v>
      </c>
      <c r="AG25" s="9">
        <f>SUMIFS(Data[Revenue],Data[Region],Region,Data[Product Name],$AE25,Data[Month],PrevMonth,Data[Year],PMYear)</f>
        <v>0</v>
      </c>
      <c r="AH25" s="9">
        <f t="shared" si="8"/>
        <v>0</v>
      </c>
      <c r="AI25">
        <f t="shared" si="9"/>
        <v>8</v>
      </c>
      <c r="AJ25">
        <f t="shared" si="10"/>
        <v>27</v>
      </c>
    </row>
    <row r="26" spans="1:41" x14ac:dyDescent="0.3">
      <c r="A26">
        <v>5</v>
      </c>
      <c r="B26" t="s">
        <v>90</v>
      </c>
      <c r="AE26" t="s">
        <v>34</v>
      </c>
      <c r="AF26" s="9">
        <f>SUMIFS(Data[Revenue],Data[Region],Region,Data[Product Name],$AE26,Data[Month],CurrentMonth,Data[Year],CurrentYear)</f>
        <v>957.6</v>
      </c>
      <c r="AG26" s="9">
        <f>SUMIFS(Data[Revenue],Data[Region],Region,Data[Product Name],$AE26,Data[Month],PrevMonth,Data[Year],PMYear)</f>
        <v>1181.04</v>
      </c>
      <c r="AH26" s="9">
        <f t="shared" si="8"/>
        <v>-223.43999999999994</v>
      </c>
      <c r="AI26">
        <f t="shared" si="9"/>
        <v>16</v>
      </c>
      <c r="AJ26">
        <f t="shared" si="10"/>
        <v>19</v>
      </c>
    </row>
    <row r="27" spans="1:41" x14ac:dyDescent="0.3">
      <c r="A27">
        <v>6</v>
      </c>
      <c r="B27" t="s">
        <v>120</v>
      </c>
      <c r="AE27" t="s">
        <v>70</v>
      </c>
      <c r="AF27" s="9">
        <f>SUMIFS(Data[Revenue],Data[Region],Region,Data[Product Name],$AE27,Data[Month],CurrentMonth,Data[Year],CurrentYear)</f>
        <v>0</v>
      </c>
      <c r="AG27" s="9">
        <f>SUMIFS(Data[Revenue],Data[Region],Region,Data[Product Name],$AE27,Data[Month],PrevMonth,Data[Year],PMYear)</f>
        <v>814.6400000000001</v>
      </c>
      <c r="AH27" s="9">
        <f t="shared" si="8"/>
        <v>-814.6400000000001</v>
      </c>
      <c r="AI27">
        <f t="shared" si="9"/>
        <v>24</v>
      </c>
      <c r="AJ27">
        <f t="shared" si="10"/>
        <v>11</v>
      </c>
    </row>
    <row r="28" spans="1:41" x14ac:dyDescent="0.3">
      <c r="A28">
        <v>7</v>
      </c>
      <c r="B28" t="s">
        <v>121</v>
      </c>
      <c r="AE28" t="s">
        <v>67</v>
      </c>
      <c r="AF28" s="9">
        <f>SUMIFS(Data[Revenue],Data[Region],Region,Data[Product Name],$AE28,Data[Month],CurrentMonth,Data[Year],CurrentYear)</f>
        <v>0</v>
      </c>
      <c r="AG28" s="9">
        <f>SUMIFS(Data[Revenue],Data[Region],Region,Data[Product Name],$AE28,Data[Month],PrevMonth,Data[Year],PMYear)</f>
        <v>59.96</v>
      </c>
      <c r="AH28" s="9">
        <f t="shared" si="8"/>
        <v>-59.96</v>
      </c>
      <c r="AI28">
        <f t="shared" si="9"/>
        <v>13</v>
      </c>
      <c r="AJ28">
        <f t="shared" si="10"/>
        <v>22</v>
      </c>
    </row>
    <row r="29" spans="1:41" x14ac:dyDescent="0.3">
      <c r="A29">
        <v>8</v>
      </c>
      <c r="B29" t="s">
        <v>122</v>
      </c>
      <c r="AE29" t="s">
        <v>37</v>
      </c>
      <c r="AF29" s="9">
        <f>SUMIFS(Data[Revenue],Data[Region],Region,Data[Product Name],$AE29,Data[Month],CurrentMonth,Data[Year],CurrentYear)</f>
        <v>574.77</v>
      </c>
      <c r="AG29" s="9">
        <f>SUMIFS(Data[Revenue],Data[Region],Region,Data[Product Name],$AE29,Data[Month],PrevMonth,Data[Year],PMYear)</f>
        <v>949.61999999999989</v>
      </c>
      <c r="AH29" s="9">
        <f t="shared" si="8"/>
        <v>-374.84999999999991</v>
      </c>
      <c r="AI29">
        <f t="shared" si="9"/>
        <v>18</v>
      </c>
      <c r="AJ29">
        <f t="shared" si="10"/>
        <v>17</v>
      </c>
    </row>
    <row r="30" spans="1:41" x14ac:dyDescent="0.3">
      <c r="A30">
        <v>9</v>
      </c>
      <c r="B30" t="s">
        <v>123</v>
      </c>
      <c r="AE30" t="s">
        <v>38</v>
      </c>
      <c r="AF30" s="9">
        <f>SUMIFS(Data[Revenue],Data[Region],Region,Data[Product Name],$AE30,Data[Month],CurrentMonth,Data[Year],CurrentYear)</f>
        <v>179.82</v>
      </c>
      <c r="AG30" s="9">
        <f>SUMIFS(Data[Revenue],Data[Region],Region,Data[Product Name],$AE30,Data[Month],PrevMonth,Data[Year],PMYear)</f>
        <v>189.81</v>
      </c>
      <c r="AH30" s="9">
        <f t="shared" si="8"/>
        <v>-9.9900000000000091</v>
      </c>
      <c r="AI30">
        <f t="shared" si="9"/>
        <v>10</v>
      </c>
      <c r="AJ30">
        <f t="shared" si="10"/>
        <v>25</v>
      </c>
    </row>
    <row r="31" spans="1:41" x14ac:dyDescent="0.3">
      <c r="A31">
        <v>10</v>
      </c>
      <c r="B31" t="s">
        <v>124</v>
      </c>
      <c r="AE31" t="s">
        <v>39</v>
      </c>
      <c r="AF31" s="9">
        <f>SUMIFS(Data[Revenue],Data[Region],Region,Data[Product Name],$AE31,Data[Month],CurrentMonth,Data[Year],CurrentYear)</f>
        <v>799.59999999999991</v>
      </c>
      <c r="AG31" s="9">
        <f>SUMIFS(Data[Revenue],Data[Region],Region,Data[Product Name],$AE31,Data[Month],PrevMonth,Data[Year],PMYear)</f>
        <v>1439.2799999999997</v>
      </c>
      <c r="AH31" s="9">
        <f t="shared" si="8"/>
        <v>-639.67999999999984</v>
      </c>
      <c r="AI31">
        <f t="shared" si="9"/>
        <v>22</v>
      </c>
      <c r="AJ31">
        <f t="shared" si="10"/>
        <v>13</v>
      </c>
    </row>
    <row r="32" spans="1:41" x14ac:dyDescent="0.3">
      <c r="A32">
        <v>11</v>
      </c>
      <c r="B32" t="s">
        <v>125</v>
      </c>
      <c r="AE32" t="s">
        <v>68</v>
      </c>
      <c r="AF32" s="9">
        <f>SUMIFS(Data[Revenue],Data[Region],Region,Data[Product Name],$AE32,Data[Month],CurrentMonth,Data[Year],CurrentYear)</f>
        <v>0</v>
      </c>
      <c r="AG32" s="9">
        <f>SUMIFS(Data[Revenue],Data[Region],Region,Data[Product Name],$AE32,Data[Month],PrevMonth,Data[Year],PMYear)</f>
        <v>776.62999999999988</v>
      </c>
      <c r="AH32" s="9">
        <f t="shared" si="8"/>
        <v>-776.62999999999988</v>
      </c>
      <c r="AI32">
        <f t="shared" si="9"/>
        <v>23</v>
      </c>
      <c r="AJ32">
        <f t="shared" si="10"/>
        <v>12</v>
      </c>
    </row>
    <row r="33" spans="1:36" x14ac:dyDescent="0.3">
      <c r="A33">
        <v>12</v>
      </c>
      <c r="B33" t="s">
        <v>126</v>
      </c>
      <c r="AE33" t="s">
        <v>42</v>
      </c>
      <c r="AF33" s="9">
        <f>SUMIFS(Data[Revenue],Data[Region],Region,Data[Product Name],$AE33,Data[Month],CurrentMonth,Data[Year],CurrentYear)</f>
        <v>3229.9799999999996</v>
      </c>
      <c r="AG33" s="9">
        <f>SUMIFS(Data[Revenue],Data[Region],Region,Data[Product Name],$AE33,Data[Month],PrevMonth,Data[Year],PMYear)</f>
        <v>4924.92</v>
      </c>
      <c r="AH33" s="9">
        <f t="shared" si="8"/>
        <v>-1694.9400000000005</v>
      </c>
      <c r="AI33">
        <f t="shared" si="9"/>
        <v>30</v>
      </c>
      <c r="AJ33">
        <f t="shared" si="10"/>
        <v>5</v>
      </c>
    </row>
    <row r="34" spans="1:36" x14ac:dyDescent="0.3">
      <c r="AE34" t="s">
        <v>41</v>
      </c>
      <c r="AF34" s="9">
        <f>SUMIFS(Data[Revenue],Data[Region],Region,Data[Product Name],$AE34,Data[Month],CurrentMonth,Data[Year],CurrentYear)</f>
        <v>439.56</v>
      </c>
      <c r="AG34" s="9">
        <f>SUMIFS(Data[Revenue],Data[Region],Region,Data[Product Name],$AE34,Data[Month],PrevMonth,Data[Year],PMYear)</f>
        <v>409.59</v>
      </c>
      <c r="AH34" s="9">
        <f t="shared" si="8"/>
        <v>29.970000000000027</v>
      </c>
      <c r="AI34">
        <f t="shared" si="9"/>
        <v>6</v>
      </c>
      <c r="AJ34">
        <f t="shared" si="10"/>
        <v>29</v>
      </c>
    </row>
    <row r="35" spans="1:36" x14ac:dyDescent="0.3">
      <c r="AE35" t="s">
        <v>43</v>
      </c>
      <c r="AF35" s="9">
        <f>SUMIFS(Data[Revenue],Data[Region],Region,Data[Product Name],$AE35,Data[Month],CurrentMonth,Data[Year],CurrentYear)</f>
        <v>902.56999999999994</v>
      </c>
      <c r="AG35" s="9">
        <f>SUMIFS(Data[Revenue],Data[Region],Region,Data[Product Name],$AE35,Data[Month],PrevMonth,Data[Year],PMYear)</f>
        <v>3442.3599999999997</v>
      </c>
      <c r="AH35" s="9">
        <f t="shared" si="8"/>
        <v>-2539.79</v>
      </c>
      <c r="AI35">
        <f t="shared" si="9"/>
        <v>33</v>
      </c>
      <c r="AJ35">
        <f t="shared" si="10"/>
        <v>2</v>
      </c>
    </row>
    <row r="36" spans="1:36" x14ac:dyDescent="0.3">
      <c r="AE36" t="s">
        <v>69</v>
      </c>
      <c r="AF36" s="9">
        <f>SUMIFS(Data[Revenue],Data[Region],Region,Data[Product Name],$AE36,Data[Month],CurrentMonth,Data[Year],CurrentYear)</f>
        <v>0</v>
      </c>
      <c r="AG36" s="9">
        <f>SUMIFS(Data[Revenue],Data[Region],Region,Data[Product Name],$AE36,Data[Month],PrevMonth,Data[Year],PMYear)</f>
        <v>887.26</v>
      </c>
      <c r="AH36" s="9">
        <f t="shared" si="8"/>
        <v>-887.26</v>
      </c>
      <c r="AI36">
        <f t="shared" si="9"/>
        <v>25</v>
      </c>
      <c r="AJ36">
        <f t="shared" si="10"/>
        <v>10</v>
      </c>
    </row>
  </sheetData>
  <sortState xmlns:xlrd2="http://schemas.microsoft.com/office/spreadsheetml/2017/richdata2" ref="O3:R12">
    <sortCondition ref="P2:P12"/>
  </sortState>
  <phoneticPr fontId="2" type="noConversion"/>
  <conditionalFormatting sqref="F5:F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W3:W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84B4-E530-467E-AD65-E658F701B7BC}">
  <dimension ref="B6:M36"/>
  <sheetViews>
    <sheetView showGridLines="0" tabSelected="1" zoomScale="99" zoomScaleNormal="99" workbookViewId="0">
      <selection activeCell="B1" sqref="B1"/>
    </sheetView>
  </sheetViews>
  <sheetFormatPr defaultRowHeight="14.4" x14ac:dyDescent="0.3"/>
  <cols>
    <col min="1" max="1" width="2.6640625" customWidth="1"/>
    <col min="2" max="2" width="20.88671875" customWidth="1"/>
    <col min="3" max="3" width="23.5546875" bestFit="1" customWidth="1"/>
    <col min="4" max="4" width="20.21875" bestFit="1" customWidth="1"/>
    <col min="5" max="5" width="29.21875" customWidth="1"/>
    <col min="11" max="11" width="16.6640625" bestFit="1" customWidth="1"/>
    <col min="12" max="12" width="14.77734375" customWidth="1"/>
    <col min="13" max="13" width="16.6640625" bestFit="1" customWidth="1"/>
  </cols>
  <sheetData>
    <row r="6" spans="2:13" ht="31.2" x14ac:dyDescent="0.3">
      <c r="B6" s="29" t="s">
        <v>113</v>
      </c>
      <c r="C6" s="33" t="s">
        <v>4</v>
      </c>
      <c r="D6" s="29" t="s">
        <v>127</v>
      </c>
      <c r="E6" s="30" t="str">
        <f>'Data Prep'!B18&amp;"?"</f>
        <v>August 2021?</v>
      </c>
    </row>
    <row r="12" spans="2:13" ht="17.850000000000001" customHeight="1" x14ac:dyDescent="0.3">
      <c r="K12" s="22" t="s">
        <v>98</v>
      </c>
      <c r="L12" s="23" t="s">
        <v>46</v>
      </c>
      <c r="M12" s="23" t="s">
        <v>112</v>
      </c>
    </row>
    <row r="13" spans="2:13" ht="17.850000000000001" customHeight="1" x14ac:dyDescent="0.3">
      <c r="K13" s="20" t="str">
        <f>'Data Prep'!AM3</f>
        <v>Deck Of Cards</v>
      </c>
      <c r="L13" s="21">
        <f>'Data Prep'!AN3</f>
        <v>2006.13</v>
      </c>
      <c r="M13" s="21">
        <f>'Data Prep'!AO3</f>
        <v>503.2800000000002</v>
      </c>
    </row>
    <row r="14" spans="2:13" ht="17.850000000000001" customHeight="1" x14ac:dyDescent="0.3">
      <c r="K14" s="20" t="str">
        <f>'Data Prep'!AM4</f>
        <v>Animal Figures</v>
      </c>
      <c r="L14" s="21">
        <f>'Data Prep'!AN4</f>
        <v>2805.84</v>
      </c>
      <c r="M14" s="21">
        <f>'Data Prep'!AO4</f>
        <v>402.69000000000051</v>
      </c>
    </row>
    <row r="15" spans="2:13" ht="17.850000000000001" customHeight="1" x14ac:dyDescent="0.3">
      <c r="B15" s="34" t="str">
        <f>IF('Data Prep'!F6&gt;0,"p","q")</f>
        <v>q</v>
      </c>
      <c r="C15" s="35" t="str">
        <f>IF('Data Prep'!F5&gt;0,"p","q")</f>
        <v>p</v>
      </c>
      <c r="K15" s="20" t="str">
        <f>'Data Prep'!AM5</f>
        <v>Monopoly</v>
      </c>
      <c r="L15" s="21">
        <f>'Data Prep'!AN5</f>
        <v>359.82</v>
      </c>
      <c r="M15" s="21">
        <f>'Data Prep'!AO5</f>
        <v>359.82</v>
      </c>
    </row>
    <row r="16" spans="2:13" ht="17.850000000000001" customHeight="1" x14ac:dyDescent="0.3">
      <c r="B16" s="34"/>
      <c r="C16" s="35"/>
      <c r="K16" s="20" t="str">
        <f>'Data Prep'!AM6</f>
        <v>Nerf Gun</v>
      </c>
      <c r="L16" s="21">
        <f>'Data Prep'!AN6</f>
        <v>2498.7499999999995</v>
      </c>
      <c r="M16" s="21">
        <f>'Data Prep'!AO6</f>
        <v>159.91999999999962</v>
      </c>
    </row>
    <row r="17" spans="3:13" ht="17.850000000000001" customHeight="1" x14ac:dyDescent="0.3">
      <c r="C17" s="32"/>
      <c r="K17" s="20" t="str">
        <f>'Data Prep'!AM7</f>
        <v>Dino Egg</v>
      </c>
      <c r="L17" s="21">
        <f>'Data Prep'!AN7</f>
        <v>3901.45</v>
      </c>
      <c r="M17" s="26">
        <f>'Data Prep'!AO7</f>
        <v>32.9699999999998</v>
      </c>
    </row>
    <row r="18" spans="3:13" ht="17.850000000000001" customHeight="1" x14ac:dyDescent="0.3">
      <c r="K18" s="20" t="str">
        <f>'Data Prep'!AM8</f>
        <v>Mr. Potatohead</v>
      </c>
      <c r="L18" s="20">
        <f>'Data Prep'!AN8</f>
        <v>439.56</v>
      </c>
      <c r="M18" s="25">
        <f>'Data Prep'!AO8</f>
        <v>29.970000000000027</v>
      </c>
    </row>
    <row r="19" spans="3:13" ht="17.850000000000001" customHeight="1" x14ac:dyDescent="0.3">
      <c r="K19" s="20"/>
      <c r="L19" s="20"/>
      <c r="M19" s="28">
        <f>SUM(M13:M18)</f>
        <v>1488.65</v>
      </c>
    </row>
    <row r="20" spans="3:13" ht="17.850000000000001" customHeight="1" x14ac:dyDescent="0.3">
      <c r="K20" s="20"/>
      <c r="L20" s="20"/>
      <c r="M20" s="20"/>
    </row>
    <row r="21" spans="3:13" ht="17.850000000000001" customHeight="1" x14ac:dyDescent="0.3">
      <c r="K21" s="20"/>
      <c r="L21" s="20"/>
      <c r="M21" s="20"/>
    </row>
    <row r="22" spans="3:13" ht="17.850000000000001" customHeight="1" x14ac:dyDescent="0.3">
      <c r="K22" s="20"/>
      <c r="L22" s="20"/>
      <c r="M22" s="20"/>
    </row>
    <row r="23" spans="3:13" ht="17.850000000000001" customHeight="1" x14ac:dyDescent="0.3">
      <c r="K23" s="20"/>
      <c r="L23" s="20"/>
      <c r="M23" s="20"/>
    </row>
    <row r="24" spans="3:13" ht="17.850000000000001" customHeight="1" x14ac:dyDescent="0.3">
      <c r="K24" s="22" t="s">
        <v>98</v>
      </c>
      <c r="L24" s="23" t="s">
        <v>46</v>
      </c>
      <c r="M24" s="23" t="s">
        <v>112</v>
      </c>
    </row>
    <row r="25" spans="3:13" ht="17.850000000000001" customHeight="1" x14ac:dyDescent="0.3">
      <c r="K25" s="20" t="str">
        <f>'Data Prep'!AM13</f>
        <v>Lego Bricks</v>
      </c>
      <c r="L25" s="21">
        <f>'Data Prep'!AN13</f>
        <v>4518.87</v>
      </c>
      <c r="M25" s="21">
        <f>'Data Prep'!AO13</f>
        <v>-3999.0000000000009</v>
      </c>
    </row>
    <row r="26" spans="3:13" ht="17.850000000000001" customHeight="1" x14ac:dyDescent="0.3">
      <c r="K26" s="20" t="str">
        <f>'Data Prep'!AM14</f>
        <v>Etch A Sketch</v>
      </c>
      <c r="L26" s="21">
        <f>'Data Prep'!AN14</f>
        <v>902.56999999999994</v>
      </c>
      <c r="M26" s="21">
        <f>'Data Prep'!AO14</f>
        <v>-2539.79</v>
      </c>
    </row>
    <row r="27" spans="3:13" ht="17.850000000000001" customHeight="1" x14ac:dyDescent="0.3">
      <c r="K27" s="20" t="str">
        <f>'Data Prep'!AM15</f>
        <v>Kids Makeup Kit</v>
      </c>
      <c r="L27" s="21">
        <f>'Data Prep'!AN15</f>
        <v>919.54</v>
      </c>
      <c r="M27" s="21">
        <f>'Data Prep'!AO15</f>
        <v>-1959.0199999999995</v>
      </c>
    </row>
    <row r="28" spans="3:13" ht="17.850000000000001" customHeight="1" x14ac:dyDescent="0.3">
      <c r="K28" s="20" t="str">
        <f>'Data Prep'!AM16</f>
        <v>Splash Balls</v>
      </c>
      <c r="L28" s="21">
        <f>'Data Prep'!AN16</f>
        <v>395.56</v>
      </c>
      <c r="M28" s="21">
        <f>'Data Prep'!AO16</f>
        <v>-1842.9500000000003</v>
      </c>
    </row>
    <row r="29" spans="3:13" ht="17.850000000000001" customHeight="1" x14ac:dyDescent="0.3">
      <c r="K29" s="20" t="str">
        <f>'Data Prep'!AM17</f>
        <v>Magic Sand</v>
      </c>
      <c r="L29" s="21">
        <f>'Data Prep'!AN17</f>
        <v>3229.9799999999996</v>
      </c>
      <c r="M29" s="26">
        <f>'Data Prep'!AO17</f>
        <v>-1694.9400000000005</v>
      </c>
    </row>
    <row r="30" spans="3:13" ht="17.850000000000001" customHeight="1" x14ac:dyDescent="0.3">
      <c r="K30" s="20" t="str">
        <f>'Data Prep'!AM18</f>
        <v>Toy Robot</v>
      </c>
      <c r="L30" s="20">
        <f>'Data Prep'!AN18</f>
        <v>0</v>
      </c>
      <c r="M30" s="24">
        <f>'Data Prep'!AO18</f>
        <v>-1663.3599999999997</v>
      </c>
    </row>
    <row r="31" spans="3:13" ht="17.850000000000001" customHeight="1" x14ac:dyDescent="0.3">
      <c r="K31" s="20"/>
      <c r="L31" s="20"/>
      <c r="M31" s="27">
        <f>SUM(M25:M30)</f>
        <v>-13699.060000000001</v>
      </c>
    </row>
    <row r="32" spans="3:13" ht="17.850000000000001" customHeight="1" x14ac:dyDescent="0.3">
      <c r="K32" s="20"/>
      <c r="L32" s="20"/>
      <c r="M32" s="20"/>
    </row>
    <row r="33" spans="11:13" ht="17.850000000000001" customHeight="1" x14ac:dyDescent="0.3">
      <c r="K33" s="20"/>
      <c r="L33" s="20"/>
      <c r="M33" s="20"/>
    </row>
    <row r="34" spans="11:13" ht="17.850000000000001" customHeight="1" x14ac:dyDescent="0.3">
      <c r="K34" s="20"/>
      <c r="L34" s="20"/>
      <c r="M34" s="20"/>
    </row>
    <row r="35" spans="11:13" ht="17.850000000000001" customHeight="1" x14ac:dyDescent="0.3">
      <c r="K35" s="20"/>
      <c r="L35" s="20"/>
      <c r="M35" s="20"/>
    </row>
    <row r="36" spans="11:13" ht="17.850000000000001" customHeight="1" x14ac:dyDescent="0.3">
      <c r="K36" s="20"/>
      <c r="L36" s="20"/>
      <c r="M36" s="20"/>
    </row>
  </sheetData>
  <sheetProtection selectLockedCells="1"/>
  <mergeCells count="2">
    <mergeCell ref="B15:B16"/>
    <mergeCell ref="C15:C16"/>
  </mergeCells>
  <conditionalFormatting sqref="M13:M18">
    <cfRule type="colorScale" priority="8">
      <colorScale>
        <cfvo type="min"/>
        <cfvo type="max"/>
        <color theme="0"/>
        <color theme="9" tint="0.39997558519241921"/>
      </colorScale>
    </cfRule>
  </conditionalFormatting>
  <conditionalFormatting sqref="M25:M30">
    <cfRule type="colorScale" priority="7">
      <colorScale>
        <cfvo type="min"/>
        <cfvo type="max"/>
        <color rgb="FFFF5B5B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209ED2D2-EDB3-41D9-988B-2D2CD18F98AC}">
            <xm:f>'Data Prep'!$F$6&lt;0</xm:f>
            <x14:dxf>
              <font>
                <color rgb="FFC00000"/>
              </font>
            </x14:dxf>
          </x14:cfRule>
          <x14:cfRule type="expression" priority="6" id="{F3D14C71-8EDA-46D1-9022-9A828B3ED318}">
            <xm:f>'Data Prep'!$F$6&gt;0</xm:f>
            <x14:dxf>
              <font>
                <color theme="9" tint="-0.24994659260841701"/>
              </font>
            </x14:dxf>
          </x14:cfRule>
          <xm:sqref>B15:B16</xm:sqref>
        </x14:conditionalFormatting>
        <x14:conditionalFormatting xmlns:xm="http://schemas.microsoft.com/office/excel/2006/main">
          <x14:cfRule type="expression" priority="1" id="{A21B62BF-13F4-4CDC-BC4C-7AB42E98DF73}">
            <xm:f>'Data Prep'!$F$5&lt;0</xm:f>
            <x14:dxf>
              <font>
                <color rgb="FFC00000"/>
              </font>
            </x14:dxf>
          </x14:cfRule>
          <x14:cfRule type="expression" priority="2" id="{10D73B84-741F-4952-83FC-20054B17E8CE}">
            <xm:f>'Data Prep'!$F$5&gt;0</xm:f>
            <x14:dxf>
              <font>
                <color theme="9" tint="-0.24994659260841701"/>
              </font>
            </x14:dxf>
          </x14:cfRule>
          <x14:cfRule type="expression" priority="3" id="{96777DE0-7ED8-4599-B5D8-43A0E9B2303C}">
            <xm:f>'Data Prep'!$F$6&lt;0</xm:f>
            <x14:dxf>
              <font>
                <color rgb="FFC00000"/>
              </font>
            </x14:dxf>
          </x14:cfRule>
          <x14:cfRule type="expression" priority="4" id="{56C9BC70-17E2-4479-A3B8-58FFDE70145D}">
            <xm:f>'Data Prep'!$F$6&gt;0</xm:f>
            <x14:dxf>
              <font>
                <color theme="9" tint="-0.24994659260841701"/>
              </font>
            </x14:dxf>
          </x14:cfRule>
          <xm:sqref>C15:C16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FBE9A3-C16C-4EDA-B917-A54D60F050A2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24" workbookViewId="0">
      <selection sqref="A1:J269"/>
    </sheetView>
  </sheetViews>
  <sheetFormatPr defaultRowHeight="14.4" x14ac:dyDescent="0.3"/>
  <sheetData>
    <row r="1" spans="1:10" x14ac:dyDescent="0.3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4.4" x14ac:dyDescent="0.3"/>
  <sheetData>
    <row r="1" spans="1:10" x14ac:dyDescent="0.3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CurrentMonth</vt:lpstr>
      <vt:lpstr>CurrentYear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 Menon</cp:lastModifiedBy>
  <dcterms:created xsi:type="dcterms:W3CDTF">2021-07-16T18:17:37Z</dcterms:created>
  <dcterms:modified xsi:type="dcterms:W3CDTF">2022-03-24T02:07:34Z</dcterms:modified>
</cp:coreProperties>
</file>