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22995" windowHeight="10035" activeTab="2"/>
  </bookViews>
  <sheets>
    <sheet name="Chirko yield impacts" sheetId="3" r:id="rId1"/>
    <sheet name="Burgess yield impacts" sheetId="1" r:id="rId2"/>
    <sheet name="Combined" sheetId="4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C6" i="4" l="1"/>
  <c r="AE6" i="4"/>
  <c r="AF6" i="4"/>
  <c r="AC7" i="4"/>
  <c r="AE7" i="4"/>
  <c r="AF7" i="4"/>
  <c r="AC8" i="4"/>
  <c r="AE8" i="4"/>
  <c r="AF8" i="4"/>
  <c r="AF5" i="4"/>
  <c r="AE5" i="4"/>
  <c r="AC5" i="4"/>
  <c r="X6" i="4"/>
  <c r="X7" i="4"/>
  <c r="X8" i="4"/>
  <c r="Z5" i="4"/>
  <c r="AA5" i="4"/>
  <c r="Z6" i="4"/>
  <c r="AA6" i="4"/>
  <c r="Z7" i="4"/>
  <c r="AA7" i="4"/>
  <c r="Z8" i="4"/>
  <c r="AA8" i="4"/>
  <c r="Y6" i="4"/>
  <c r="Y7" i="4"/>
  <c r="Y8" i="4"/>
  <c r="Y5" i="4"/>
  <c r="X5" i="4"/>
  <c r="V8" i="4"/>
  <c r="U8" i="4"/>
  <c r="T8" i="4"/>
  <c r="V7" i="4"/>
  <c r="U7" i="4"/>
  <c r="T7" i="4"/>
  <c r="V6" i="4"/>
  <c r="U6" i="4"/>
  <c r="T6" i="4"/>
  <c r="V5" i="4"/>
  <c r="U5" i="4"/>
  <c r="T5" i="4"/>
  <c r="Q5" i="4"/>
  <c r="R5" i="4"/>
  <c r="P5" i="4"/>
  <c r="O6" i="4"/>
  <c r="O7" i="4"/>
  <c r="O8" i="4"/>
  <c r="O5" i="4"/>
  <c r="D5" i="4"/>
  <c r="C5" i="4"/>
  <c r="C6" i="4"/>
  <c r="D6" i="4" s="1"/>
  <c r="C7" i="4"/>
  <c r="D7" i="4" s="1"/>
  <c r="C8" i="4"/>
  <c r="D8" i="4" s="1"/>
  <c r="B5" i="4"/>
  <c r="J5" i="4" s="1"/>
  <c r="B6" i="4"/>
  <c r="J6" i="4" s="1"/>
  <c r="B7" i="4"/>
  <c r="J7" i="4" s="1"/>
  <c r="B8" i="4"/>
  <c r="J8" i="4" s="1"/>
  <c r="C32" i="3"/>
  <c r="C29" i="3"/>
  <c r="C28" i="3"/>
  <c r="C27" i="3"/>
  <c r="C26" i="3"/>
  <c r="N22" i="3"/>
  <c r="M22" i="3"/>
  <c r="L22" i="3"/>
  <c r="J22" i="3"/>
  <c r="I22" i="3"/>
  <c r="H22" i="3"/>
  <c r="F22" i="3"/>
  <c r="E22" i="3"/>
  <c r="D22" i="3"/>
  <c r="C22" i="3"/>
  <c r="K22" i="3" s="1"/>
  <c r="N21" i="3"/>
  <c r="M21" i="3"/>
  <c r="L21" i="3"/>
  <c r="J21" i="3"/>
  <c r="I21" i="3"/>
  <c r="H21" i="3"/>
  <c r="F21" i="3"/>
  <c r="E21" i="3"/>
  <c r="D21" i="3"/>
  <c r="C21" i="3"/>
  <c r="K21" i="3" s="1"/>
  <c r="N20" i="3"/>
  <c r="M20" i="3"/>
  <c r="L20" i="3"/>
  <c r="J20" i="3"/>
  <c r="I20" i="3"/>
  <c r="H20" i="3"/>
  <c r="F20" i="3"/>
  <c r="E20" i="3"/>
  <c r="D20" i="3"/>
  <c r="C20" i="3"/>
  <c r="K20" i="3" s="1"/>
  <c r="N19" i="3"/>
  <c r="M19" i="3"/>
  <c r="L19" i="3"/>
  <c r="J19" i="3"/>
  <c r="I19" i="3"/>
  <c r="H19" i="3"/>
  <c r="F19" i="3"/>
  <c r="E19" i="3"/>
  <c r="D19" i="3"/>
  <c r="C19" i="3"/>
  <c r="K19" i="3" s="1"/>
  <c r="N15" i="3"/>
  <c r="N29" i="3" s="1"/>
  <c r="M15" i="3"/>
  <c r="M29" i="3" s="1"/>
  <c r="L15" i="3"/>
  <c r="L29" i="3" s="1"/>
  <c r="J15" i="3"/>
  <c r="J29" i="3" s="1"/>
  <c r="I15" i="3"/>
  <c r="I29" i="3" s="1"/>
  <c r="H15" i="3"/>
  <c r="H29" i="3" s="1"/>
  <c r="F15" i="3"/>
  <c r="F29" i="3" s="1"/>
  <c r="E15" i="3"/>
  <c r="E29" i="3" s="1"/>
  <c r="D15" i="3"/>
  <c r="D29" i="3" s="1"/>
  <c r="C15" i="3"/>
  <c r="K15" i="3" s="1"/>
  <c r="K29" i="3" s="1"/>
  <c r="N14" i="3"/>
  <c r="N28" i="3" s="1"/>
  <c r="M14" i="3"/>
  <c r="M28" i="3" s="1"/>
  <c r="L14" i="3"/>
  <c r="L28" i="3" s="1"/>
  <c r="J14" i="3"/>
  <c r="J28" i="3" s="1"/>
  <c r="I14" i="3"/>
  <c r="I28" i="3" s="1"/>
  <c r="H14" i="3"/>
  <c r="H28" i="3" s="1"/>
  <c r="F14" i="3"/>
  <c r="F28" i="3" s="1"/>
  <c r="E14" i="3"/>
  <c r="E28" i="3" s="1"/>
  <c r="D14" i="3"/>
  <c r="D28" i="3" s="1"/>
  <c r="C14" i="3"/>
  <c r="K14" i="3" s="1"/>
  <c r="K28" i="3" s="1"/>
  <c r="N13" i="3"/>
  <c r="N27" i="3" s="1"/>
  <c r="M13" i="3"/>
  <c r="M27" i="3" s="1"/>
  <c r="L13" i="3"/>
  <c r="L27" i="3" s="1"/>
  <c r="J13" i="3"/>
  <c r="J27" i="3" s="1"/>
  <c r="I13" i="3"/>
  <c r="I27" i="3" s="1"/>
  <c r="H13" i="3"/>
  <c r="H27" i="3" s="1"/>
  <c r="F13" i="3"/>
  <c r="F27" i="3" s="1"/>
  <c r="E13" i="3"/>
  <c r="E27" i="3" s="1"/>
  <c r="D13" i="3"/>
  <c r="D27" i="3" s="1"/>
  <c r="C13" i="3"/>
  <c r="K13" i="3" s="1"/>
  <c r="K27" i="3" s="1"/>
  <c r="N12" i="3"/>
  <c r="N26" i="3" s="1"/>
  <c r="M12" i="3"/>
  <c r="M26" i="3" s="1"/>
  <c r="L12" i="3"/>
  <c r="L26" i="3" s="1"/>
  <c r="J12" i="3"/>
  <c r="J26" i="3" s="1"/>
  <c r="I12" i="3"/>
  <c r="I26" i="3" s="1"/>
  <c r="H12" i="3"/>
  <c r="H26" i="3" s="1"/>
  <c r="F12" i="3"/>
  <c r="F26" i="3" s="1"/>
  <c r="E12" i="3"/>
  <c r="E26" i="3" s="1"/>
  <c r="D12" i="3"/>
  <c r="D26" i="3" s="1"/>
  <c r="C12" i="3"/>
  <c r="K12" i="3" s="1"/>
  <c r="K26" i="3" s="1"/>
  <c r="F6" i="3"/>
  <c r="D6" i="3"/>
  <c r="F5" i="3"/>
  <c r="D5" i="3"/>
  <c r="F4" i="3"/>
  <c r="D4" i="3"/>
  <c r="F3" i="3"/>
  <c r="D3" i="3"/>
  <c r="G3" i="3" l="1"/>
  <c r="I3" i="3" s="1"/>
  <c r="H3" i="3"/>
  <c r="G4" i="3"/>
  <c r="I4" i="3" s="1"/>
  <c r="G5" i="3"/>
  <c r="I5" i="3" s="1"/>
  <c r="G12" i="3"/>
  <c r="G13" i="3"/>
  <c r="G14" i="3"/>
  <c r="G15" i="3"/>
  <c r="G19" i="3"/>
  <c r="G20" i="3"/>
  <c r="G21" i="3"/>
  <c r="G22" i="3"/>
  <c r="H5" i="3"/>
  <c r="G6" i="3"/>
  <c r="I6" i="3" s="1"/>
  <c r="G29" i="3" l="1"/>
  <c r="C35" i="3" s="1"/>
  <c r="D35" i="3" s="1"/>
  <c r="H6" i="3"/>
  <c r="G28" i="3"/>
  <c r="C34" i="3" s="1"/>
  <c r="D34" i="3" s="1"/>
  <c r="H4" i="3"/>
  <c r="G27" i="3"/>
  <c r="C33" i="3" s="1"/>
  <c r="D33" i="3" s="1"/>
  <c r="G26" i="3"/>
  <c r="D32" i="3" s="1"/>
  <c r="J6" i="1" l="1"/>
  <c r="K6" i="1"/>
  <c r="L6" i="1"/>
  <c r="J7" i="1"/>
  <c r="J13" i="1" s="1"/>
  <c r="F5" i="4" s="1"/>
  <c r="F7" i="4" s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L5" i="1"/>
  <c r="L13" i="1" s="1"/>
  <c r="H5" i="4" s="1"/>
  <c r="H7" i="4" s="1"/>
  <c r="K5" i="1"/>
  <c r="K13" i="1" s="1"/>
  <c r="G5" i="4" s="1"/>
  <c r="G7" i="4" s="1"/>
  <c r="J5" i="1"/>
  <c r="M5" i="4" l="1"/>
  <c r="M8" i="4"/>
  <c r="M6" i="4"/>
  <c r="M7" i="4"/>
  <c r="L7" i="4"/>
  <c r="L8" i="4"/>
  <c r="L6" i="4"/>
  <c r="L5" i="4"/>
  <c r="K8" i="4"/>
  <c r="K5" i="4"/>
  <c r="K6" i="4"/>
  <c r="K7" i="4"/>
</calcChain>
</file>

<file path=xl/sharedStrings.xml><?xml version="1.0" encoding="utf-8"?>
<sst xmlns="http://schemas.openxmlformats.org/spreadsheetml/2006/main" count="71" uniqueCount="40">
  <si>
    <t>Year</t>
  </si>
  <si>
    <t>Relative yields</t>
  </si>
  <si>
    <t>Mean</t>
  </si>
  <si>
    <t>Min</t>
  </si>
  <si>
    <t>Max</t>
  </si>
  <si>
    <t>Long term</t>
  </si>
  <si>
    <t>Cirencester</t>
  </si>
  <si>
    <t>Leeds</t>
  </si>
  <si>
    <t>Silsoe</t>
  </si>
  <si>
    <t>Cont</t>
  </si>
  <si>
    <t>Alt</t>
  </si>
  <si>
    <t>Tree distance</t>
  </si>
  <si>
    <t>Yield</t>
  </si>
  <si>
    <t>Sole yield %</t>
  </si>
  <si>
    <t>Line-fitted</t>
  </si>
  <si>
    <t>Min (-20%)</t>
  </si>
  <si>
    <t>Max (+20%)</t>
  </si>
  <si>
    <t>Control</t>
  </si>
  <si>
    <t>From L</t>
  </si>
  <si>
    <t>% distance from left row</t>
  </si>
  <si>
    <t>Row width</t>
  </si>
  <si>
    <t>Crop width</t>
  </si>
  <si>
    <t>From R</t>
  </si>
  <si>
    <t>% distance from right row</t>
  </si>
  <si>
    <t>Nearest</t>
  </si>
  <si>
    <t>Av distance</t>
  </si>
  <si>
    <t>Fitted relative yield impact</t>
  </si>
  <si>
    <t>From Chirko (non-UK, variable spacings)</t>
  </si>
  <si>
    <t>From Burgess (UK, 10m spacing only)</t>
  </si>
  <si>
    <t>Combined method 1</t>
  </si>
  <si>
    <t>Combined method 2</t>
  </si>
  <si>
    <t>Impact adj factor</t>
  </si>
  <si>
    <t>Impact</t>
  </si>
  <si>
    <t>Combined final</t>
  </si>
  <si>
    <t>Justification - direct scaling</t>
  </si>
  <si>
    <t>Justification - reduction in agroforestry density reduces both +ve and -ve impacts.</t>
  </si>
  <si>
    <t>Recalibrate using adjustment factor rather than direct scaling</t>
  </si>
  <si>
    <t>For export</t>
  </si>
  <si>
    <t>BE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</si>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</sst>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0" fontId="1" fillId="0" borderId="0" xfId="1"/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1883202099737533E-3"/>
                  <c:y val="0.13705453484981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'Chirko yield impacts'!$B$3:$B$6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'Chirko yield impacts'!$D$3:$D$6</c:f>
              <c:numCache>
                <c:formatCode>General</c:formatCode>
                <c:ptCount val="4"/>
                <c:pt idx="0">
                  <c:v>0.79554655870445345</c:v>
                </c:pt>
                <c:pt idx="1">
                  <c:v>0.84817813765182182</c:v>
                </c:pt>
                <c:pt idx="2">
                  <c:v>0.90890688259109309</c:v>
                </c:pt>
                <c:pt idx="3">
                  <c:v>0.96761133603238869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FF-344C-9F56-0E2731BD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7808"/>
        <c:axId val="45049344"/>
      </c:scatterChart>
      <c:valAx>
        <c:axId val="4504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344"/>
        <c:crosses val="autoZero"/>
        <c:crossBetween val="midCat"/>
      </c:valAx>
      <c:valAx>
        <c:axId val="4504934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339726</xdr:colOff>
      <xdr:row>10</xdr:row>
      <xdr:rowOff>72231</xdr:rowOff>
    </xdr:from>
    <xdr:to>
      <xdr:col>25</xdr:col>
      <xdr:colOff>257176</xdr:colOff>
      <xdr:row>30</xdr:row>
      <xdr:rowOff>173831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F787D38-3F4D-2E4E-B982-4B2BA3800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roforestry%20data%20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rko yield impacts"/>
      <sheetName val="Crop-tree pairs"/>
      <sheetName val="Yield impact table"/>
      <sheetName val="Economics"/>
      <sheetName val="Abatement rates"/>
    </sheetNames>
    <sheetDataSet>
      <sheetData sheetId="0">
        <row r="3">
          <cell r="B3">
            <v>2.5</v>
          </cell>
          <cell r="D3">
            <v>0.79554655870445345</v>
          </cell>
        </row>
        <row r="4">
          <cell r="B4">
            <v>5</v>
          </cell>
          <cell r="D4">
            <v>0.84817813765182182</v>
          </cell>
        </row>
        <row r="5">
          <cell r="B5">
            <v>10</v>
          </cell>
          <cell r="D5">
            <v>0.90890688259109309</v>
          </cell>
        </row>
        <row r="6">
          <cell r="B6">
            <v>20</v>
          </cell>
          <cell r="D6">
            <v>0.96761133603238869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zoomScale="80" zoomScaleNormal="80" workbookViewId="0">
      <selection activeCell="E31" sqref="E31:G35"/>
    </sheetView>
  </sheetViews>
  <sheetFormatPr defaultColWidth="12.5703125" defaultRowHeight="15.75" x14ac:dyDescent="0.25"/>
  <cols>
    <col min="1" max="1" width="12.5703125" style="2"/>
    <col min="2" max="2" width="13.5703125" style="2" bestFit="1" customWidth="1"/>
    <col min="3" max="16384" width="12.5703125" style="2"/>
  </cols>
  <sheetData>
    <row r="2" spans="2:14" x14ac:dyDescent="0.25">
      <c r="B2" s="2" t="s">
        <v>11</v>
      </c>
      <c r="C2" s="2" t="s">
        <v>12</v>
      </c>
      <c r="D2" s="2" t="s">
        <v>13</v>
      </c>
      <c r="F2" s="2" t="s">
        <v>14</v>
      </c>
      <c r="H2" s="2" t="s">
        <v>15</v>
      </c>
      <c r="I2" s="2" t="s">
        <v>16</v>
      </c>
    </row>
    <row r="3" spans="2:14" x14ac:dyDescent="0.25">
      <c r="B3" s="2">
        <v>2.5</v>
      </c>
      <c r="C3" s="2">
        <v>393</v>
      </c>
      <c r="D3" s="2">
        <f>C3/$C$8</f>
        <v>0.79554655870445345</v>
      </c>
      <c r="F3" s="2">
        <f>0.0832*LN(B3)+0.7173</f>
        <v>0.79353538889192976</v>
      </c>
      <c r="G3" s="2">
        <f>(1-F3)*0.2</f>
        <v>4.1292922221614049E-2</v>
      </c>
      <c r="H3" s="2">
        <f>F3-G3</f>
        <v>0.75224246667031569</v>
      </c>
      <c r="I3" s="2">
        <f>F3+G3</f>
        <v>0.83482831111354383</v>
      </c>
    </row>
    <row r="4" spans="2:14" x14ac:dyDescent="0.25">
      <c r="B4" s="2">
        <v>5</v>
      </c>
      <c r="C4" s="2">
        <v>419</v>
      </c>
      <c r="D4" s="2">
        <f t="shared" ref="D4:D6" si="0">C4/$C$8</f>
        <v>0.84817813765182182</v>
      </c>
      <c r="F4" s="2">
        <f t="shared" ref="F4:F6" si="1">0.0832*LN(B4)+0.7173</f>
        <v>0.85120523431451722</v>
      </c>
      <c r="G4" s="2">
        <f t="shared" ref="G4:G6" si="2">(1-F4)*0.2</f>
        <v>2.9758953137096558E-2</v>
      </c>
      <c r="H4" s="2">
        <f t="shared" ref="H4:H6" si="3">F4-G4</f>
        <v>0.82144628117742069</v>
      </c>
      <c r="I4" s="2">
        <f t="shared" ref="I4:I6" si="4">F4+G4</f>
        <v>0.88096418745161376</v>
      </c>
    </row>
    <row r="5" spans="2:14" x14ac:dyDescent="0.25">
      <c r="B5" s="2">
        <v>10</v>
      </c>
      <c r="C5" s="2">
        <v>449</v>
      </c>
      <c r="D5" s="2">
        <f t="shared" si="0"/>
        <v>0.90890688259109309</v>
      </c>
      <c r="F5" s="2">
        <f t="shared" si="1"/>
        <v>0.90887507973710469</v>
      </c>
      <c r="G5" s="2">
        <f t="shared" si="2"/>
        <v>1.8224984052579062E-2</v>
      </c>
      <c r="H5" s="2">
        <f t="shared" si="3"/>
        <v>0.89065009568452558</v>
      </c>
      <c r="I5" s="2">
        <f t="shared" si="4"/>
        <v>0.92710006378968379</v>
      </c>
    </row>
    <row r="6" spans="2:14" x14ac:dyDescent="0.25">
      <c r="B6" s="2">
        <v>20</v>
      </c>
      <c r="C6" s="2">
        <v>478</v>
      </c>
      <c r="D6" s="2">
        <f t="shared" si="0"/>
        <v>0.96761133603238869</v>
      </c>
      <c r="F6" s="2">
        <f t="shared" si="1"/>
        <v>0.96654492515969204</v>
      </c>
      <c r="G6" s="2">
        <f t="shared" si="2"/>
        <v>6.691014968061593E-3</v>
      </c>
      <c r="H6" s="2">
        <f t="shared" si="3"/>
        <v>0.95985391019163047</v>
      </c>
      <c r="I6" s="2">
        <f t="shared" si="4"/>
        <v>0.97323594012775361</v>
      </c>
    </row>
    <row r="8" spans="2:14" x14ac:dyDescent="0.25">
      <c r="B8" s="2" t="s">
        <v>17</v>
      </c>
      <c r="C8" s="2">
        <v>494</v>
      </c>
    </row>
    <row r="10" spans="2:14" x14ac:dyDescent="0.25">
      <c r="B10" s="2" t="s">
        <v>18</v>
      </c>
      <c r="D10" s="2" t="s">
        <v>19</v>
      </c>
    </row>
    <row r="11" spans="2:14" x14ac:dyDescent="0.25">
      <c r="B11" s="2" t="s">
        <v>20</v>
      </c>
      <c r="C11" s="2" t="s">
        <v>21</v>
      </c>
      <c r="D11" s="1">
        <v>0</v>
      </c>
      <c r="E11" s="1">
        <v>0.1</v>
      </c>
      <c r="F11" s="1">
        <v>0.2</v>
      </c>
      <c r="G11" s="1">
        <v>0.3</v>
      </c>
      <c r="H11" s="1">
        <v>0.4</v>
      </c>
      <c r="I11" s="1">
        <v>0.5</v>
      </c>
      <c r="J11" s="1">
        <v>0.6</v>
      </c>
      <c r="K11" s="1">
        <v>0.7</v>
      </c>
      <c r="L11" s="1">
        <v>0.8</v>
      </c>
      <c r="M11" s="1">
        <v>0.9</v>
      </c>
      <c r="N11" s="1">
        <v>1</v>
      </c>
    </row>
    <row r="12" spans="2:14" x14ac:dyDescent="0.25">
      <c r="B12" s="2">
        <v>10</v>
      </c>
      <c r="C12" s="2">
        <f>B12-2</f>
        <v>8</v>
      </c>
      <c r="D12" s="2">
        <f>1+$C12*D$11</f>
        <v>1</v>
      </c>
      <c r="E12" s="2">
        <f t="shared" ref="E12:N15" si="5">1+$C12*E$11</f>
        <v>1.8</v>
      </c>
      <c r="F12" s="2">
        <f t="shared" si="5"/>
        <v>2.6</v>
      </c>
      <c r="G12" s="2">
        <f t="shared" si="5"/>
        <v>3.4</v>
      </c>
      <c r="H12" s="2">
        <f t="shared" si="5"/>
        <v>4.2</v>
      </c>
      <c r="I12" s="2">
        <f t="shared" si="5"/>
        <v>5</v>
      </c>
      <c r="J12" s="2">
        <f t="shared" si="5"/>
        <v>5.8</v>
      </c>
      <c r="K12" s="2">
        <f t="shared" si="5"/>
        <v>6.6</v>
      </c>
      <c r="L12" s="2">
        <f t="shared" si="5"/>
        <v>7.4</v>
      </c>
      <c r="M12" s="2">
        <f t="shared" si="5"/>
        <v>8.1999999999999993</v>
      </c>
      <c r="N12" s="2">
        <f t="shared" si="5"/>
        <v>9</v>
      </c>
    </row>
    <row r="13" spans="2:14" x14ac:dyDescent="0.25">
      <c r="B13" s="2">
        <v>20</v>
      </c>
      <c r="C13" s="2">
        <f t="shared" ref="C13:C15" si="6">B13-2</f>
        <v>18</v>
      </c>
      <c r="D13" s="2">
        <f t="shared" ref="D13:D15" si="7">1+$C13*D$11</f>
        <v>1</v>
      </c>
      <c r="E13" s="2">
        <f t="shared" si="5"/>
        <v>2.8</v>
      </c>
      <c r="F13" s="2">
        <f t="shared" si="5"/>
        <v>4.5999999999999996</v>
      </c>
      <c r="G13" s="2">
        <f t="shared" si="5"/>
        <v>6.3999999999999995</v>
      </c>
      <c r="H13" s="2">
        <f t="shared" si="5"/>
        <v>8.1999999999999993</v>
      </c>
      <c r="I13" s="2">
        <f t="shared" si="5"/>
        <v>10</v>
      </c>
      <c r="J13" s="2">
        <f t="shared" si="5"/>
        <v>11.799999999999999</v>
      </c>
      <c r="K13" s="2">
        <f t="shared" si="5"/>
        <v>13.6</v>
      </c>
      <c r="L13" s="2">
        <f t="shared" si="5"/>
        <v>15.4</v>
      </c>
      <c r="M13" s="2">
        <f t="shared" si="5"/>
        <v>17.2</v>
      </c>
      <c r="N13" s="2">
        <f t="shared" si="5"/>
        <v>19</v>
      </c>
    </row>
    <row r="14" spans="2:14" x14ac:dyDescent="0.25">
      <c r="B14" s="2">
        <v>30</v>
      </c>
      <c r="C14" s="2">
        <f t="shared" si="6"/>
        <v>28</v>
      </c>
      <c r="D14" s="2">
        <f t="shared" si="7"/>
        <v>1</v>
      </c>
      <c r="E14" s="2">
        <f t="shared" si="5"/>
        <v>3.8000000000000003</v>
      </c>
      <c r="F14" s="2">
        <f t="shared" si="5"/>
        <v>6.6000000000000005</v>
      </c>
      <c r="G14" s="2">
        <f t="shared" si="5"/>
        <v>9.4</v>
      </c>
      <c r="H14" s="2">
        <f t="shared" si="5"/>
        <v>12.200000000000001</v>
      </c>
      <c r="I14" s="2">
        <f t="shared" si="5"/>
        <v>15</v>
      </c>
      <c r="J14" s="2">
        <f t="shared" si="5"/>
        <v>17.8</v>
      </c>
      <c r="K14" s="2">
        <f t="shared" si="5"/>
        <v>20.599999999999998</v>
      </c>
      <c r="L14" s="2">
        <f t="shared" si="5"/>
        <v>23.400000000000002</v>
      </c>
      <c r="M14" s="2">
        <f t="shared" si="5"/>
        <v>26.2</v>
      </c>
      <c r="N14" s="2">
        <f t="shared" si="5"/>
        <v>29</v>
      </c>
    </row>
    <row r="15" spans="2:14" x14ac:dyDescent="0.25">
      <c r="B15" s="2">
        <v>40</v>
      </c>
      <c r="C15" s="2">
        <f t="shared" si="6"/>
        <v>38</v>
      </c>
      <c r="D15" s="2">
        <f t="shared" si="7"/>
        <v>1</v>
      </c>
      <c r="E15" s="2">
        <f t="shared" si="5"/>
        <v>4.8000000000000007</v>
      </c>
      <c r="F15" s="2">
        <f t="shared" si="5"/>
        <v>8.6000000000000014</v>
      </c>
      <c r="G15" s="2">
        <f t="shared" si="5"/>
        <v>12.4</v>
      </c>
      <c r="H15" s="2">
        <f t="shared" si="5"/>
        <v>16.200000000000003</v>
      </c>
      <c r="I15" s="2">
        <f t="shared" si="5"/>
        <v>20</v>
      </c>
      <c r="J15" s="2">
        <f t="shared" si="5"/>
        <v>23.8</v>
      </c>
      <c r="K15" s="2">
        <f t="shared" si="5"/>
        <v>27.599999999999998</v>
      </c>
      <c r="L15" s="2">
        <f t="shared" si="5"/>
        <v>31.400000000000002</v>
      </c>
      <c r="M15" s="2">
        <f t="shared" si="5"/>
        <v>35.200000000000003</v>
      </c>
      <c r="N15" s="2">
        <f t="shared" si="5"/>
        <v>39</v>
      </c>
    </row>
    <row r="17" spans="2:14" x14ac:dyDescent="0.25">
      <c r="B17" s="2" t="s">
        <v>22</v>
      </c>
      <c r="D17" s="2" t="s">
        <v>23</v>
      </c>
    </row>
    <row r="18" spans="2:14" x14ac:dyDescent="0.25">
      <c r="B18" s="2" t="s">
        <v>20</v>
      </c>
      <c r="C18" s="2" t="s">
        <v>21</v>
      </c>
      <c r="D18" s="1">
        <v>1</v>
      </c>
      <c r="E18" s="1">
        <v>0.9</v>
      </c>
      <c r="F18" s="1">
        <v>0.8</v>
      </c>
      <c r="G18" s="1">
        <v>0.7</v>
      </c>
      <c r="H18" s="1">
        <v>0.6</v>
      </c>
      <c r="I18" s="1">
        <v>0.5</v>
      </c>
      <c r="J18" s="1">
        <v>0.4</v>
      </c>
      <c r="K18" s="1">
        <v>0.3</v>
      </c>
      <c r="L18" s="1">
        <v>0.2</v>
      </c>
      <c r="M18" s="1">
        <v>0.1</v>
      </c>
      <c r="N18" s="1">
        <v>0</v>
      </c>
    </row>
    <row r="19" spans="2:14" x14ac:dyDescent="0.25">
      <c r="B19" s="2">
        <v>10</v>
      </c>
      <c r="C19" s="2">
        <f>B19-2</f>
        <v>8</v>
      </c>
      <c r="D19" s="2">
        <f>1+$C19*D$18</f>
        <v>9</v>
      </c>
      <c r="E19" s="2">
        <f t="shared" ref="E19:N22" si="8">1+$C19*E$18</f>
        <v>8.1999999999999993</v>
      </c>
      <c r="F19" s="2">
        <f t="shared" si="8"/>
        <v>7.4</v>
      </c>
      <c r="G19" s="2">
        <f t="shared" si="8"/>
        <v>6.6</v>
      </c>
      <c r="H19" s="2">
        <f t="shared" si="8"/>
        <v>5.8</v>
      </c>
      <c r="I19" s="2">
        <f t="shared" si="8"/>
        <v>5</v>
      </c>
      <c r="J19" s="2">
        <f t="shared" si="8"/>
        <v>4.2</v>
      </c>
      <c r="K19" s="2">
        <f t="shared" si="8"/>
        <v>3.4</v>
      </c>
      <c r="L19" s="2">
        <f t="shared" si="8"/>
        <v>2.6</v>
      </c>
      <c r="M19" s="2">
        <f t="shared" si="8"/>
        <v>1.8</v>
      </c>
      <c r="N19" s="2">
        <f t="shared" si="8"/>
        <v>1</v>
      </c>
    </row>
    <row r="20" spans="2:14" x14ac:dyDescent="0.25">
      <c r="B20" s="2">
        <v>20</v>
      </c>
      <c r="C20" s="2">
        <f t="shared" ref="C20:C22" si="9">B20-2</f>
        <v>18</v>
      </c>
      <c r="D20" s="2">
        <f t="shared" ref="D20:D22" si="10">1+$C20*D$18</f>
        <v>19</v>
      </c>
      <c r="E20" s="2">
        <f t="shared" si="8"/>
        <v>17.2</v>
      </c>
      <c r="F20" s="2">
        <f t="shared" si="8"/>
        <v>15.4</v>
      </c>
      <c r="G20" s="2">
        <f t="shared" si="8"/>
        <v>13.6</v>
      </c>
      <c r="H20" s="2">
        <f t="shared" si="8"/>
        <v>11.799999999999999</v>
      </c>
      <c r="I20" s="2">
        <f t="shared" si="8"/>
        <v>10</v>
      </c>
      <c r="J20" s="2">
        <f t="shared" si="8"/>
        <v>8.1999999999999993</v>
      </c>
      <c r="K20" s="2">
        <f t="shared" si="8"/>
        <v>6.3999999999999995</v>
      </c>
      <c r="L20" s="2">
        <f t="shared" si="8"/>
        <v>4.5999999999999996</v>
      </c>
      <c r="M20" s="2">
        <f t="shared" si="8"/>
        <v>2.8</v>
      </c>
      <c r="N20" s="2">
        <f t="shared" si="8"/>
        <v>1</v>
      </c>
    </row>
    <row r="21" spans="2:14" x14ac:dyDescent="0.25">
      <c r="B21" s="2">
        <v>30</v>
      </c>
      <c r="C21" s="2">
        <f t="shared" si="9"/>
        <v>28</v>
      </c>
      <c r="D21" s="2">
        <f t="shared" si="10"/>
        <v>29</v>
      </c>
      <c r="E21" s="2">
        <f t="shared" si="8"/>
        <v>26.2</v>
      </c>
      <c r="F21" s="2">
        <f t="shared" si="8"/>
        <v>23.400000000000002</v>
      </c>
      <c r="G21" s="2">
        <f t="shared" si="8"/>
        <v>20.599999999999998</v>
      </c>
      <c r="H21" s="2">
        <f t="shared" si="8"/>
        <v>17.8</v>
      </c>
      <c r="I21" s="2">
        <f t="shared" si="8"/>
        <v>15</v>
      </c>
      <c r="J21" s="2">
        <f t="shared" si="8"/>
        <v>12.200000000000001</v>
      </c>
      <c r="K21" s="2">
        <f t="shared" si="8"/>
        <v>9.4</v>
      </c>
      <c r="L21" s="2">
        <f t="shared" si="8"/>
        <v>6.6000000000000005</v>
      </c>
      <c r="M21" s="2">
        <f t="shared" si="8"/>
        <v>3.8000000000000003</v>
      </c>
      <c r="N21" s="2">
        <f t="shared" si="8"/>
        <v>1</v>
      </c>
    </row>
    <row r="22" spans="2:14" x14ac:dyDescent="0.25">
      <c r="B22" s="2">
        <v>40</v>
      </c>
      <c r="C22" s="2">
        <f t="shared" si="9"/>
        <v>38</v>
      </c>
      <c r="D22" s="2">
        <f t="shared" si="10"/>
        <v>39</v>
      </c>
      <c r="E22" s="2">
        <f t="shared" si="8"/>
        <v>35.200000000000003</v>
      </c>
      <c r="F22" s="2">
        <f t="shared" si="8"/>
        <v>31.400000000000002</v>
      </c>
      <c r="G22" s="2">
        <f t="shared" si="8"/>
        <v>27.599999999999998</v>
      </c>
      <c r="H22" s="2">
        <f t="shared" si="8"/>
        <v>23.8</v>
      </c>
      <c r="I22" s="2">
        <f t="shared" si="8"/>
        <v>20</v>
      </c>
      <c r="J22" s="2">
        <f t="shared" si="8"/>
        <v>16.200000000000003</v>
      </c>
      <c r="K22" s="2">
        <f t="shared" si="8"/>
        <v>12.4</v>
      </c>
      <c r="L22" s="2">
        <f t="shared" si="8"/>
        <v>8.6000000000000014</v>
      </c>
      <c r="M22" s="2">
        <f t="shared" si="8"/>
        <v>4.8000000000000007</v>
      </c>
      <c r="N22" s="2">
        <f t="shared" si="8"/>
        <v>1</v>
      </c>
    </row>
    <row r="24" spans="2:14" x14ac:dyDescent="0.25">
      <c r="B24" s="2" t="s">
        <v>24</v>
      </c>
    </row>
    <row r="25" spans="2:14" x14ac:dyDescent="0.25">
      <c r="B25" s="2" t="s">
        <v>20</v>
      </c>
      <c r="C25" s="2" t="s">
        <v>21</v>
      </c>
    </row>
    <row r="26" spans="2:14" x14ac:dyDescent="0.25">
      <c r="B26" s="2">
        <v>10</v>
      </c>
      <c r="C26" s="2">
        <f>B26-2</f>
        <v>8</v>
      </c>
      <c r="D26" s="2">
        <f>MIN(D12, D19)</f>
        <v>1</v>
      </c>
      <c r="E26" s="2">
        <f t="shared" ref="E26:N26" si="11">MIN(E12, E19)</f>
        <v>1.8</v>
      </c>
      <c r="F26" s="2">
        <f t="shared" si="11"/>
        <v>2.6</v>
      </c>
      <c r="G26" s="2">
        <f t="shared" si="11"/>
        <v>3.4</v>
      </c>
      <c r="H26" s="2">
        <f t="shared" si="11"/>
        <v>4.2</v>
      </c>
      <c r="I26" s="2">
        <f t="shared" si="11"/>
        <v>5</v>
      </c>
      <c r="J26" s="2">
        <f t="shared" si="11"/>
        <v>4.2</v>
      </c>
      <c r="K26" s="2">
        <f t="shared" si="11"/>
        <v>3.4</v>
      </c>
      <c r="L26" s="2">
        <f t="shared" si="11"/>
        <v>2.6</v>
      </c>
      <c r="M26" s="2">
        <f t="shared" si="11"/>
        <v>1.8</v>
      </c>
      <c r="N26" s="2">
        <f t="shared" si="11"/>
        <v>1</v>
      </c>
    </row>
    <row r="27" spans="2:14" x14ac:dyDescent="0.25">
      <c r="B27" s="2">
        <v>20</v>
      </c>
      <c r="C27" s="2">
        <f t="shared" ref="C27:C29" si="12">B27-2</f>
        <v>18</v>
      </c>
      <c r="D27" s="2">
        <f t="shared" ref="D27:N29" si="13">MIN(D13, D20)</f>
        <v>1</v>
      </c>
      <c r="E27" s="2">
        <f t="shared" si="13"/>
        <v>2.8</v>
      </c>
      <c r="F27" s="2">
        <f t="shared" si="13"/>
        <v>4.5999999999999996</v>
      </c>
      <c r="G27" s="2">
        <f t="shared" si="13"/>
        <v>6.3999999999999995</v>
      </c>
      <c r="H27" s="2">
        <f t="shared" si="13"/>
        <v>8.1999999999999993</v>
      </c>
      <c r="I27" s="2">
        <f t="shared" si="13"/>
        <v>10</v>
      </c>
      <c r="J27" s="2">
        <f t="shared" si="13"/>
        <v>8.1999999999999993</v>
      </c>
      <c r="K27" s="2">
        <f t="shared" si="13"/>
        <v>6.3999999999999995</v>
      </c>
      <c r="L27" s="2">
        <f t="shared" si="13"/>
        <v>4.5999999999999996</v>
      </c>
      <c r="M27" s="2">
        <f t="shared" si="13"/>
        <v>2.8</v>
      </c>
      <c r="N27" s="2">
        <f t="shared" si="13"/>
        <v>1</v>
      </c>
    </row>
    <row r="28" spans="2:14" x14ac:dyDescent="0.25">
      <c r="B28" s="2">
        <v>30</v>
      </c>
      <c r="C28" s="2">
        <f t="shared" si="12"/>
        <v>28</v>
      </c>
      <c r="D28" s="2">
        <f t="shared" si="13"/>
        <v>1</v>
      </c>
      <c r="E28" s="2">
        <f t="shared" si="13"/>
        <v>3.8000000000000003</v>
      </c>
      <c r="F28" s="2">
        <f t="shared" si="13"/>
        <v>6.6000000000000005</v>
      </c>
      <c r="G28" s="2">
        <f t="shared" si="13"/>
        <v>9.4</v>
      </c>
      <c r="H28" s="2">
        <f t="shared" si="13"/>
        <v>12.200000000000001</v>
      </c>
      <c r="I28" s="2">
        <f t="shared" si="13"/>
        <v>15</v>
      </c>
      <c r="J28" s="2">
        <f t="shared" si="13"/>
        <v>12.200000000000001</v>
      </c>
      <c r="K28" s="2">
        <f t="shared" si="13"/>
        <v>9.4</v>
      </c>
      <c r="L28" s="2">
        <f t="shared" si="13"/>
        <v>6.6000000000000005</v>
      </c>
      <c r="M28" s="2">
        <f t="shared" si="13"/>
        <v>3.8000000000000003</v>
      </c>
      <c r="N28" s="2">
        <f t="shared" si="13"/>
        <v>1</v>
      </c>
    </row>
    <row r="29" spans="2:14" x14ac:dyDescent="0.25">
      <c r="B29" s="2">
        <v>40</v>
      </c>
      <c r="C29" s="2">
        <f t="shared" si="12"/>
        <v>38</v>
      </c>
      <c r="D29" s="2">
        <f t="shared" si="13"/>
        <v>1</v>
      </c>
      <c r="E29" s="2">
        <f t="shared" si="13"/>
        <v>4.8000000000000007</v>
      </c>
      <c r="F29" s="2">
        <f t="shared" si="13"/>
        <v>8.6000000000000014</v>
      </c>
      <c r="G29" s="2">
        <f t="shared" si="13"/>
        <v>12.4</v>
      </c>
      <c r="H29" s="2">
        <f t="shared" si="13"/>
        <v>16.200000000000003</v>
      </c>
      <c r="I29" s="2">
        <f t="shared" si="13"/>
        <v>20</v>
      </c>
      <c r="J29" s="2">
        <f t="shared" si="13"/>
        <v>16.200000000000003</v>
      </c>
      <c r="K29" s="2">
        <f t="shared" si="13"/>
        <v>12.4</v>
      </c>
      <c r="L29" s="2">
        <f t="shared" si="13"/>
        <v>8.6000000000000014</v>
      </c>
      <c r="M29" s="2">
        <f t="shared" si="13"/>
        <v>4.8000000000000007</v>
      </c>
      <c r="N29" s="2">
        <f t="shared" si="13"/>
        <v>1</v>
      </c>
    </row>
    <row r="31" spans="2:14" x14ac:dyDescent="0.25">
      <c r="B31" s="2" t="s">
        <v>20</v>
      </c>
      <c r="C31" s="2" t="s">
        <v>25</v>
      </c>
      <c r="D31" s="2" t="s">
        <v>14</v>
      </c>
    </row>
    <row r="32" spans="2:14" x14ac:dyDescent="0.25">
      <c r="B32" s="2">
        <v>10</v>
      </c>
      <c r="C32" s="2">
        <f>AVERAGE(D26:N26)</f>
        <v>2.8181818181818183</v>
      </c>
      <c r="D32" s="2">
        <f>0.0832*LN(C32)+0.7173</f>
        <v>0.80350284871633981</v>
      </c>
    </row>
    <row r="33" spans="2:4" x14ac:dyDescent="0.25">
      <c r="B33" s="2">
        <v>20</v>
      </c>
      <c r="C33" s="2">
        <f>AVERAGE(D27:N27)</f>
        <v>5.0909090909090908</v>
      </c>
      <c r="D33" s="2">
        <f t="shared" ref="D33:D35" si="14">0.0832*LN(C33)+0.7173</f>
        <v>0.85270437397234</v>
      </c>
    </row>
    <row r="34" spans="2:4" x14ac:dyDescent="0.25">
      <c r="B34" s="2">
        <v>30</v>
      </c>
      <c r="C34" s="2">
        <f>AVERAGE(D28:N28)</f>
        <v>7.3636363636363633</v>
      </c>
      <c r="D34" s="2">
        <f t="shared" si="14"/>
        <v>0.88341328297192256</v>
      </c>
    </row>
    <row r="35" spans="2:4" x14ac:dyDescent="0.25">
      <c r="B35" s="2">
        <v>40</v>
      </c>
      <c r="C35" s="2">
        <f>AVERAGE(D29:N29)</f>
        <v>9.6363636363636385</v>
      </c>
      <c r="D35" s="2">
        <f t="shared" si="14"/>
        <v>0.90579324593329957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13"/>
  <sheetViews>
    <sheetView zoomScale="80" zoomScaleNormal="80" workbookViewId="0">
      <selection activeCell="O16" sqref="O16"/>
    </sheetView>
  </sheetViews>
  <sheetFormatPr defaultRowHeight="15" x14ac:dyDescent="0.25"/>
  <cols>
    <col min="2" max="2" width="9.140625" customWidth="1"/>
  </cols>
  <sheetData>
    <row r="2" spans="2:12" x14ac:dyDescent="0.25">
      <c r="C2" t="s">
        <v>1</v>
      </c>
    </row>
    <row r="3" spans="2:12" x14ac:dyDescent="0.25">
      <c r="C3" t="s">
        <v>6</v>
      </c>
      <c r="E3" t="s">
        <v>7</v>
      </c>
      <c r="G3" t="s">
        <v>8</v>
      </c>
    </row>
    <row r="4" spans="2:12" x14ac:dyDescent="0.25">
      <c r="B4" t="s">
        <v>0</v>
      </c>
      <c r="C4" t="s">
        <v>9</v>
      </c>
      <c r="D4" t="s">
        <v>10</v>
      </c>
      <c r="E4" t="s">
        <v>9</v>
      </c>
      <c r="F4" t="s">
        <v>10</v>
      </c>
      <c r="G4" t="s">
        <v>9</v>
      </c>
      <c r="H4" t="s">
        <v>10</v>
      </c>
      <c r="J4" t="s">
        <v>2</v>
      </c>
      <c r="K4" t="s">
        <v>3</v>
      </c>
      <c r="L4" t="s">
        <v>4</v>
      </c>
    </row>
    <row r="5" spans="2:12" x14ac:dyDescent="0.25">
      <c r="B5">
        <v>92</v>
      </c>
      <c r="C5">
        <v>106</v>
      </c>
      <c r="D5">
        <v>106</v>
      </c>
      <c r="E5">
        <v>104</v>
      </c>
      <c r="F5">
        <v>105</v>
      </c>
      <c r="J5">
        <f>AVERAGE(C5:H5)</f>
        <v>105.25</v>
      </c>
      <c r="K5">
        <f>MIN(C5:H5)</f>
        <v>104</v>
      </c>
      <c r="L5">
        <f>MAX(C5:H5)</f>
        <v>106</v>
      </c>
    </row>
    <row r="6" spans="2:12" x14ac:dyDescent="0.25">
      <c r="B6">
        <v>93</v>
      </c>
      <c r="C6">
        <v>88</v>
      </c>
      <c r="D6">
        <v>94</v>
      </c>
      <c r="E6">
        <v>88</v>
      </c>
      <c r="F6">
        <v>84</v>
      </c>
      <c r="J6">
        <f t="shared" ref="J6:J11" si="0">AVERAGE(C6:H6)</f>
        <v>88.5</v>
      </c>
      <c r="K6">
        <f>MIN(C6:H6)</f>
        <v>84</v>
      </c>
      <c r="L6">
        <f>MAX(C6:H6)</f>
        <v>94</v>
      </c>
    </row>
    <row r="7" spans="2:12" x14ac:dyDescent="0.25">
      <c r="B7">
        <v>94</v>
      </c>
      <c r="C7">
        <v>83</v>
      </c>
      <c r="D7">
        <v>102</v>
      </c>
      <c r="E7">
        <v>106</v>
      </c>
      <c r="F7">
        <v>97</v>
      </c>
      <c r="J7">
        <f t="shared" si="0"/>
        <v>97</v>
      </c>
      <c r="K7">
        <f>MIN(C7:H7)</f>
        <v>83</v>
      </c>
      <c r="L7">
        <f>MAX(C7:H7)</f>
        <v>106</v>
      </c>
    </row>
    <row r="8" spans="2:12" x14ac:dyDescent="0.25">
      <c r="B8">
        <v>95</v>
      </c>
      <c r="C8">
        <v>71</v>
      </c>
      <c r="D8">
        <v>71</v>
      </c>
      <c r="E8">
        <v>96</v>
      </c>
      <c r="F8">
        <v>108</v>
      </c>
      <c r="G8">
        <v>104</v>
      </c>
      <c r="H8">
        <v>110</v>
      </c>
      <c r="J8">
        <f t="shared" si="0"/>
        <v>93.333333333333329</v>
      </c>
      <c r="K8">
        <f>MIN(C8:H8)</f>
        <v>71</v>
      </c>
      <c r="L8">
        <f>MAX(C8:H8)</f>
        <v>110</v>
      </c>
    </row>
    <row r="9" spans="2:12" x14ac:dyDescent="0.25">
      <c r="B9">
        <v>96</v>
      </c>
      <c r="C9">
        <v>77</v>
      </c>
      <c r="D9">
        <v>85</v>
      </c>
      <c r="E9">
        <v>90</v>
      </c>
      <c r="F9">
        <v>91</v>
      </c>
      <c r="G9">
        <v>98</v>
      </c>
      <c r="H9">
        <v>121</v>
      </c>
      <c r="J9">
        <f t="shared" si="0"/>
        <v>93.666666666666671</v>
      </c>
      <c r="K9">
        <f>MIN(C9:H9)</f>
        <v>77</v>
      </c>
      <c r="L9">
        <f>MAX(C9:H9)</f>
        <v>121</v>
      </c>
    </row>
    <row r="10" spans="2:12" x14ac:dyDescent="0.25">
      <c r="B10">
        <v>97</v>
      </c>
      <c r="C10">
        <v>85</v>
      </c>
      <c r="D10">
        <v>97</v>
      </c>
      <c r="E10">
        <v>85</v>
      </c>
      <c r="F10">
        <v>80</v>
      </c>
      <c r="G10">
        <v>104</v>
      </c>
      <c r="H10">
        <v>108</v>
      </c>
      <c r="J10">
        <f t="shared" si="0"/>
        <v>93.166666666666671</v>
      </c>
      <c r="K10">
        <f>MIN(C10:H10)</f>
        <v>80</v>
      </c>
      <c r="L10">
        <f>MAX(C10:H10)</f>
        <v>108</v>
      </c>
    </row>
    <row r="11" spans="2:12" x14ac:dyDescent="0.25">
      <c r="B11">
        <v>98</v>
      </c>
      <c r="E11">
        <v>91</v>
      </c>
      <c r="F11">
        <v>77</v>
      </c>
      <c r="G11">
        <v>82</v>
      </c>
      <c r="H11">
        <v>76</v>
      </c>
      <c r="J11">
        <f t="shared" si="0"/>
        <v>81.5</v>
      </c>
      <c r="K11">
        <f>MIN(C11:H11)</f>
        <v>76</v>
      </c>
      <c r="L11">
        <f>MAX(C11:H11)</f>
        <v>91</v>
      </c>
    </row>
    <row r="13" spans="2:12" x14ac:dyDescent="0.25">
      <c r="B13" t="s">
        <v>5</v>
      </c>
      <c r="J13">
        <f>AVERAGE(J5:J11)</f>
        <v>93.202380952380949</v>
      </c>
      <c r="K13">
        <f t="shared" ref="K13:L13" si="1">AVERAGE(K5:K11)</f>
        <v>82.142857142857139</v>
      </c>
      <c r="L13">
        <f t="shared" si="1"/>
        <v>105.14285714285714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1"/>
  <sheetViews>
    <sheetView tabSelected="1" topLeftCell="F1" zoomScale="80" zoomScaleNormal="80" workbookViewId="0">
      <selection activeCell="AA25" sqref="AA25"/>
    </sheetView>
  </sheetViews>
  <sheetFormatPr defaultRowHeight="15" x14ac:dyDescent="0.25"/>
  <cols>
    <col min="2" max="2" width="12.140625" customWidth="1"/>
    <col min="3" max="3" width="29.85546875" customWidth="1"/>
    <col min="4" max="4" width="15.42578125" customWidth="1"/>
    <col min="6" max="8" width="10.42578125" customWidth="1"/>
    <col min="10" max="10" width="11.42578125" bestFit="1" customWidth="1"/>
    <col min="15" max="15" width="21" bestFit="1" customWidth="1"/>
    <col min="16" max="16" width="17.7109375" bestFit="1" customWidth="1"/>
    <col min="24" max="24" width="11.42578125" customWidth="1"/>
  </cols>
  <sheetData>
    <row r="2" spans="2:32" x14ac:dyDescent="0.25">
      <c r="B2" t="s">
        <v>27</v>
      </c>
      <c r="F2" t="s">
        <v>28</v>
      </c>
      <c r="J2" t="s">
        <v>29</v>
      </c>
      <c r="O2" t="s">
        <v>30</v>
      </c>
      <c r="X2" t="s">
        <v>33</v>
      </c>
      <c r="AC2" t="s">
        <v>37</v>
      </c>
    </row>
    <row r="3" spans="2:32" x14ac:dyDescent="0.25">
      <c r="P3" t="s">
        <v>31</v>
      </c>
      <c r="T3" t="s">
        <v>32</v>
      </c>
    </row>
    <row r="4" spans="2:32" x14ac:dyDescent="0.25">
      <c r="B4" t="s">
        <v>20</v>
      </c>
      <c r="C4" t="s">
        <v>26</v>
      </c>
      <c r="F4" t="s">
        <v>2</v>
      </c>
      <c r="G4" t="s">
        <v>3</v>
      </c>
      <c r="H4" t="s">
        <v>4</v>
      </c>
      <c r="J4" t="s">
        <v>20</v>
      </c>
      <c r="K4" t="s">
        <v>2</v>
      </c>
      <c r="L4" t="s">
        <v>3</v>
      </c>
      <c r="M4" t="s">
        <v>4</v>
      </c>
      <c r="O4" t="s">
        <v>20</v>
      </c>
      <c r="P4" t="s">
        <v>2</v>
      </c>
      <c r="Q4" t="s">
        <v>3</v>
      </c>
      <c r="R4" t="s">
        <v>4</v>
      </c>
      <c r="T4" t="s">
        <v>2</v>
      </c>
      <c r="U4" t="s">
        <v>3</v>
      </c>
      <c r="V4" t="s">
        <v>4</v>
      </c>
      <c r="X4" t="s">
        <v>20</v>
      </c>
      <c r="Y4" t="s">
        <v>2</v>
      </c>
      <c r="Z4" t="s">
        <v>3</v>
      </c>
      <c r="AA4" t="s">
        <v>4</v>
      </c>
      <c r="AC4" t="s">
        <v>38</v>
      </c>
      <c r="AD4" t="s">
        <v>39</v>
      </c>
      <c r="AE4" t="s">
        <v>3</v>
      </c>
      <c r="AF4" t="s">
        <v>4</v>
      </c>
    </row>
    <row r="5" spans="2:32" x14ac:dyDescent="0.25">
      <c r="B5">
        <f>'Chirko yield impacts'!B32</f>
        <v>10</v>
      </c>
      <c r="C5">
        <f>'Chirko yield impacts'!D32</f>
        <v>0.80350284871633981</v>
      </c>
      <c r="D5">
        <f>1-C5</f>
        <v>0.19649715128366019</v>
      </c>
      <c r="F5">
        <f>'Burgess yield impacts'!J13/100</f>
        <v>0.93202380952380948</v>
      </c>
      <c r="G5">
        <f>'Burgess yield impacts'!K13/100</f>
        <v>0.8214285714285714</v>
      </c>
      <c r="H5">
        <f>'Burgess yield impacts'!L13/100</f>
        <v>1.0514285714285714</v>
      </c>
      <c r="J5">
        <f>B5</f>
        <v>10</v>
      </c>
      <c r="K5">
        <f>$C5/$C$5*F$5</f>
        <v>0.93202380952380948</v>
      </c>
      <c r="L5">
        <f t="shared" ref="L5:M5" si="0">$C5/$C$5*G$5</f>
        <v>0.8214285714285714</v>
      </c>
      <c r="M5">
        <f t="shared" si="0"/>
        <v>1.0514285714285714</v>
      </c>
      <c r="O5">
        <f>B5</f>
        <v>10</v>
      </c>
      <c r="P5">
        <f>F$7/$D5</f>
        <v>0.34593982677164192</v>
      </c>
      <c r="Q5">
        <f t="shared" ref="Q5:R5" si="1">G$7/$D5</f>
        <v>0.90877362549468066</v>
      </c>
      <c r="R5">
        <f t="shared" si="1"/>
        <v>-0.26172680414246774</v>
      </c>
      <c r="T5">
        <f>1-($D5*P$5)</f>
        <v>0.93202380952380948</v>
      </c>
      <c r="U5">
        <f t="shared" ref="U5:U8" si="2">1-($D5*Q$5)</f>
        <v>0.8214285714285714</v>
      </c>
      <c r="V5">
        <f t="shared" ref="V5:V8" si="3">1-($D5*R$5)</f>
        <v>1.0514285714285714</v>
      </c>
      <c r="X5">
        <f>B5</f>
        <v>10</v>
      </c>
      <c r="Y5">
        <f>AVERAGE(K5, T5)</f>
        <v>0.93202380952380948</v>
      </c>
      <c r="Z5">
        <f>AVERAGE(L5, U5)</f>
        <v>0.8214285714285714</v>
      </c>
      <c r="AA5">
        <f>AVERAGE(M5, V5)</f>
        <v>1.0514285714285714</v>
      </c>
      <c r="AC5">
        <f>Y5</f>
        <v>0.93202380952380948</v>
      </c>
      <c r="AE5">
        <f>Z5</f>
        <v>0.8214285714285714</v>
      </c>
      <c r="AF5">
        <f>AA5</f>
        <v>1.0514285714285714</v>
      </c>
    </row>
    <row r="6" spans="2:32" x14ac:dyDescent="0.25">
      <c r="B6">
        <f>'Chirko yield impacts'!B33</f>
        <v>20</v>
      </c>
      <c r="C6">
        <f>'Chirko yield impacts'!D33</f>
        <v>0.85270437397234</v>
      </c>
      <c r="D6">
        <f t="shared" ref="D6:D8" si="4">1-C6</f>
        <v>0.14729562602766</v>
      </c>
      <c r="J6">
        <f t="shared" ref="J6:J8" si="5">B6</f>
        <v>20</v>
      </c>
      <c r="K6">
        <f t="shared" ref="K6:K8" si="6">$C6/$C$5*F$5</f>
        <v>0.98909516039299361</v>
      </c>
      <c r="L6">
        <f t="shared" ref="L6:L8" si="7">$C6/$C$5*G$5</f>
        <v>0.87172775663707447</v>
      </c>
      <c r="M6">
        <f t="shared" ref="M6:M8" si="8">$C6/$C$5*H$5</f>
        <v>1.1158115284954553</v>
      </c>
      <c r="O6">
        <f t="shared" ref="O6:O8" si="9">B6</f>
        <v>20</v>
      </c>
      <c r="T6">
        <f t="shared" ref="T6:T8" si="10">1-($D6*P$5)</f>
        <v>0.94904457664777075</v>
      </c>
      <c r="U6">
        <f t="shared" si="2"/>
        <v>0.86614161991533478</v>
      </c>
      <c r="V6">
        <f t="shared" si="3"/>
        <v>1.0385512134643835</v>
      </c>
      <c r="X6">
        <f t="shared" ref="X6:X8" si="11">B6</f>
        <v>20</v>
      </c>
      <c r="Y6">
        <f t="shared" ref="Y6:Y8" si="12">AVERAGE(K6, T6)</f>
        <v>0.96906986852038224</v>
      </c>
      <c r="Z6">
        <f>AVERAGE(L6, U6)</f>
        <v>0.86893468827620457</v>
      </c>
      <c r="AA6">
        <f>AVERAGE(M6, V6)</f>
        <v>1.0771813709799194</v>
      </c>
      <c r="AC6">
        <f t="shared" ref="AC6:AC8" si="13">Y6</f>
        <v>0.96906986852038224</v>
      </c>
      <c r="AE6">
        <f t="shared" ref="AE6:AE8" si="14">Z6</f>
        <v>0.86893468827620457</v>
      </c>
      <c r="AF6">
        <f t="shared" ref="AF6:AF8" si="15">AA6</f>
        <v>1.0771813709799194</v>
      </c>
    </row>
    <row r="7" spans="2:32" x14ac:dyDescent="0.25">
      <c r="B7">
        <f>'Chirko yield impacts'!B34</f>
        <v>30</v>
      </c>
      <c r="C7">
        <f>'Chirko yield impacts'!D34</f>
        <v>0.88341328297192256</v>
      </c>
      <c r="D7">
        <f t="shared" si="4"/>
        <v>0.11658671702807744</v>
      </c>
      <c r="F7">
        <f>1-F5</f>
        <v>6.7976190476190523E-2</v>
      </c>
      <c r="G7">
        <f t="shared" ref="G7:H7" si="16">1-G5</f>
        <v>0.1785714285714286</v>
      </c>
      <c r="H7">
        <f t="shared" si="16"/>
        <v>-5.1428571428571379E-2</v>
      </c>
      <c r="J7">
        <f t="shared" si="5"/>
        <v>30</v>
      </c>
      <c r="K7">
        <f t="shared" si="6"/>
        <v>1.0247159853817738</v>
      </c>
      <c r="L7">
        <f t="shared" si="7"/>
        <v>0.90312176512124642</v>
      </c>
      <c r="M7">
        <f t="shared" si="8"/>
        <v>1.1559958593551956</v>
      </c>
      <c r="O7">
        <f t="shared" si="9"/>
        <v>30</v>
      </c>
      <c r="T7">
        <f t="shared" si="10"/>
        <v>0.95966801130743251</v>
      </c>
      <c r="U7">
        <f t="shared" si="2"/>
        <v>0.89404906648187166</v>
      </c>
      <c r="V7">
        <f t="shared" si="3"/>
        <v>1.0305138688532209</v>
      </c>
      <c r="X7">
        <f t="shared" si="11"/>
        <v>30</v>
      </c>
      <c r="Y7">
        <f t="shared" si="12"/>
        <v>0.99219199834460314</v>
      </c>
      <c r="Z7">
        <f>AVERAGE(L7, U7)</f>
        <v>0.89858541580155904</v>
      </c>
      <c r="AA7">
        <f>AVERAGE(M7, V7)</f>
        <v>1.0932548641042081</v>
      </c>
      <c r="AC7">
        <f t="shared" si="13"/>
        <v>0.99219199834460314</v>
      </c>
      <c r="AE7">
        <f t="shared" si="14"/>
        <v>0.89858541580155904</v>
      </c>
      <c r="AF7">
        <f t="shared" si="15"/>
        <v>1.0932548641042081</v>
      </c>
    </row>
    <row r="8" spans="2:32" x14ac:dyDescent="0.25">
      <c r="B8">
        <f>'Chirko yield impacts'!B35</f>
        <v>40</v>
      </c>
      <c r="C8">
        <f>'Chirko yield impacts'!D35</f>
        <v>0.90579324593329957</v>
      </c>
      <c r="D8">
        <f t="shared" si="4"/>
        <v>9.4206754066700427E-2</v>
      </c>
      <c r="J8">
        <f t="shared" si="5"/>
        <v>40</v>
      </c>
      <c r="K8">
        <f t="shared" si="6"/>
        <v>1.0506756423631867</v>
      </c>
      <c r="L8">
        <f t="shared" si="7"/>
        <v>0.92600101319529804</v>
      </c>
      <c r="M8">
        <f t="shared" si="8"/>
        <v>1.1852812968899815</v>
      </c>
      <c r="O8">
        <f t="shared" si="9"/>
        <v>40</v>
      </c>
      <c r="T8">
        <f t="shared" si="10"/>
        <v>0.96741013181744695</v>
      </c>
      <c r="U8">
        <f t="shared" si="2"/>
        <v>0.91438738656071894</v>
      </c>
      <c r="V8">
        <f t="shared" si="3"/>
        <v>1.024656432670513</v>
      </c>
      <c r="X8">
        <f t="shared" si="11"/>
        <v>40</v>
      </c>
      <c r="Y8">
        <f t="shared" si="12"/>
        <v>1.0090428870903168</v>
      </c>
      <c r="Z8">
        <f>AVERAGE(L8, U8)</f>
        <v>0.92019419987800855</v>
      </c>
      <c r="AA8">
        <f>AVERAGE(M8, V8)</f>
        <v>1.1049688647802474</v>
      </c>
      <c r="AC8">
        <f t="shared" si="13"/>
        <v>1.0090428870903168</v>
      </c>
      <c r="AE8">
        <f t="shared" si="14"/>
        <v>0.92019419987800855</v>
      </c>
      <c r="AF8">
        <f t="shared" si="15"/>
        <v>1.1049688647802474</v>
      </c>
    </row>
    <row r="10" spans="2:32" x14ac:dyDescent="0.25">
      <c r="J10" t="s">
        <v>34</v>
      </c>
      <c r="O10" t="s">
        <v>35</v>
      </c>
    </row>
    <row r="11" spans="2:32" x14ac:dyDescent="0.25">
      <c r="O1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Chirko yield impacts</vt:lpstr>
      <vt:lpstr>Burgess yield impacts</vt:lpstr>
      <vt:lpstr>Combined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Alasdair Sykes</dc:creator>
  <cp:lastModifiedBy>Alasdair Sykes</cp:lastModifiedBy>
  <dcterms:created xsi:type="dcterms:W3CDTF">2019-02-20T11:25:10Z</dcterms:created>
  <dcterms:modified xsi:type="dcterms:W3CDTF">2019-02-20T12:15:12Z</dcterms:modified>
</cp:coreProperties>
</file>