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otz\Desktop\final final\"/>
    </mc:Choice>
  </mc:AlternateContent>
  <bookViews>
    <workbookView xWindow="2955" yWindow="2955" windowWidth="14400" windowHeight="7440"/>
  </bookViews>
  <sheets>
    <sheet name="Output" sheetId="23" r:id="rId1"/>
    <sheet name="Data source" sheetId="18" r:id="rId2"/>
    <sheet name="Site characteristics" sheetId="1" r:id="rId3"/>
    <sheet name="Without legumes" sheetId="16" r:id="rId4"/>
    <sheet name="With legumes 1" sheetId="17" r:id="rId5"/>
    <sheet name="Data for yield stability" sheetId="24" r:id="rId6"/>
    <sheet name="GM" sheetId="19" r:id="rId7"/>
    <sheet name="N fertilizer" sheetId="20" r:id="rId8"/>
    <sheet name="Protein &amp; Energy Output" sheetId="21" r:id="rId9"/>
    <sheet name="Crop Diversity" sheetId="22" r:id="rId10"/>
    <sheet name="NO3" sheetId="28" r:id="rId11"/>
    <sheet name="N2O calculations" sheetId="25" r:id="rId12"/>
    <sheet name="N2O default values" sheetId="26" r:id="rId13"/>
    <sheet name="Mapping crops" sheetId="27" r:id="rId1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" i="28" l="1"/>
  <c r="K7" i="28"/>
  <c r="C46" i="24" l="1"/>
  <c r="G46" i="24"/>
  <c r="Q44" i="24"/>
  <c r="K46" i="24"/>
  <c r="I15" i="19"/>
  <c r="B15" i="19"/>
  <c r="B19" i="21"/>
  <c r="H19" i="21"/>
  <c r="H14" i="21"/>
  <c r="B14" i="21"/>
  <c r="B25" i="25" l="1"/>
  <c r="M25" i="25" l="1"/>
  <c r="K25" i="25"/>
  <c r="J25" i="25"/>
  <c r="I25" i="25"/>
  <c r="C25" i="25"/>
  <c r="D25" i="25"/>
  <c r="E25" i="25"/>
  <c r="M28" i="25"/>
  <c r="L28" i="25"/>
  <c r="K28" i="25"/>
  <c r="J28" i="25"/>
  <c r="I28" i="25"/>
  <c r="E28" i="25"/>
  <c r="D28" i="25"/>
  <c r="C28" i="25"/>
  <c r="B28" i="25"/>
  <c r="L3" i="23" l="1"/>
  <c r="L2" i="23"/>
  <c r="K52" i="24" l="1"/>
  <c r="P3" i="23" s="1"/>
  <c r="E10" i="21"/>
  <c r="E17" i="21" s="1"/>
  <c r="B10" i="21"/>
  <c r="B17" i="21" s="1"/>
  <c r="R2" i="23" s="1"/>
  <c r="C10" i="21"/>
  <c r="C17" i="21" s="1"/>
  <c r="K9" i="25"/>
  <c r="K10" i="25"/>
  <c r="K11" i="25"/>
  <c r="B10" i="25"/>
  <c r="B11" i="25"/>
  <c r="C10" i="25"/>
  <c r="C11" i="25"/>
  <c r="D9" i="25"/>
  <c r="E11" i="25"/>
  <c r="M11" i="25"/>
  <c r="L11" i="25"/>
  <c r="J11" i="25"/>
  <c r="I11" i="25"/>
  <c r="I10" i="25"/>
  <c r="M9" i="25"/>
  <c r="M7" i="25"/>
  <c r="M24" i="25" s="1"/>
  <c r="L7" i="25"/>
  <c r="K7" i="25"/>
  <c r="K8" i="25" s="1"/>
  <c r="J7" i="25"/>
  <c r="I7" i="25"/>
  <c r="I24" i="25" s="1"/>
  <c r="E7" i="25"/>
  <c r="D7" i="25"/>
  <c r="C7" i="25"/>
  <c r="C24" i="25" s="1"/>
  <c r="B7" i="25"/>
  <c r="F4" i="25"/>
  <c r="E4" i="25"/>
  <c r="D4" i="25"/>
  <c r="C4" i="25"/>
  <c r="B4" i="25"/>
  <c r="A4" i="25"/>
  <c r="F3" i="25"/>
  <c r="E3" i="25"/>
  <c r="D3" i="25"/>
  <c r="C3" i="25"/>
  <c r="B3" i="25"/>
  <c r="A3" i="25"/>
  <c r="F2" i="25"/>
  <c r="E2" i="25"/>
  <c r="D2" i="25"/>
  <c r="C2" i="25"/>
  <c r="B2" i="25"/>
  <c r="A2" i="25"/>
  <c r="F1" i="25"/>
  <c r="E1" i="25"/>
  <c r="D1" i="25"/>
  <c r="C1" i="25"/>
  <c r="B1" i="25"/>
  <c r="A1" i="25"/>
  <c r="U22" i="26"/>
  <c r="U21" i="26"/>
  <c r="U20" i="26"/>
  <c r="U19" i="26"/>
  <c r="U18" i="26"/>
  <c r="Q18" i="26"/>
  <c r="U17" i="26"/>
  <c r="Q17" i="26"/>
  <c r="U16" i="26"/>
  <c r="R16" i="26"/>
  <c r="P16" i="26"/>
  <c r="U15" i="26"/>
  <c r="U14" i="26"/>
  <c r="U13" i="26"/>
  <c r="U12" i="26"/>
  <c r="R12" i="26"/>
  <c r="U11" i="26"/>
  <c r="R11" i="26"/>
  <c r="P11" i="26"/>
  <c r="U10" i="26"/>
  <c r="P10" i="26"/>
  <c r="U9" i="26"/>
  <c r="R9" i="26"/>
  <c r="U8" i="26"/>
  <c r="U7" i="26"/>
  <c r="U6" i="26"/>
  <c r="U5" i="26"/>
  <c r="U4" i="26"/>
  <c r="E4" i="26"/>
  <c r="U3" i="26"/>
  <c r="E3" i="26"/>
  <c r="U2" i="26"/>
  <c r="G2" i="26"/>
  <c r="E2" i="26"/>
  <c r="M27" i="25"/>
  <c r="L27" i="25"/>
  <c r="K27" i="25"/>
  <c r="J27" i="25"/>
  <c r="I27" i="25"/>
  <c r="E27" i="25"/>
  <c r="D27" i="25"/>
  <c r="C27" i="25"/>
  <c r="B27" i="25"/>
  <c r="E24" i="25"/>
  <c r="J8" i="25"/>
  <c r="J14" i="25" s="1"/>
  <c r="J15" i="25" s="1"/>
  <c r="J17" i="25" s="1"/>
  <c r="E8" i="25"/>
  <c r="D8" i="25"/>
  <c r="D14" i="25" s="1"/>
  <c r="D15" i="25" s="1"/>
  <c r="D17" i="25" s="1"/>
  <c r="C8" i="25"/>
  <c r="C14" i="25"/>
  <c r="C15" i="25" s="1"/>
  <c r="L8" i="25"/>
  <c r="J24" i="25"/>
  <c r="D24" i="25"/>
  <c r="B8" i="25"/>
  <c r="B14" i="25" s="1"/>
  <c r="B15" i="25" s="1"/>
  <c r="B17" i="25" s="1"/>
  <c r="E14" i="25"/>
  <c r="E15" i="25" s="1"/>
  <c r="E17" i="25" s="1"/>
  <c r="L14" i="25"/>
  <c r="L16" i="25" s="1"/>
  <c r="L18" i="25" s="1"/>
  <c r="L15" i="25"/>
  <c r="L17" i="25" s="1"/>
  <c r="L19" i="25" s="1"/>
  <c r="B24" i="25"/>
  <c r="L24" i="25"/>
  <c r="M8" i="25"/>
  <c r="M14" i="25"/>
  <c r="M15" i="25" s="1"/>
  <c r="M17" i="25" s="1"/>
  <c r="O17" i="24"/>
  <c r="D20" i="22"/>
  <c r="E20" i="22"/>
  <c r="B20" i="22"/>
  <c r="D19" i="22"/>
  <c r="E19" i="22" s="1"/>
  <c r="B19" i="22"/>
  <c r="D18" i="22"/>
  <c r="E18" i="22"/>
  <c r="B18" i="22"/>
  <c r="D13" i="22"/>
  <c r="E13" i="22" s="1"/>
  <c r="B13" i="22"/>
  <c r="D12" i="22"/>
  <c r="E12" i="22"/>
  <c r="B12" i="22"/>
  <c r="F6" i="22"/>
  <c r="L10" i="21"/>
  <c r="L17" i="21" s="1"/>
  <c r="L12" i="21"/>
  <c r="K10" i="21"/>
  <c r="K17" i="21" s="1"/>
  <c r="K12" i="21"/>
  <c r="J10" i="21"/>
  <c r="J17" i="21" s="1"/>
  <c r="J12" i="21"/>
  <c r="I10" i="21"/>
  <c r="I17" i="21" s="1"/>
  <c r="I12" i="21"/>
  <c r="H10" i="21"/>
  <c r="H17" i="21" s="1"/>
  <c r="R3" i="23" s="1"/>
  <c r="H12" i="21"/>
  <c r="Q3" i="23" s="1"/>
  <c r="E12" i="21"/>
  <c r="D10" i="21"/>
  <c r="D17" i="21" s="1"/>
  <c r="D12" i="21"/>
  <c r="C12" i="21"/>
  <c r="B12" i="21"/>
  <c r="Q2" i="23" s="1"/>
  <c r="D11" i="25"/>
  <c r="M10" i="25"/>
  <c r="L18" i="20"/>
  <c r="L10" i="25" s="1"/>
  <c r="J18" i="20"/>
  <c r="J10" i="25" s="1"/>
  <c r="E10" i="25"/>
  <c r="D18" i="20"/>
  <c r="D10" i="25" s="1"/>
  <c r="C18" i="20"/>
  <c r="M13" i="20"/>
  <c r="L13" i="20"/>
  <c r="L25" i="25" s="1"/>
  <c r="J13" i="20"/>
  <c r="J9" i="25" s="1"/>
  <c r="I13" i="20"/>
  <c r="E13" i="20"/>
  <c r="E9" i="25" s="1"/>
  <c r="D13" i="20"/>
  <c r="C13" i="20"/>
  <c r="C26" i="20" s="1"/>
  <c r="B13" i="20"/>
  <c r="B9" i="25" s="1"/>
  <c r="M13" i="19"/>
  <c r="L13" i="19"/>
  <c r="K13" i="19"/>
  <c r="J13" i="19"/>
  <c r="I13" i="19"/>
  <c r="G3" i="23" s="1"/>
  <c r="E13" i="19"/>
  <c r="D13" i="19"/>
  <c r="C13" i="19"/>
  <c r="B13" i="19"/>
  <c r="M9" i="19"/>
  <c r="L9" i="19"/>
  <c r="K9" i="19"/>
  <c r="J9" i="19"/>
  <c r="I9" i="19"/>
  <c r="E9" i="19"/>
  <c r="D9" i="19"/>
  <c r="C9" i="19"/>
  <c r="B9" i="19"/>
  <c r="I26" i="20"/>
  <c r="B26" i="20"/>
  <c r="L26" i="20" l="1"/>
  <c r="I30" i="20"/>
  <c r="E21" i="22"/>
  <c r="S3" i="23" s="1"/>
  <c r="M16" i="25"/>
  <c r="M18" i="25" s="1"/>
  <c r="M19" i="25" s="1"/>
  <c r="E16" i="25"/>
  <c r="E18" i="25" s="1"/>
  <c r="E19" i="25" s="1"/>
  <c r="K14" i="25"/>
  <c r="K15" i="25" s="1"/>
  <c r="K17" i="25" s="1"/>
  <c r="E15" i="22"/>
  <c r="S2" i="23" s="1"/>
  <c r="C16" i="25"/>
  <c r="C18" i="25" s="1"/>
  <c r="C17" i="25"/>
  <c r="C19" i="25" s="1"/>
  <c r="D16" i="25"/>
  <c r="D18" i="25" s="1"/>
  <c r="D19" i="25" s="1"/>
  <c r="E26" i="20"/>
  <c r="D26" i="20"/>
  <c r="M26" i="20"/>
  <c r="I28" i="20" s="1"/>
  <c r="B16" i="25"/>
  <c r="B18" i="25" s="1"/>
  <c r="B19" i="25" s="1"/>
  <c r="I8" i="25"/>
  <c r="K24" i="25"/>
  <c r="L9" i="25"/>
  <c r="L26" i="25" s="1"/>
  <c r="L31" i="25" s="1"/>
  <c r="I9" i="25"/>
  <c r="I26" i="25" s="1"/>
  <c r="J16" i="25"/>
  <c r="J18" i="25" s="1"/>
  <c r="J19" i="25" s="1"/>
  <c r="J26" i="20"/>
  <c r="C9" i="25"/>
  <c r="C26" i="25" s="1"/>
  <c r="C31" i="25" s="1"/>
  <c r="K51" i="24"/>
  <c r="P2" i="23" s="1"/>
  <c r="G2" i="23"/>
  <c r="M26" i="25"/>
  <c r="B26" i="25"/>
  <c r="K26" i="25"/>
  <c r="E26" i="25"/>
  <c r="J26" i="25"/>
  <c r="D26" i="25"/>
  <c r="B30" i="20" l="1"/>
  <c r="N2" i="23" s="1"/>
  <c r="K2" i="23" s="1"/>
  <c r="B28" i="20"/>
  <c r="M2" i="23" s="1"/>
  <c r="D31" i="25"/>
  <c r="J31" i="25"/>
  <c r="I14" i="25"/>
  <c r="I15" i="25" s="1"/>
  <c r="I17" i="25" s="1"/>
  <c r="M3" i="23"/>
  <c r="N3" i="23"/>
  <c r="K3" i="23" s="1"/>
  <c r="E31" i="25"/>
  <c r="B31" i="25"/>
  <c r="K16" i="25"/>
  <c r="K18" i="25" s="1"/>
  <c r="K19" i="25" s="1"/>
  <c r="K31" i="25" s="1"/>
  <c r="M31" i="25"/>
  <c r="J2" i="23"/>
  <c r="I2" i="23"/>
  <c r="A31" i="25" l="1"/>
  <c r="O2" i="23" s="1"/>
  <c r="J3" i="23"/>
  <c r="I3" i="23"/>
  <c r="I16" i="25"/>
  <c r="I18" i="25" s="1"/>
  <c r="I19" i="25" s="1"/>
  <c r="I31" i="25" s="1"/>
  <c r="H31" i="25" s="1"/>
  <c r="O3" i="23" s="1"/>
</calcChain>
</file>

<file path=xl/comments1.xml><?xml version="1.0" encoding="utf-8"?>
<comments xmlns="http://schemas.openxmlformats.org/spreadsheetml/2006/main">
  <authors>
    <author>notz</author>
  </authors>
  <commentList>
    <comment ref="H1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Only available for compared cropping systems that include legumes other than soybean, as a calculator to detect the actual feed value is used, that is based on soybean and wheat prices.</t>
        </r>
      </text>
    </comment>
    <comment ref="I1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Assumes a carbon tax of 150€/t CO2 on mineral fertilizer inputs.
(extreme scenario if CC mitigation strategies become more important)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Assumes a carbon tax of 50€/t CO2 on mineral fertilizer inputs.
(more realistic scenario in the next few years )</t>
        </r>
      </text>
    </comment>
  </commentList>
</comments>
</file>

<file path=xl/comments2.xml><?xml version="1.0" encoding="utf-8"?>
<comments xmlns="http://schemas.openxmlformats.org/spreadsheetml/2006/main">
  <authors>
    <author>Nußbaumer, Helmut (LTZ-Mü)</author>
    <author>notz</author>
  </authors>
  <commentList>
    <comment ref="C6" authorId="0" shapeId="0">
      <text>
        <r>
          <rPr>
            <b/>
            <sz val="9"/>
            <color indexed="81"/>
            <rFont val="Tahoma"/>
            <family val="2"/>
          </rPr>
          <t>Nußbaumer, Helmut (LTZ-Mü):</t>
        </r>
        <r>
          <rPr>
            <sz val="9"/>
            <color indexed="81"/>
            <rFont val="Tahoma"/>
            <family val="2"/>
          </rPr>
          <t xml:space="preserve">
Bodenbearbeitungsversuch Biengen, Variante Pflug Herbst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Nußbaumer, Helmut (LTZ-Mü):</t>
        </r>
        <r>
          <rPr>
            <sz val="9"/>
            <color indexed="81"/>
            <rFont val="Tahoma"/>
            <family val="2"/>
          </rPr>
          <t xml:space="preserve">
IMIR Sortenprüfung, Standort Biengen, spätes Sortiment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Nußbaumer, Helmut (LTZ-Mü):</t>
        </r>
        <r>
          <rPr>
            <sz val="9"/>
            <color indexed="81"/>
            <rFont val="Tahoma"/>
            <family val="2"/>
          </rPr>
          <t xml:space="preserve">
LSV Winterweizen früh, Orschweier, Variante V2 (intensiv)</t>
        </r>
      </text>
    </comment>
    <comment ref="K6" authorId="1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Erträge Winterraps im Fruchtfolgeversuch Müllheim</t>
        </r>
      </text>
    </comment>
    <comment ref="K51" authorId="1" shapeId="0">
      <text>
        <r>
          <rPr>
            <b/>
            <sz val="9"/>
            <color indexed="81"/>
            <rFont val="Segoe UI"/>
            <family val="2"/>
          </rPr>
          <t>notz:</t>
        </r>
        <r>
          <rPr>
            <sz val="9"/>
            <color indexed="81"/>
            <rFont val="Segoe UI"/>
            <family val="2"/>
          </rPr>
          <t xml:space="preserve">
Da die Versuchsdaten leider aus teils verschiedenen Zeiträumen stammen, haben wir nun doch auf Daten des Statistischen Landsamts zurückgegriffen - wobei hier auch Lücken sind und Soja erst ab 2016 und auf Bundesland-Ebene vorhanden ist. </t>
        </r>
      </text>
    </comment>
  </commentList>
</comments>
</file>

<file path=xl/sharedStrings.xml><?xml version="1.0" encoding="utf-8"?>
<sst xmlns="http://schemas.openxmlformats.org/spreadsheetml/2006/main" count="1191" uniqueCount="443">
  <si>
    <t>Soil type</t>
  </si>
  <si>
    <t>Field size</t>
  </si>
  <si>
    <t>Name of crop</t>
  </si>
  <si>
    <t>Use of crop (grain, silage, biomass,…)</t>
  </si>
  <si>
    <t>C to N ratio of SOM</t>
  </si>
  <si>
    <t>Ploughing</t>
  </si>
  <si>
    <t>Harrowing</t>
  </si>
  <si>
    <t>Seedbed preparation</t>
  </si>
  <si>
    <t>Seeds</t>
  </si>
  <si>
    <t>Specify</t>
  </si>
  <si>
    <t>Machinery used</t>
  </si>
  <si>
    <t>Fertilisation</t>
  </si>
  <si>
    <t>N-fertiliser</t>
  </si>
  <si>
    <t>P-fertiliser</t>
  </si>
  <si>
    <t>K-fertiliser</t>
  </si>
  <si>
    <t>N-P-K fertiliser</t>
  </si>
  <si>
    <t>S-fertiliser</t>
  </si>
  <si>
    <t>CaCO3</t>
  </si>
  <si>
    <t>Compost</t>
  </si>
  <si>
    <t>Manure</t>
  </si>
  <si>
    <t>Application method</t>
  </si>
  <si>
    <t>Plant protection</t>
  </si>
  <si>
    <t>Pesticide</t>
  </si>
  <si>
    <t>Total number of applications</t>
  </si>
  <si>
    <t>Herbicide</t>
  </si>
  <si>
    <t>Fungicide</t>
  </si>
  <si>
    <t>Harvest</t>
  </si>
  <si>
    <t>Harvesting</t>
  </si>
  <si>
    <t>Residue treatment</t>
  </si>
  <si>
    <t>Post-harvest treatment</t>
  </si>
  <si>
    <t>Output</t>
  </si>
  <si>
    <t>Variable costs</t>
  </si>
  <si>
    <t>Type</t>
  </si>
  <si>
    <t>Other fertiliser used?</t>
  </si>
  <si>
    <t>Residue removed</t>
  </si>
  <si>
    <t>Yield</t>
  </si>
  <si>
    <t>Costs of seeds (Unit [EUR/ha])</t>
  </si>
  <si>
    <t>Mechani-sation</t>
  </si>
  <si>
    <t>Please describe the crop rotation.</t>
  </si>
  <si>
    <t>Crop rotation</t>
  </si>
  <si>
    <t>Notes for completing</t>
  </si>
  <si>
    <t xml:space="preserve"> Description with units</t>
  </si>
  <si>
    <t>Costs of crop protection measures (Unit [EUR/ha])</t>
  </si>
  <si>
    <t>Total variable costs of machinery (Unit [EUR/ha])</t>
  </si>
  <si>
    <t>Costs of irrigation (Unit [EUR/ha])</t>
  </si>
  <si>
    <t>Costs of insurcance (Unit [EUR/ha])</t>
  </si>
  <si>
    <t>Drying costs, cleaning costs (Unit [EUR/ha])</t>
  </si>
  <si>
    <t>Total variable costs  (Unit [EUR/ha])</t>
  </si>
  <si>
    <t>CROP 1</t>
  </si>
  <si>
    <t>CROP 2</t>
  </si>
  <si>
    <t>CROP 3</t>
  </si>
  <si>
    <t>CROP 4</t>
  </si>
  <si>
    <t>CROP 5</t>
  </si>
  <si>
    <t xml:space="preserve">Organic carbon content of the top soil </t>
  </si>
  <si>
    <t xml:space="preserve">Bulk densitiy of top soil </t>
  </si>
  <si>
    <t>Topsoil</t>
  </si>
  <si>
    <t xml:space="preserve">Annual mineralisation rate </t>
  </si>
  <si>
    <t>Water holding capacity in the root zone</t>
  </si>
  <si>
    <t>Precipitation in the winter half (mm)</t>
  </si>
  <si>
    <t>Annual precipitation (mm)</t>
  </si>
  <si>
    <t>Please indicate the name of the region (e.g. Brandenburg) and the code according to the specification of the territorial statistical units of the second level (NUTS 2*) (e.g. DE40 ).</t>
  </si>
  <si>
    <t>Region</t>
  </si>
  <si>
    <t>Site</t>
  </si>
  <si>
    <t>Please indicate the local name of the site within the region e.g. name of the soil type, class…</t>
  </si>
  <si>
    <t>Please describe the typical soil type of your region (e.g. sandy loam).</t>
  </si>
  <si>
    <t xml:space="preserve">If you do not have the following information we will help you and might use default values. </t>
  </si>
  <si>
    <t>Please indicate the average AZ (e.g. 49)</t>
  </si>
  <si>
    <t xml:space="preserve">Please indicate the carbon to nitrogen ratio of the soil organic matter (e.g. 11). </t>
  </si>
  <si>
    <t>Only for Germany: Average german soil rating index</t>
  </si>
  <si>
    <t>Cover crop (following the crop above)</t>
  </si>
  <si>
    <t>Variety</t>
  </si>
  <si>
    <t>Mechanical weed management</t>
  </si>
  <si>
    <t>Total costs of fertilizer (Unit [EUR/ha])</t>
  </si>
  <si>
    <t>Subsidies (general + specific per crop (Unit [EUR/ha])</t>
  </si>
  <si>
    <t>Content of N, P, K in the fertiliser (%)</t>
  </si>
  <si>
    <t>Year</t>
  </si>
  <si>
    <t>Please indicate the years of cultivation (e.g. 2015-2018).</t>
  </si>
  <si>
    <r>
      <t>Amount [kg/ha</t>
    </r>
    <r>
      <rPr>
        <sz val="11"/>
        <color theme="1"/>
        <rFont val="Calibri"/>
        <family val="2"/>
        <scheme val="minor"/>
      </rPr>
      <t>]</t>
    </r>
  </si>
  <si>
    <t>Please indicate the average field size [ha].</t>
  </si>
  <si>
    <t>Please indicate the average C_org [% C in DM] (e.g. 0,9%)</t>
  </si>
  <si>
    <r>
      <t>Please indicate the bulk density of the top soil [g/cm³] (e.g. 1,5g/cm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).</t>
    </r>
  </si>
  <si>
    <t>Please indicate the depth of the top soil layer [cm] (e.g. 30 cm).</t>
  </si>
  <si>
    <t>Please indicate the annual mineralisation rate [%] (e.g. 1,7%).</t>
  </si>
  <si>
    <t xml:space="preserve">Please indicate the water holding capacity in the root zone [mm] (e.g. 400mm). </t>
  </si>
  <si>
    <t xml:space="preserve">Please indicate the annual precipitation [mm] (e.g. 510mm). </t>
  </si>
  <si>
    <t xml:space="preserve">Please indicate the precipitation in the winter half, from October to March [mm] (e.g.220mm). </t>
  </si>
  <si>
    <t>Price [EUR/ha]</t>
  </si>
  <si>
    <t xml:space="preserve">Amount [t/ha] </t>
  </si>
  <si>
    <t xml:space="preserve">Yield [t/ha] </t>
  </si>
  <si>
    <t>Number of year</t>
  </si>
  <si>
    <t>Organic fertilizers</t>
  </si>
  <si>
    <t>Composition</t>
  </si>
  <si>
    <t>Mineral fertilizers</t>
  </si>
  <si>
    <t>Amount [kg or l/ha]</t>
  </si>
  <si>
    <t>Karate Zeon</t>
  </si>
  <si>
    <t>Total amount [kg or l/ha]</t>
  </si>
  <si>
    <t>Please specify if machinery was used for:</t>
  </si>
  <si>
    <t>Please indicate the variety, amount of seeds and machinery used.</t>
  </si>
  <si>
    <t>Please indicate the specific fertiliser types, composition, application methods, total amounts and total number of applications applied.</t>
  </si>
  <si>
    <t>Please indicate the specific plant protection measures, application methods, amounts and total number of applications.</t>
  </si>
  <si>
    <t>Please specify  the harvesting process, including residue treatemant and post-harvest treatment and name machinery used.</t>
  </si>
  <si>
    <t>Please specify the yield and residues removed, name machinery used and the average selling price of the crop.</t>
  </si>
  <si>
    <t>Crop internally used (e.g. as feed) or sold?</t>
  </si>
  <si>
    <t>Solid</t>
  </si>
  <si>
    <t>liquid</t>
  </si>
  <si>
    <t>Other fertiliser used</t>
  </si>
  <si>
    <t xml:space="preserve">Please indicate the specific costs of production, the total variable costs and subsidies. </t>
  </si>
  <si>
    <t>2-3ha</t>
  </si>
  <si>
    <t>2015-2018</t>
  </si>
  <si>
    <t>Markgräflerland</t>
  </si>
  <si>
    <t>NUTS 2: DE13</t>
  </si>
  <si>
    <t>Mais (beregnet)</t>
  </si>
  <si>
    <t>Soja (beregnet)</t>
  </si>
  <si>
    <t>Kies</t>
  </si>
  <si>
    <t>Westlich der B3, beregneter Standort</t>
  </si>
  <si>
    <t>Korn</t>
  </si>
  <si>
    <t xml:space="preserve"> -</t>
  </si>
  <si>
    <t>Mischdünger</t>
  </si>
  <si>
    <t>13,7,16</t>
  </si>
  <si>
    <t>KAS</t>
  </si>
  <si>
    <t>Axial 50</t>
  </si>
  <si>
    <t>Capalo</t>
  </si>
  <si>
    <t>Xerxes</t>
  </si>
  <si>
    <t>Stroh bleibt auf der Fläche</t>
  </si>
  <si>
    <t>Schleuderstreuer (21m)</t>
  </si>
  <si>
    <t>Nahrung (Verkauf)</t>
  </si>
  <si>
    <t>Verkauf</t>
  </si>
  <si>
    <t>85.000Körner/ha</t>
  </si>
  <si>
    <t>Biogasgülle</t>
  </si>
  <si>
    <t>Injektion</t>
  </si>
  <si>
    <t>28 m³/ha</t>
  </si>
  <si>
    <t>53 kg N, 27 kg P2O5, 162 kg K2O</t>
  </si>
  <si>
    <t>Harnstoff</t>
  </si>
  <si>
    <t>Dual Gold</t>
  </si>
  <si>
    <t>Peak</t>
  </si>
  <si>
    <t>Elumis</t>
  </si>
  <si>
    <t>Trichogramma</t>
  </si>
  <si>
    <t>Pflanzenschutzspritze 21m; 1500 l</t>
  </si>
  <si>
    <t>Winterraps</t>
  </si>
  <si>
    <t>Saatgut</t>
  </si>
  <si>
    <t>2 x Saatbettkombination (7,5m)</t>
  </si>
  <si>
    <t>Basissaatgut</t>
  </si>
  <si>
    <t>77 kg N, 29 kg P2O5, 159 kg K2O</t>
  </si>
  <si>
    <t>Entec</t>
  </si>
  <si>
    <t>Stomp Aqua</t>
  </si>
  <si>
    <t>Butisan Gold</t>
  </si>
  <si>
    <t>Reglone</t>
  </si>
  <si>
    <t>Matador</t>
  </si>
  <si>
    <t>0,5 bzw. 1,0</t>
  </si>
  <si>
    <t>Plenum 50 WG</t>
  </si>
  <si>
    <t>46% N</t>
  </si>
  <si>
    <t>15% N, 13% P2O5, 13% K2O</t>
  </si>
  <si>
    <t>5% S</t>
  </si>
  <si>
    <t>1650 €/ha (netto)</t>
  </si>
  <si>
    <t>1050 €/ha (netto)</t>
  </si>
  <si>
    <t>Futter</t>
  </si>
  <si>
    <t>Artist</t>
  </si>
  <si>
    <t>Centium CS</t>
  </si>
  <si>
    <t>600.000 Körner/ha</t>
  </si>
  <si>
    <t>Hagelvers. 40</t>
  </si>
  <si>
    <t>Soprana</t>
  </si>
  <si>
    <t>Rubisko</t>
  </si>
  <si>
    <t>P 9903</t>
  </si>
  <si>
    <t>Hagelvers. 32</t>
  </si>
  <si>
    <t>2400 (netto)</t>
  </si>
  <si>
    <t>Hagelvers. 120</t>
  </si>
  <si>
    <t>270 +60 (FAKT, Trichogramma)</t>
  </si>
  <si>
    <t>Primus Perfect</t>
  </si>
  <si>
    <t>Winterweizen (A-Weizen)</t>
  </si>
  <si>
    <t>1190 €/ha (netto)</t>
  </si>
  <si>
    <t>eig. Ma. 166 +  Lohnma. 181</t>
  </si>
  <si>
    <t>eig. Ma. 132 +  Lohnma. 187</t>
  </si>
  <si>
    <t>291 (incl. Impfung)</t>
  </si>
  <si>
    <t>ENTEC</t>
  </si>
  <si>
    <t xml:space="preserve">15%N, 13% P2O5, 13% K2O </t>
  </si>
  <si>
    <t>Nichtleguminosen, abfrierend</t>
  </si>
  <si>
    <t>eig. Ma. 91 +  Lohnma. 164</t>
  </si>
  <si>
    <t>eig. Ma. 102 +  Lohnma. 164</t>
  </si>
  <si>
    <t>Hagelvers. 22</t>
  </si>
  <si>
    <t>eig. Ma. 111 +  Lohnma. 191</t>
  </si>
  <si>
    <t xml:space="preserve">Contact person:
</t>
  </si>
  <si>
    <t xml:space="preserve">Acknowledgement to:
</t>
  </si>
  <si>
    <t>How representative are the data?</t>
  </si>
  <si>
    <t>Data representing practical farming?</t>
  </si>
  <si>
    <t>Data coming from averages over several years?</t>
  </si>
  <si>
    <t>Data for yield stability?</t>
  </si>
  <si>
    <t>Average yields from this data cannot be compared with the data in the rotations!</t>
  </si>
  <si>
    <t>Can differences between the rotations be traced back to the presence of the legume alone?</t>
  </si>
  <si>
    <t>Yes</t>
  </si>
  <si>
    <t>There are no differences in the management and yield of the other crops.</t>
  </si>
  <si>
    <t>1. Helmut Nußbaumer, LTZ Augustenberg. Contact: helmut.nussbaumer@ltz.bwl.de</t>
  </si>
  <si>
    <t>2. Jürgen Recknagel, LTZ Augustenberg. Contact: juergen.recknagel@ltz.bwl.de</t>
  </si>
  <si>
    <t>Pflug, DATUM: Dez. - Jan.</t>
  </si>
  <si>
    <t>Pflug, DATUM: Nov. - Dez.</t>
  </si>
  <si>
    <t>Pflug, DATUM: Okt. - Anf. Nov.</t>
  </si>
  <si>
    <t>Pflug, DATUM: Aug.</t>
  </si>
  <si>
    <t>2 x Saatbettkombination (7,5m), DATUM: März + Apr.</t>
  </si>
  <si>
    <t>Kreiselegge, DATUM: Okt. - Anf. Nov.</t>
  </si>
  <si>
    <t>2 x Saatbettkombination (7,5m), DATUM: Ende Aug. + Anf. Sept.</t>
  </si>
  <si>
    <t>pneumatische Einzelkornsämaschine 8 reihig, DATUM: Apr.</t>
  </si>
  <si>
    <t>Kreiselegge-Säkomb. 3m, mechanisch, DATUM: Okt. - Anf. Nov.</t>
  </si>
  <si>
    <t>Drillmaschine 3m, DATUM: Anf. Sept.</t>
  </si>
  <si>
    <t>1, DATUM: Mai</t>
  </si>
  <si>
    <t>1, DATUM: Feb. - März</t>
  </si>
  <si>
    <t>1, DATUM: Apr.</t>
  </si>
  <si>
    <t>1, DATUM: März</t>
  </si>
  <si>
    <r>
      <t>Total amount [kg or m</t>
    </r>
    <r>
      <rPr>
        <vertAlign val="super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/ha]</t>
    </r>
  </si>
  <si>
    <t>1, DATUM: März - Apr.</t>
  </si>
  <si>
    <t>1, DATUM: Aug.</t>
  </si>
  <si>
    <t>1, DATUM: Anf. Sept</t>
  </si>
  <si>
    <t>1, DATUM: Anf. Sept.</t>
  </si>
  <si>
    <t>1, DATUM: Ende Juni - Mitte Juli</t>
  </si>
  <si>
    <t>2, DATEN: Okt. + März</t>
  </si>
  <si>
    <t>2, DATEN: Juni - Juli</t>
  </si>
  <si>
    <t>2, DATEN: Sept. + Okt.</t>
  </si>
  <si>
    <t>Mähdrescher, DATUM: Ende Sept. - Ende Okt.</t>
  </si>
  <si>
    <t>Mähdrescher, DATUM: Juli</t>
  </si>
  <si>
    <t>Maisstoppeln mulchen, DATUM: Ende Sept. - Ende Okt.</t>
  </si>
  <si>
    <t>Stroh häckseln durch MD, DATUM: Juli</t>
  </si>
  <si>
    <t>Grubber, DATUM: Juli</t>
  </si>
  <si>
    <t>Grubber/Scheibenegge + Zw.fr. Aussaat, DATUM: Juli - Anf. Aug.</t>
  </si>
  <si>
    <t>Pflug, DATUM: Dez.-Jan</t>
  </si>
  <si>
    <t>Grubber, DATUM:  Okt.</t>
  </si>
  <si>
    <t>Kreiselegge, DATUM:  Okt.</t>
  </si>
  <si>
    <t>Kreiselegge-Säkomb. 3m, mechanisch, DATUM: Apr.</t>
  </si>
  <si>
    <t>Kreiselegge-Säkomb. 3m, mechanisch, DATUM: Okt.</t>
  </si>
  <si>
    <t>Mähdrescher, DATUM: Sept.</t>
  </si>
  <si>
    <t xml:space="preserve">The rotations are typical in terms of crop choice and management for the region. </t>
  </si>
  <si>
    <t>Data are coming from field trials.</t>
  </si>
  <si>
    <t>The rotations are based on expert knowledge informed by regional statistics.</t>
  </si>
  <si>
    <t>Jürgen Recknagel and Helmut Nußbaumer (LTZ Augustenberg)</t>
  </si>
  <si>
    <t>These are crop rotations that are based on regional experts' knowledge and are representative for a longer time period.</t>
  </si>
  <si>
    <t>Crop 1</t>
  </si>
  <si>
    <t>Crop 2</t>
  </si>
  <si>
    <t>Crop 3</t>
  </si>
  <si>
    <t>Crop 4</t>
  </si>
  <si>
    <t>Crop 5</t>
  </si>
  <si>
    <t xml:space="preserve">Without legumes: </t>
  </si>
  <si>
    <t>Maize</t>
  </si>
  <si>
    <t>Winter wheat</t>
  </si>
  <si>
    <t>Winter rape</t>
  </si>
  <si>
    <t xml:space="preserve">With legumes: </t>
  </si>
  <si>
    <t>Soybean</t>
  </si>
  <si>
    <t>Content N</t>
  </si>
  <si>
    <t>Gülle</t>
  </si>
  <si>
    <t>Yield DM</t>
  </si>
  <si>
    <r>
      <t xml:space="preserve">HS = - </t>
    </r>
    <r>
      <rPr>
        <sz val="11"/>
        <color theme="1"/>
        <rFont val="Calibri"/>
        <family val="2"/>
      </rPr>
      <t>∑</t>
    </r>
    <r>
      <rPr>
        <sz val="11"/>
        <color theme="1"/>
        <rFont val="Calibri"/>
        <family val="2"/>
        <scheme val="minor"/>
      </rPr>
      <t>pi ln pi</t>
    </r>
  </si>
  <si>
    <r>
      <t>H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=ln S</t>
    </r>
  </si>
  <si>
    <r>
      <t>H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:</t>
    </r>
  </si>
  <si>
    <t>Crop species</t>
  </si>
  <si>
    <t>Share in crop rotation</t>
  </si>
  <si>
    <r>
      <t>p</t>
    </r>
    <r>
      <rPr>
        <vertAlign val="subscript"/>
        <sz val="11"/>
        <color theme="1"/>
        <rFont val="Calibri"/>
        <family val="2"/>
        <scheme val="minor"/>
      </rPr>
      <t>i</t>
    </r>
  </si>
  <si>
    <r>
      <t>ln p</t>
    </r>
    <r>
      <rPr>
        <vertAlign val="subscript"/>
        <sz val="11"/>
        <color theme="1"/>
        <rFont val="Calibri"/>
        <family val="2"/>
        <scheme val="minor"/>
      </rPr>
      <t>i</t>
    </r>
  </si>
  <si>
    <t>ln pi x pi</t>
  </si>
  <si>
    <t>Without legumes</t>
  </si>
  <si>
    <t>Cereal crop</t>
  </si>
  <si>
    <t>Leaf crop</t>
  </si>
  <si>
    <t>Legume</t>
  </si>
  <si>
    <t>With legumes</t>
  </si>
  <si>
    <t>Gross margin (prices feed calculator)</t>
  </si>
  <si>
    <t>GM with CO2 tax I</t>
  </si>
  <si>
    <t>GM with CO2 tax II</t>
  </si>
  <si>
    <t>NO3 leaching [kg/ha]</t>
  </si>
  <si>
    <t>N fertilizer use [kg/ha]</t>
  </si>
  <si>
    <t>Mineral fertilizer input [kg/ha]</t>
  </si>
  <si>
    <r>
      <t>N fertilizer in kg CO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e</t>
    </r>
  </si>
  <si>
    <r>
      <t>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O emissions [kg/ha]</t>
    </r>
  </si>
  <si>
    <t>Protein yield [kg/ha]</t>
  </si>
  <si>
    <t>Crop diversity</t>
  </si>
  <si>
    <t>Crop [name of crop]: Körnermais</t>
  </si>
  <si>
    <t>Crop [name of crop]: Winterweizen</t>
  </si>
  <si>
    <t>Crop [name of crop]: Winterraps</t>
  </si>
  <si>
    <t>Crop [name of crop]: Soja (Solena in Müllheim)</t>
  </si>
  <si>
    <t xml:space="preserve">keine Ernte (Schneckenfrass) </t>
  </si>
  <si>
    <t xml:space="preserve">0 (Hagel) </t>
  </si>
  <si>
    <t>Ausfall durch Starkregen vor der Ernte</t>
  </si>
  <si>
    <t>N fertilizers</t>
  </si>
  <si>
    <t>Yield stability (CV)</t>
  </si>
  <si>
    <t>Crop</t>
  </si>
  <si>
    <t>Dry matter fraction of harvested product (DRY):</t>
  </si>
  <si>
    <t>Generic values for crops not indicated below</t>
  </si>
  <si>
    <t>Generic Grains</t>
  </si>
  <si>
    <t>Winter Wheat</t>
  </si>
  <si>
    <t>Spring Wheat</t>
  </si>
  <si>
    <t>Barley</t>
  </si>
  <si>
    <t>Oats</t>
  </si>
  <si>
    <t>Rye</t>
  </si>
  <si>
    <t>Rice</t>
  </si>
  <si>
    <t>Millet</t>
  </si>
  <si>
    <t>Sorghum</t>
  </si>
  <si>
    <t>Beans and Pulses</t>
  </si>
  <si>
    <t>Soybeans</t>
  </si>
  <si>
    <t>Potatoes and Tubers</t>
  </si>
  <si>
    <t>Peanuts</t>
  </si>
  <si>
    <t>Alfafa</t>
  </si>
  <si>
    <t>Non-legume hay</t>
  </si>
  <si>
    <t>N-fixing forage</t>
  </si>
  <si>
    <t>Non-N-fixing forage</t>
  </si>
  <si>
    <t>Perennial Grasses</t>
  </si>
  <si>
    <t>Grass-Clover Mixtures</t>
  </si>
  <si>
    <t>Climate</t>
  </si>
  <si>
    <t>wet</t>
  </si>
  <si>
    <t>FracGas</t>
  </si>
  <si>
    <t>Leaching</t>
  </si>
  <si>
    <t>Residue N</t>
  </si>
  <si>
    <t>Above</t>
  </si>
  <si>
    <t>Below</t>
  </si>
  <si>
    <t>N2O above</t>
  </si>
  <si>
    <t>N2O below</t>
  </si>
  <si>
    <t>Total</t>
  </si>
  <si>
    <t>N2O-N emissions</t>
  </si>
  <si>
    <t>Fert</t>
  </si>
  <si>
    <t>Volat</t>
  </si>
  <si>
    <t>Residue</t>
  </si>
  <si>
    <t>N2O emissions</t>
  </si>
  <si>
    <t>dry</t>
  </si>
  <si>
    <t>Convert to kg N2O</t>
  </si>
  <si>
    <t>FracGasF / FracGasM</t>
  </si>
  <si>
    <t>ID for mapping</t>
  </si>
  <si>
    <t>N content above-ground residues Nag(T):</t>
  </si>
  <si>
    <t>N content below-ground residues  Nbg(T):</t>
  </si>
  <si>
    <t xml:space="preserve"> Ratio above-ground residues dry matter to harvest yield
Rag (T):</t>
  </si>
  <si>
    <t>Ratio of below ground biomass to above ground biomass RS(T):</t>
  </si>
  <si>
    <t>FracRenew</t>
  </si>
  <si>
    <t>Straw DM</t>
  </si>
  <si>
    <t>EF1 - synthetic fert</t>
  </si>
  <si>
    <t>Urea</t>
  </si>
  <si>
    <t>Value for Urea</t>
  </si>
  <si>
    <t>EF1 - organic N</t>
  </si>
  <si>
    <t>Ammonium</t>
  </si>
  <si>
    <t>Value for Ammonium based</t>
  </si>
  <si>
    <t>EF4</t>
  </si>
  <si>
    <t>Nitrate</t>
  </si>
  <si>
    <t>Value for Nitrate based</t>
  </si>
  <si>
    <t>AN</t>
  </si>
  <si>
    <t>Value for ammonium-Nitrate based</t>
  </si>
  <si>
    <t>Nutribor</t>
  </si>
  <si>
    <t>Default</t>
  </si>
  <si>
    <t>FYM</t>
  </si>
  <si>
    <t>NPK</t>
  </si>
  <si>
    <t>NH4NO3</t>
  </si>
  <si>
    <t>Euroserial Duo</t>
  </si>
  <si>
    <t>Sulfano</t>
  </si>
  <si>
    <t>DAP</t>
  </si>
  <si>
    <t>Lebosol</t>
  </si>
  <si>
    <t>CAN</t>
  </si>
  <si>
    <t>Urea 120</t>
  </si>
  <si>
    <t>N8P16K20 +SO3+B</t>
  </si>
  <si>
    <t>MAP</t>
  </si>
  <si>
    <t>Other</t>
  </si>
  <si>
    <t>NP</t>
  </si>
  <si>
    <t>Anhydrous ammonia</t>
  </si>
  <si>
    <t>ammonium nitrate</t>
  </si>
  <si>
    <t>Diammofoska</t>
  </si>
  <si>
    <t>Ammonium sulfate</t>
  </si>
  <si>
    <t>Nitroamofoska</t>
  </si>
  <si>
    <t>Urea (carbamide)</t>
  </si>
  <si>
    <t>VK gelb</t>
  </si>
  <si>
    <t>NAC</t>
  </si>
  <si>
    <t>Alzon</t>
  </si>
  <si>
    <t>Diammonium phosphate</t>
  </si>
  <si>
    <t>Yara tris</t>
  </si>
  <si>
    <t>UMOSTART G MAXI</t>
  </si>
  <si>
    <t>IPCCID</t>
  </si>
  <si>
    <t>Faba bean</t>
  </si>
  <si>
    <t>Field pea</t>
  </si>
  <si>
    <t>Spring barley</t>
  </si>
  <si>
    <t>Winter barley</t>
  </si>
  <si>
    <t>Winter oat</t>
  </si>
  <si>
    <t>Soya</t>
  </si>
  <si>
    <t>Sunflower</t>
  </si>
  <si>
    <t>Dry bean</t>
  </si>
  <si>
    <t>Forage pea</t>
  </si>
  <si>
    <t>Corn</t>
  </si>
  <si>
    <t>Data from Landkreis Breisgau-Hochschwarzwald (Statistisches Landesamt Baden-Würrtemberg: https://www.statistik-bw.de/Landwirtschaft/Ernte/0502301x.tab?R=KR315)</t>
  </si>
  <si>
    <t>Data from Bundesland Baden-Würrtemberg (https://www.statistischebibliothek.de/mir/receive/BWSerie_mods_00000311)</t>
  </si>
  <si>
    <t xml:space="preserve">Crop [name of crop]: Soja </t>
  </si>
  <si>
    <t>Coefficient of variation</t>
  </si>
  <si>
    <t>Yield [t/ha]</t>
  </si>
  <si>
    <t>N fertilizer [kg/ha]</t>
  </si>
  <si>
    <t>N manure P [kg/ha]</t>
  </si>
  <si>
    <t>N input [kg/ha]</t>
  </si>
  <si>
    <t>N mineralization [kg/ha]</t>
  </si>
  <si>
    <t>N dfS [kg/ha]</t>
  </si>
  <si>
    <t>N surplus [kg/ha]</t>
  </si>
  <si>
    <t>N leaching [kg/ha]</t>
  </si>
  <si>
    <t>Leaching probability</t>
  </si>
  <si>
    <t>Energy output [GJ/ha]</t>
  </si>
  <si>
    <t>Crude protein [% DM]</t>
  </si>
  <si>
    <t>Gross energy [GJ/t DM]</t>
  </si>
  <si>
    <t xml:space="preserve">Rye </t>
  </si>
  <si>
    <t>Tritcale</t>
  </si>
  <si>
    <t>Wheat</t>
  </si>
  <si>
    <t>Rapeseeds</t>
  </si>
  <si>
    <t>Blue lupin</t>
  </si>
  <si>
    <t>Pea seeds</t>
  </si>
  <si>
    <t>Oat</t>
  </si>
  <si>
    <t>Maize silage</t>
  </si>
  <si>
    <t>Alfalfa</t>
  </si>
  <si>
    <t>Maize grain</t>
  </si>
  <si>
    <t>Common bean</t>
  </si>
  <si>
    <t>Pea forage</t>
  </si>
  <si>
    <t>Sugar beet roots</t>
  </si>
  <si>
    <t>Red clover</t>
  </si>
  <si>
    <t>Grass</t>
  </si>
  <si>
    <t>Barley silage</t>
  </si>
  <si>
    <t>Pea forage(60%)/barley silage (40%)</t>
  </si>
  <si>
    <t>Wheat forage</t>
  </si>
  <si>
    <t>Grass-clover</t>
  </si>
  <si>
    <t>Data source: IPCC guidelines for national greenhouse gas inventories</t>
  </si>
  <si>
    <t xml:space="preserve">Data source: </t>
  </si>
  <si>
    <t xml:space="preserve">https://www.feedipedia.org/ </t>
  </si>
  <si>
    <t>https://www.feedtables.com/</t>
  </si>
  <si>
    <t>Yield FM [t/ha]</t>
  </si>
  <si>
    <t>DM content</t>
  </si>
  <si>
    <t>Yield DM [t/ha]</t>
  </si>
  <si>
    <t>Protein output [t/ha]</t>
  </si>
  <si>
    <t>Protein output rotations [kg/ha]</t>
  </si>
  <si>
    <t xml:space="preserve">Energy output rotations [GJ/ha] </t>
  </si>
  <si>
    <t>Price [€/t]</t>
  </si>
  <si>
    <t>Revenue [€/ha]</t>
  </si>
  <si>
    <t>Straw [t/ha]</t>
  </si>
  <si>
    <t>Variable costs [€/ha]</t>
  </si>
  <si>
    <t>Gross margin [€/ha]</t>
  </si>
  <si>
    <t>Gross margin rotation [€/ha]</t>
  </si>
  <si>
    <t>Total amount [kg/ha]</t>
  </si>
  <si>
    <t xml:space="preserve">N [kg/ha]  </t>
  </si>
  <si>
    <t xml:space="preserve">Total N per crop [kg/ha]  </t>
  </si>
  <si>
    <t xml:space="preserve">Total N rotation [kg/ha]  </t>
  </si>
  <si>
    <t xml:space="preserve">Total synthetic N fertilizer [kg/ha]  </t>
  </si>
  <si>
    <t>Nfix [kg/ha]</t>
  </si>
  <si>
    <t>Gross margin (standard) [€/ha]</t>
  </si>
  <si>
    <t>Calculations</t>
  </si>
  <si>
    <t xml:space="preserve"> N leaching= N surplus * Leaching probability * N leach_corr</t>
  </si>
  <si>
    <t>N surplus = N input + Nminpa - N dfs</t>
  </si>
  <si>
    <t>-&gt; valid for non-legumes</t>
  </si>
  <si>
    <t>N surplus = N minfert + N manure P + Nminpa - N dfs</t>
  </si>
  <si>
    <t>-&gt; valid for legumes and non-legumes</t>
  </si>
  <si>
    <t xml:space="preserve">N dfs is the nitrogen derived from soil </t>
  </si>
  <si>
    <t>-&gt; N uptake is the N accumulated by the crop and N fix is BNF of grain and forage legumes</t>
  </si>
  <si>
    <t>(N input encloses additional N from seed)</t>
  </si>
  <si>
    <t>Value for organic fertilizers is 0,21</t>
  </si>
  <si>
    <t>N dfs = N uptake - N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</si>
</sst>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0.0"/>
    <numFmt numFmtId="166" formatCode="0.0%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249977111117893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6">
    <xf numFmtId="0" fontId="0" fillId="0" borderId="0"/>
    <xf numFmtId="0" fontId="5" fillId="0" borderId="0"/>
    <xf numFmtId="0" fontId="5" fillId="0" borderId="0"/>
    <xf numFmtId="0" fontId="5" fillId="0" borderId="0"/>
    <xf numFmtId="9" fontId="10" fillId="0" borderId="0" applyFont="0" applyFill="0" applyBorder="0" applyAlignment="0" applyProtection="0"/>
    <xf numFmtId="0" fontId="5" fillId="0" borderId="0"/>
  </cellStyleXfs>
  <cellXfs count="30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8" borderId="0" xfId="0" applyFill="1"/>
    <xf numFmtId="0" fontId="0" fillId="8" borderId="0" xfId="0" applyFill="1" applyAlignment="1"/>
    <xf numFmtId="0" fontId="0" fillId="0" borderId="10" xfId="0" applyBorder="1"/>
    <xf numFmtId="0" fontId="0" fillId="0" borderId="12" xfId="0" applyBorder="1" applyAlignment="1"/>
    <xf numFmtId="0" fontId="0" fillId="0" borderId="13" xfId="0" applyBorder="1"/>
    <xf numFmtId="0" fontId="0" fillId="0" borderId="14" xfId="0" applyBorder="1" applyAlignment="1"/>
    <xf numFmtId="0" fontId="0" fillId="4" borderId="14" xfId="0" applyFill="1" applyBorder="1"/>
    <xf numFmtId="0" fontId="0" fillId="0" borderId="18" xfId="0" applyBorder="1"/>
    <xf numFmtId="0" fontId="0" fillId="6" borderId="14" xfId="0" applyFill="1" applyBorder="1"/>
    <xf numFmtId="0" fontId="0" fillId="3" borderId="14" xfId="0" applyFill="1" applyBorder="1"/>
    <xf numFmtId="0" fontId="0" fillId="0" borderId="13" xfId="0" applyBorder="1" applyAlignment="1">
      <alignment horizontal="center" textRotation="90"/>
    </xf>
    <xf numFmtId="0" fontId="0" fillId="3" borderId="14" xfId="0" applyFill="1" applyBorder="1" applyAlignment="1">
      <alignment wrapText="1"/>
    </xf>
    <xf numFmtId="0" fontId="1" fillId="8" borderId="7" xfId="0" applyFont="1" applyFill="1" applyBorder="1" applyAlignment="1"/>
    <xf numFmtId="0" fontId="0" fillId="0" borderId="21" xfId="0" applyBorder="1"/>
    <xf numFmtId="0" fontId="1" fillId="0" borderId="8" xfId="0" applyFont="1" applyBorder="1"/>
    <xf numFmtId="0" fontId="0" fillId="8" borderId="0" xfId="0" applyFill="1" applyBorder="1"/>
    <xf numFmtId="0" fontId="0" fillId="0" borderId="0" xfId="0" applyFont="1" applyAlignment="1">
      <alignment wrapText="1"/>
    </xf>
    <xf numFmtId="0" fontId="0" fillId="0" borderId="0" xfId="0" quotePrefix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" fillId="10" borderId="0" xfId="0" applyFont="1" applyFill="1" applyAlignment="1"/>
    <xf numFmtId="0" fontId="0" fillId="3" borderId="16" xfId="0" applyFill="1" applyBorder="1"/>
    <xf numFmtId="0" fontId="0" fillId="0" borderId="0" xfId="0" applyBorder="1"/>
    <xf numFmtId="0" fontId="0" fillId="8" borderId="3" xfId="0" applyFill="1" applyBorder="1"/>
    <xf numFmtId="0" fontId="0" fillId="8" borderId="29" xfId="0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9" borderId="19" xfId="0" applyFont="1" applyFill="1" applyBorder="1"/>
    <xf numFmtId="0" fontId="3" fillId="9" borderId="14" xfId="0" applyFont="1" applyFill="1" applyBorder="1"/>
    <xf numFmtId="0" fontId="0" fillId="8" borderId="30" xfId="0" applyFill="1" applyBorder="1"/>
    <xf numFmtId="0" fontId="0" fillId="3" borderId="19" xfId="0" applyFill="1" applyBorder="1"/>
    <xf numFmtId="0" fontId="0" fillId="3" borderId="34" xfId="0" applyFill="1" applyBorder="1"/>
    <xf numFmtId="0" fontId="0" fillId="3" borderId="8" xfId="0" applyFill="1" applyBorder="1"/>
    <xf numFmtId="0" fontId="0" fillId="6" borderId="47" xfId="0" applyFill="1" applyBorder="1"/>
    <xf numFmtId="0" fontId="0" fillId="6" borderId="34" xfId="0" applyFill="1" applyBorder="1"/>
    <xf numFmtId="0" fontId="3" fillId="4" borderId="47" xfId="0" applyFont="1" applyFill="1" applyBorder="1"/>
    <xf numFmtId="0" fontId="0" fillId="4" borderId="34" xfId="0" applyFill="1" applyBorder="1" applyAlignment="1">
      <alignment wrapText="1"/>
    </xf>
    <xf numFmtId="0" fontId="0" fillId="0" borderId="18" xfId="0" applyBorder="1" applyAlignment="1"/>
    <xf numFmtId="0" fontId="0" fillId="9" borderId="34" xfId="0" applyFill="1" applyBorder="1"/>
    <xf numFmtId="0" fontId="0" fillId="3" borderId="47" xfId="0" applyFill="1" applyBorder="1"/>
    <xf numFmtId="0" fontId="0" fillId="4" borderId="34" xfId="0" applyFill="1" applyBorder="1"/>
    <xf numFmtId="0" fontId="0" fillId="4" borderId="19" xfId="0" applyFill="1" applyBorder="1"/>
    <xf numFmtId="0" fontId="0" fillId="4" borderId="8" xfId="0" applyFill="1" applyBorder="1"/>
    <xf numFmtId="0" fontId="0" fillId="8" borderId="10" xfId="0" applyFill="1" applyBorder="1"/>
    <xf numFmtId="0" fontId="1" fillId="8" borderId="52" xfId="0" applyFont="1" applyFill="1" applyBorder="1" applyAlignment="1"/>
    <xf numFmtId="0" fontId="0" fillId="8" borderId="52" xfId="0" applyFill="1" applyBorder="1"/>
    <xf numFmtId="0" fontId="3" fillId="9" borderId="54" xfId="0" applyFont="1" applyFill="1" applyBorder="1"/>
    <xf numFmtId="0" fontId="0" fillId="9" borderId="53" xfId="0" applyFill="1" applyBorder="1"/>
    <xf numFmtId="0" fontId="0" fillId="8" borderId="1" xfId="0" applyFill="1" applyBorder="1"/>
    <xf numFmtId="0" fontId="0" fillId="8" borderId="10" xfId="0" applyFill="1" applyBorder="1" applyAlignment="1"/>
    <xf numFmtId="0" fontId="0" fillId="8" borderId="36" xfId="0" applyFill="1" applyBorder="1"/>
    <xf numFmtId="165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11" borderId="0" xfId="0" applyFill="1"/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12" borderId="0" xfId="0" applyFill="1"/>
    <xf numFmtId="0" fontId="3" fillId="8" borderId="0" xfId="0" applyFont="1" applyFill="1" applyBorder="1" applyAlignment="1"/>
    <xf numFmtId="0" fontId="3" fillId="8" borderId="0" xfId="0" applyFont="1" applyFill="1"/>
    <xf numFmtId="0" fontId="3" fillId="8" borderId="1" xfId="0" applyFont="1" applyFill="1" applyBorder="1" applyAlignment="1"/>
    <xf numFmtId="0" fontId="3" fillId="8" borderId="1" xfId="0" applyFont="1" applyFill="1" applyBorder="1"/>
    <xf numFmtId="0" fontId="3" fillId="8" borderId="36" xfId="0" applyFont="1" applyFill="1" applyBorder="1" applyAlignment="1"/>
    <xf numFmtId="0" fontId="3" fillId="8" borderId="36" xfId="0" applyFont="1" applyFill="1" applyBorder="1"/>
    <xf numFmtId="0" fontId="3" fillId="8" borderId="0" xfId="0" applyFont="1" applyFill="1" applyBorder="1"/>
    <xf numFmtId="0" fontId="3" fillId="3" borderId="38" xfId="0" applyFont="1" applyFill="1" applyBorder="1" applyAlignment="1">
      <alignment horizontal="center"/>
    </xf>
    <xf numFmtId="0" fontId="3" fillId="3" borderId="40" xfId="0" applyFont="1" applyFill="1" applyBorder="1" applyAlignment="1"/>
    <xf numFmtId="0" fontId="3" fillId="3" borderId="40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9" fontId="3" fillId="3" borderId="5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9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4" fontId="3" fillId="3" borderId="44" xfId="0" applyNumberFormat="1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12" borderId="0" xfId="0" applyFont="1" applyFill="1" applyBorder="1"/>
    <xf numFmtId="0" fontId="3" fillId="3" borderId="2" xfId="0" applyFont="1" applyFill="1" applyBorder="1" applyAlignment="1">
      <alignment horizontal="center"/>
    </xf>
    <xf numFmtId="0" fontId="3" fillId="12" borderId="0" xfId="0" applyFont="1" applyFill="1"/>
    <xf numFmtId="0" fontId="3" fillId="3" borderId="35" xfId="0" applyFont="1" applyFill="1" applyBorder="1" applyAlignment="1">
      <alignment horizontal="center"/>
    </xf>
    <xf numFmtId="0" fontId="3" fillId="8" borderId="3" xfId="0" applyFont="1" applyFill="1" applyBorder="1"/>
    <xf numFmtId="0" fontId="3" fillId="8" borderId="10" xfId="0" applyFont="1" applyFill="1" applyBorder="1"/>
    <xf numFmtId="0" fontId="3" fillId="4" borderId="39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35" xfId="0" applyFont="1" applyFill="1" applyBorder="1" applyAlignment="1">
      <alignment horizontal="center"/>
    </xf>
    <xf numFmtId="0" fontId="3" fillId="8" borderId="29" xfId="0" applyFont="1" applyFill="1" applyBorder="1"/>
    <xf numFmtId="0" fontId="3" fillId="0" borderId="0" xfId="0" applyFont="1"/>
    <xf numFmtId="0" fontId="3" fillId="8" borderId="0" xfId="0" applyFont="1" applyFill="1" applyAlignment="1"/>
    <xf numFmtId="0" fontId="3" fillId="8" borderId="7" xfId="0" applyFont="1" applyFill="1" applyBorder="1"/>
    <xf numFmtId="9" fontId="0" fillId="0" borderId="0" xfId="0" applyNumberFormat="1"/>
    <xf numFmtId="10" fontId="0" fillId="0" borderId="0" xfId="0" applyNumberFormat="1"/>
    <xf numFmtId="0" fontId="6" fillId="0" borderId="0" xfId="2" applyFont="1" applyFill="1" applyBorder="1" applyAlignment="1">
      <alignment wrapText="1"/>
    </xf>
    <xf numFmtId="0" fontId="6" fillId="0" borderId="0" xfId="1" applyFont="1" applyFill="1" applyBorder="1" applyAlignment="1"/>
    <xf numFmtId="0" fontId="0" fillId="0" borderId="0" xfId="0" applyNumberFormat="1"/>
    <xf numFmtId="2" fontId="0" fillId="0" borderId="0" xfId="0" applyNumberFormat="1"/>
    <xf numFmtId="0" fontId="6" fillId="0" borderId="0" xfId="1" applyFont="1" applyFill="1" applyBorder="1" applyAlignment="1">
      <alignment wrapText="1"/>
    </xf>
    <xf numFmtId="0" fontId="6" fillId="0" borderId="3" xfId="3" applyFont="1" applyFill="1" applyBorder="1" applyAlignment="1">
      <alignment horizontal="right" wrapText="1"/>
    </xf>
    <xf numFmtId="1" fontId="0" fillId="0" borderId="0" xfId="0" applyNumberFormat="1"/>
    <xf numFmtId="9" fontId="0" fillId="0" borderId="0" xfId="4" applyFont="1"/>
    <xf numFmtId="0" fontId="1" fillId="0" borderId="0" xfId="0" applyFont="1" applyBorder="1"/>
    <xf numFmtId="0" fontId="0" fillId="0" borderId="7" xfId="0" applyBorder="1"/>
    <xf numFmtId="0" fontId="0" fillId="0" borderId="30" xfId="0" applyBorder="1"/>
    <xf numFmtId="0" fontId="1" fillId="0" borderId="6" xfId="0" applyFont="1" applyBorder="1"/>
    <xf numFmtId="0" fontId="1" fillId="0" borderId="30" xfId="0" applyFont="1" applyBorder="1"/>
    <xf numFmtId="0" fontId="0" fillId="0" borderId="0" xfId="0" applyAlignment="1"/>
    <xf numFmtId="0" fontId="0" fillId="13" borderId="0" xfId="0" applyFill="1"/>
    <xf numFmtId="0" fontId="0" fillId="0" borderId="0" xfId="0" applyFill="1" applyBorder="1"/>
    <xf numFmtId="0" fontId="0" fillId="0" borderId="29" xfId="0" applyFill="1" applyBorder="1" applyAlignment="1">
      <alignment horizontal="center" vertical="center" wrapText="1"/>
    </xf>
    <xf numFmtId="0" fontId="0" fillId="0" borderId="61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 wrapText="1"/>
    </xf>
    <xf numFmtId="164" fontId="0" fillId="0" borderId="61" xfId="0" applyNumberFormat="1" applyFill="1" applyBorder="1" applyAlignment="1">
      <alignment horizontal="center" vertical="center" wrapText="1"/>
    </xf>
    <xf numFmtId="0" fontId="0" fillId="14" borderId="0" xfId="0" applyFill="1"/>
    <xf numFmtId="0" fontId="15" fillId="0" borderId="0" xfId="0" applyFont="1" applyBorder="1"/>
    <xf numFmtId="0" fontId="1" fillId="0" borderId="0" xfId="0" applyFont="1" applyFill="1" applyBorder="1"/>
    <xf numFmtId="0" fontId="6" fillId="0" borderId="62" xfId="3" applyFont="1" applyFill="1" applyBorder="1" applyAlignment="1">
      <alignment horizontal="right" wrapText="1"/>
    </xf>
    <xf numFmtId="0" fontId="6" fillId="0" borderId="63" xfId="1" applyFont="1" applyFill="1" applyBorder="1" applyAlignment="1">
      <alignment wrapText="1"/>
    </xf>
    <xf numFmtId="0" fontId="6" fillId="0" borderId="63" xfId="2" applyFont="1" applyFill="1" applyBorder="1" applyAlignment="1">
      <alignment wrapText="1"/>
    </xf>
    <xf numFmtId="0" fontId="1" fillId="15" borderId="0" xfId="0" applyFont="1" applyFill="1"/>
    <xf numFmtId="0" fontId="0" fillId="9" borderId="0" xfId="0" applyFill="1"/>
    <xf numFmtId="166" fontId="0" fillId="0" borderId="0" xfId="0" applyNumberFormat="1"/>
    <xf numFmtId="165" fontId="0" fillId="0" borderId="0" xfId="0" applyNumberFormat="1" applyFill="1" applyBorder="1"/>
    <xf numFmtId="2" fontId="16" fillId="0" borderId="64" xfId="0" applyNumberFormat="1" applyFont="1" applyFill="1" applyBorder="1" applyAlignment="1" applyProtection="1">
      <alignment horizontal="right" vertical="center" wrapText="1"/>
    </xf>
    <xf numFmtId="1" fontId="16" fillId="0" borderId="65" xfId="0" applyNumberFormat="1" applyFont="1" applyFill="1" applyBorder="1" applyAlignment="1" applyProtection="1">
      <alignment horizontal="right" vertical="center" wrapText="1"/>
    </xf>
    <xf numFmtId="1" fontId="16" fillId="0" borderId="0" xfId="0" applyNumberFormat="1" applyFont="1" applyFill="1" applyBorder="1" applyAlignment="1" applyProtection="1">
      <alignment horizontal="right" vertical="center" wrapText="1"/>
    </xf>
    <xf numFmtId="0" fontId="6" fillId="0" borderId="62" xfId="3" applyFont="1" applyFill="1" applyBorder="1" applyAlignment="1">
      <alignment horizontal="left" wrapText="1"/>
    </xf>
    <xf numFmtId="2" fontId="6" fillId="0" borderId="66" xfId="5" applyNumberFormat="1" applyFont="1" applyFill="1" applyBorder="1" applyAlignment="1">
      <alignment horizontal="right" wrapText="1"/>
    </xf>
    <xf numFmtId="2" fontId="6" fillId="0" borderId="67" xfId="5" applyNumberFormat="1" applyFont="1" applyFill="1" applyBorder="1" applyAlignment="1">
      <alignment horizontal="right" wrapText="1"/>
    </xf>
    <xf numFmtId="1" fontId="17" fillId="0" borderId="64" xfId="0" applyNumberFormat="1" applyFont="1" applyFill="1" applyBorder="1" applyAlignment="1" applyProtection="1">
      <alignment horizontal="right" vertical="center" wrapText="1"/>
    </xf>
    <xf numFmtId="0" fontId="0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textRotation="90" wrapText="1"/>
    </xf>
    <xf numFmtId="0" fontId="0" fillId="4" borderId="3" xfId="0" applyFill="1" applyBorder="1" applyAlignment="1">
      <alignment horizontal="center" vertical="center" wrapText="1"/>
    </xf>
    <xf numFmtId="0" fontId="3" fillId="4" borderId="42" xfId="0" applyFont="1" applyFill="1" applyBorder="1" applyAlignment="1">
      <alignment horizontal="center"/>
    </xf>
    <xf numFmtId="0" fontId="3" fillId="4" borderId="43" xfId="0" applyFont="1" applyFill="1" applyBorder="1" applyAlignment="1">
      <alignment horizontal="center"/>
    </xf>
    <xf numFmtId="0" fontId="3" fillId="4" borderId="32" xfId="0" applyFont="1" applyFill="1" applyBorder="1" applyAlignment="1">
      <alignment horizontal="center"/>
    </xf>
    <xf numFmtId="0" fontId="3" fillId="4" borderId="36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 textRotation="90"/>
    </xf>
    <xf numFmtId="0" fontId="1" fillId="5" borderId="17" xfId="0" applyFont="1" applyFill="1" applyBorder="1" applyAlignment="1">
      <alignment horizontal="center" textRotation="90"/>
    </xf>
    <xf numFmtId="0" fontId="1" fillId="5" borderId="9" xfId="0" applyFont="1" applyFill="1" applyBorder="1" applyAlignment="1">
      <alignment horizontal="center" textRotation="90"/>
    </xf>
    <xf numFmtId="0" fontId="0" fillId="6" borderId="16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3" fillId="6" borderId="42" xfId="0" applyFont="1" applyFill="1" applyBorder="1" applyAlignment="1">
      <alignment horizontal="center"/>
    </xf>
    <xf numFmtId="0" fontId="3" fillId="6" borderId="43" xfId="0" applyFont="1" applyFill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9" borderId="22" xfId="0" applyFont="1" applyFill="1" applyBorder="1" applyAlignment="1">
      <alignment horizontal="center" vertical="center" wrapText="1"/>
    </xf>
    <xf numFmtId="0" fontId="1" fillId="9" borderId="13" xfId="0" applyFont="1" applyFill="1" applyBorder="1" applyAlignment="1">
      <alignment horizontal="center" vertical="center" wrapText="1"/>
    </xf>
    <xf numFmtId="0" fontId="1" fillId="9" borderId="23" xfId="0" applyFont="1" applyFill="1" applyBorder="1" applyAlignment="1">
      <alignment horizontal="center" vertical="center" wrapText="1"/>
    </xf>
    <xf numFmtId="0" fontId="0" fillId="9" borderId="24" xfId="0" applyFill="1" applyBorder="1" applyAlignment="1">
      <alignment horizontal="center" vertical="center" wrapText="1"/>
    </xf>
    <xf numFmtId="0" fontId="0" fillId="9" borderId="18" xfId="0" applyFill="1" applyBorder="1" applyAlignment="1">
      <alignment horizontal="center" vertical="center" wrapText="1"/>
    </xf>
    <xf numFmtId="0" fontId="0" fillId="9" borderId="19" xfId="0" applyFill="1" applyBorder="1" applyAlignment="1">
      <alignment horizontal="center" vertical="center" wrapText="1"/>
    </xf>
    <xf numFmtId="0" fontId="3" fillId="9" borderId="42" xfId="0" applyFont="1" applyFill="1" applyBorder="1" applyAlignment="1">
      <alignment horizontal="center"/>
    </xf>
    <xf numFmtId="0" fontId="3" fillId="9" borderId="43" xfId="0" applyFont="1" applyFill="1" applyBorder="1" applyAlignment="1">
      <alignment horizontal="center"/>
    </xf>
    <xf numFmtId="0" fontId="3" fillId="4" borderId="4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3" fillId="9" borderId="46" xfId="0" applyFont="1" applyFill="1" applyBorder="1" applyAlignment="1">
      <alignment horizontal="center"/>
    </xf>
    <xf numFmtId="0" fontId="3" fillId="9" borderId="27" xfId="0" applyFont="1" applyFill="1" applyBorder="1" applyAlignment="1">
      <alignment horizontal="center"/>
    </xf>
    <xf numFmtId="0" fontId="3" fillId="9" borderId="37" xfId="0" applyFont="1" applyFill="1" applyBorder="1" applyAlignment="1">
      <alignment horizontal="center" vertical="center"/>
    </xf>
    <xf numFmtId="0" fontId="3" fillId="9" borderId="49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6" borderId="32" xfId="0" applyFont="1" applyFill="1" applyBorder="1" applyAlignment="1">
      <alignment horizontal="center"/>
    </xf>
    <xf numFmtId="0" fontId="3" fillId="6" borderId="36" xfId="0" applyFont="1" applyFill="1" applyBorder="1" applyAlignment="1">
      <alignment horizontal="center"/>
    </xf>
    <xf numFmtId="0" fontId="3" fillId="6" borderId="44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 wrapText="1"/>
    </xf>
    <xf numFmtId="0" fontId="3" fillId="3" borderId="28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 textRotation="90"/>
    </xf>
    <xf numFmtId="0" fontId="1" fillId="7" borderId="17" xfId="0" applyFont="1" applyFill="1" applyBorder="1" applyAlignment="1">
      <alignment horizontal="center" textRotation="90"/>
    </xf>
    <xf numFmtId="0" fontId="1" fillId="7" borderId="9" xfId="0" applyFont="1" applyFill="1" applyBorder="1" applyAlignment="1">
      <alignment horizontal="center" textRotation="90"/>
    </xf>
    <xf numFmtId="0" fontId="0" fillId="3" borderId="16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1" fillId="7" borderId="25" xfId="0" applyFont="1" applyFill="1" applyBorder="1" applyAlignment="1">
      <alignment horizontal="center" textRotation="90"/>
    </xf>
    <xf numFmtId="0" fontId="1" fillId="7" borderId="13" xfId="0" applyFont="1" applyFill="1" applyBorder="1" applyAlignment="1">
      <alignment horizontal="center" textRotation="90"/>
    </xf>
    <xf numFmtId="0" fontId="1" fillId="7" borderId="23" xfId="0" applyFont="1" applyFill="1" applyBorder="1" applyAlignment="1">
      <alignment horizontal="center" textRotation="90"/>
    </xf>
    <xf numFmtId="0" fontId="3" fillId="3" borderId="1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 textRotation="90"/>
    </xf>
    <xf numFmtId="0" fontId="0" fillId="6" borderId="16" xfId="0" applyFill="1" applyBorder="1" applyAlignment="1">
      <alignment horizontal="center" wrapText="1"/>
    </xf>
    <xf numFmtId="0" fontId="0" fillId="6" borderId="18" xfId="0" applyFill="1" applyBorder="1" applyAlignment="1">
      <alignment horizontal="center" wrapText="1"/>
    </xf>
    <xf numFmtId="0" fontId="0" fillId="6" borderId="19" xfId="0" applyFill="1" applyBorder="1" applyAlignment="1">
      <alignment horizontal="center" wrapText="1"/>
    </xf>
    <xf numFmtId="0" fontId="3" fillId="6" borderId="20" xfId="0" applyFont="1" applyFill="1" applyBorder="1" applyAlignment="1">
      <alignment horizontal="center"/>
    </xf>
    <xf numFmtId="0" fontId="3" fillId="6" borderId="39" xfId="0" applyFont="1" applyFill="1" applyBorder="1" applyAlignment="1">
      <alignment horizontal="center"/>
    </xf>
    <xf numFmtId="0" fontId="3" fillId="6" borderId="40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49" xfId="0" applyFont="1" applyFill="1" applyBorder="1" applyAlignment="1">
      <alignment horizontal="center"/>
    </xf>
    <xf numFmtId="0" fontId="3" fillId="6" borderId="35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 textRotation="90" wrapText="1"/>
    </xf>
    <xf numFmtId="0" fontId="1" fillId="2" borderId="17" xfId="0" applyFont="1" applyFill="1" applyBorder="1" applyAlignment="1">
      <alignment horizontal="center" textRotation="90" wrapText="1"/>
    </xf>
    <xf numFmtId="0" fontId="0" fillId="4" borderId="16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3" fillId="4" borderId="41" xfId="0" applyFont="1" applyFill="1" applyBorder="1" applyAlignment="1">
      <alignment horizontal="center"/>
    </xf>
    <xf numFmtId="0" fontId="3" fillId="4" borderId="39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/>
    </xf>
    <xf numFmtId="0" fontId="3" fillId="4" borderId="37" xfId="0" quotePrefix="1" applyFont="1" applyFill="1" applyBorder="1" applyAlignment="1">
      <alignment horizontal="center"/>
    </xf>
    <xf numFmtId="0" fontId="3" fillId="4" borderId="35" xfId="0" applyFont="1" applyFill="1" applyBorder="1" applyAlignment="1">
      <alignment horizontal="center"/>
    </xf>
    <xf numFmtId="0" fontId="3" fillId="4" borderId="33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0" fillId="3" borderId="25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3" fillId="3" borderId="48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3" fillId="3" borderId="4" xfId="0" quotePrefix="1" applyFont="1" applyFill="1" applyBorder="1" applyAlignment="1">
      <alignment horizontal="center"/>
    </xf>
    <xf numFmtId="0" fontId="3" fillId="3" borderId="1" xfId="0" quotePrefix="1" applyFont="1" applyFill="1" applyBorder="1" applyAlignment="1">
      <alignment horizontal="center"/>
    </xf>
    <xf numFmtId="0" fontId="0" fillId="3" borderId="16" xfId="0" applyFill="1" applyBorder="1" applyAlignment="1">
      <alignment horizontal="left" wrapText="1"/>
    </xf>
    <xf numFmtId="0" fontId="0" fillId="3" borderId="50" xfId="0" applyFill="1" applyBorder="1" applyAlignment="1">
      <alignment horizontal="left" wrapText="1"/>
    </xf>
    <xf numFmtId="0" fontId="3" fillId="3" borderId="35" xfId="0" quotePrefix="1" applyFont="1" applyFill="1" applyBorder="1" applyAlignment="1">
      <alignment horizontal="center"/>
    </xf>
    <xf numFmtId="0" fontId="3" fillId="3" borderId="36" xfId="0" quotePrefix="1" applyFont="1" applyFill="1" applyBorder="1" applyAlignment="1">
      <alignment horizontal="center"/>
    </xf>
    <xf numFmtId="0" fontId="3" fillId="9" borderId="44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9" borderId="54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55" xfId="0" applyFont="1" applyFill="1" applyBorder="1" applyAlignment="1">
      <alignment horizontal="center"/>
    </xf>
    <xf numFmtId="0" fontId="3" fillId="9" borderId="56" xfId="0" applyFont="1" applyFill="1" applyBorder="1" applyAlignment="1">
      <alignment horizontal="center"/>
    </xf>
    <xf numFmtId="0" fontId="3" fillId="9" borderId="48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9" borderId="53" xfId="0" applyFont="1" applyFill="1" applyBorder="1" applyAlignment="1">
      <alignment horizontal="center" vertical="center"/>
    </xf>
    <xf numFmtId="0" fontId="3" fillId="4" borderId="5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5" xfId="0" applyFont="1" applyFill="1" applyBorder="1" applyAlignment="1">
      <alignment horizontal="center"/>
    </xf>
    <xf numFmtId="0" fontId="3" fillId="4" borderId="56" xfId="0" applyFont="1" applyFill="1" applyBorder="1" applyAlignment="1">
      <alignment horizontal="center"/>
    </xf>
    <xf numFmtId="0" fontId="3" fillId="4" borderId="48" xfId="0" applyFont="1" applyFill="1" applyBorder="1" applyAlignment="1">
      <alignment horizontal="center"/>
    </xf>
    <xf numFmtId="0" fontId="3" fillId="4" borderId="53" xfId="0" applyFont="1" applyFill="1" applyBorder="1" applyAlignment="1">
      <alignment horizontal="center"/>
    </xf>
    <xf numFmtId="0" fontId="3" fillId="4" borderId="49" xfId="0" applyFont="1" applyFill="1" applyBorder="1" applyAlignment="1">
      <alignment horizontal="center"/>
    </xf>
    <xf numFmtId="0" fontId="3" fillId="6" borderId="55" xfId="0" applyFont="1" applyFill="1" applyBorder="1" applyAlignment="1">
      <alignment horizontal="center"/>
    </xf>
    <xf numFmtId="0" fontId="3" fillId="6" borderId="56" xfId="0" applyFont="1" applyFill="1" applyBorder="1" applyAlignment="1">
      <alignment horizontal="center"/>
    </xf>
    <xf numFmtId="0" fontId="3" fillId="6" borderId="48" xfId="0" applyFont="1" applyFill="1" applyBorder="1" applyAlignment="1">
      <alignment horizontal="center"/>
    </xf>
    <xf numFmtId="0" fontId="3" fillId="6" borderId="54" xfId="0" applyFont="1" applyFill="1" applyBorder="1" applyAlignment="1">
      <alignment horizontal="center"/>
    </xf>
    <xf numFmtId="0" fontId="3" fillId="3" borderId="57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 wrapText="1"/>
    </xf>
    <xf numFmtId="0" fontId="3" fillId="3" borderId="39" xfId="0" applyFont="1" applyFill="1" applyBorder="1" applyAlignment="1">
      <alignment horizontal="center" wrapText="1"/>
    </xf>
    <xf numFmtId="0" fontId="3" fillId="6" borderId="41" xfId="0" applyFont="1" applyFill="1" applyBorder="1" applyAlignment="1">
      <alignment horizontal="center"/>
    </xf>
    <xf numFmtId="0" fontId="3" fillId="4" borderId="57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center"/>
    </xf>
    <xf numFmtId="0" fontId="3" fillId="4" borderId="35" xfId="0" quotePrefix="1" applyFont="1" applyFill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6" xfId="0" applyFont="1" applyFill="1" applyBorder="1" applyAlignment="1">
      <alignment horizontal="center"/>
    </xf>
    <xf numFmtId="0" fontId="3" fillId="3" borderId="3" xfId="0" quotePrefix="1" applyFont="1" applyFill="1" applyBorder="1" applyAlignment="1">
      <alignment horizontal="center"/>
    </xf>
    <xf numFmtId="0" fontId="3" fillId="3" borderId="28" xfId="0" quotePrefix="1" applyFont="1" applyFill="1" applyBorder="1" applyAlignment="1">
      <alignment horizontal="center"/>
    </xf>
    <xf numFmtId="0" fontId="3" fillId="3" borderId="58" xfId="0" quotePrefix="1" applyFont="1" applyFill="1" applyBorder="1" applyAlignment="1">
      <alignment horizontal="center"/>
    </xf>
    <xf numFmtId="0" fontId="3" fillId="3" borderId="26" xfId="0" quotePrefix="1" applyFont="1" applyFill="1" applyBorder="1" applyAlignment="1">
      <alignment horizontal="center"/>
    </xf>
    <xf numFmtId="0" fontId="3" fillId="3" borderId="59" xfId="0" quotePrefix="1" applyFont="1" applyFill="1" applyBorder="1" applyAlignment="1">
      <alignment horizontal="center"/>
    </xf>
    <xf numFmtId="0" fontId="3" fillId="3" borderId="10" xfId="0" quotePrefix="1" applyFont="1" applyFill="1" applyBorder="1" applyAlignment="1">
      <alignment horizontal="center"/>
    </xf>
    <xf numFmtId="0" fontId="3" fillId="3" borderId="60" xfId="0" quotePrefix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6">
    <cellStyle name="Prozent" xfId="4" builtinId="5"/>
    <cellStyle name="Standard" xfId="0" builtinId="0"/>
    <cellStyle name="Standard_arable-legume" xfId="3"/>
    <cellStyle name="Standard_Input data crop_1" xfId="5"/>
    <cellStyle name="Standard_Tabelle1" xfId="1"/>
    <cellStyle name="Standard_Tabelle1_1" xfId="2"/>
  </cellStyles>
  <dxfs count="0"/>
  <tableStyles count="0" defaultTableStyle="TableStyleMedium2" defaultPivotStyle="PivotStyleLight16"/>
  <colors>
    <mruColors>
      <color rgb="FFCC9900"/>
      <color rgb="FF996600"/>
      <color rgb="FFCCCCFF"/>
      <color rgb="FFCC99FF"/>
      <color rgb="FF9933FF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0</xdr:rowOff>
    </xdr:from>
    <xdr:to>
      <xdr:col>9</xdr:col>
      <xdr:colOff>656167</xdr:colOff>
      <xdr:row>2</xdr:row>
      <xdr:rowOff>152400</xdr:rowOff>
    </xdr:to>
    <xdr:sp macro="" textlink="">
      <xdr:nvSpPr>
        <xdr:cNvPr id="2" name="Textfeld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" y="0"/>
          <a:ext cx="11535832" cy="5334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 first we want to ask you for the site characteristics of your region. If you have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 for more then one region or for different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sites within your region e.g. different soil types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we kindly ask you to copy the whole excel file and fill in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information for each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site or region</a:t>
          </a:r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using one excel file per site or region.</a:t>
          </a:r>
          <a:endParaRPr lang="de-DE">
            <a:effectLst/>
          </a:endParaRPr>
        </a:p>
      </xdr:txBody>
    </xdr:sp>
    <xdr:clientData/>
  </xdr:twoCellAnchor>
  <xdr:twoCellAnchor>
    <xdr:from>
      <xdr:col>5</xdr:col>
      <xdr:colOff>133350</xdr:colOff>
      <xdr:row>3</xdr:row>
      <xdr:rowOff>114300</xdr:rowOff>
    </xdr:from>
    <xdr:to>
      <xdr:col>9</xdr:col>
      <xdr:colOff>638175</xdr:colOff>
      <xdr:row>6</xdr:row>
      <xdr:rowOff>66675</xdr:rowOff>
    </xdr:to>
    <xdr:sp macro="" textlink="">
      <xdr:nvSpPr>
        <xdr:cNvPr id="3" name="Textfeld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962900" y="685800"/>
          <a:ext cx="3552825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* You find an overview on the codes on following website: </a:t>
          </a:r>
        </a:p>
        <a:p>
          <a:r>
            <a:rPr lang="de-DE" sz="1100"/>
            <a:t>https://eur-lex.europa.eu/eli/reg/2016/2066/oj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433917</xdr:colOff>
      <xdr:row>4</xdr:row>
      <xdr:rowOff>163286</xdr:rowOff>
    </xdr:to>
    <xdr:sp macro="" textlink="">
      <xdr:nvSpPr>
        <xdr:cNvPr id="2" name="Textfeld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0" y="0"/>
          <a:ext cx="29572797" cy="89480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200" b="1"/>
            <a:t>In the following four sheets please fill in information on crop rotations and crop production activities for all selected crops. </a:t>
          </a:r>
        </a:p>
        <a:p>
          <a:r>
            <a:rPr lang="de-DE" sz="1200" b="1"/>
            <a:t>Please provide at least three rotation examples, one without legumes that represents current farming and a minimum of two alternatives with legumes. The length of the rotation can vary and</a:t>
          </a:r>
          <a:r>
            <a:rPr lang="de-DE" sz="1200" b="1" baseline="0"/>
            <a:t> should at least have three years</a:t>
          </a:r>
          <a:r>
            <a:rPr lang="de-DE" sz="1200" b="1"/>
            <a:t>.</a:t>
          </a:r>
        </a:p>
        <a:p>
          <a:r>
            <a:rPr lang="de-DE" sz="1200" b="1"/>
            <a:t>To simplify the completion</a:t>
          </a:r>
          <a:r>
            <a:rPr lang="de-DE" sz="1200" b="1" baseline="0"/>
            <a:t> for you, an example with winter rape is provided in the first sheet.</a:t>
          </a:r>
          <a:endParaRPr lang="de-DE" sz="1200" b="1"/>
        </a:p>
        <a:p>
          <a:r>
            <a:rPr lang="de-DE" sz="1200" b="1"/>
            <a:t>Please</a:t>
          </a:r>
          <a:r>
            <a:rPr lang="de-DE" sz="1200" b="1" baseline="0"/>
            <a:t> use in terms of price and costs values of the years indicated in the first sheet.</a:t>
          </a:r>
          <a:endParaRPr lang="de-DE" sz="12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269873</xdr:colOff>
      <xdr:row>2</xdr:row>
      <xdr:rowOff>152400</xdr:rowOff>
    </xdr:to>
    <xdr:sp macro="" textlink="">
      <xdr:nvSpPr>
        <xdr:cNvPr id="2" name="Textfeld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0" y="0"/>
          <a:ext cx="8042273" cy="51816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order to calculate</a:t>
          </a:r>
          <a:r>
            <a:rPr lang="de-D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yield stability, we need data on yields of the crops you indicated earlier in the crop rotations for at least ten years in a row. It is necessary that the data for all crops are from one site.  An example with winter rye is provided in the first column. </a:t>
          </a:r>
          <a:endParaRPr lang="de-DE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"/>
  <sheetViews>
    <sheetView tabSelected="1" workbookViewId="0">
      <selection activeCell="A2" sqref="A2"/>
    </sheetView>
  </sheetViews>
  <sheetFormatPr baseColWidth="10" defaultColWidth="11.42578125" defaultRowHeight="15" x14ac:dyDescent="0.25"/>
  <cols>
    <col min="1" max="1" width="17.42578125" style="67" bestFit="1" customWidth="1"/>
    <col min="2" max="4" width="11.42578125" style="67"/>
    <col min="5" max="5" width="13.140625" style="67" bestFit="1" customWidth="1"/>
    <col min="6" max="10" width="11.42578125" style="67"/>
    <col min="11" max="11" width="0" style="67" hidden="1" customWidth="1"/>
    <col min="12" max="13" width="11.42578125" style="67"/>
    <col min="14" max="14" width="0" style="67" hidden="1" customWidth="1"/>
    <col min="15" max="16384" width="11.42578125" style="67"/>
  </cols>
  <sheetData>
    <row r="1" spans="1:19" ht="76.5" x14ac:dyDescent="0.35">
      <c r="B1" s="67" t="s">
        <v>232</v>
      </c>
      <c r="C1" s="67" t="s">
        <v>233</v>
      </c>
      <c r="D1" s="67" t="s">
        <v>234</v>
      </c>
      <c r="E1" s="67" t="s">
        <v>235</v>
      </c>
      <c r="F1" s="67" t="s">
        <v>236</v>
      </c>
      <c r="G1" s="143" t="s">
        <v>431</v>
      </c>
      <c r="H1" s="143" t="s">
        <v>259</v>
      </c>
      <c r="I1" s="133" t="s">
        <v>260</v>
      </c>
      <c r="J1" s="133" t="s">
        <v>261</v>
      </c>
      <c r="K1" s="115" t="s">
        <v>265</v>
      </c>
      <c r="L1" s="115" t="s">
        <v>262</v>
      </c>
      <c r="M1" s="115" t="s">
        <v>263</v>
      </c>
      <c r="N1" s="115" t="s">
        <v>264</v>
      </c>
      <c r="O1" s="115" t="s">
        <v>266</v>
      </c>
      <c r="P1" s="115" t="s">
        <v>277</v>
      </c>
      <c r="Q1" s="115" t="s">
        <v>267</v>
      </c>
      <c r="R1" s="133" t="s">
        <v>387</v>
      </c>
      <c r="S1" s="115" t="s">
        <v>268</v>
      </c>
    </row>
    <row r="2" spans="1:19" x14ac:dyDescent="0.25">
      <c r="A2" s="67" t="s">
        <v>237</v>
      </c>
      <c r="B2" s="67" t="s">
        <v>238</v>
      </c>
      <c r="C2" s="67" t="s">
        <v>238</v>
      </c>
      <c r="D2" s="67" t="s">
        <v>239</v>
      </c>
      <c r="E2" s="67" t="s">
        <v>240</v>
      </c>
      <c r="G2" s="116">
        <f>GM!B15</f>
        <v>326</v>
      </c>
      <c r="H2" s="116"/>
      <c r="I2" s="116">
        <f>G2-(0.15*K2)</f>
        <v>205.893575</v>
      </c>
      <c r="J2" s="116">
        <f>G2-(0.05*K2)</f>
        <v>285.96452499999998</v>
      </c>
      <c r="K2" s="116">
        <f>N2*5.62</f>
        <v>800.70950000000016</v>
      </c>
      <c r="L2" s="116">
        <f>'NO3'!K7</f>
        <v>14.000271999999999</v>
      </c>
      <c r="M2" s="116">
        <f>'N fertilizer'!B28</f>
        <v>174.97500000000002</v>
      </c>
      <c r="N2" s="116">
        <f>'N fertilizer'!B30</f>
        <v>142.47500000000002</v>
      </c>
      <c r="O2" s="62">
        <f>'N2O calculations'!A31/4</f>
        <v>5.2465060010000002</v>
      </c>
      <c r="P2" s="108">
        <f>'Data for yield stability'!K51</f>
        <v>0.11590526275949255</v>
      </c>
      <c r="Q2" s="116">
        <f>'Protein &amp; Energy Output'!B14</f>
        <v>788.15500000000009</v>
      </c>
      <c r="R2" s="116">
        <f>'Protein &amp; Energy Output'!B19</f>
        <v>137.41000000000003</v>
      </c>
      <c r="S2" s="113">
        <f>'Crop Diversity'!E15</f>
        <v>0.56233514461880829</v>
      </c>
    </row>
    <row r="3" spans="1:19" x14ac:dyDescent="0.25">
      <c r="A3" s="67" t="s">
        <v>241</v>
      </c>
      <c r="B3" s="67" t="s">
        <v>238</v>
      </c>
      <c r="C3" s="67" t="s">
        <v>238</v>
      </c>
      <c r="D3" s="67" t="s">
        <v>242</v>
      </c>
      <c r="E3" s="67" t="s">
        <v>239</v>
      </c>
      <c r="F3" s="67" t="s">
        <v>240</v>
      </c>
      <c r="G3" s="116">
        <f>GM!I15</f>
        <v>284.39999999999998</v>
      </c>
      <c r="H3" s="116"/>
      <c r="I3" s="116">
        <f>G3-(0.15*K3)</f>
        <v>191.67337199999997</v>
      </c>
      <c r="J3" s="116">
        <f>G3-(0.05*K3)</f>
        <v>253.49112399999996</v>
      </c>
      <c r="K3" s="116">
        <f>N3*5.62</f>
        <v>618.17752000000007</v>
      </c>
      <c r="L3" s="116">
        <f>'NO3'!K14</f>
        <v>13.865391233233842</v>
      </c>
      <c r="M3" s="116">
        <f>'N fertilizer'!I28</f>
        <v>135.99600000000001</v>
      </c>
      <c r="N3" s="116">
        <f>'N fertilizer'!I30</f>
        <v>109.99600000000001</v>
      </c>
      <c r="O3" s="62">
        <f>'N2O calculations'!H31/5</f>
        <v>4.2468370238887569</v>
      </c>
      <c r="P3" s="108">
        <f>'Data for yield stability'!K52</f>
        <v>0.12143104631030699</v>
      </c>
      <c r="Q3" s="116">
        <f>'Protein &amp; Energy Output'!H14</f>
        <v>846.7399999999999</v>
      </c>
      <c r="R3" s="116">
        <f>'Protein &amp; Energy Output'!H19</f>
        <v>122.81359999999999</v>
      </c>
      <c r="S3" s="113">
        <f>'Crop Diversity'!E21</f>
        <v>0.95027053923323468</v>
      </c>
    </row>
  </sheetData>
  <pageMargins left="0.7" right="0.7" top="0.78740157499999996" bottom="0.78740157499999996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1" sqref="C1"/>
    </sheetView>
  </sheetViews>
  <sheetFormatPr baseColWidth="10" defaultColWidth="11.42578125" defaultRowHeight="15" x14ac:dyDescent="0.25"/>
  <cols>
    <col min="1" max="1" width="15.7109375" style="67" bestFit="1" customWidth="1"/>
    <col min="2" max="2" width="18.7109375" style="67" bestFit="1" customWidth="1"/>
    <col min="3" max="16384" width="11.42578125" style="67"/>
  </cols>
  <sheetData>
    <row r="1" spans="1:7" x14ac:dyDescent="0.25">
      <c r="C1" s="67" t="s">
        <v>232</v>
      </c>
      <c r="D1" s="67" t="s">
        <v>233</v>
      </c>
      <c r="E1" s="67" t="s">
        <v>234</v>
      </c>
      <c r="F1" s="67" t="s">
        <v>235</v>
      </c>
      <c r="G1" s="67" t="s">
        <v>236</v>
      </c>
    </row>
    <row r="2" spans="1:7" x14ac:dyDescent="0.25">
      <c r="A2" s="67" t="s">
        <v>237</v>
      </c>
      <c r="C2" s="67" t="s">
        <v>238</v>
      </c>
      <c r="D2" s="67" t="s">
        <v>238</v>
      </c>
      <c r="E2" s="67" t="s">
        <v>239</v>
      </c>
      <c r="F2" s="67" t="s">
        <v>240</v>
      </c>
    </row>
    <row r="3" spans="1:7" x14ac:dyDescent="0.25">
      <c r="A3" s="67" t="s">
        <v>241</v>
      </c>
      <c r="C3" s="67" t="s">
        <v>238</v>
      </c>
      <c r="D3" s="67" t="s">
        <v>238</v>
      </c>
      <c r="E3" s="67" t="s">
        <v>242</v>
      </c>
      <c r="F3" s="67" t="s">
        <v>239</v>
      </c>
      <c r="G3" s="67" t="s">
        <v>240</v>
      </c>
    </row>
    <row r="6" spans="1:7" ht="18" x14ac:dyDescent="0.35">
      <c r="A6" s="67" t="s">
        <v>246</v>
      </c>
      <c r="C6" s="67" t="s">
        <v>247</v>
      </c>
      <c r="E6" s="67" t="s">
        <v>248</v>
      </c>
      <c r="F6" s="67">
        <f>LN(3)</f>
        <v>1.0986122886681098</v>
      </c>
    </row>
    <row r="10" spans="1:7" ht="18" x14ac:dyDescent="0.35">
      <c r="A10" s="67" t="s">
        <v>249</v>
      </c>
      <c r="B10" s="67" t="s">
        <v>250</v>
      </c>
      <c r="C10" s="67" t="s">
        <v>251</v>
      </c>
      <c r="D10" s="67" t="s">
        <v>252</v>
      </c>
      <c r="E10" s="67" t="s">
        <v>253</v>
      </c>
    </row>
    <row r="11" spans="1:7" x14ac:dyDescent="0.25">
      <c r="A11" s="67" t="s">
        <v>254</v>
      </c>
    </row>
    <row r="12" spans="1:7" x14ac:dyDescent="0.25">
      <c r="A12" s="67" t="s">
        <v>255</v>
      </c>
      <c r="B12" s="108">
        <f>3/4</f>
        <v>0.75</v>
      </c>
      <c r="C12" s="67">
        <v>0.75</v>
      </c>
      <c r="D12" s="67">
        <f>LN(C12)</f>
        <v>-0.2876820724517809</v>
      </c>
      <c r="E12" s="67">
        <f>C12*D12</f>
        <v>-0.21576155433883568</v>
      </c>
    </row>
    <row r="13" spans="1:7" x14ac:dyDescent="0.25">
      <c r="A13" s="67" t="s">
        <v>256</v>
      </c>
      <c r="B13" s="108">
        <f>1/4</f>
        <v>0.25</v>
      </c>
      <c r="C13" s="67">
        <v>0.25</v>
      </c>
      <c r="D13" s="67">
        <f>LN(C13)</f>
        <v>-1.3862943611198906</v>
      </c>
      <c r="E13" s="67">
        <f>C13*D13</f>
        <v>-0.34657359027997264</v>
      </c>
    </row>
    <row r="14" spans="1:7" x14ac:dyDescent="0.25">
      <c r="A14" s="67" t="s">
        <v>257</v>
      </c>
    </row>
    <row r="15" spans="1:7" x14ac:dyDescent="0.25">
      <c r="E15" s="67">
        <f>-(E12+E13+E14)</f>
        <v>0.56233514461880829</v>
      </c>
    </row>
    <row r="17" spans="1:5" x14ac:dyDescent="0.25">
      <c r="A17" s="67" t="s">
        <v>258</v>
      </c>
    </row>
    <row r="18" spans="1:5" x14ac:dyDescent="0.25">
      <c r="A18" s="67" t="s">
        <v>255</v>
      </c>
      <c r="B18" s="108">
        <f>3/5</f>
        <v>0.6</v>
      </c>
      <c r="C18" s="67">
        <v>0.6</v>
      </c>
      <c r="D18" s="67">
        <f>LN(C18)</f>
        <v>-0.51082562376599072</v>
      </c>
      <c r="E18" s="67">
        <f>C18*D18</f>
        <v>-0.30649537425959444</v>
      </c>
    </row>
    <row r="19" spans="1:5" x14ac:dyDescent="0.25">
      <c r="A19" s="67" t="s">
        <v>256</v>
      </c>
      <c r="B19" s="108">
        <f>1/5</f>
        <v>0.2</v>
      </c>
      <c r="C19" s="67">
        <v>0.2</v>
      </c>
      <c r="D19" s="67">
        <f>LN(C19)</f>
        <v>-1.6094379124341003</v>
      </c>
      <c r="E19" s="67">
        <f>C19*D19</f>
        <v>-0.32188758248682009</v>
      </c>
    </row>
    <row r="20" spans="1:5" x14ac:dyDescent="0.25">
      <c r="A20" s="67" t="s">
        <v>257</v>
      </c>
      <c r="B20" s="108">
        <f>1/5</f>
        <v>0.2</v>
      </c>
      <c r="C20" s="67">
        <v>0.2</v>
      </c>
      <c r="D20" s="67">
        <f>LN(C20)</f>
        <v>-1.6094379124341003</v>
      </c>
      <c r="E20" s="67">
        <f>C20*D20</f>
        <v>-0.32188758248682009</v>
      </c>
    </row>
    <row r="21" spans="1:5" x14ac:dyDescent="0.25">
      <c r="E21" s="67">
        <f>-(E18+E19+E20)</f>
        <v>0.95027053923323468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N31" sqref="N31"/>
    </sheetView>
  </sheetViews>
  <sheetFormatPr baseColWidth="10" defaultColWidth="10.85546875" defaultRowHeight="15" x14ac:dyDescent="0.25"/>
  <cols>
    <col min="1" max="1" width="16.5703125" bestFit="1" customWidth="1"/>
    <col min="3" max="3" width="19.85546875" customWidth="1"/>
    <col min="11" max="11" width="17.28515625" bestFit="1" customWidth="1"/>
    <col min="17" max="17" width="11.42578125" style="67"/>
  </cols>
  <sheetData>
    <row r="1" spans="1:19" x14ac:dyDescent="0.25">
      <c r="A1" s="68"/>
      <c r="B1" s="136" t="s">
        <v>378</v>
      </c>
      <c r="C1" s="136" t="s">
        <v>379</v>
      </c>
      <c r="D1" s="136" t="s">
        <v>380</v>
      </c>
      <c r="E1" s="136" t="s">
        <v>381</v>
      </c>
      <c r="F1" s="136" t="s">
        <v>382</v>
      </c>
      <c r="G1" s="136" t="s">
        <v>383</v>
      </c>
      <c r="H1" s="136" t="s">
        <v>384</v>
      </c>
      <c r="I1" s="136" t="s">
        <v>430</v>
      </c>
      <c r="J1" s="136" t="s">
        <v>386</v>
      </c>
      <c r="K1" s="136" t="s">
        <v>385</v>
      </c>
    </row>
    <row r="2" spans="1:19" x14ac:dyDescent="0.25">
      <c r="A2" s="68" t="s">
        <v>254</v>
      </c>
      <c r="B2" s="67"/>
      <c r="C2" s="68"/>
      <c r="D2" s="68"/>
      <c r="E2" s="68"/>
      <c r="F2" s="68"/>
      <c r="G2" s="68"/>
      <c r="H2" s="68"/>
      <c r="J2" s="68"/>
      <c r="K2" s="68"/>
    </row>
    <row r="3" spans="1:19" x14ac:dyDescent="0.25">
      <c r="A3" s="67" t="s">
        <v>238</v>
      </c>
      <c r="B3" s="67">
        <v>11</v>
      </c>
      <c r="C3" s="146">
        <v>115</v>
      </c>
      <c r="D3" s="116">
        <v>53</v>
      </c>
      <c r="E3" s="146">
        <v>170.4768</v>
      </c>
      <c r="F3" s="146">
        <v>71.9018181818182</v>
      </c>
      <c r="G3" s="146">
        <v>249.744</v>
      </c>
      <c r="H3" s="146">
        <v>-24.9020247272727</v>
      </c>
      <c r="I3" s="141">
        <v>0</v>
      </c>
      <c r="J3" s="140">
        <v>0.55000000000000004</v>
      </c>
      <c r="K3" s="146">
        <v>0</v>
      </c>
    </row>
    <row r="4" spans="1:19" x14ac:dyDescent="0.25">
      <c r="A4" s="67" t="s">
        <v>238</v>
      </c>
      <c r="B4" s="67">
        <v>11</v>
      </c>
      <c r="C4" s="146">
        <v>168</v>
      </c>
      <c r="D4" s="116">
        <v>0</v>
      </c>
      <c r="E4" s="146">
        <v>170.4768</v>
      </c>
      <c r="F4" s="146">
        <v>55.309090909090898</v>
      </c>
      <c r="G4" s="146">
        <v>249.744</v>
      </c>
      <c r="H4" s="146">
        <v>-26.434909090909098</v>
      </c>
      <c r="I4" s="141">
        <v>0</v>
      </c>
      <c r="J4" s="140">
        <v>0.55000000000000004</v>
      </c>
      <c r="K4" s="146">
        <v>0</v>
      </c>
    </row>
    <row r="5" spans="1:19" x14ac:dyDescent="0.25">
      <c r="A5" s="67" t="s">
        <v>239</v>
      </c>
      <c r="B5" s="67">
        <v>7</v>
      </c>
      <c r="C5" s="146">
        <v>130.80000000000001</v>
      </c>
      <c r="D5" s="116">
        <v>0</v>
      </c>
      <c r="E5" s="146">
        <v>133.87020000000001</v>
      </c>
      <c r="F5" s="146">
        <v>42.545454545454497</v>
      </c>
      <c r="G5" s="146">
        <v>154.41999999999999</v>
      </c>
      <c r="H5" s="146">
        <v>18.925454545454599</v>
      </c>
      <c r="I5" s="141">
        <v>0</v>
      </c>
      <c r="J5" s="140">
        <v>0.55000000000000004</v>
      </c>
      <c r="K5" s="146">
        <v>10.409000000000001</v>
      </c>
    </row>
    <row r="6" spans="1:19" x14ac:dyDescent="0.25">
      <c r="A6" s="67" t="s">
        <v>240</v>
      </c>
      <c r="B6" s="67">
        <v>3.2</v>
      </c>
      <c r="C6" s="146">
        <v>156</v>
      </c>
      <c r="D6" s="116">
        <v>77</v>
      </c>
      <c r="E6" s="146">
        <v>233.10046399999999</v>
      </c>
      <c r="F6" s="146">
        <v>51.054545454545398</v>
      </c>
      <c r="G6" s="146">
        <v>147.25984</v>
      </c>
      <c r="H6" s="146">
        <v>82.894705454545402</v>
      </c>
      <c r="I6" s="142">
        <v>0</v>
      </c>
      <c r="J6" s="140">
        <v>0.55000000000000004</v>
      </c>
      <c r="K6" s="146">
        <v>45.592087999999997</v>
      </c>
    </row>
    <row r="7" spans="1:19" x14ac:dyDescent="0.25">
      <c r="A7" s="67"/>
      <c r="B7" s="67"/>
      <c r="C7" s="116"/>
      <c r="D7" s="116"/>
      <c r="E7" s="116"/>
      <c r="F7" s="116"/>
      <c r="G7" s="116"/>
      <c r="H7" s="116"/>
      <c r="J7" s="67"/>
      <c r="K7" s="116">
        <f>AVERAGE(K2:K6)</f>
        <v>14.000271999999999</v>
      </c>
    </row>
    <row r="8" spans="1:19" x14ac:dyDescent="0.25">
      <c r="A8" s="68" t="s">
        <v>258</v>
      </c>
      <c r="B8" s="67"/>
      <c r="C8" s="116"/>
      <c r="D8" s="116"/>
      <c r="E8" s="116"/>
      <c r="F8" s="116"/>
      <c r="G8" s="116"/>
      <c r="H8" s="116"/>
      <c r="J8" s="67"/>
      <c r="K8" s="116"/>
    </row>
    <row r="9" spans="1:19" x14ac:dyDescent="0.25">
      <c r="A9" s="67" t="s">
        <v>238</v>
      </c>
      <c r="B9" s="67">
        <v>11</v>
      </c>
      <c r="C9" s="146">
        <v>115</v>
      </c>
      <c r="D9" s="116">
        <v>53</v>
      </c>
      <c r="E9" s="146">
        <v>170.4768</v>
      </c>
      <c r="F9" s="146">
        <v>71.9018181818182</v>
      </c>
      <c r="G9" s="146">
        <v>249.744</v>
      </c>
      <c r="H9" s="146">
        <v>-24.9020247272727</v>
      </c>
      <c r="I9" s="142">
        <v>0</v>
      </c>
      <c r="J9" s="140">
        <v>0.55000000000000004</v>
      </c>
      <c r="K9" s="146">
        <v>0</v>
      </c>
    </row>
    <row r="10" spans="1:19" x14ac:dyDescent="0.25">
      <c r="A10" s="67" t="s">
        <v>238</v>
      </c>
      <c r="B10" s="67">
        <v>11</v>
      </c>
      <c r="C10" s="146">
        <v>168</v>
      </c>
      <c r="D10" s="116">
        <v>0</v>
      </c>
      <c r="E10" s="146">
        <v>170.4768</v>
      </c>
      <c r="F10" s="146">
        <v>55.309090909090898</v>
      </c>
      <c r="G10" s="146">
        <v>249.744</v>
      </c>
      <c r="H10" s="146">
        <v>-26.434909090909098</v>
      </c>
      <c r="I10" s="142">
        <v>0</v>
      </c>
      <c r="J10" s="140">
        <v>0.55000000000000004</v>
      </c>
      <c r="K10" s="146">
        <v>0</v>
      </c>
    </row>
    <row r="11" spans="1:19" x14ac:dyDescent="0.25">
      <c r="A11" s="67" t="s">
        <v>242</v>
      </c>
      <c r="B11" s="67">
        <v>3</v>
      </c>
      <c r="C11" s="146">
        <v>0</v>
      </c>
      <c r="D11" s="116">
        <v>0</v>
      </c>
      <c r="E11" s="146">
        <v>176.05114629461801</v>
      </c>
      <c r="F11" s="146">
        <v>51.054545454545398</v>
      </c>
      <c r="G11" s="146">
        <v>19.6893306069651</v>
      </c>
      <c r="H11" s="146">
        <v>31.365214847580301</v>
      </c>
      <c r="I11" s="146">
        <v>165.064646294618</v>
      </c>
      <c r="J11" s="140">
        <v>0.55000000000000004</v>
      </c>
      <c r="K11" s="146">
        <v>17.250868166169202</v>
      </c>
    </row>
    <row r="12" spans="1:19" x14ac:dyDescent="0.25">
      <c r="A12" s="67" t="s">
        <v>239</v>
      </c>
      <c r="B12" s="67">
        <v>7</v>
      </c>
      <c r="C12" s="146">
        <v>110.9</v>
      </c>
      <c r="D12" s="116">
        <v>0</v>
      </c>
      <c r="E12" s="146">
        <v>113.97020000000001</v>
      </c>
      <c r="F12" s="146">
        <v>55.309090909090898</v>
      </c>
      <c r="G12" s="146">
        <v>154.41999999999999</v>
      </c>
      <c r="H12" s="146">
        <v>11.7890909090909</v>
      </c>
      <c r="I12" s="141">
        <v>0</v>
      </c>
      <c r="J12" s="140">
        <v>0.55000000000000004</v>
      </c>
      <c r="K12" s="146">
        <v>6.4840000000000098</v>
      </c>
    </row>
    <row r="13" spans="1:19" x14ac:dyDescent="0.25">
      <c r="A13" s="67" t="s">
        <v>240</v>
      </c>
      <c r="B13" s="67">
        <v>3.2</v>
      </c>
      <c r="C13" s="146">
        <v>156</v>
      </c>
      <c r="D13" s="116">
        <v>77</v>
      </c>
      <c r="E13" s="146">
        <v>233.10046399999999</v>
      </c>
      <c r="F13" s="146">
        <v>51.054545454545398</v>
      </c>
      <c r="G13" s="146">
        <v>147.25984</v>
      </c>
      <c r="H13" s="146">
        <v>82.894705454545402</v>
      </c>
      <c r="I13" s="142">
        <v>0</v>
      </c>
      <c r="J13" s="140">
        <v>0.55000000000000004</v>
      </c>
      <c r="K13" s="146">
        <v>45.592087999999997</v>
      </c>
    </row>
    <row r="14" spans="1:19" x14ac:dyDescent="0.25">
      <c r="A14" s="67"/>
      <c r="B14" s="67"/>
      <c r="C14" s="116"/>
      <c r="D14" s="116"/>
      <c r="E14" s="116"/>
      <c r="F14" s="116"/>
      <c r="G14" s="116"/>
      <c r="H14" s="116"/>
      <c r="J14" s="67"/>
      <c r="K14" s="116">
        <f>AVERAGE(K9:K13)</f>
        <v>13.865391233233842</v>
      </c>
      <c r="P14" s="67"/>
      <c r="R14" s="67"/>
      <c r="S14" s="67"/>
    </row>
    <row r="15" spans="1:19" x14ac:dyDescent="0.25">
      <c r="A15" s="67"/>
      <c r="B15" s="67"/>
      <c r="C15" s="116"/>
      <c r="D15" s="116"/>
      <c r="E15" s="116"/>
      <c r="F15" s="116"/>
      <c r="G15" s="116"/>
      <c r="H15" s="116"/>
      <c r="J15" s="67"/>
      <c r="K15" s="116"/>
      <c r="P15" s="67"/>
      <c r="R15" s="67"/>
      <c r="S15" s="67"/>
    </row>
    <row r="16" spans="1:19" x14ac:dyDescent="0.25">
      <c r="C16" s="116"/>
      <c r="D16" s="116"/>
      <c r="E16" s="116"/>
      <c r="F16" s="116"/>
      <c r="G16" s="116"/>
      <c r="H16" s="116"/>
      <c r="K16" s="116"/>
      <c r="P16" s="68"/>
      <c r="Q16" s="68"/>
      <c r="R16" s="68"/>
      <c r="S16" s="68"/>
    </row>
    <row r="17" spans="1:19" x14ac:dyDescent="0.25">
      <c r="A17" s="68" t="s">
        <v>432</v>
      </c>
      <c r="B17" s="67"/>
      <c r="C17" s="67"/>
      <c r="D17" s="67"/>
      <c r="E17" s="67"/>
      <c r="F17" s="67"/>
      <c r="G17" s="67"/>
      <c r="H17" s="67"/>
      <c r="K17" s="116"/>
      <c r="L17" s="68"/>
      <c r="M17" s="68"/>
      <c r="N17" s="68"/>
      <c r="O17" s="68"/>
      <c r="P17" s="68"/>
      <c r="Q17" s="68"/>
      <c r="R17" s="68"/>
      <c r="S17" s="68"/>
    </row>
    <row r="18" spans="1:19" x14ac:dyDescent="0.25">
      <c r="A18" s="67"/>
      <c r="B18" s="67"/>
      <c r="C18" s="67"/>
      <c r="D18" s="67"/>
      <c r="E18" s="67"/>
      <c r="F18" s="67"/>
      <c r="G18" s="67"/>
      <c r="H18" s="67"/>
      <c r="J18" s="67"/>
      <c r="K18" s="67"/>
      <c r="L18" s="68"/>
      <c r="M18" s="68"/>
      <c r="N18" s="68"/>
      <c r="O18" s="68"/>
      <c r="P18" s="67"/>
      <c r="R18" s="67"/>
      <c r="S18" s="67"/>
    </row>
    <row r="19" spans="1:19" x14ac:dyDescent="0.25">
      <c r="A19" s="67" t="s">
        <v>433</v>
      </c>
      <c r="B19" s="67"/>
      <c r="C19" s="67"/>
      <c r="D19" s="67"/>
      <c r="E19" s="67"/>
      <c r="F19" s="67"/>
      <c r="G19" s="67"/>
      <c r="H19" s="67"/>
      <c r="J19" s="67"/>
      <c r="K19" s="67"/>
      <c r="L19" s="67"/>
      <c r="M19" s="67"/>
      <c r="N19" s="67"/>
      <c r="P19" s="67"/>
      <c r="R19" s="67"/>
      <c r="S19" s="67"/>
    </row>
    <row r="20" spans="1:19" x14ac:dyDescent="0.25">
      <c r="A20" s="67"/>
      <c r="B20" s="67"/>
      <c r="C20" s="67"/>
      <c r="D20" s="67"/>
      <c r="E20" s="67"/>
      <c r="F20" s="67"/>
      <c r="G20" s="67"/>
      <c r="H20" s="67"/>
      <c r="J20" s="67"/>
      <c r="K20" s="67"/>
      <c r="L20" s="67"/>
      <c r="M20" s="67"/>
      <c r="N20" s="67"/>
      <c r="P20" s="67"/>
      <c r="R20" s="67"/>
      <c r="S20" s="67"/>
    </row>
    <row r="21" spans="1:19" x14ac:dyDescent="0.25">
      <c r="A21" s="67" t="s">
        <v>434</v>
      </c>
      <c r="B21" s="67"/>
      <c r="C21" s="67"/>
      <c r="D21" s="24" t="s">
        <v>435</v>
      </c>
      <c r="E21" s="67"/>
      <c r="F21" s="67"/>
      <c r="G21" s="67"/>
      <c r="H21" s="67"/>
      <c r="J21" s="67"/>
      <c r="K21" s="67"/>
      <c r="L21" s="67"/>
      <c r="M21" s="67"/>
      <c r="N21" s="67"/>
    </row>
    <row r="22" spans="1:19" x14ac:dyDescent="0.25">
      <c r="A22" s="67"/>
      <c r="B22" s="67"/>
      <c r="C22" s="67"/>
      <c r="D22" s="67"/>
      <c r="E22" s="67"/>
      <c r="F22" s="67"/>
      <c r="G22" s="67"/>
      <c r="H22" s="67"/>
      <c r="J22" s="67"/>
      <c r="K22" s="67"/>
      <c r="L22" s="67"/>
      <c r="M22" s="67"/>
      <c r="N22" s="67"/>
    </row>
    <row r="23" spans="1:19" x14ac:dyDescent="0.25">
      <c r="A23" s="67" t="s">
        <v>436</v>
      </c>
      <c r="B23" s="67"/>
      <c r="C23" s="67"/>
      <c r="D23" s="24" t="s">
        <v>437</v>
      </c>
      <c r="E23" s="67"/>
      <c r="F23" s="67"/>
      <c r="G23" s="67"/>
      <c r="H23" s="67"/>
      <c r="J23" s="67"/>
      <c r="K23" s="67"/>
      <c r="L23" s="67"/>
      <c r="M23" s="67"/>
      <c r="N23" s="67"/>
    </row>
    <row r="24" spans="1:19" x14ac:dyDescent="0.25">
      <c r="A24" s="67"/>
      <c r="B24" s="67"/>
      <c r="C24" s="67"/>
      <c r="D24" s="67"/>
      <c r="E24" s="67"/>
      <c r="F24" s="67"/>
      <c r="G24" s="67"/>
      <c r="H24" s="67"/>
    </row>
    <row r="25" spans="1:19" x14ac:dyDescent="0.25">
      <c r="A25" s="67" t="s">
        <v>438</v>
      </c>
      <c r="B25" s="67"/>
      <c r="C25" s="67"/>
      <c r="D25" s="67"/>
      <c r="E25" s="67"/>
      <c r="F25" s="67"/>
      <c r="G25" s="67"/>
      <c r="H25" s="67"/>
    </row>
    <row r="26" spans="1:19" x14ac:dyDescent="0.25">
      <c r="A26" s="67" t="s">
        <v>442</v>
      </c>
      <c r="B26" s="67"/>
      <c r="C26" s="67"/>
      <c r="D26" s="24" t="s">
        <v>439</v>
      </c>
      <c r="E26" s="67"/>
      <c r="F26" s="67"/>
      <c r="G26" s="67"/>
      <c r="H26" s="67"/>
    </row>
    <row r="27" spans="1:19" x14ac:dyDescent="0.25">
      <c r="A27" s="144"/>
      <c r="B27" s="145"/>
      <c r="C27" s="145"/>
      <c r="D27" s="145"/>
      <c r="E27" s="145"/>
      <c r="F27" s="67"/>
      <c r="G27" s="67"/>
      <c r="H27" s="67"/>
    </row>
    <row r="28" spans="1:19" x14ac:dyDescent="0.25">
      <c r="A28" s="67" t="s">
        <v>440</v>
      </c>
      <c r="B28" s="67"/>
      <c r="C28" s="67"/>
      <c r="D28" s="67"/>
      <c r="E28" s="67"/>
      <c r="F28" s="67"/>
      <c r="G28" s="67"/>
      <c r="H28" s="67"/>
    </row>
    <row r="29" spans="1:19" x14ac:dyDescent="0.25">
      <c r="A29" s="67"/>
      <c r="B29" s="67"/>
      <c r="C29" s="67"/>
      <c r="D29" s="67"/>
      <c r="E29" s="67"/>
      <c r="F29" s="67"/>
      <c r="G29" s="67"/>
      <c r="H29" s="67"/>
    </row>
    <row r="30" spans="1:19" x14ac:dyDescent="0.25">
      <c r="A30" s="67"/>
      <c r="B30" s="67"/>
      <c r="C30" s="67"/>
      <c r="D30" s="67"/>
      <c r="E30" s="67"/>
      <c r="F30" s="67"/>
      <c r="G30" s="67"/>
      <c r="H30" s="67"/>
    </row>
  </sheetData>
  <pageMargins left="0.7" right="0.7" top="0.78740157499999996" bottom="0.78740157499999996" header="0.3" footer="0.3"/>
  <pageSetup paperSize="9" orientation="portrait" horizontalDpi="4294967294" vertic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selection activeCell="I12" sqref="I12:M12"/>
    </sheetView>
  </sheetViews>
  <sheetFormatPr baseColWidth="10" defaultColWidth="9.140625" defaultRowHeight="15" x14ac:dyDescent="0.25"/>
  <cols>
    <col min="1" max="16384" width="9.140625" style="67"/>
  </cols>
  <sheetData>
    <row r="1" spans="1:20" x14ac:dyDescent="0.25">
      <c r="A1" s="67">
        <f>'N fertilizer'!A1</f>
        <v>0</v>
      </c>
      <c r="B1" s="67" t="str">
        <f>'N fertilizer'!B1</f>
        <v>Crop 1</v>
      </c>
      <c r="C1" s="67" t="str">
        <f>'N fertilizer'!C1</f>
        <v>Crop 2</v>
      </c>
      <c r="D1" s="67" t="str">
        <f>'N fertilizer'!D1</f>
        <v>Crop 3</v>
      </c>
      <c r="E1" s="67" t="str">
        <f>'N fertilizer'!E1</f>
        <v>Crop 4</v>
      </c>
      <c r="F1" s="67" t="str">
        <f>'N fertilizer'!F1</f>
        <v>Crop 5</v>
      </c>
    </row>
    <row r="2" spans="1:20" x14ac:dyDescent="0.25">
      <c r="A2" s="67" t="str">
        <f>'N fertilizer'!A2</f>
        <v xml:space="preserve">Without legumes: </v>
      </c>
      <c r="B2" s="67" t="str">
        <f>'N fertilizer'!B2</f>
        <v>Maize</v>
      </c>
      <c r="C2" s="67" t="str">
        <f>'N fertilizer'!C2</f>
        <v>Maize</v>
      </c>
      <c r="D2" s="67" t="str">
        <f>'N fertilizer'!D2</f>
        <v>Winter wheat</v>
      </c>
      <c r="E2" s="67" t="str">
        <f>'N fertilizer'!E2</f>
        <v>Winter rape</v>
      </c>
      <c r="F2" s="67">
        <f>'N fertilizer'!F2</f>
        <v>0</v>
      </c>
    </row>
    <row r="3" spans="1:20" x14ac:dyDescent="0.25">
      <c r="A3" s="67" t="str">
        <f>'N fertilizer'!A3</f>
        <v xml:space="preserve">With legumes: </v>
      </c>
      <c r="B3" s="67" t="str">
        <f>'N fertilizer'!B3</f>
        <v>Maize</v>
      </c>
      <c r="C3" s="67" t="str">
        <f>'N fertilizer'!C3</f>
        <v>Maize</v>
      </c>
      <c r="D3" s="67" t="str">
        <f>'N fertilizer'!D3</f>
        <v>Soybean</v>
      </c>
      <c r="E3" s="67" t="str">
        <f>'N fertilizer'!E3</f>
        <v>Winter wheat</v>
      </c>
      <c r="F3" s="67" t="str">
        <f>'N fertilizer'!F3</f>
        <v>Winter rape</v>
      </c>
    </row>
    <row r="4" spans="1:20" x14ac:dyDescent="0.25">
      <c r="A4" s="67">
        <f>'N fertilizer'!A4</f>
        <v>0</v>
      </c>
      <c r="B4" s="67">
        <f>'N fertilizer'!B4</f>
        <v>0</v>
      </c>
      <c r="C4" s="67">
        <f>'N fertilizer'!C4</f>
        <v>0</v>
      </c>
      <c r="D4" s="67">
        <f>'N fertilizer'!D4</f>
        <v>0</v>
      </c>
      <c r="E4" s="67">
        <f>'N fertilizer'!E4</f>
        <v>0</v>
      </c>
      <c r="F4" s="67">
        <f>'N fertilizer'!F4</f>
        <v>0</v>
      </c>
    </row>
    <row r="6" spans="1:20" x14ac:dyDescent="0.25">
      <c r="A6" s="124" t="s">
        <v>300</v>
      </c>
      <c r="B6" s="67" t="s">
        <v>301</v>
      </c>
    </row>
    <row r="7" spans="1:20" x14ac:dyDescent="0.25">
      <c r="B7" s="33" t="str">
        <f>'N fertilizer'!B7</f>
        <v>Maize</v>
      </c>
      <c r="C7" s="33" t="str">
        <f>'N fertilizer'!C7</f>
        <v>Maize</v>
      </c>
      <c r="D7" s="33" t="str">
        <f>'N fertilizer'!D7</f>
        <v>Winter wheat</v>
      </c>
      <c r="E7" s="33" t="str">
        <f>'N fertilizer'!E7</f>
        <v>Winter rape</v>
      </c>
      <c r="F7" s="33"/>
      <c r="G7" s="33"/>
      <c r="I7" s="33" t="str">
        <f>'N fertilizer'!I7</f>
        <v>Maize</v>
      </c>
      <c r="J7" s="33" t="str">
        <f>'N fertilizer'!J7</f>
        <v>Maize</v>
      </c>
      <c r="K7" s="33" t="str">
        <f>'N fertilizer'!K7</f>
        <v>Soybean</v>
      </c>
      <c r="L7" s="33" t="str">
        <f>'N fertilizer'!L7</f>
        <v>Winter wheat</v>
      </c>
      <c r="M7" s="33" t="str">
        <f>'N fertilizer'!M7</f>
        <v>Winter rape</v>
      </c>
      <c r="N7" s="33"/>
      <c r="P7" s="33"/>
      <c r="Q7" s="33"/>
      <c r="R7" s="33"/>
      <c r="S7" s="33"/>
      <c r="T7" s="33"/>
    </row>
    <row r="8" spans="1:20" x14ac:dyDescent="0.25">
      <c r="A8" s="33"/>
      <c r="B8" s="118">
        <f>VLOOKUP(B7,'Mapping crops'!$A:$B,2,FALSE)</f>
        <v>7</v>
      </c>
      <c r="C8" s="118">
        <f>VLOOKUP(C7,'Mapping crops'!$A:$B,2,FALSE)</f>
        <v>7</v>
      </c>
      <c r="D8" s="118">
        <f>VLOOKUP(D7,'Mapping crops'!$A:$B,2,FALSE)</f>
        <v>3</v>
      </c>
      <c r="E8" s="118">
        <f>VLOOKUP(E7,'Mapping crops'!$A:$B,2,FALSE)</f>
        <v>1</v>
      </c>
      <c r="F8" s="118"/>
      <c r="G8" s="68"/>
      <c r="H8" s="118"/>
      <c r="I8" s="118">
        <f>VLOOKUP(I7,'Mapping crops'!$A:$B,2,FALSE)</f>
        <v>7</v>
      </c>
      <c r="J8" s="118">
        <f>VLOOKUP(J7,'Mapping crops'!$A:$B,2,FALSE)</f>
        <v>7</v>
      </c>
      <c r="K8" s="118">
        <f>VLOOKUP(K7,'Mapping crops'!$A:$B,2,FALSE)</f>
        <v>13</v>
      </c>
      <c r="L8" s="118">
        <f>VLOOKUP(L7,'Mapping crops'!$A:$B,2,FALSE)</f>
        <v>3</v>
      </c>
      <c r="M8" s="118">
        <f>VLOOKUP(M7,'Mapping crops'!$A:$B,2,FALSE)</f>
        <v>1</v>
      </c>
      <c r="N8" s="118"/>
      <c r="O8" s="118"/>
      <c r="P8" s="118"/>
      <c r="Q8" s="118"/>
      <c r="R8" s="118"/>
      <c r="S8" s="118"/>
      <c r="T8" s="118"/>
    </row>
    <row r="9" spans="1:20" x14ac:dyDescent="0.25">
      <c r="A9" s="125" t="s">
        <v>302</v>
      </c>
      <c r="B9" s="67">
        <f>IF(ISBLANK('N fertilizer'!B10),0,VLOOKUP('N fertilizer'!B10,'N2O default values'!$I:$J,2,FALSE)*'N fertilizer'!B13)</f>
        <v>17.25</v>
      </c>
      <c r="C9" s="67">
        <f>IF(ISBLANK('N fertilizer'!C10),0,VLOOKUP('N fertilizer'!C10,'N2O default values'!$I:$J,2,FALSE)*'N fertilizer'!C13)</f>
        <v>11.040000000000001</v>
      </c>
      <c r="D9" s="67">
        <f>IF(ISBLANK('N fertilizer'!D10),0,VLOOKUP('N fertilizer'!D10,'N2O default values'!$I:$J,2,FALSE)*'N fertilizer'!D13)</f>
        <v>4.2240000000000002</v>
      </c>
      <c r="E9" s="67">
        <f>IF(ISBLANK('N fertilizer'!E10),0,VLOOKUP('N fertilizer'!E10,'N2O default values'!$I:$J,2,FALSE)*'N fertilizer'!E13)</f>
        <v>7.8000000000000007</v>
      </c>
      <c r="I9" s="67">
        <f>IF(ISBLANK('N fertilizer'!I10),0,VLOOKUP('N fertilizer'!I10,'N2O default values'!$I:$J,2,FALSE)*'N fertilizer'!I13)</f>
        <v>17.25</v>
      </c>
      <c r="J9" s="67">
        <f>IF(ISBLANK('N fertilizer'!J10),0,VLOOKUP('N fertilizer'!J10,'N2O default values'!$I:$J,2,FALSE)*'N fertilizer'!J13)</f>
        <v>11.040000000000001</v>
      </c>
      <c r="K9" s="67">
        <f>IF(ISBLANK('N fertilizer'!K10),0,VLOOKUP('N fertilizer'!K10,'N2O default values'!$I:$J,2,FALSE)*'N fertilizer'!K13)</f>
        <v>0</v>
      </c>
      <c r="L9" s="67">
        <f>IF(ISBLANK('N fertilizer'!L10),0,VLOOKUP('N fertilizer'!L10,'N2O default values'!$I:$J,2,FALSE)*'N fertilizer'!L13)</f>
        <v>2.6303999999999998</v>
      </c>
      <c r="M9" s="67">
        <f>IF(ISBLANK('N fertilizer'!M10),0,VLOOKUP('N fertilizer'!M10,'N2O default values'!$I:$J,2,FALSE)*'N fertilizer'!M13)</f>
        <v>7.8000000000000007</v>
      </c>
    </row>
    <row r="10" spans="1:20" x14ac:dyDescent="0.25">
      <c r="A10" s="125" t="s">
        <v>302</v>
      </c>
      <c r="B10" s="67">
        <f>IF(ISBLANK('N fertilizer'!B15),0,VLOOKUP('N fertilizer'!B15,'N2O default values'!$I:$J,2,FALSE)*'N fertilizer'!B18)</f>
        <v>11.129999999999999</v>
      </c>
      <c r="C10" s="67">
        <f>IF(ISBLANK('N fertilizer'!C15),0,VLOOKUP('N fertilizer'!C15,'N2O default values'!$I:$J,2,FALSE)*'N fertilizer'!C18)</f>
        <v>4.7250000000000005</v>
      </c>
      <c r="D10" s="67">
        <f>IF(ISBLANK('N fertilizer'!D15),0,VLOOKUP('N fertilizer'!D15,'N2O default values'!$I:$J,2,FALSE)*'N fertilizer'!D18)</f>
        <v>8.58</v>
      </c>
      <c r="E10" s="67">
        <f>IF(ISBLANK('N fertilizer'!E15),0,VLOOKUP('N fertilizer'!E15,'N2O default values'!$I:$J,2,FALSE)*'N fertilizer'!E18)</f>
        <v>0</v>
      </c>
      <c r="I10" s="67">
        <f>IF(ISBLANK('N fertilizer'!I15),0,VLOOKUP('N fertilizer'!I15,'N2O default values'!$I:$J,2,FALSE)*'N fertilizer'!I18)</f>
        <v>11.129999999999999</v>
      </c>
      <c r="J10" s="67">
        <f>IF(ISBLANK('N fertilizer'!J15),0,VLOOKUP('N fertilizer'!J15,'N2O default values'!$I:$J,2,FALSE)*'N fertilizer'!J18)</f>
        <v>4.7250000000000005</v>
      </c>
      <c r="K10" s="67">
        <f>IF(ISBLANK('N fertilizer'!K15),0,VLOOKUP('N fertilizer'!K15,'N2O default values'!$I:$J,2,FALSE)*'N fertilizer'!K18)</f>
        <v>0</v>
      </c>
      <c r="L10" s="67">
        <f>IF(ISBLANK('N fertilizer'!L15),0,VLOOKUP('N fertilizer'!L15,'N2O default values'!$I:$J,2,FALSE)*'N fertilizer'!L18)</f>
        <v>8.58</v>
      </c>
      <c r="M10" s="67">
        <f>IF(ISBLANK('N fertilizer'!M15),0,VLOOKUP('N fertilizer'!M15,'N2O default values'!$I:$J,2,FALSE)*'N fertilizer'!M18)</f>
        <v>0</v>
      </c>
    </row>
    <row r="11" spans="1:20" x14ac:dyDescent="0.25">
      <c r="A11" s="125" t="s">
        <v>302</v>
      </c>
      <c r="B11" s="67">
        <f>IF(ISBLANK('N fertilizer'!B20),0,VLOOKUP('N fertilizer'!B20,'N2O default values'!$I:$J,2,FALSE)*'N fertilizer'!B23)</f>
        <v>0</v>
      </c>
      <c r="C11" s="67">
        <f>IF(ISBLANK('N fertilizer'!C20),0,VLOOKUP('N fertilizer'!C20,'N2O default values'!$I:$J,2,FALSE)*'N fertilizer'!C23)</f>
        <v>0</v>
      </c>
      <c r="D11" s="67">
        <f>IF(ISBLANK('N fertilizer'!D20),0,VLOOKUP('N fertilizer'!D20,'N2O default values'!$I:$J,2,FALSE)*'N fertilizer'!D23)</f>
        <v>0</v>
      </c>
      <c r="E11" s="67">
        <f>IF(ISBLANK('N fertilizer'!E20),0,VLOOKUP('N fertilizer'!E20,'N2O default values'!$I:$J,2,FALSE)*'N fertilizer'!E23)</f>
        <v>16.169999999999998</v>
      </c>
      <c r="I11" s="67">
        <f>IF(ISBLANK('N fertilizer'!I20),0,VLOOKUP('N fertilizer'!I20,'N2O default values'!$I:$J,2,FALSE)*'N fertilizer'!I23)</f>
        <v>0</v>
      </c>
      <c r="J11" s="67">
        <f>IF(ISBLANK('N fertilizer'!J20),0,VLOOKUP('N fertilizer'!J20,'N2O default values'!$I:$J,2,FALSE)*'N fertilizer'!J23)</f>
        <v>0</v>
      </c>
      <c r="K11" s="67">
        <f>IF(ISBLANK('N fertilizer'!K20),0,VLOOKUP('N fertilizer'!K20,'N2O default values'!$I:$J,2,FALSE)*'N fertilizer'!K23)</f>
        <v>0</v>
      </c>
      <c r="L11" s="67">
        <f>IF(ISBLANK('N fertilizer'!L20),0,VLOOKUP('N fertilizer'!L20,'N2O default values'!$I:$J,2,FALSE)*'N fertilizer'!L23)</f>
        <v>0</v>
      </c>
      <c r="M11" s="67">
        <f>IF(ISBLANK('N fertilizer'!M20),0,VLOOKUP('N fertilizer'!M20,'N2O default values'!$I:$J,2,FALSE)*'N fertilizer'!M23)</f>
        <v>16.169999999999998</v>
      </c>
    </row>
    <row r="12" spans="1:20" x14ac:dyDescent="0.25">
      <c r="A12" s="125" t="s">
        <v>303</v>
      </c>
      <c r="B12" s="146">
        <v>0</v>
      </c>
      <c r="C12" s="146">
        <v>0</v>
      </c>
      <c r="D12" s="146">
        <v>10.409000000000001</v>
      </c>
      <c r="E12" s="146">
        <v>45.592087999999997</v>
      </c>
      <c r="I12" s="146">
        <v>0</v>
      </c>
      <c r="J12" s="146">
        <v>0</v>
      </c>
      <c r="K12" s="146">
        <v>17.250868166169202</v>
      </c>
      <c r="L12" s="146">
        <v>6.4840000000000098</v>
      </c>
      <c r="M12" s="146">
        <v>45.592087999999997</v>
      </c>
    </row>
    <row r="13" spans="1:20" x14ac:dyDescent="0.25">
      <c r="A13" s="125" t="s">
        <v>304</v>
      </c>
    </row>
    <row r="14" spans="1:20" x14ac:dyDescent="0.25">
      <c r="A14" s="125" t="s">
        <v>245</v>
      </c>
      <c r="B14" s="67">
        <f>GM!B$8*VLOOKUP(B8,'N2O default values'!$M:$U,7)</f>
        <v>9.57</v>
      </c>
      <c r="C14" s="67">
        <f>GM!C$8*VLOOKUP(C8,'N2O default values'!$M:$U,7)</f>
        <v>9.57</v>
      </c>
      <c r="D14" s="67">
        <f>GM!D$8*VLOOKUP(D8,'N2O default values'!$M:$U,7)</f>
        <v>6.23</v>
      </c>
      <c r="E14" s="67">
        <f>GM!E$8*VLOOKUP(E8,'N2O default values'!$M:$U,7)</f>
        <v>2.72</v>
      </c>
      <c r="I14" s="67">
        <f>GM!I$8*VLOOKUP(I8,'N2O default values'!$M:$U,7)</f>
        <v>9.57</v>
      </c>
      <c r="J14" s="67">
        <f>GM!J$8*VLOOKUP(J8,'N2O default values'!$M:$U,7)</f>
        <v>9.57</v>
      </c>
      <c r="K14" s="67">
        <f>GM!K$8*VLOOKUP(K8,'N2O default values'!$M:$U,7)</f>
        <v>2.73</v>
      </c>
      <c r="L14" s="67">
        <f>GM!L$8*VLOOKUP(L8,'N2O default values'!$M:$U,7)</f>
        <v>6.23</v>
      </c>
      <c r="M14" s="67">
        <f>GM!M$8*VLOOKUP(M8,'N2O default values'!$M:$U,7)</f>
        <v>2.72</v>
      </c>
    </row>
    <row r="15" spans="1:20" x14ac:dyDescent="0.25">
      <c r="A15" s="125" t="s">
        <v>305</v>
      </c>
      <c r="B15" s="67">
        <f>B14*VLOOKUP(B$8,'N2O default values'!$M:$U,5)*VLOOKUP(B$8,'N2O default values'!$M:$U,8)</f>
        <v>9.57</v>
      </c>
      <c r="C15" s="67">
        <f>C14*VLOOKUP(C$8,'N2O default values'!$M:$U,5)*VLOOKUP(C$8,'N2O default values'!$M:$U,8)</f>
        <v>9.57</v>
      </c>
      <c r="D15" s="67">
        <f>D14*VLOOKUP(D$8,'N2O default values'!$M:$U,5)*VLOOKUP(D$8,'N2O default values'!$M:$U,8)</f>
        <v>8.0990000000000002</v>
      </c>
      <c r="E15" s="67">
        <f>E14*VLOOKUP(E$8,'N2O default values'!$M:$U,5)*VLOOKUP(E$8,'N2O default values'!$M:$U,8)</f>
        <v>2.72</v>
      </c>
      <c r="I15" s="67">
        <f>I14*VLOOKUP(I$8,'N2O default values'!$M:$U,5)*VLOOKUP(I$8,'N2O default values'!$M:$U,8)</f>
        <v>9.57</v>
      </c>
      <c r="J15" s="67">
        <f>J14*VLOOKUP(J$8,'N2O default values'!$M:$U,5)*VLOOKUP(J$8,'N2O default values'!$M:$U,8)</f>
        <v>9.57</v>
      </c>
      <c r="K15" s="67">
        <f>K14*VLOOKUP(K$8,'N2O default values'!$M:$U,5)*VLOOKUP(K$8,'N2O default values'!$M:$U,8)</f>
        <v>5.7330000000000005</v>
      </c>
      <c r="L15" s="67">
        <f>L14*VLOOKUP(L$8,'N2O default values'!$M:$U,5)*VLOOKUP(L$8,'N2O default values'!$M:$U,8)</f>
        <v>8.0990000000000002</v>
      </c>
      <c r="M15" s="67">
        <f>M14*VLOOKUP(M$8,'N2O default values'!$M:$U,5)*VLOOKUP(M$8,'N2O default values'!$M:$U,8)</f>
        <v>2.72</v>
      </c>
    </row>
    <row r="16" spans="1:20" x14ac:dyDescent="0.25">
      <c r="A16" s="125" t="s">
        <v>306</v>
      </c>
      <c r="B16" s="67">
        <f>SUM(B14:B15)*VLOOKUP(B$8,'N2O default values'!$M:$U,6)</f>
        <v>4.2107999999999999</v>
      </c>
      <c r="C16" s="67">
        <f>SUM(C14:C15)*VLOOKUP(C$8,'N2O default values'!$M:$U,6)</f>
        <v>4.2107999999999999</v>
      </c>
      <c r="D16" s="67">
        <f>SUM(D14:D15)*VLOOKUP(D$8,'N2O default values'!$M:$U,6)</f>
        <v>3.2956700000000003</v>
      </c>
      <c r="E16" s="67">
        <f>SUM(E14:E15)*VLOOKUP(E$8,'N2O default values'!$M:$U,6)</f>
        <v>1.1968000000000001</v>
      </c>
      <c r="I16" s="67">
        <f>SUM(I14:I15)*VLOOKUP(I$8,'N2O default values'!$M:$U,6)</f>
        <v>4.2107999999999999</v>
      </c>
      <c r="J16" s="67">
        <f>SUM(J14:J15)*VLOOKUP(J$8,'N2O default values'!$M:$U,6)</f>
        <v>4.2107999999999999</v>
      </c>
      <c r="K16" s="67">
        <f>SUM(K14:K15)*VLOOKUP(K$8,'N2O default values'!$M:$U,6)</f>
        <v>1.6079700000000001</v>
      </c>
      <c r="L16" s="67">
        <f>SUM(L14:L15)*VLOOKUP(L$8,'N2O default values'!$M:$U,6)</f>
        <v>3.2956700000000003</v>
      </c>
      <c r="M16" s="67">
        <f>SUM(M14:M15)*VLOOKUP(M$8,'N2O default values'!$M:$U,6)</f>
        <v>1.1968000000000001</v>
      </c>
    </row>
    <row r="17" spans="1:20" x14ac:dyDescent="0.25">
      <c r="A17" s="125" t="s">
        <v>307</v>
      </c>
      <c r="B17" s="67">
        <f>(B15-GM!B11*VLOOKUP('N2O calculations'!B$8,'N2O default values'!$M:$U,9))*VLOOKUP('N2O calculations'!B$8,'N2O default values'!$M:$U,3)*1000</f>
        <v>57.420000000000009</v>
      </c>
      <c r="C17" s="67">
        <f>(C15-GM!C11*VLOOKUP('N2O calculations'!C$8,'N2O default values'!$M:$U,9))*VLOOKUP('N2O calculations'!C$8,'N2O default values'!$M:$U,3)*1000</f>
        <v>57.420000000000009</v>
      </c>
      <c r="D17" s="67">
        <f>(D15-GM!D11*VLOOKUP('N2O calculations'!D$8,'N2O default values'!$M:$U,9))*VLOOKUP('N2O calculations'!D$8,'N2O default values'!$M:$U,3)*1000</f>
        <v>48.594000000000008</v>
      </c>
      <c r="E17" s="67">
        <f>(E15-GM!E11*VLOOKUP('N2O calculations'!E$8,'N2O default values'!$M:$U,9))*VLOOKUP('N2O calculations'!E$8,'N2O default values'!$M:$U,3)*1000</f>
        <v>21.76</v>
      </c>
      <c r="I17" s="67">
        <f>(I15-GM!I11*VLOOKUP('N2O calculations'!I$8,'N2O default values'!$M:$U,9))*VLOOKUP('N2O calculations'!I$8,'N2O default values'!$M:$U,3)*1000</f>
        <v>57.420000000000009</v>
      </c>
      <c r="J17" s="67">
        <f>(J15-GM!J11*VLOOKUP('N2O calculations'!J$8,'N2O default values'!$M:$U,9))*VLOOKUP('N2O calculations'!J$8,'N2O default values'!$M:$U,3)*1000</f>
        <v>57.420000000000009</v>
      </c>
      <c r="K17" s="67">
        <f>(K15-GM!K11*VLOOKUP('N2O calculations'!K$8,'N2O default values'!$M:$U,9))*VLOOKUP('N2O calculations'!K$8,'N2O default values'!$M:$U,3)*1000</f>
        <v>45.864000000000004</v>
      </c>
      <c r="L17" s="67">
        <f>(L15-GM!L11*VLOOKUP('N2O calculations'!L$8,'N2O default values'!$M:$U,9))*VLOOKUP('N2O calculations'!L$8,'N2O default values'!$M:$U,3)*1000</f>
        <v>48.594000000000008</v>
      </c>
      <c r="M17" s="67">
        <f>(M15-GM!M11*VLOOKUP('N2O calculations'!M$8,'N2O default values'!$M:$U,9))*VLOOKUP('N2O calculations'!M$8,'N2O default values'!$M:$U,3)*1000</f>
        <v>21.76</v>
      </c>
    </row>
    <row r="18" spans="1:20" x14ac:dyDescent="0.25">
      <c r="A18" s="125" t="s">
        <v>308</v>
      </c>
      <c r="B18" s="67">
        <f>B16*VLOOKUP(B$8,'N2O default values'!$M:$U,4)*1000</f>
        <v>29.4756</v>
      </c>
      <c r="C18" s="67">
        <f>C16*VLOOKUP(C$8,'N2O default values'!$M:$U,4)*1000</f>
        <v>29.4756</v>
      </c>
      <c r="D18" s="67">
        <f>D16*VLOOKUP(D$8,'N2O default values'!$M:$U,4)*1000</f>
        <v>29.66103</v>
      </c>
      <c r="E18" s="67">
        <f>E16*VLOOKUP(E$8,'N2O default values'!$M:$U,4)*1000</f>
        <v>10.7712</v>
      </c>
      <c r="I18" s="67">
        <f>I16*VLOOKUP(I$8,'N2O default values'!$M:$U,4)*1000</f>
        <v>29.4756</v>
      </c>
      <c r="J18" s="67">
        <f>J16*VLOOKUP(J$8,'N2O default values'!$M:$U,4)*1000</f>
        <v>29.4756</v>
      </c>
      <c r="K18" s="67">
        <f>K16*VLOOKUP(K$8,'N2O default values'!$M:$U,4)*1000</f>
        <v>12.863760000000003</v>
      </c>
      <c r="L18" s="67">
        <f>L16*VLOOKUP(L$8,'N2O default values'!$M:$U,4)*1000</f>
        <v>29.66103</v>
      </c>
      <c r="M18" s="67">
        <f>M16*VLOOKUP(M$8,'N2O default values'!$M:$U,4)*1000</f>
        <v>10.7712</v>
      </c>
    </row>
    <row r="19" spans="1:20" x14ac:dyDescent="0.25">
      <c r="A19" s="125" t="s">
        <v>309</v>
      </c>
      <c r="B19" s="67">
        <f>SUM(B17:B18)</f>
        <v>86.895600000000002</v>
      </c>
      <c r="C19" s="67">
        <f t="shared" ref="C19:E19" si="0">SUM(C17:C18)</f>
        <v>86.895600000000002</v>
      </c>
      <c r="D19" s="67">
        <f t="shared" si="0"/>
        <v>78.255030000000005</v>
      </c>
      <c r="E19" s="67">
        <f t="shared" si="0"/>
        <v>32.531199999999998</v>
      </c>
      <c r="I19" s="67">
        <f>SUM(I17:I18)</f>
        <v>86.895600000000002</v>
      </c>
      <c r="J19" s="67">
        <f t="shared" ref="J19:M19" si="1">SUM(J17:J18)</f>
        <v>86.895600000000002</v>
      </c>
      <c r="K19" s="67">
        <f t="shared" si="1"/>
        <v>58.727760000000004</v>
      </c>
      <c r="L19" s="67">
        <f t="shared" si="1"/>
        <v>78.255030000000005</v>
      </c>
      <c r="M19" s="67">
        <f t="shared" si="1"/>
        <v>32.531199999999998</v>
      </c>
    </row>
    <row r="20" spans="1:20" x14ac:dyDescent="0.25">
      <c r="A20" s="125"/>
    </row>
    <row r="23" spans="1:20" x14ac:dyDescent="0.25">
      <c r="A23" s="67" t="s">
        <v>310</v>
      </c>
    </row>
    <row r="24" spans="1:20" x14ac:dyDescent="0.25">
      <c r="B24" s="33" t="str">
        <f>B7</f>
        <v>Maize</v>
      </c>
      <c r="C24" s="33" t="str">
        <f t="shared" ref="C24:E24" si="2">C7</f>
        <v>Maize</v>
      </c>
      <c r="D24" s="33" t="str">
        <f t="shared" si="2"/>
        <v>Winter wheat</v>
      </c>
      <c r="E24" s="33" t="str">
        <f t="shared" si="2"/>
        <v>Winter rape</v>
      </c>
      <c r="F24" s="33"/>
      <c r="G24" s="33"/>
      <c r="I24" s="33" t="str">
        <f>I7</f>
        <v>Maize</v>
      </c>
      <c r="J24" s="33" t="str">
        <f t="shared" ref="J24:M24" si="3">J7</f>
        <v>Maize</v>
      </c>
      <c r="K24" s="33" t="str">
        <f t="shared" si="3"/>
        <v>Soybean</v>
      </c>
      <c r="L24" s="33" t="str">
        <f t="shared" si="3"/>
        <v>Winter wheat</v>
      </c>
      <c r="M24" s="33" t="str">
        <f t="shared" si="3"/>
        <v>Winter rape</v>
      </c>
      <c r="N24" s="33"/>
      <c r="P24" s="33"/>
      <c r="Q24" s="33"/>
      <c r="R24" s="33"/>
      <c r="S24" s="33"/>
      <c r="T24" s="33"/>
    </row>
    <row r="25" spans="1:20" x14ac:dyDescent="0.25">
      <c r="A25" s="125" t="s">
        <v>311</v>
      </c>
      <c r="B25" s="67">
        <f>IF('N fertilizer'!B10 &lt;&gt;'N2O default values'!$I$35, 'N fertilizer'!B13*'N2O default values'!$E$2, 'N fertilizer'!B13* 'N2O default values'!$E$3)+IF('N fertilizer'!B15 &lt;&gt;'N2O default values'!$I$35, 'N fertilizer'!B18*'N2O default values'!$E$2, 'N fertilizer'!B18* 'N2O default values'!$E$3)+IF('N fertilizer'!B20 &lt;&gt;'N2O default values'!$I$35, 'N fertilizer'!B23*'N2O default values'!$E$2, 'N fertilizer'!B23* 'N2O default values'!$E$3)</f>
        <v>2.1579999999999999</v>
      </c>
      <c r="C25" s="67">
        <f>IF('N fertilizer'!C10 &lt;&gt;'N2O default values'!$I$35, 'N fertilizer'!C13*'N2O default values'!$E$2, 'N fertilizer'!C13* 'N2O default values'!$E$3)+IF('N fertilizer'!C15 &lt;&gt;'N2O default values'!$I$35, 'N fertilizer'!C18*'N2O default values'!$E$2, 'N fertilizer'!C18* 'N2O default values'!$E$3)+IF('N fertilizer'!C20 &lt;&gt;'N2O default values'!$I$35, 'N fertilizer'!C23*'N2O default values'!$E$2, 'N fertilizer'!C23* 'N2O default values'!$E$3)</f>
        <v>2.6896000000000004</v>
      </c>
      <c r="D25" s="67">
        <f>IF('N fertilizer'!D10 &lt;&gt;'N2O default values'!$I$35, 'N fertilizer'!D13*'N2O default values'!$E$2, 'N fertilizer'!D13* 'N2O default values'!$E$3)+IF('N fertilizer'!D15 &lt;&gt;'N2O default values'!$I$35, 'N fertilizer'!D18*'N2O default values'!$E$2, 'N fertilizer'!D18* 'N2O default values'!$E$3)+IF('N fertilizer'!D20 &lt;&gt;'N2O default values'!$I$35, 'N fertilizer'!D23*'N2O default values'!$E$2, 'N fertilizer'!D23* 'N2O default values'!$E$3)</f>
        <v>2.0928</v>
      </c>
      <c r="E25" s="67">
        <f>IF('N fertilizer'!E10 &lt;&gt;'N2O default values'!$I$35, 'N fertilizer'!E13*'N2O default values'!$E$2, 'N fertilizer'!E13* 'N2O default values'!$E$3)+IF('N fertilizer'!E15 &lt;&gt;'N2O default values'!$I$35, 'N fertilizer'!E18*'N2O default values'!$E$2, 'N fertilizer'!E18* 'N2O default values'!$E$3)+IF('N fertilizer'!E20 &lt;&gt;'N2O default values'!$I$35, 'N fertilizer'!E23*'N2O default values'!$E$2, 'N fertilizer'!E23* 'N2O default values'!$E$3)</f>
        <v>2.9580000000000002</v>
      </c>
      <c r="I25" s="67">
        <f>IF('N fertilizer'!I10 &lt;&gt;'N2O default values'!$I$35, 'N fertilizer'!I13*'N2O default values'!$E$2, 'N fertilizer'!I13* 'N2O default values'!$E$3)+IF('N fertilizer'!I15 &lt;&gt;'N2O default values'!$I$35, 'N fertilizer'!I18*'N2O default values'!$E$2, 'N fertilizer'!I18* 'N2O default values'!$E$3)+IF('N fertilizer'!I20 &lt;&gt;'N2O default values'!$I$35, 'N fertilizer'!I23*'N2O default values'!$E$2, 'N fertilizer'!I23* 'N2O default values'!$E$3)</f>
        <v>2.1579999999999999</v>
      </c>
      <c r="J25" s="67">
        <f>IF('N fertilizer'!J10 &lt;&gt;'N2O default values'!$I$35, 'N fertilizer'!J13*'N2O default values'!$E$2, 'N fertilizer'!J13* 'N2O default values'!$E$3)+IF('N fertilizer'!J15 &lt;&gt;'N2O default values'!$I$35, 'N fertilizer'!J18*'N2O default values'!$E$2, 'N fertilizer'!J18* 'N2O default values'!$E$3)+IF('N fertilizer'!J20 &lt;&gt;'N2O default values'!$I$35, 'N fertilizer'!J23*'N2O default values'!$E$2, 'N fertilizer'!J23* 'N2O default values'!$E$3)</f>
        <v>2.6896000000000004</v>
      </c>
      <c r="K25" s="67">
        <f>IF('N fertilizer'!K10 &lt;&gt;'N2O default values'!$I$35, 'N fertilizer'!K13*'N2O default values'!$E$2, 'N fertilizer'!K13* 'N2O default values'!$E$3)+IF('N fertilizer'!K15 &lt;&gt;'N2O default values'!$I$35, 'N fertilizer'!K18*'N2O default values'!$E$2, 'N fertilizer'!K18* 'N2O default values'!$E$3)+IF('N fertilizer'!K20 &lt;&gt;'N2O default values'!$I$35, 'N fertilizer'!K23*'N2O default values'!$E$2, 'N fertilizer'!K23* 'N2O default values'!$E$3)</f>
        <v>0</v>
      </c>
      <c r="L25" s="67">
        <f>IF('N fertilizer'!L10 &lt;&gt;'N2O default values'!$I$35, 'N fertilizer'!L13*'N2O default values'!$E$2, 'N fertilizer'!L13* 'N2O default values'!$E$3)+IF('N fertilizer'!L15 &lt;&gt;'N2O default values'!$I$35, 'N fertilizer'!L18*'N2O default values'!$E$2, 'N fertilizer'!L18* 'N2O default values'!$E$3)+IF('N fertilizer'!L20 &lt;&gt;'N2O default values'!$I$35, 'N fertilizer'!L23*'N2O default values'!$E$2, 'N fertilizer'!L23* 'N2O default values'!$E$3)</f>
        <v>1.7740800000000001</v>
      </c>
      <c r="M25" s="67">
        <f>IF('N fertilizer'!M10 &lt;&gt;'N2O default values'!$I$35, 'N fertilizer'!M13*'N2O default values'!$E$2, 'N fertilizer'!M13* 'N2O default values'!$E$3)+IF('N fertilizer'!M15 &lt;&gt;'N2O default values'!$I$35, 'N fertilizer'!M18*'N2O default values'!$E$2, 'N fertilizer'!M18* 'N2O default values'!$E$3)+IF('N fertilizer'!M20 &lt;&gt;'N2O default values'!$I$35, 'N fertilizer'!M23*'N2O default values'!$E$2, 'N fertilizer'!M23* 'N2O default values'!$E$3)</f>
        <v>2.9580000000000002</v>
      </c>
    </row>
    <row r="26" spans="1:20" x14ac:dyDescent="0.25">
      <c r="A26" s="67" t="s">
        <v>312</v>
      </c>
      <c r="B26" s="67">
        <f>(SUM(B9:B11)*'N2O default values'!$E$4)</f>
        <v>0.39732000000000001</v>
      </c>
      <c r="C26" s="67">
        <f>(SUM(C9:C11)*'N2O default values'!$E$4)</f>
        <v>0.22071000000000002</v>
      </c>
      <c r="D26" s="67">
        <f>(SUM(D9:D11)*'N2O default values'!$E$4)</f>
        <v>0.179256</v>
      </c>
      <c r="E26" s="67">
        <f>(SUM(E9:E11)*'N2O default values'!$E$4)</f>
        <v>0.33557999999999999</v>
      </c>
      <c r="I26" s="67">
        <f>(SUM(I9:I11)*'N2O default values'!$E$4)</f>
        <v>0.39732000000000001</v>
      </c>
      <c r="J26" s="67">
        <f>(SUM(J9:J11)*'N2O default values'!$E$4)</f>
        <v>0.22071000000000002</v>
      </c>
      <c r="K26" s="67">
        <f>(SUM(K9:K11)*'N2O default values'!$E$4)</f>
        <v>0</v>
      </c>
      <c r="L26" s="67">
        <f>(SUM(L9:L11)*'N2O default values'!$E$4)</f>
        <v>0.15694559999999999</v>
      </c>
      <c r="M26" s="67">
        <f>(SUM(M9:M11)*'N2O default values'!$E$4)</f>
        <v>0.33557999999999999</v>
      </c>
    </row>
    <row r="27" spans="1:20" x14ac:dyDescent="0.25">
      <c r="A27" s="67" t="s">
        <v>303</v>
      </c>
      <c r="B27" s="67">
        <f>B12*'N2O default values'!$E$5</f>
        <v>0</v>
      </c>
      <c r="C27" s="67">
        <f>C12*'N2O default values'!$E$5</f>
        <v>0</v>
      </c>
      <c r="D27" s="67">
        <f>D12*'N2O default values'!$E$5</f>
        <v>0.114499</v>
      </c>
      <c r="E27" s="67">
        <f>E12*'N2O default values'!$E$5</f>
        <v>0.50151296799999989</v>
      </c>
      <c r="I27" s="67">
        <f>I12*'N2O default values'!$E$5</f>
        <v>0</v>
      </c>
      <c r="J27" s="67">
        <f>J12*'N2O default values'!$E$5</f>
        <v>0</v>
      </c>
      <c r="K27" s="67">
        <f>K12*'N2O default values'!$E$5</f>
        <v>0.1897595498278612</v>
      </c>
      <c r="L27" s="67">
        <f>L12*'N2O default values'!$E$5</f>
        <v>7.132400000000011E-2</v>
      </c>
      <c r="M27" s="67">
        <f>M12*'N2O default values'!$E$5</f>
        <v>0.50151296799999989</v>
      </c>
    </row>
    <row r="28" spans="1:20" x14ac:dyDescent="0.25">
      <c r="A28" s="67" t="s">
        <v>313</v>
      </c>
      <c r="B28" s="67">
        <f>B19*'N2O default values'!$E$3</f>
        <v>0.52137359999999999</v>
      </c>
      <c r="C28" s="67">
        <f>C19*'N2O default values'!$E$3</f>
        <v>0.52137359999999999</v>
      </c>
      <c r="D28" s="67">
        <f>D19*'N2O default values'!$E$3</f>
        <v>0.46953018000000002</v>
      </c>
      <c r="E28" s="67">
        <f>E19*'N2O default values'!$E$3</f>
        <v>0.19518720000000001</v>
      </c>
      <c r="I28" s="67">
        <f>I19*'N2O default values'!$E$3</f>
        <v>0.52137359999999999</v>
      </c>
      <c r="J28" s="67">
        <f>J19*'N2O default values'!$E$3</f>
        <v>0.52137359999999999</v>
      </c>
      <c r="K28" s="67">
        <f>K19*'N2O default values'!$E$3</f>
        <v>0.35236656000000005</v>
      </c>
      <c r="L28" s="67">
        <f>L19*'N2O default values'!$E$3</f>
        <v>0.46953018000000002</v>
      </c>
      <c r="M28" s="67">
        <f>M19*'N2O default values'!$E$3</f>
        <v>0.19518720000000001</v>
      </c>
    </row>
    <row r="30" spans="1:20" x14ac:dyDescent="0.25">
      <c r="A30" s="67" t="s">
        <v>314</v>
      </c>
    </row>
    <row r="31" spans="1:20" x14ac:dyDescent="0.25">
      <c r="A31" s="67">
        <f>SUM(B31:F31)</f>
        <v>20.986024004000001</v>
      </c>
      <c r="B31" s="67">
        <f>SUM(B25:B28)*'N2O default values'!$G$2</f>
        <v>4.8348042285714286</v>
      </c>
      <c r="C31" s="67">
        <f>SUM(C25:C28)*'N2O default values'!$G$2</f>
        <v>5.3926456571428574</v>
      </c>
      <c r="D31" s="67">
        <f>SUM(D25:D28)*'N2O default values'!$G$2</f>
        <v>4.4881338542857145</v>
      </c>
      <c r="E31" s="67">
        <f>SUM(E25:E28)*'N2O default values'!$G$2</f>
        <v>6.2704402640000003</v>
      </c>
      <c r="H31" s="67">
        <f>SUM(I31:M31)</f>
        <v>21.234185119443783</v>
      </c>
      <c r="I31" s="67">
        <f>SUM(I25:I28)*'N2O default values'!$G$2</f>
        <v>4.8348042285714286</v>
      </c>
      <c r="J31" s="67">
        <f>SUM(J25:J28)*'N2O default values'!$G$2</f>
        <v>5.3926456571428574</v>
      </c>
      <c r="K31" s="67">
        <f>SUM(K25:K28)*'N2O default values'!$G$2</f>
        <v>0.85191245830092477</v>
      </c>
      <c r="L31" s="67">
        <f>SUM(L25:L28)*'N2O default values'!$G$2</f>
        <v>3.8843825114285715</v>
      </c>
      <c r="M31" s="67">
        <f>SUM(M25:M28)*'N2O default values'!$G$2</f>
        <v>6.2704402640000003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'N2O default values'!$C$1:$D$1</xm:f>
          </x14:formula1>
          <xm:sqref>B6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opLeftCell="A16" workbookViewId="0">
      <selection activeCell="K35" sqref="K35"/>
    </sheetView>
  </sheetViews>
  <sheetFormatPr baseColWidth="10" defaultColWidth="9.140625" defaultRowHeight="15" x14ac:dyDescent="0.25"/>
  <cols>
    <col min="1" max="1" width="9.140625" style="67"/>
    <col min="2" max="2" width="17.7109375" style="67" bestFit="1" customWidth="1"/>
    <col min="3" max="10" width="9.140625" style="67"/>
    <col min="11" max="11" width="41.7109375" style="67" customWidth="1"/>
    <col min="12" max="12" width="7" style="67" customWidth="1"/>
    <col min="13" max="13" width="14.140625" style="67" bestFit="1" customWidth="1"/>
    <col min="14" max="14" width="41.85546875" style="67" customWidth="1"/>
    <col min="15" max="19" width="30.7109375" style="67" customWidth="1"/>
    <col min="20" max="16384" width="9.140625" style="67"/>
  </cols>
  <sheetData>
    <row r="1" spans="1:21" ht="45" x14ac:dyDescent="0.25">
      <c r="A1" s="67">
        <v>1</v>
      </c>
      <c r="C1" s="67" t="s">
        <v>301</v>
      </c>
      <c r="D1" s="67" t="s">
        <v>315</v>
      </c>
      <c r="G1" s="67" t="s">
        <v>316</v>
      </c>
      <c r="I1" s="67" t="s">
        <v>317</v>
      </c>
      <c r="K1" s="68"/>
      <c r="M1" s="67" t="s">
        <v>318</v>
      </c>
      <c r="N1" s="67" t="s">
        <v>278</v>
      </c>
      <c r="O1" s="37" t="s">
        <v>319</v>
      </c>
      <c r="P1" s="37" t="s">
        <v>320</v>
      </c>
      <c r="Q1" s="37" t="s">
        <v>321</v>
      </c>
      <c r="R1" s="37" t="s">
        <v>322</v>
      </c>
      <c r="S1" s="37" t="s">
        <v>279</v>
      </c>
      <c r="T1" s="37" t="s">
        <v>323</v>
      </c>
      <c r="U1" s="37" t="s">
        <v>324</v>
      </c>
    </row>
    <row r="2" spans="1:21" x14ac:dyDescent="0.25">
      <c r="A2" s="67">
        <v>2</v>
      </c>
      <c r="B2" s="67" t="s">
        <v>325</v>
      </c>
      <c r="C2" s="67">
        <v>1.6E-2</v>
      </c>
      <c r="D2" s="67">
        <v>5.0000000000000001E-3</v>
      </c>
      <c r="E2" s="67">
        <f>HLOOKUP('N2O calculations'!$B$6,$B$1:$D$10,A2)</f>
        <v>1.6E-2</v>
      </c>
      <c r="G2" s="67">
        <f>44/28</f>
        <v>1.5714285714285714</v>
      </c>
      <c r="I2" s="67" t="s">
        <v>326</v>
      </c>
      <c r="J2" s="67">
        <v>0.15</v>
      </c>
      <c r="K2" s="126" t="s">
        <v>327</v>
      </c>
      <c r="L2" s="127">
        <v>0.15</v>
      </c>
      <c r="M2" s="67">
        <v>1</v>
      </c>
      <c r="N2" s="37" t="s">
        <v>280</v>
      </c>
      <c r="O2" s="37">
        <v>8.0000000000000002E-3</v>
      </c>
      <c r="P2" s="37">
        <v>8.9999999999999993E-3</v>
      </c>
      <c r="Q2" s="37">
        <v>1</v>
      </c>
      <c r="R2" s="37">
        <v>0.22</v>
      </c>
      <c r="S2" s="37">
        <v>0.85</v>
      </c>
      <c r="T2" s="37">
        <v>1</v>
      </c>
      <c r="U2" s="67">
        <f>S2</f>
        <v>0.85</v>
      </c>
    </row>
    <row r="3" spans="1:21" x14ac:dyDescent="0.25">
      <c r="A3" s="67">
        <v>3</v>
      </c>
      <c r="B3" s="67" t="s">
        <v>328</v>
      </c>
      <c r="C3" s="67">
        <v>6.0000000000000001E-3</v>
      </c>
      <c r="D3" s="67">
        <v>5.0000000000000001E-3</v>
      </c>
      <c r="E3" s="67">
        <f>HLOOKUP('N2O calculations'!$B$6,$B$1:$D$10,A3)</f>
        <v>6.0000000000000001E-3</v>
      </c>
      <c r="I3" s="67" t="s">
        <v>329</v>
      </c>
      <c r="J3" s="67">
        <v>0.08</v>
      </c>
      <c r="K3" s="128" t="s">
        <v>330</v>
      </c>
      <c r="L3" s="127">
        <v>0.08</v>
      </c>
      <c r="M3" s="67">
        <v>2</v>
      </c>
      <c r="N3" s="67" t="s">
        <v>281</v>
      </c>
      <c r="O3" s="67">
        <v>6.0000000000000001E-3</v>
      </c>
      <c r="P3" s="67">
        <v>8.9999999999999993E-3</v>
      </c>
      <c r="Q3" s="67">
        <v>1.3</v>
      </c>
      <c r="R3" s="67">
        <v>0.22</v>
      </c>
      <c r="S3" s="67">
        <v>0.88</v>
      </c>
      <c r="T3" s="37">
        <v>1</v>
      </c>
      <c r="U3" s="67">
        <f t="shared" ref="U3:U22" si="0">S3</f>
        <v>0.88</v>
      </c>
    </row>
    <row r="4" spans="1:21" x14ac:dyDescent="0.25">
      <c r="A4" s="67">
        <v>4</v>
      </c>
      <c r="B4" s="67" t="s">
        <v>331</v>
      </c>
      <c r="C4" s="67">
        <v>1.4E-2</v>
      </c>
      <c r="D4" s="67">
        <v>5.0000000000000001E-3</v>
      </c>
      <c r="E4" s="67">
        <f>HLOOKUP('N2O calculations'!$B$6,$B$1:$D$10,A4)</f>
        <v>1.4E-2</v>
      </c>
      <c r="I4" s="67" t="s">
        <v>332</v>
      </c>
      <c r="J4" s="67">
        <v>0.01</v>
      </c>
      <c r="K4" s="128" t="s">
        <v>333</v>
      </c>
      <c r="L4" s="127">
        <v>0.01</v>
      </c>
      <c r="M4" s="67">
        <v>3</v>
      </c>
      <c r="N4" s="67" t="s">
        <v>282</v>
      </c>
      <c r="O4" s="67">
        <v>6.0000000000000001E-3</v>
      </c>
      <c r="P4" s="67">
        <v>8.9999999999999993E-3</v>
      </c>
      <c r="Q4" s="67">
        <v>1.3</v>
      </c>
      <c r="R4" s="67">
        <v>0.23</v>
      </c>
      <c r="S4" s="67">
        <v>0.89</v>
      </c>
      <c r="T4" s="37">
        <v>1</v>
      </c>
      <c r="U4" s="67">
        <f t="shared" si="0"/>
        <v>0.89</v>
      </c>
    </row>
    <row r="5" spans="1:21" x14ac:dyDescent="0.25">
      <c r="A5" s="67">
        <v>5</v>
      </c>
      <c r="B5" s="67" t="s">
        <v>303</v>
      </c>
      <c r="E5" s="67">
        <v>1.0999999999999999E-2</v>
      </c>
      <c r="I5" s="67" t="s">
        <v>334</v>
      </c>
      <c r="J5" s="67">
        <v>0.05</v>
      </c>
      <c r="K5" s="129" t="s">
        <v>335</v>
      </c>
      <c r="L5" s="129">
        <v>0.05</v>
      </c>
      <c r="M5" s="67">
        <v>4</v>
      </c>
      <c r="N5" s="67" t="s">
        <v>283</v>
      </c>
      <c r="O5" s="67">
        <v>6.0000000000000001E-3</v>
      </c>
      <c r="P5" s="67">
        <v>8.9999999999999993E-3</v>
      </c>
      <c r="Q5" s="67">
        <v>1.3</v>
      </c>
      <c r="R5" s="67">
        <v>0.28000000000000003</v>
      </c>
      <c r="S5" s="67">
        <v>0.89</v>
      </c>
      <c r="T5" s="37">
        <v>1</v>
      </c>
      <c r="U5" s="67">
        <f t="shared" si="0"/>
        <v>0.89</v>
      </c>
    </row>
    <row r="6" spans="1:21" x14ac:dyDescent="0.25">
      <c r="A6" s="67">
        <v>6</v>
      </c>
      <c r="I6" s="67" t="s">
        <v>336</v>
      </c>
      <c r="J6" s="67">
        <v>0.05</v>
      </c>
      <c r="K6" s="129" t="s">
        <v>337</v>
      </c>
      <c r="L6" s="129">
        <v>0.11</v>
      </c>
      <c r="M6" s="67">
        <v>5</v>
      </c>
      <c r="N6" s="67" t="s">
        <v>284</v>
      </c>
      <c r="O6" s="67">
        <v>7.0000000000000001E-3</v>
      </c>
      <c r="P6" s="67">
        <v>1.4E-2</v>
      </c>
      <c r="Q6" s="67">
        <v>1.2</v>
      </c>
      <c r="R6" s="67">
        <v>0.22</v>
      </c>
      <c r="S6" s="67">
        <v>0.89</v>
      </c>
      <c r="T6" s="37">
        <v>1</v>
      </c>
      <c r="U6" s="67">
        <f t="shared" si="0"/>
        <v>0.89</v>
      </c>
    </row>
    <row r="7" spans="1:21" x14ac:dyDescent="0.25">
      <c r="A7" s="67">
        <v>7</v>
      </c>
      <c r="I7" s="67" t="s">
        <v>338</v>
      </c>
      <c r="J7" s="67">
        <v>0.21</v>
      </c>
      <c r="M7" s="67">
        <v>6</v>
      </c>
      <c r="N7" s="67" t="s">
        <v>285</v>
      </c>
      <c r="O7" s="67">
        <v>7.0000000000000001E-3</v>
      </c>
      <c r="P7" s="67">
        <v>8.0000000000000002E-3</v>
      </c>
      <c r="Q7" s="67">
        <v>1.3</v>
      </c>
      <c r="R7" s="67">
        <v>0.25</v>
      </c>
      <c r="S7" s="67">
        <v>0.89</v>
      </c>
      <c r="T7" s="37">
        <v>1</v>
      </c>
      <c r="U7" s="67">
        <f t="shared" si="0"/>
        <v>0.89</v>
      </c>
    </row>
    <row r="8" spans="1:21" x14ac:dyDescent="0.25">
      <c r="A8" s="67">
        <v>8</v>
      </c>
      <c r="I8" s="67" t="s">
        <v>339</v>
      </c>
      <c r="J8" s="67">
        <v>0.05</v>
      </c>
      <c r="M8" s="67">
        <v>7</v>
      </c>
      <c r="N8" s="67" t="s">
        <v>238</v>
      </c>
      <c r="O8" s="67">
        <v>6.0000000000000001E-3</v>
      </c>
      <c r="P8" s="67">
        <v>7.0000000000000001E-3</v>
      </c>
      <c r="Q8" s="67">
        <v>1</v>
      </c>
      <c r="R8" s="67">
        <v>0.22</v>
      </c>
      <c r="S8" s="67">
        <v>0.87</v>
      </c>
      <c r="T8" s="37">
        <v>1</v>
      </c>
      <c r="U8" s="67">
        <f t="shared" si="0"/>
        <v>0.87</v>
      </c>
    </row>
    <row r="9" spans="1:21" x14ac:dyDescent="0.25">
      <c r="A9" s="67">
        <v>9</v>
      </c>
      <c r="I9" s="67" t="s">
        <v>340</v>
      </c>
      <c r="J9" s="67">
        <v>0.05</v>
      </c>
      <c r="M9" s="67">
        <v>8</v>
      </c>
      <c r="N9" s="67" t="s">
        <v>286</v>
      </c>
      <c r="O9" s="67">
        <v>5.0000000000000001E-3</v>
      </c>
      <c r="P9" s="67">
        <v>1.0999999999999999E-2</v>
      </c>
      <c r="Q9" s="67">
        <v>1.6</v>
      </c>
      <c r="R9" s="130">
        <f>R2</f>
        <v>0.22</v>
      </c>
      <c r="S9" s="67">
        <v>0.88</v>
      </c>
      <c r="T9" s="37">
        <v>1</v>
      </c>
      <c r="U9" s="67">
        <f t="shared" si="0"/>
        <v>0.88</v>
      </c>
    </row>
    <row r="10" spans="1:21" x14ac:dyDescent="0.25">
      <c r="A10" s="67">
        <v>10</v>
      </c>
      <c r="I10" s="67" t="s">
        <v>341</v>
      </c>
      <c r="J10" s="67">
        <v>0.05</v>
      </c>
      <c r="M10" s="67">
        <v>9</v>
      </c>
      <c r="N10" s="67" t="s">
        <v>287</v>
      </c>
      <c r="O10" s="67">
        <v>7.0000000000000001E-3</v>
      </c>
      <c r="P10" s="130">
        <f>P2</f>
        <v>8.9999999999999993E-3</v>
      </c>
      <c r="Q10" s="67">
        <v>1.4</v>
      </c>
      <c r="R10" s="67">
        <v>0.16</v>
      </c>
      <c r="S10" s="67">
        <v>0.89</v>
      </c>
      <c r="T10" s="37">
        <v>1</v>
      </c>
      <c r="U10" s="67">
        <f t="shared" si="0"/>
        <v>0.89</v>
      </c>
    </row>
    <row r="11" spans="1:21" x14ac:dyDescent="0.25">
      <c r="I11" s="67" t="s">
        <v>342</v>
      </c>
      <c r="J11" s="125">
        <v>0.11</v>
      </c>
      <c r="M11" s="67">
        <v>10</v>
      </c>
      <c r="N11" s="67" t="s">
        <v>288</v>
      </c>
      <c r="O11" s="67">
        <v>7.0000000000000001E-3</v>
      </c>
      <c r="P11" s="130">
        <f>P2</f>
        <v>8.9999999999999993E-3</v>
      </c>
      <c r="Q11" s="67">
        <v>1.4</v>
      </c>
      <c r="R11" s="130">
        <f>R2</f>
        <v>0.22</v>
      </c>
      <c r="S11" s="113">
        <v>0.9</v>
      </c>
      <c r="T11" s="37">
        <v>1</v>
      </c>
      <c r="U11" s="67">
        <f t="shared" si="0"/>
        <v>0.9</v>
      </c>
    </row>
    <row r="12" spans="1:21" x14ac:dyDescent="0.25">
      <c r="I12" s="67" t="s">
        <v>343</v>
      </c>
      <c r="J12" s="125">
        <v>0.08</v>
      </c>
      <c r="M12" s="67">
        <v>11</v>
      </c>
      <c r="N12" s="67" t="s">
        <v>289</v>
      </c>
      <c r="O12" s="67">
        <v>7.0000000000000001E-3</v>
      </c>
      <c r="P12" s="67">
        <v>6.0000000000000001E-3</v>
      </c>
      <c r="Q12" s="67">
        <v>1.4</v>
      </c>
      <c r="R12" s="130">
        <f>R2</f>
        <v>0.22</v>
      </c>
      <c r="S12" s="67">
        <v>0.89</v>
      </c>
      <c r="T12" s="37">
        <v>1</v>
      </c>
      <c r="U12" s="67">
        <f t="shared" si="0"/>
        <v>0.89</v>
      </c>
    </row>
    <row r="13" spans="1:21" x14ac:dyDescent="0.25">
      <c r="I13" s="67" t="s">
        <v>344</v>
      </c>
      <c r="J13" s="67">
        <v>0.11</v>
      </c>
      <c r="M13" s="67">
        <v>12</v>
      </c>
      <c r="N13" s="67" t="s">
        <v>290</v>
      </c>
      <c r="O13" s="67">
        <v>8.0000000000000002E-3</v>
      </c>
      <c r="P13" s="67">
        <v>8.0000000000000002E-3</v>
      </c>
      <c r="Q13" s="67">
        <v>2.1</v>
      </c>
      <c r="R13" s="67">
        <v>0.19</v>
      </c>
      <c r="S13" s="67">
        <v>0.91</v>
      </c>
      <c r="T13" s="37">
        <v>1</v>
      </c>
      <c r="U13" s="67">
        <f t="shared" si="0"/>
        <v>0.91</v>
      </c>
    </row>
    <row r="14" spans="1:21" x14ac:dyDescent="0.25">
      <c r="I14" s="67" t="s">
        <v>345</v>
      </c>
      <c r="J14" s="67">
        <v>0.05</v>
      </c>
      <c r="M14" s="67">
        <v>13</v>
      </c>
      <c r="N14" s="67" t="s">
        <v>291</v>
      </c>
      <c r="O14" s="67">
        <v>8.0000000000000002E-3</v>
      </c>
      <c r="P14" s="67">
        <v>8.0000000000000002E-3</v>
      </c>
      <c r="Q14" s="67">
        <v>2.1</v>
      </c>
      <c r="R14" s="67">
        <v>0.19</v>
      </c>
      <c r="S14" s="67">
        <v>0.91</v>
      </c>
      <c r="T14" s="37">
        <v>1</v>
      </c>
      <c r="U14" s="67">
        <f t="shared" si="0"/>
        <v>0.91</v>
      </c>
    </row>
    <row r="15" spans="1:21" x14ac:dyDescent="0.25">
      <c r="I15" s="67" t="s">
        <v>346</v>
      </c>
      <c r="J15" s="67">
        <v>0.15</v>
      </c>
      <c r="M15" s="67">
        <v>14</v>
      </c>
      <c r="N15" s="67" t="s">
        <v>292</v>
      </c>
      <c r="O15" s="67">
        <v>1.9E-2</v>
      </c>
      <c r="P15" s="67">
        <v>1.4E-2</v>
      </c>
      <c r="Q15" s="67">
        <v>0.4</v>
      </c>
      <c r="R15" s="67">
        <v>0.2</v>
      </c>
      <c r="S15" s="67">
        <v>0.22</v>
      </c>
      <c r="T15" s="37">
        <v>1</v>
      </c>
      <c r="U15" s="67">
        <f t="shared" si="0"/>
        <v>0.22</v>
      </c>
    </row>
    <row r="16" spans="1:21" x14ac:dyDescent="0.25">
      <c r="I16" s="67" t="s">
        <v>347</v>
      </c>
      <c r="J16" s="67">
        <v>0.11</v>
      </c>
      <c r="M16" s="67">
        <v>15</v>
      </c>
      <c r="N16" s="67" t="s">
        <v>293</v>
      </c>
      <c r="O16" s="67">
        <v>1.6E-2</v>
      </c>
      <c r="P16" s="130">
        <f>P2</f>
        <v>8.9999999999999993E-3</v>
      </c>
      <c r="Q16" s="67">
        <v>1</v>
      </c>
      <c r="R16" s="130">
        <f>R2</f>
        <v>0.22</v>
      </c>
      <c r="S16" s="67">
        <v>0.94</v>
      </c>
      <c r="T16" s="37">
        <v>1</v>
      </c>
      <c r="U16" s="67">
        <f t="shared" si="0"/>
        <v>0.94</v>
      </c>
    </row>
    <row r="17" spans="9:21" x14ac:dyDescent="0.25">
      <c r="I17" s="67" t="s">
        <v>348</v>
      </c>
      <c r="J17" s="67">
        <v>0.08</v>
      </c>
      <c r="M17" s="67">
        <v>16</v>
      </c>
      <c r="N17" s="67" t="s">
        <v>294</v>
      </c>
      <c r="O17" s="67">
        <v>2.7E-2</v>
      </c>
      <c r="P17" s="67">
        <v>1.9E-2</v>
      </c>
      <c r="Q17" s="130">
        <f>Q$2</f>
        <v>1</v>
      </c>
      <c r="R17" s="67">
        <v>0.4</v>
      </c>
      <c r="S17" s="67">
        <v>0.9</v>
      </c>
      <c r="T17" s="37">
        <v>1</v>
      </c>
      <c r="U17" s="67">
        <f t="shared" si="0"/>
        <v>0.9</v>
      </c>
    </row>
    <row r="18" spans="9:21" x14ac:dyDescent="0.25">
      <c r="I18" s="67" t="s">
        <v>349</v>
      </c>
      <c r="J18" s="67">
        <v>0.11</v>
      </c>
      <c r="M18" s="67">
        <v>17</v>
      </c>
      <c r="N18" s="67" t="s">
        <v>295</v>
      </c>
      <c r="O18" s="67">
        <v>1.4999999999999999E-2</v>
      </c>
      <c r="P18" s="67">
        <v>1.2E-2</v>
      </c>
      <c r="Q18" s="130">
        <f>Q$2</f>
        <v>1</v>
      </c>
      <c r="R18" s="67">
        <v>0.54</v>
      </c>
      <c r="S18" s="67">
        <v>0.9</v>
      </c>
      <c r="T18" s="37"/>
      <c r="U18" s="67">
        <f t="shared" si="0"/>
        <v>0.9</v>
      </c>
    </row>
    <row r="19" spans="9:21" x14ac:dyDescent="0.25">
      <c r="I19" s="67" t="s">
        <v>350</v>
      </c>
      <c r="J19" s="67">
        <v>0.05</v>
      </c>
      <c r="M19" s="67">
        <v>18</v>
      </c>
      <c r="N19" s="67" t="s">
        <v>296</v>
      </c>
      <c r="O19" s="67">
        <v>2.7E-2</v>
      </c>
      <c r="P19" s="67">
        <v>2.1999999999999999E-2</v>
      </c>
      <c r="Q19" s="67">
        <v>0.3</v>
      </c>
      <c r="R19" s="67">
        <v>0.4</v>
      </c>
      <c r="S19" s="67">
        <v>0.9</v>
      </c>
      <c r="T19" s="37"/>
      <c r="U19" s="67">
        <f t="shared" si="0"/>
        <v>0.9</v>
      </c>
    </row>
    <row r="20" spans="9:21" x14ac:dyDescent="0.25">
      <c r="I20" s="67" t="s">
        <v>351</v>
      </c>
      <c r="J20" s="67">
        <v>0.08</v>
      </c>
      <c r="M20" s="67">
        <v>19</v>
      </c>
      <c r="N20" s="67" t="s">
        <v>297</v>
      </c>
      <c r="O20" s="67">
        <v>1.4999999999999999E-2</v>
      </c>
      <c r="P20" s="67">
        <v>1.2E-2</v>
      </c>
      <c r="Q20" s="67">
        <v>0.3</v>
      </c>
      <c r="R20" s="67">
        <v>0.54</v>
      </c>
      <c r="S20" s="67">
        <v>0.9</v>
      </c>
      <c r="T20" s="37"/>
      <c r="U20" s="67">
        <f t="shared" si="0"/>
        <v>0.9</v>
      </c>
    </row>
    <row r="21" spans="9:21" x14ac:dyDescent="0.25">
      <c r="I21" s="67" t="s">
        <v>352</v>
      </c>
      <c r="J21" s="67">
        <v>0.05</v>
      </c>
      <c r="M21" s="67">
        <v>20</v>
      </c>
      <c r="N21" s="67" t="s">
        <v>298</v>
      </c>
      <c r="O21" s="67">
        <v>1.4999999999999999E-2</v>
      </c>
      <c r="P21" s="67">
        <v>1.2E-2</v>
      </c>
      <c r="Q21" s="67">
        <v>0.3</v>
      </c>
      <c r="R21" s="67">
        <v>0.8</v>
      </c>
      <c r="S21" s="67">
        <v>0.9</v>
      </c>
      <c r="T21" s="37"/>
      <c r="U21" s="67">
        <f t="shared" si="0"/>
        <v>0.9</v>
      </c>
    </row>
    <row r="22" spans="9:21" x14ac:dyDescent="0.25">
      <c r="I22" s="67" t="s">
        <v>353</v>
      </c>
      <c r="J22" s="67">
        <v>0.11</v>
      </c>
      <c r="M22" s="67">
        <v>21</v>
      </c>
      <c r="N22" s="67" t="s">
        <v>299</v>
      </c>
      <c r="O22" s="67">
        <v>2.5000000000000001E-2</v>
      </c>
      <c r="P22" s="67">
        <v>1.6E-2</v>
      </c>
      <c r="Q22" s="67">
        <v>0.3</v>
      </c>
      <c r="R22" s="67">
        <v>0.8</v>
      </c>
      <c r="S22" s="67">
        <v>0.9</v>
      </c>
      <c r="T22" s="37"/>
      <c r="U22" s="67">
        <f t="shared" si="0"/>
        <v>0.9</v>
      </c>
    </row>
    <row r="23" spans="9:21" x14ac:dyDescent="0.25">
      <c r="I23" s="67" t="s">
        <v>354</v>
      </c>
      <c r="J23" s="67">
        <v>0.08</v>
      </c>
    </row>
    <row r="24" spans="9:21" x14ac:dyDescent="0.25">
      <c r="I24" s="67" t="s">
        <v>355</v>
      </c>
      <c r="J24" s="67">
        <v>0.01</v>
      </c>
    </row>
    <row r="25" spans="9:21" x14ac:dyDescent="0.25">
      <c r="I25" s="67" t="s">
        <v>356</v>
      </c>
      <c r="J25" s="67">
        <v>0.15</v>
      </c>
    </row>
    <row r="26" spans="9:21" x14ac:dyDescent="0.25">
      <c r="I26" s="67" t="s">
        <v>357</v>
      </c>
      <c r="J26" s="67">
        <v>0.05</v>
      </c>
    </row>
    <row r="27" spans="9:21" x14ac:dyDescent="0.25">
      <c r="I27" s="67" t="s">
        <v>358</v>
      </c>
      <c r="J27" s="67">
        <v>0.05</v>
      </c>
    </row>
    <row r="28" spans="9:21" x14ac:dyDescent="0.25">
      <c r="I28" s="137" t="s">
        <v>119</v>
      </c>
      <c r="J28" s="137">
        <v>0.08</v>
      </c>
    </row>
    <row r="29" spans="9:21" x14ac:dyDescent="0.25">
      <c r="I29" s="67" t="s">
        <v>359</v>
      </c>
      <c r="J29" s="67">
        <v>0.15</v>
      </c>
    </row>
    <row r="30" spans="9:21" x14ac:dyDescent="0.25">
      <c r="I30" s="67" t="s">
        <v>19</v>
      </c>
      <c r="J30" s="67">
        <v>0.21</v>
      </c>
    </row>
    <row r="31" spans="9:21" x14ac:dyDescent="0.25">
      <c r="I31" s="67" t="s">
        <v>360</v>
      </c>
      <c r="J31" s="67">
        <v>0.08</v>
      </c>
    </row>
    <row r="32" spans="9:21" x14ac:dyDescent="0.25">
      <c r="I32" s="67" t="s">
        <v>361</v>
      </c>
      <c r="J32" s="67">
        <v>0.05</v>
      </c>
    </row>
    <row r="33" spans="9:11" x14ac:dyDescent="0.25">
      <c r="I33" s="67" t="s">
        <v>362</v>
      </c>
      <c r="J33" s="67">
        <v>0.08</v>
      </c>
    </row>
    <row r="34" spans="9:11" x14ac:dyDescent="0.25">
      <c r="I34" s="137" t="s">
        <v>132</v>
      </c>
      <c r="J34" s="137">
        <v>0.15</v>
      </c>
    </row>
    <row r="35" spans="9:11" x14ac:dyDescent="0.25">
      <c r="I35" s="137" t="s">
        <v>244</v>
      </c>
      <c r="J35" s="137">
        <v>0.21</v>
      </c>
      <c r="K35" s="67" t="s">
        <v>441</v>
      </c>
    </row>
    <row r="36" spans="9:11" x14ac:dyDescent="0.25">
      <c r="I36" s="137" t="s">
        <v>143</v>
      </c>
      <c r="J36" s="137">
        <v>0.05</v>
      </c>
    </row>
    <row r="37" spans="9:11" x14ac:dyDescent="0.25">
      <c r="I37" s="137" t="s">
        <v>117</v>
      </c>
      <c r="J37" s="137">
        <v>0.11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I31" sqref="I31:J33"/>
    </sheetView>
  </sheetViews>
  <sheetFormatPr baseColWidth="10" defaultColWidth="9.140625" defaultRowHeight="15" x14ac:dyDescent="0.25"/>
  <cols>
    <col min="1" max="1" width="18" style="67" customWidth="1"/>
    <col min="2" max="16384" width="9.140625" style="67"/>
  </cols>
  <sheetData>
    <row r="1" spans="1:6" x14ac:dyDescent="0.25">
      <c r="A1" s="67" t="s">
        <v>278</v>
      </c>
      <c r="B1" s="67" t="s">
        <v>363</v>
      </c>
      <c r="E1" s="68"/>
    </row>
    <row r="2" spans="1:6" x14ac:dyDescent="0.25">
      <c r="A2" s="131" t="s">
        <v>364</v>
      </c>
      <c r="B2" s="67">
        <v>12</v>
      </c>
      <c r="C2" s="109"/>
      <c r="D2" s="37"/>
      <c r="E2" s="109"/>
    </row>
    <row r="3" spans="1:6" x14ac:dyDescent="0.25">
      <c r="A3" s="118" t="s">
        <v>365</v>
      </c>
      <c r="B3" s="67">
        <v>12</v>
      </c>
      <c r="C3" s="109"/>
      <c r="E3" s="109"/>
    </row>
    <row r="4" spans="1:6" x14ac:dyDescent="0.25">
      <c r="A4" s="118" t="s">
        <v>366</v>
      </c>
      <c r="B4" s="67">
        <v>5</v>
      </c>
      <c r="E4" s="109"/>
    </row>
    <row r="5" spans="1:6" x14ac:dyDescent="0.25">
      <c r="A5" s="118" t="s">
        <v>367</v>
      </c>
      <c r="B5" s="67">
        <v>5</v>
      </c>
      <c r="E5" s="108"/>
    </row>
    <row r="6" spans="1:6" x14ac:dyDescent="0.25">
      <c r="A6" s="118" t="s">
        <v>368</v>
      </c>
      <c r="B6" s="67">
        <v>6</v>
      </c>
      <c r="E6" s="109"/>
    </row>
    <row r="7" spans="1:6" x14ac:dyDescent="0.25">
      <c r="A7" s="118" t="s">
        <v>240</v>
      </c>
      <c r="B7" s="67">
        <v>1</v>
      </c>
      <c r="E7" s="109"/>
      <c r="F7" s="111"/>
    </row>
    <row r="8" spans="1:6" x14ac:dyDescent="0.25">
      <c r="A8" s="118" t="s">
        <v>239</v>
      </c>
      <c r="B8" s="67">
        <v>3</v>
      </c>
      <c r="E8" s="109"/>
      <c r="F8" s="111"/>
    </row>
    <row r="9" spans="1:6" x14ac:dyDescent="0.25">
      <c r="A9" s="132" t="s">
        <v>369</v>
      </c>
      <c r="B9" s="67">
        <v>13</v>
      </c>
      <c r="C9" s="109"/>
      <c r="E9" s="109"/>
    </row>
    <row r="10" spans="1:6" x14ac:dyDescent="0.25">
      <c r="A10" s="68" t="s">
        <v>238</v>
      </c>
      <c r="B10" s="67">
        <v>7</v>
      </c>
      <c r="C10" s="109"/>
      <c r="E10" s="109"/>
    </row>
    <row r="11" spans="1:6" x14ac:dyDescent="0.25">
      <c r="A11" s="118" t="s">
        <v>370</v>
      </c>
      <c r="B11" s="67">
        <v>1</v>
      </c>
      <c r="E11" s="109"/>
    </row>
    <row r="12" spans="1:6" x14ac:dyDescent="0.25">
      <c r="A12" s="33" t="s">
        <v>371</v>
      </c>
      <c r="B12" s="67">
        <v>12</v>
      </c>
      <c r="E12" s="109"/>
    </row>
    <row r="13" spans="1:6" x14ac:dyDescent="0.25">
      <c r="A13" s="118" t="s">
        <v>372</v>
      </c>
      <c r="B13" s="67">
        <v>12</v>
      </c>
      <c r="E13" s="109"/>
    </row>
    <row r="14" spans="1:6" x14ac:dyDescent="0.25">
      <c r="A14" s="37" t="s">
        <v>242</v>
      </c>
      <c r="B14" s="67">
        <v>13</v>
      </c>
      <c r="E14" s="109"/>
    </row>
    <row r="15" spans="1:6" x14ac:dyDescent="0.25">
      <c r="A15" s="37" t="s">
        <v>373</v>
      </c>
      <c r="B15" s="67">
        <v>7</v>
      </c>
      <c r="E15" s="109"/>
    </row>
    <row r="16" spans="1:6" x14ac:dyDescent="0.25">
      <c r="E16" s="109"/>
    </row>
    <row r="17" spans="5:5" x14ac:dyDescent="0.25">
      <c r="E17" s="10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R21" sqref="R21"/>
    </sheetView>
  </sheetViews>
  <sheetFormatPr baseColWidth="10" defaultColWidth="11.42578125" defaultRowHeight="15" x14ac:dyDescent="0.25"/>
  <sheetData>
    <row r="1" spans="1:2" x14ac:dyDescent="0.25">
      <c r="A1" s="69" t="s">
        <v>180</v>
      </c>
      <c r="B1" s="67"/>
    </row>
    <row r="2" spans="1:2" x14ac:dyDescent="0.25">
      <c r="A2" s="67" t="s">
        <v>190</v>
      </c>
      <c r="B2" s="67"/>
    </row>
    <row r="3" spans="1:2" x14ac:dyDescent="0.25">
      <c r="A3" s="67" t="s">
        <v>191</v>
      </c>
      <c r="B3" s="67"/>
    </row>
    <row r="5" spans="1:2" x14ac:dyDescent="0.25">
      <c r="A5" s="69" t="s">
        <v>181</v>
      </c>
      <c r="B5" s="67"/>
    </row>
    <row r="6" spans="1:2" x14ac:dyDescent="0.25">
      <c r="A6" s="67" t="s">
        <v>230</v>
      </c>
      <c r="B6" s="67"/>
    </row>
    <row r="8" spans="1:2" x14ac:dyDescent="0.25">
      <c r="A8" s="68" t="s">
        <v>182</v>
      </c>
      <c r="B8" s="67"/>
    </row>
    <row r="9" spans="1:2" x14ac:dyDescent="0.25">
      <c r="A9" s="67" t="s">
        <v>183</v>
      </c>
      <c r="B9" s="67"/>
    </row>
    <row r="10" spans="1:2" x14ac:dyDescent="0.25">
      <c r="A10" s="67" t="s">
        <v>188</v>
      </c>
      <c r="B10" s="67" t="s">
        <v>229</v>
      </c>
    </row>
    <row r="11" spans="1:2" x14ac:dyDescent="0.25">
      <c r="A11" s="67"/>
      <c r="B11" s="67" t="s">
        <v>227</v>
      </c>
    </row>
    <row r="13" spans="1:2" x14ac:dyDescent="0.25">
      <c r="A13" s="67" t="s">
        <v>184</v>
      </c>
      <c r="B13" s="67"/>
    </row>
    <row r="14" spans="1:2" x14ac:dyDescent="0.25">
      <c r="A14" s="67" t="s">
        <v>188</v>
      </c>
      <c r="B14" s="67" t="s">
        <v>231</v>
      </c>
    </row>
    <row r="16" spans="1:2" x14ac:dyDescent="0.25">
      <c r="A16" s="67" t="s">
        <v>185</v>
      </c>
      <c r="B16" s="67"/>
    </row>
    <row r="17" spans="1:2" x14ac:dyDescent="0.25">
      <c r="A17" s="67"/>
      <c r="B17" s="67" t="s">
        <v>228</v>
      </c>
    </row>
    <row r="18" spans="1:2" x14ac:dyDescent="0.25">
      <c r="A18" s="67"/>
      <c r="B18" s="67" t="s">
        <v>186</v>
      </c>
    </row>
    <row r="20" spans="1:2" x14ac:dyDescent="0.25">
      <c r="A20" s="68" t="s">
        <v>187</v>
      </c>
      <c r="B20" s="67"/>
    </row>
    <row r="21" spans="1:2" x14ac:dyDescent="0.25">
      <c r="A21" s="67" t="s">
        <v>188</v>
      </c>
      <c r="B21" s="67" t="s">
        <v>189</v>
      </c>
    </row>
  </sheetData>
  <pageMargins left="0.7" right="0.7" top="0.78740157499999996" bottom="0.78740157499999996" header="0.3" footer="0.3"/>
  <pageSetup paperSize="9"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41"/>
  <sheetViews>
    <sheetView topLeftCell="A10" zoomScale="90" zoomScaleNormal="90" workbookViewId="0">
      <selection activeCell="C24" sqref="C24"/>
    </sheetView>
  </sheetViews>
  <sheetFormatPr baseColWidth="10" defaultColWidth="11.42578125" defaultRowHeight="15" x14ac:dyDescent="0.25"/>
  <cols>
    <col min="1" max="1" width="21" customWidth="1"/>
    <col min="2" max="2" width="61.85546875" customWidth="1"/>
    <col min="3" max="3" width="14.7109375" bestFit="1" customWidth="1"/>
    <col min="4" max="4" width="15.85546875" customWidth="1"/>
    <col min="11" max="11" width="12.28515625" bestFit="1" customWidth="1"/>
  </cols>
  <sheetData>
    <row r="4" spans="1:9" s="4" customFormat="1" x14ac:dyDescent="0.25"/>
    <row r="5" spans="1:9" ht="15" customHeight="1" x14ac:dyDescent="0.25">
      <c r="A5" s="148" t="s">
        <v>61</v>
      </c>
      <c r="B5" s="147" t="s">
        <v>60</v>
      </c>
      <c r="C5" s="65" t="s">
        <v>109</v>
      </c>
      <c r="D5" s="65"/>
      <c r="E5" s="65"/>
      <c r="I5" s="24"/>
    </row>
    <row r="6" spans="1:9" s="4" customFormat="1" ht="18.75" customHeight="1" x14ac:dyDescent="0.25">
      <c r="A6" s="148"/>
      <c r="B6" s="147"/>
      <c r="C6" s="65" t="s">
        <v>110</v>
      </c>
      <c r="D6" s="65"/>
      <c r="E6" s="65"/>
      <c r="F6" s="23"/>
    </row>
    <row r="7" spans="1:9" s="4" customFormat="1" ht="18.75" customHeight="1" x14ac:dyDescent="0.25">
      <c r="A7" s="148"/>
      <c r="B7" s="147"/>
      <c r="C7" s="23"/>
      <c r="D7" s="23"/>
      <c r="E7" s="23"/>
      <c r="F7" s="23"/>
    </row>
    <row r="8" spans="1:9" s="4" customFormat="1" ht="18.75" customHeight="1" x14ac:dyDescent="0.25">
      <c r="A8" s="30"/>
      <c r="B8" s="29"/>
      <c r="C8" s="23"/>
      <c r="D8" s="23"/>
      <c r="E8" s="23"/>
      <c r="F8" s="23"/>
    </row>
    <row r="9" spans="1:9" s="4" customFormat="1" ht="18.75" customHeight="1" x14ac:dyDescent="0.25">
      <c r="A9" s="30" t="s">
        <v>62</v>
      </c>
      <c r="B9" s="149" t="s">
        <v>63</v>
      </c>
      <c r="C9" s="149" t="s">
        <v>114</v>
      </c>
      <c r="D9" s="149"/>
      <c r="E9" s="64"/>
      <c r="F9" s="23"/>
    </row>
    <row r="10" spans="1:9" x14ac:dyDescent="0.25">
      <c r="A10" s="4"/>
      <c r="B10" s="149"/>
      <c r="C10" s="149"/>
      <c r="D10" s="149"/>
    </row>
    <row r="11" spans="1:9" s="4" customFormat="1" ht="15" customHeight="1" x14ac:dyDescent="0.25">
      <c r="A11" s="153" t="s">
        <v>0</v>
      </c>
      <c r="B11" s="147" t="s">
        <v>64</v>
      </c>
      <c r="C11" s="151" t="s">
        <v>113</v>
      </c>
    </row>
    <row r="12" spans="1:9" x14ac:dyDescent="0.25">
      <c r="A12" s="153"/>
      <c r="B12" s="147"/>
      <c r="C12" s="151"/>
      <c r="E12" s="28"/>
    </row>
    <row r="13" spans="1:9" s="4" customFormat="1" x14ac:dyDescent="0.25">
      <c r="A13" s="5"/>
      <c r="C13" s="28"/>
      <c r="E13" s="28"/>
    </row>
    <row r="14" spans="1:9" x14ac:dyDescent="0.25">
      <c r="A14" s="6" t="s">
        <v>1</v>
      </c>
      <c r="B14" s="27" t="s">
        <v>78</v>
      </c>
      <c r="C14" s="28" t="s">
        <v>107</v>
      </c>
      <c r="E14" s="28"/>
    </row>
    <row r="15" spans="1:9" x14ac:dyDescent="0.25">
      <c r="A15" s="5"/>
      <c r="B15" s="4"/>
      <c r="C15" s="28"/>
      <c r="E15" s="28"/>
    </row>
    <row r="16" spans="1:9" s="4" customFormat="1" x14ac:dyDescent="0.25">
      <c r="A16" s="36" t="s">
        <v>75</v>
      </c>
      <c r="B16" s="4" t="s">
        <v>76</v>
      </c>
      <c r="C16" s="28" t="s">
        <v>108</v>
      </c>
      <c r="E16" s="28"/>
    </row>
    <row r="17" spans="1:14" x14ac:dyDescent="0.25">
      <c r="B17" s="1"/>
      <c r="C17" s="63"/>
      <c r="D17" s="2"/>
      <c r="E17" s="63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31" t="s">
        <v>65</v>
      </c>
      <c r="B18" s="31"/>
      <c r="C18" s="28"/>
      <c r="D18" s="3"/>
      <c r="E18" s="3"/>
      <c r="F18" s="3"/>
      <c r="G18" s="3"/>
      <c r="I18" s="3"/>
      <c r="J18" s="3"/>
      <c r="L18" s="3"/>
      <c r="M18" s="3"/>
      <c r="N18" s="3"/>
    </row>
    <row r="19" spans="1:14" s="4" customFormat="1" x14ac:dyDescent="0.25">
      <c r="A19" s="154" t="s">
        <v>68</v>
      </c>
      <c r="C19" s="28"/>
      <c r="E19" s="28"/>
    </row>
    <row r="20" spans="1:14" ht="15" customHeight="1" x14ac:dyDescent="0.25">
      <c r="A20" s="154"/>
      <c r="B20" s="28" t="s">
        <v>66</v>
      </c>
      <c r="C20" s="28">
        <v>50</v>
      </c>
      <c r="E20" s="28"/>
    </row>
    <row r="21" spans="1:14" x14ac:dyDescent="0.25">
      <c r="A21" s="154"/>
      <c r="B21" s="4"/>
      <c r="C21" s="28"/>
      <c r="E21" s="28"/>
    </row>
    <row r="22" spans="1:14" x14ac:dyDescent="0.25">
      <c r="C22" s="28"/>
      <c r="E22" s="28"/>
    </row>
    <row r="23" spans="1:14" ht="30" x14ac:dyDescent="0.25">
      <c r="A23" s="25" t="s">
        <v>53</v>
      </c>
      <c r="B23" s="28" t="s">
        <v>79</v>
      </c>
      <c r="C23" s="28">
        <v>1.2</v>
      </c>
      <c r="E23" s="28"/>
    </row>
    <row r="24" spans="1:14" x14ac:dyDescent="0.25">
      <c r="A24" s="5"/>
      <c r="B24" s="4"/>
      <c r="C24" s="28"/>
      <c r="E24" s="28"/>
    </row>
    <row r="25" spans="1:14" ht="15" customHeight="1" x14ac:dyDescent="0.25">
      <c r="A25" s="152" t="s">
        <v>4</v>
      </c>
      <c r="B25" s="150" t="s">
        <v>67</v>
      </c>
      <c r="C25" s="151"/>
      <c r="E25" s="28"/>
    </row>
    <row r="26" spans="1:14" s="4" customFormat="1" x14ac:dyDescent="0.25">
      <c r="A26" s="152"/>
      <c r="B26" s="150"/>
      <c r="C26" s="151"/>
      <c r="E26" s="28"/>
    </row>
    <row r="27" spans="1:14" x14ac:dyDescent="0.25">
      <c r="A27" s="152"/>
      <c r="B27" s="150"/>
      <c r="C27" s="151"/>
      <c r="E27" s="28"/>
    </row>
    <row r="28" spans="1:14" s="4" customFormat="1" x14ac:dyDescent="0.25">
      <c r="A28" s="5"/>
      <c r="B28" s="26"/>
      <c r="C28" s="28"/>
      <c r="E28" s="28"/>
    </row>
    <row r="29" spans="1:14" ht="30" x14ac:dyDescent="0.25">
      <c r="A29" s="25" t="s">
        <v>54</v>
      </c>
      <c r="B29" s="4" t="s">
        <v>80</v>
      </c>
      <c r="C29" s="28"/>
      <c r="E29" s="28"/>
    </row>
    <row r="30" spans="1:14" x14ac:dyDescent="0.25">
      <c r="A30" s="5"/>
      <c r="B30" s="4"/>
      <c r="C30" s="28"/>
      <c r="E30" s="28"/>
    </row>
    <row r="31" spans="1:14" x14ac:dyDescent="0.25">
      <c r="A31" s="6" t="s">
        <v>55</v>
      </c>
      <c r="B31" s="4" t="s">
        <v>81</v>
      </c>
      <c r="C31" s="28">
        <v>30</v>
      </c>
      <c r="E31" s="28"/>
    </row>
    <row r="32" spans="1:14" x14ac:dyDescent="0.25">
      <c r="A32" s="5"/>
      <c r="B32" s="4"/>
      <c r="C32" s="28"/>
      <c r="E32" s="28"/>
    </row>
    <row r="33" spans="1:5" ht="30" x14ac:dyDescent="0.25">
      <c r="A33" s="25" t="s">
        <v>56</v>
      </c>
      <c r="B33" s="4" t="s">
        <v>82</v>
      </c>
      <c r="C33" s="28"/>
      <c r="E33" s="28"/>
    </row>
    <row r="34" spans="1:5" x14ac:dyDescent="0.25">
      <c r="A34" s="25"/>
      <c r="B34" s="4"/>
      <c r="C34" s="28"/>
      <c r="E34" s="28"/>
    </row>
    <row r="35" spans="1:5" ht="45" x14ac:dyDescent="0.25">
      <c r="A35" s="25" t="s">
        <v>57</v>
      </c>
      <c r="B35" s="3" t="s">
        <v>83</v>
      </c>
      <c r="C35" s="28"/>
      <c r="E35" s="28"/>
    </row>
    <row r="36" spans="1:5" x14ac:dyDescent="0.25">
      <c r="A36" s="25"/>
      <c r="B36" s="4"/>
      <c r="C36" s="28"/>
      <c r="E36" s="28"/>
    </row>
    <row r="37" spans="1:5" ht="30" x14ac:dyDescent="0.25">
      <c r="A37" s="25" t="s">
        <v>59</v>
      </c>
      <c r="B37" s="4" t="s">
        <v>84</v>
      </c>
      <c r="C37" s="28">
        <v>550</v>
      </c>
      <c r="E37" s="28"/>
    </row>
    <row r="38" spans="1:5" x14ac:dyDescent="0.25">
      <c r="A38" s="25"/>
      <c r="B38" s="4"/>
      <c r="C38" s="28"/>
      <c r="E38" s="28"/>
    </row>
    <row r="39" spans="1:5" ht="30" x14ac:dyDescent="0.25">
      <c r="A39" s="25" t="s">
        <v>58</v>
      </c>
      <c r="B39" s="37" t="s">
        <v>85</v>
      </c>
      <c r="C39" s="28"/>
      <c r="E39" s="28"/>
    </row>
    <row r="40" spans="1:5" x14ac:dyDescent="0.25">
      <c r="E40" s="28"/>
    </row>
    <row r="41" spans="1:5" x14ac:dyDescent="0.25">
      <c r="E41" s="28"/>
    </row>
  </sheetData>
  <mergeCells count="11">
    <mergeCell ref="B5:B7"/>
    <mergeCell ref="A5:A7"/>
    <mergeCell ref="B9:B10"/>
    <mergeCell ref="B25:B27"/>
    <mergeCell ref="C25:C27"/>
    <mergeCell ref="A25:A27"/>
    <mergeCell ref="B11:B12"/>
    <mergeCell ref="A11:A12"/>
    <mergeCell ref="C11:C12"/>
    <mergeCell ref="A19:A21"/>
    <mergeCell ref="C9:D10"/>
  </mergeCells>
  <pageMargins left="0.7" right="0.7" top="0.78740157499999996" bottom="0.78740157499999996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F63"/>
  <sheetViews>
    <sheetView topLeftCell="A2" zoomScale="70" zoomScaleNormal="70" workbookViewId="0">
      <pane xSplit="3" topLeftCell="X1" activePane="topRight" state="frozen"/>
      <selection pane="topRight" activeCell="T22" sqref="T22"/>
    </sheetView>
  </sheetViews>
  <sheetFormatPr baseColWidth="10" defaultColWidth="11.42578125" defaultRowHeight="15" x14ac:dyDescent="0.25"/>
  <cols>
    <col min="1" max="1" width="11.42578125" style="4"/>
    <col min="2" max="2" width="44.140625" style="4" customWidth="1"/>
    <col min="3" max="3" width="51.5703125" style="4" bestFit="1" customWidth="1"/>
    <col min="4" max="4" width="1.7109375" style="7" customWidth="1"/>
    <col min="5" max="5" width="11.42578125" style="4"/>
    <col min="6" max="6" width="35" style="4" bestFit="1" customWidth="1"/>
    <col min="7" max="8" width="11.42578125" style="4"/>
    <col min="9" max="9" width="25.85546875" style="4" bestFit="1" customWidth="1"/>
    <col min="10" max="10" width="28.140625" style="4" bestFit="1" customWidth="1"/>
    <col min="11" max="11" width="1.7109375" style="22" customWidth="1"/>
    <col min="12" max="12" width="8.5703125" style="4" bestFit="1" customWidth="1"/>
    <col min="13" max="13" width="35" style="4" bestFit="1" customWidth="1"/>
    <col min="14" max="15" width="9.28515625" style="4" customWidth="1"/>
    <col min="16" max="16" width="25.85546875" style="4" bestFit="1" customWidth="1"/>
    <col min="17" max="17" width="28.140625" style="4" bestFit="1" customWidth="1"/>
    <col min="18" max="18" width="1.7109375" style="22" customWidth="1"/>
    <col min="19" max="20" width="11.42578125" style="4"/>
    <col min="21" max="21" width="34.28515625" style="4" bestFit="1" customWidth="1"/>
    <col min="22" max="22" width="11.42578125" style="4"/>
    <col min="23" max="23" width="25.85546875" style="4" bestFit="1" customWidth="1"/>
    <col min="24" max="24" width="28.140625" style="4" bestFit="1" customWidth="1"/>
    <col min="25" max="25" width="1.7109375" style="7" customWidth="1"/>
    <col min="26" max="26" width="11.42578125" style="4"/>
    <col min="27" max="27" width="34.28515625" style="4" bestFit="1" customWidth="1"/>
    <col min="28" max="28" width="34.28515625" style="4" customWidth="1"/>
    <col min="29" max="29" width="11.42578125" style="4"/>
    <col min="30" max="30" width="25.85546875" style="4" bestFit="1" customWidth="1"/>
    <col min="31" max="31" width="28.140625" style="4" bestFit="1" customWidth="1"/>
    <col min="32" max="32" width="1.7109375" style="7" customWidth="1"/>
    <col min="33" max="16384" width="11.42578125" style="4"/>
  </cols>
  <sheetData>
    <row r="6" spans="1:32" ht="15.75" thickBot="1" x14ac:dyDescent="0.3">
      <c r="A6" s="9"/>
      <c r="B6" s="9"/>
      <c r="C6" s="9"/>
    </row>
    <row r="7" spans="1:32" ht="15.75" thickBot="1" x14ac:dyDescent="0.3">
      <c r="A7" s="20"/>
      <c r="B7" s="21" t="s">
        <v>40</v>
      </c>
      <c r="C7" s="21" t="s">
        <v>41</v>
      </c>
      <c r="D7" s="19"/>
      <c r="E7" s="183" t="s">
        <v>48</v>
      </c>
      <c r="F7" s="184"/>
      <c r="G7" s="184"/>
      <c r="H7" s="184"/>
      <c r="I7" s="184"/>
      <c r="J7" s="184"/>
      <c r="K7" s="55"/>
      <c r="L7" s="183" t="s">
        <v>49</v>
      </c>
      <c r="M7" s="184"/>
      <c r="N7" s="184"/>
      <c r="O7" s="184"/>
      <c r="P7" s="184"/>
      <c r="Q7" s="184"/>
      <c r="R7" s="55"/>
      <c r="S7" s="183" t="s">
        <v>50</v>
      </c>
      <c r="T7" s="184"/>
      <c r="U7" s="184"/>
      <c r="V7" s="184"/>
      <c r="W7" s="184"/>
      <c r="X7" s="184"/>
      <c r="Y7" s="56"/>
      <c r="Z7" s="183" t="s">
        <v>51</v>
      </c>
      <c r="AA7" s="184"/>
      <c r="AB7" s="184"/>
      <c r="AC7" s="184"/>
      <c r="AD7" s="184"/>
      <c r="AE7" s="184"/>
      <c r="AF7" s="56"/>
    </row>
    <row r="8" spans="1:32" ht="15" customHeight="1" x14ac:dyDescent="0.25">
      <c r="A8" s="173" t="s">
        <v>39</v>
      </c>
      <c r="B8" s="176" t="s">
        <v>38</v>
      </c>
      <c r="C8" s="38" t="s">
        <v>2</v>
      </c>
      <c r="D8" s="8"/>
      <c r="E8" s="179" t="s">
        <v>111</v>
      </c>
      <c r="F8" s="180"/>
      <c r="G8" s="180"/>
      <c r="H8" s="180"/>
      <c r="I8" s="180"/>
      <c r="J8" s="180"/>
      <c r="K8" s="71"/>
      <c r="L8" s="179" t="s">
        <v>111</v>
      </c>
      <c r="M8" s="180"/>
      <c r="N8" s="180"/>
      <c r="O8" s="180"/>
      <c r="P8" s="180"/>
      <c r="Q8" s="180"/>
      <c r="R8" s="71"/>
      <c r="S8" s="179" t="s">
        <v>168</v>
      </c>
      <c r="T8" s="180"/>
      <c r="U8" s="180"/>
      <c r="V8" s="180"/>
      <c r="W8" s="180"/>
      <c r="X8" s="180"/>
      <c r="Y8" s="72"/>
      <c r="Z8" s="179" t="s">
        <v>138</v>
      </c>
      <c r="AA8" s="180"/>
      <c r="AB8" s="180"/>
      <c r="AC8" s="180"/>
      <c r="AD8" s="180"/>
      <c r="AE8" s="180"/>
    </row>
    <row r="9" spans="1:32" x14ac:dyDescent="0.25">
      <c r="A9" s="174"/>
      <c r="B9" s="177"/>
      <c r="C9" s="57" t="s">
        <v>3</v>
      </c>
      <c r="D9" s="8"/>
      <c r="E9" s="185" t="s">
        <v>115</v>
      </c>
      <c r="F9" s="186"/>
      <c r="G9" s="186"/>
      <c r="H9" s="186"/>
      <c r="I9" s="186"/>
      <c r="J9" s="186"/>
      <c r="K9" s="71"/>
      <c r="L9" s="185" t="s">
        <v>115</v>
      </c>
      <c r="M9" s="186"/>
      <c r="N9" s="186"/>
      <c r="O9" s="186"/>
      <c r="P9" s="186"/>
      <c r="Q9" s="186"/>
      <c r="R9" s="71"/>
      <c r="S9" s="185" t="s">
        <v>115</v>
      </c>
      <c r="T9" s="186"/>
      <c r="U9" s="186"/>
      <c r="V9" s="186"/>
      <c r="W9" s="186"/>
      <c r="X9" s="186"/>
      <c r="Y9" s="72"/>
      <c r="Z9" s="185" t="s">
        <v>115</v>
      </c>
      <c r="AA9" s="186"/>
      <c r="AB9" s="186"/>
      <c r="AC9" s="186"/>
      <c r="AD9" s="186"/>
      <c r="AE9" s="186"/>
    </row>
    <row r="10" spans="1:32" x14ac:dyDescent="0.25">
      <c r="A10" s="174"/>
      <c r="B10" s="177"/>
      <c r="C10" s="57" t="s">
        <v>102</v>
      </c>
      <c r="D10" s="8"/>
      <c r="E10" s="190" t="s">
        <v>126</v>
      </c>
      <c r="F10" s="190"/>
      <c r="G10" s="190"/>
      <c r="H10" s="190"/>
      <c r="I10" s="190"/>
      <c r="J10" s="190"/>
      <c r="K10" s="73"/>
      <c r="L10" s="190" t="s">
        <v>126</v>
      </c>
      <c r="M10" s="190"/>
      <c r="N10" s="190"/>
      <c r="O10" s="190"/>
      <c r="P10" s="190"/>
      <c r="Q10" s="190"/>
      <c r="R10" s="73"/>
      <c r="S10" s="190" t="s">
        <v>125</v>
      </c>
      <c r="T10" s="190"/>
      <c r="U10" s="190"/>
      <c r="V10" s="190"/>
      <c r="W10" s="190"/>
      <c r="X10" s="190"/>
      <c r="Y10" s="74"/>
      <c r="Z10" s="190" t="s">
        <v>139</v>
      </c>
      <c r="AA10" s="190"/>
      <c r="AB10" s="190"/>
      <c r="AC10" s="190"/>
      <c r="AD10" s="190"/>
      <c r="AE10" s="190"/>
      <c r="AF10" s="59"/>
    </row>
    <row r="11" spans="1:32" ht="15.75" thickBot="1" x14ac:dyDescent="0.3">
      <c r="A11" s="175"/>
      <c r="B11" s="178"/>
      <c r="C11" s="58" t="s">
        <v>69</v>
      </c>
      <c r="D11" s="60"/>
      <c r="E11" s="187" t="s">
        <v>116</v>
      </c>
      <c r="F11" s="188"/>
      <c r="G11" s="188"/>
      <c r="H11" s="188"/>
      <c r="I11" s="188"/>
      <c r="J11" s="189"/>
      <c r="K11" s="75"/>
      <c r="L11" s="187" t="s">
        <v>116</v>
      </c>
      <c r="M11" s="188"/>
      <c r="N11" s="188"/>
      <c r="O11" s="188"/>
      <c r="P11" s="188"/>
      <c r="Q11" s="189"/>
      <c r="R11" s="75"/>
      <c r="S11" s="187" t="s">
        <v>116</v>
      </c>
      <c r="T11" s="188"/>
      <c r="U11" s="188"/>
      <c r="V11" s="188"/>
      <c r="W11" s="188"/>
      <c r="X11" s="189"/>
      <c r="Y11" s="76"/>
      <c r="Z11" s="187" t="s">
        <v>175</v>
      </c>
      <c r="AA11" s="188"/>
      <c r="AB11" s="188"/>
      <c r="AC11" s="188"/>
      <c r="AD11" s="188"/>
      <c r="AE11" s="189"/>
      <c r="AF11" s="61"/>
    </row>
    <row r="12" spans="1:32" ht="15.75" thickBot="1" x14ac:dyDescent="0.3">
      <c r="A12" s="10"/>
      <c r="B12" s="12"/>
      <c r="C12" s="48"/>
      <c r="E12" s="171"/>
      <c r="F12" s="172"/>
      <c r="G12" s="172"/>
      <c r="H12" s="172"/>
      <c r="I12" s="172"/>
      <c r="J12" s="172"/>
      <c r="K12" s="77"/>
      <c r="L12" s="171"/>
      <c r="M12" s="172"/>
      <c r="N12" s="172"/>
      <c r="O12" s="172"/>
      <c r="P12" s="172"/>
      <c r="Q12" s="172"/>
      <c r="R12" s="77"/>
      <c r="S12" s="171"/>
      <c r="T12" s="172"/>
      <c r="U12" s="172"/>
      <c r="V12" s="172"/>
      <c r="W12" s="172"/>
      <c r="X12" s="172"/>
      <c r="Y12" s="72"/>
      <c r="Z12" s="171"/>
      <c r="AA12" s="172"/>
      <c r="AB12" s="172"/>
      <c r="AC12" s="172"/>
      <c r="AD12" s="172"/>
      <c r="AE12" s="172"/>
    </row>
    <row r="13" spans="1:32" ht="15" customHeight="1" x14ac:dyDescent="0.25">
      <c r="A13" s="157" t="s">
        <v>37</v>
      </c>
      <c r="B13" s="158" t="s">
        <v>96</v>
      </c>
      <c r="C13" s="46" t="s">
        <v>5</v>
      </c>
      <c r="E13" s="159" t="s">
        <v>192</v>
      </c>
      <c r="F13" s="160"/>
      <c r="G13" s="160"/>
      <c r="H13" s="160"/>
      <c r="I13" s="160"/>
      <c r="J13" s="160"/>
      <c r="K13" s="77"/>
      <c r="L13" s="159" t="s">
        <v>193</v>
      </c>
      <c r="M13" s="160"/>
      <c r="N13" s="160"/>
      <c r="O13" s="160"/>
      <c r="P13" s="160"/>
      <c r="Q13" s="160"/>
      <c r="R13" s="77"/>
      <c r="S13" s="159" t="s">
        <v>194</v>
      </c>
      <c r="T13" s="160"/>
      <c r="U13" s="160"/>
      <c r="V13" s="160"/>
      <c r="W13" s="160"/>
      <c r="X13" s="160"/>
      <c r="Y13" s="72"/>
      <c r="Z13" s="159" t="s">
        <v>195</v>
      </c>
      <c r="AA13" s="160"/>
      <c r="AB13" s="160"/>
      <c r="AC13" s="160"/>
      <c r="AD13" s="160"/>
      <c r="AE13" s="160"/>
    </row>
    <row r="14" spans="1:32" x14ac:dyDescent="0.25">
      <c r="A14" s="157"/>
      <c r="B14" s="158"/>
      <c r="C14" s="13" t="s">
        <v>6</v>
      </c>
      <c r="E14" s="181"/>
      <c r="F14" s="182"/>
      <c r="G14" s="182"/>
      <c r="H14" s="182"/>
      <c r="I14" s="182"/>
      <c r="J14" s="182"/>
      <c r="K14" s="77"/>
      <c r="L14" s="181"/>
      <c r="M14" s="182"/>
      <c r="N14" s="182"/>
      <c r="O14" s="182"/>
      <c r="P14" s="182"/>
      <c r="Q14" s="182"/>
      <c r="R14" s="77"/>
      <c r="S14" s="181" t="s">
        <v>116</v>
      </c>
      <c r="T14" s="182"/>
      <c r="U14" s="182"/>
      <c r="V14" s="182"/>
      <c r="W14" s="182"/>
      <c r="X14" s="182"/>
      <c r="Y14" s="72"/>
      <c r="Z14" s="181"/>
      <c r="AA14" s="182"/>
      <c r="AB14" s="182"/>
      <c r="AC14" s="182"/>
      <c r="AD14" s="182"/>
      <c r="AE14" s="182"/>
    </row>
    <row r="15" spans="1:32" ht="15.75" thickBot="1" x14ac:dyDescent="0.3">
      <c r="A15" s="157"/>
      <c r="B15" s="158"/>
      <c r="C15" s="47" t="s">
        <v>7</v>
      </c>
      <c r="E15" s="161" t="s">
        <v>196</v>
      </c>
      <c r="F15" s="162"/>
      <c r="G15" s="162"/>
      <c r="H15" s="162"/>
      <c r="I15" s="162"/>
      <c r="J15" s="162"/>
      <c r="K15" s="77"/>
      <c r="L15" s="161" t="s">
        <v>196</v>
      </c>
      <c r="M15" s="162"/>
      <c r="N15" s="162"/>
      <c r="O15" s="162"/>
      <c r="P15" s="162"/>
      <c r="Q15" s="162"/>
      <c r="R15" s="77"/>
      <c r="S15" s="161" t="s">
        <v>197</v>
      </c>
      <c r="T15" s="162"/>
      <c r="U15" s="162"/>
      <c r="V15" s="162"/>
      <c r="W15" s="162"/>
      <c r="X15" s="162"/>
      <c r="Y15" s="72"/>
      <c r="Z15" s="161" t="s">
        <v>198</v>
      </c>
      <c r="AA15" s="162"/>
      <c r="AB15" s="162"/>
      <c r="AC15" s="162"/>
      <c r="AD15" s="162"/>
      <c r="AE15" s="162"/>
    </row>
    <row r="16" spans="1:32" ht="15.75" thickBot="1" x14ac:dyDescent="0.3">
      <c r="A16" s="11"/>
      <c r="B16" s="14"/>
      <c r="C16" s="14"/>
      <c r="E16" s="171"/>
      <c r="F16" s="172"/>
      <c r="G16" s="172"/>
      <c r="H16" s="172"/>
      <c r="I16" s="172"/>
      <c r="J16" s="172"/>
      <c r="K16" s="77"/>
      <c r="L16" s="171"/>
      <c r="M16" s="172"/>
      <c r="N16" s="172"/>
      <c r="O16" s="172"/>
      <c r="P16" s="172"/>
      <c r="Q16" s="172"/>
      <c r="R16" s="77"/>
      <c r="S16" s="171"/>
      <c r="T16" s="172"/>
      <c r="U16" s="172"/>
      <c r="V16" s="172"/>
      <c r="W16" s="172"/>
      <c r="X16" s="172"/>
      <c r="Y16" s="72"/>
      <c r="Z16" s="171"/>
      <c r="AA16" s="172"/>
      <c r="AB16" s="172"/>
      <c r="AC16" s="172"/>
      <c r="AD16" s="172"/>
      <c r="AE16" s="172"/>
    </row>
    <row r="17" spans="1:31" x14ac:dyDescent="0.25">
      <c r="A17" s="163" t="s">
        <v>8</v>
      </c>
      <c r="B17" s="166" t="s">
        <v>97</v>
      </c>
      <c r="C17" s="44" t="s">
        <v>70</v>
      </c>
      <c r="E17" s="169" t="s">
        <v>162</v>
      </c>
      <c r="F17" s="170"/>
      <c r="G17" s="170"/>
      <c r="H17" s="170"/>
      <c r="I17" s="170"/>
      <c r="J17" s="170"/>
      <c r="K17" s="77"/>
      <c r="L17" s="169" t="s">
        <v>162</v>
      </c>
      <c r="M17" s="170"/>
      <c r="N17" s="170"/>
      <c r="O17" s="170"/>
      <c r="P17" s="170"/>
      <c r="Q17" s="170"/>
      <c r="R17" s="77"/>
      <c r="S17" s="169" t="s">
        <v>161</v>
      </c>
      <c r="T17" s="170"/>
      <c r="U17" s="170"/>
      <c r="V17" s="170"/>
      <c r="W17" s="170"/>
      <c r="X17" s="170"/>
      <c r="Y17" s="72"/>
      <c r="Z17" s="169" t="s">
        <v>141</v>
      </c>
      <c r="AA17" s="170"/>
      <c r="AB17" s="170"/>
      <c r="AC17" s="170"/>
      <c r="AD17" s="170"/>
      <c r="AE17" s="170"/>
    </row>
    <row r="18" spans="1:31" x14ac:dyDescent="0.25">
      <c r="A18" s="164"/>
      <c r="B18" s="167"/>
      <c r="C18" s="15" t="s">
        <v>77</v>
      </c>
      <c r="E18" s="193" t="s">
        <v>127</v>
      </c>
      <c r="F18" s="194"/>
      <c r="G18" s="194"/>
      <c r="H18" s="194"/>
      <c r="I18" s="194"/>
      <c r="J18" s="194"/>
      <c r="K18" s="77"/>
      <c r="L18" s="193" t="s">
        <v>127</v>
      </c>
      <c r="M18" s="194"/>
      <c r="N18" s="194"/>
      <c r="O18" s="194"/>
      <c r="P18" s="194"/>
      <c r="Q18" s="194"/>
      <c r="R18" s="77"/>
      <c r="S18" s="193">
        <v>180</v>
      </c>
      <c r="T18" s="194"/>
      <c r="U18" s="194"/>
      <c r="V18" s="194"/>
      <c r="W18" s="194"/>
      <c r="X18" s="194"/>
      <c r="Y18" s="72"/>
      <c r="Z18" s="193">
        <v>5</v>
      </c>
      <c r="AA18" s="194"/>
      <c r="AB18" s="194"/>
      <c r="AC18" s="194"/>
      <c r="AD18" s="194"/>
      <c r="AE18" s="194"/>
    </row>
    <row r="19" spans="1:31" ht="15.75" thickBot="1" x14ac:dyDescent="0.3">
      <c r="A19" s="165"/>
      <c r="B19" s="168"/>
      <c r="C19" s="45" t="s">
        <v>10</v>
      </c>
      <c r="E19" s="191" t="s">
        <v>199</v>
      </c>
      <c r="F19" s="192"/>
      <c r="G19" s="192"/>
      <c r="H19" s="192"/>
      <c r="I19" s="192"/>
      <c r="J19" s="192"/>
      <c r="K19" s="77"/>
      <c r="L19" s="191" t="s">
        <v>199</v>
      </c>
      <c r="M19" s="192"/>
      <c r="N19" s="192"/>
      <c r="O19" s="192"/>
      <c r="P19" s="192"/>
      <c r="Q19" s="192"/>
      <c r="R19" s="77"/>
      <c r="S19" s="191" t="s">
        <v>200</v>
      </c>
      <c r="T19" s="192"/>
      <c r="U19" s="192"/>
      <c r="V19" s="192"/>
      <c r="W19" s="192"/>
      <c r="X19" s="192"/>
      <c r="Y19" s="72"/>
      <c r="Z19" s="191" t="s">
        <v>201</v>
      </c>
      <c r="AA19" s="192"/>
      <c r="AB19" s="192"/>
      <c r="AC19" s="192"/>
      <c r="AD19" s="192"/>
      <c r="AE19" s="192"/>
    </row>
    <row r="20" spans="1:31" ht="15.75" thickBot="1" x14ac:dyDescent="0.3">
      <c r="A20" s="11"/>
      <c r="B20" s="14"/>
      <c r="C20" s="14"/>
      <c r="E20" s="171"/>
      <c r="F20" s="172"/>
      <c r="G20" s="172"/>
      <c r="H20" s="172"/>
      <c r="I20" s="172"/>
      <c r="J20" s="172"/>
      <c r="K20" s="77"/>
      <c r="L20" s="171"/>
      <c r="M20" s="172"/>
      <c r="N20" s="172"/>
      <c r="O20" s="172"/>
      <c r="P20" s="172"/>
      <c r="Q20" s="172"/>
      <c r="R20" s="77"/>
      <c r="S20" s="171"/>
      <c r="T20" s="172"/>
      <c r="U20" s="172"/>
      <c r="V20" s="172"/>
      <c r="W20" s="172"/>
      <c r="X20" s="172"/>
      <c r="Y20" s="72"/>
      <c r="Z20" s="171"/>
      <c r="AA20" s="172"/>
      <c r="AB20" s="172"/>
      <c r="AC20" s="172"/>
      <c r="AD20" s="172"/>
      <c r="AE20" s="172"/>
    </row>
    <row r="21" spans="1:31" ht="15.75" thickBot="1" x14ac:dyDescent="0.3">
      <c r="A21" s="205" t="s">
        <v>11</v>
      </c>
      <c r="B21" s="208" t="s">
        <v>98</v>
      </c>
      <c r="C21" s="43" t="s">
        <v>92</v>
      </c>
      <c r="E21" s="78" t="s">
        <v>32</v>
      </c>
      <c r="F21" s="79" t="s">
        <v>74</v>
      </c>
      <c r="G21" s="195" t="s">
        <v>20</v>
      </c>
      <c r="H21" s="196"/>
      <c r="I21" s="80" t="s">
        <v>95</v>
      </c>
      <c r="J21" s="80" t="s">
        <v>23</v>
      </c>
      <c r="K21" s="77"/>
      <c r="L21" s="78" t="s">
        <v>32</v>
      </c>
      <c r="M21" s="79" t="s">
        <v>74</v>
      </c>
      <c r="N21" s="195" t="s">
        <v>20</v>
      </c>
      <c r="O21" s="196"/>
      <c r="P21" s="80" t="s">
        <v>95</v>
      </c>
      <c r="Q21" s="80" t="s">
        <v>23</v>
      </c>
      <c r="R21" s="77"/>
      <c r="S21" s="78" t="s">
        <v>32</v>
      </c>
      <c r="T21" s="79" t="s">
        <v>74</v>
      </c>
      <c r="U21" s="195" t="s">
        <v>20</v>
      </c>
      <c r="V21" s="196"/>
      <c r="W21" s="80" t="s">
        <v>95</v>
      </c>
      <c r="X21" s="80" t="s">
        <v>23</v>
      </c>
      <c r="Y21" s="72"/>
      <c r="Z21" s="78" t="s">
        <v>32</v>
      </c>
      <c r="AA21" s="79" t="s">
        <v>74</v>
      </c>
      <c r="AB21" s="195" t="s">
        <v>20</v>
      </c>
      <c r="AC21" s="196"/>
      <c r="AD21" s="80" t="s">
        <v>95</v>
      </c>
      <c r="AE21" s="80" t="s">
        <v>23</v>
      </c>
    </row>
    <row r="22" spans="1:31" ht="15" customHeight="1" x14ac:dyDescent="0.25">
      <c r="A22" s="206"/>
      <c r="B22" s="209"/>
      <c r="C22" s="41" t="s">
        <v>12</v>
      </c>
      <c r="E22" s="81" t="s">
        <v>132</v>
      </c>
      <c r="F22" s="82" t="s">
        <v>150</v>
      </c>
      <c r="G22" s="155" t="s">
        <v>124</v>
      </c>
      <c r="H22" s="156"/>
      <c r="I22" s="83">
        <v>250</v>
      </c>
      <c r="J22" s="83" t="s">
        <v>202</v>
      </c>
      <c r="K22" s="77"/>
      <c r="L22" s="81" t="s">
        <v>132</v>
      </c>
      <c r="M22" s="82">
        <v>0.46</v>
      </c>
      <c r="N22" s="155" t="s">
        <v>124</v>
      </c>
      <c r="O22" s="156"/>
      <c r="P22" s="83">
        <v>160</v>
      </c>
      <c r="Q22" s="83" t="s">
        <v>202</v>
      </c>
      <c r="R22" s="77"/>
      <c r="S22" s="81" t="s">
        <v>119</v>
      </c>
      <c r="T22" s="82">
        <v>0.24</v>
      </c>
      <c r="U22" s="155" t="s">
        <v>124</v>
      </c>
      <c r="V22" s="156"/>
      <c r="W22" s="83">
        <v>220</v>
      </c>
      <c r="X22" s="83" t="s">
        <v>202</v>
      </c>
      <c r="Y22" s="72"/>
      <c r="Z22" s="81" t="s">
        <v>143</v>
      </c>
      <c r="AA22" s="82">
        <v>0.26</v>
      </c>
      <c r="AB22" s="155" t="s">
        <v>124</v>
      </c>
      <c r="AC22" s="156"/>
      <c r="AD22" s="83">
        <v>600</v>
      </c>
      <c r="AE22" s="83" t="s">
        <v>203</v>
      </c>
    </row>
    <row r="23" spans="1:31" x14ac:dyDescent="0.25">
      <c r="A23" s="206"/>
      <c r="B23" s="209"/>
      <c r="C23" s="16" t="s">
        <v>13</v>
      </c>
      <c r="E23" s="84"/>
      <c r="F23" s="85"/>
      <c r="G23" s="155"/>
      <c r="H23" s="156"/>
      <c r="I23" s="86"/>
      <c r="J23" s="86"/>
      <c r="K23" s="77"/>
      <c r="L23" s="84"/>
      <c r="M23" s="85"/>
      <c r="N23" s="155"/>
      <c r="O23" s="156"/>
      <c r="P23" s="86"/>
      <c r="Q23" s="86"/>
      <c r="R23" s="77"/>
      <c r="S23" s="84"/>
      <c r="T23" s="85"/>
      <c r="U23" s="155"/>
      <c r="V23" s="156"/>
      <c r="W23" s="86"/>
      <c r="X23" s="86"/>
      <c r="Y23" s="72"/>
      <c r="Z23" s="84"/>
      <c r="AA23" s="85"/>
      <c r="AB23" s="155"/>
      <c r="AC23" s="156"/>
      <c r="AD23" s="86"/>
      <c r="AE23" s="86"/>
    </row>
    <row r="24" spans="1:31" x14ac:dyDescent="0.25">
      <c r="A24" s="206"/>
      <c r="B24" s="209"/>
      <c r="C24" s="16" t="s">
        <v>14</v>
      </c>
      <c r="E24" s="84"/>
      <c r="F24" s="86"/>
      <c r="G24" s="155"/>
      <c r="H24" s="156"/>
      <c r="I24" s="86"/>
      <c r="J24" s="86"/>
      <c r="K24" s="77"/>
      <c r="L24" s="84"/>
      <c r="M24" s="86"/>
      <c r="N24" s="155"/>
      <c r="O24" s="156"/>
      <c r="P24" s="86"/>
      <c r="Q24" s="86"/>
      <c r="R24" s="77"/>
      <c r="S24" s="84"/>
      <c r="T24" s="86"/>
      <c r="U24" s="155"/>
      <c r="V24" s="156"/>
      <c r="W24" s="86"/>
      <c r="X24" s="86"/>
      <c r="Y24" s="72"/>
      <c r="Z24" s="84"/>
      <c r="AA24" s="86"/>
      <c r="AB24" s="155"/>
      <c r="AC24" s="156"/>
      <c r="AD24" s="86"/>
      <c r="AE24" s="86"/>
    </row>
    <row r="25" spans="1:31" x14ac:dyDescent="0.25">
      <c r="A25" s="206"/>
      <c r="B25" s="209"/>
      <c r="C25" s="16" t="s">
        <v>15</v>
      </c>
      <c r="E25" s="84"/>
      <c r="F25" s="86"/>
      <c r="G25" s="155"/>
      <c r="H25" s="156"/>
      <c r="I25" s="86"/>
      <c r="J25" s="86"/>
      <c r="K25" s="77"/>
      <c r="L25" s="84" t="s">
        <v>143</v>
      </c>
      <c r="M25" s="86" t="s">
        <v>151</v>
      </c>
      <c r="N25" s="155" t="s">
        <v>124</v>
      </c>
      <c r="O25" s="156"/>
      <c r="P25" s="86">
        <v>630</v>
      </c>
      <c r="Q25" s="83" t="s">
        <v>204</v>
      </c>
      <c r="R25" s="77"/>
      <c r="S25" s="84" t="s">
        <v>117</v>
      </c>
      <c r="T25" s="87" t="s">
        <v>118</v>
      </c>
      <c r="U25" s="155" t="s">
        <v>124</v>
      </c>
      <c r="V25" s="156"/>
      <c r="W25" s="86">
        <v>600</v>
      </c>
      <c r="X25" s="83" t="s">
        <v>205</v>
      </c>
      <c r="Y25" s="72"/>
      <c r="Z25" s="84"/>
      <c r="AA25" s="86"/>
      <c r="AB25" s="155"/>
      <c r="AC25" s="156"/>
      <c r="AD25" s="86"/>
      <c r="AE25" s="86"/>
    </row>
    <row r="26" spans="1:31" x14ac:dyDescent="0.25">
      <c r="A26" s="206"/>
      <c r="B26" s="209"/>
      <c r="C26" s="16" t="s">
        <v>16</v>
      </c>
      <c r="E26" s="84"/>
      <c r="F26" s="86"/>
      <c r="G26" s="155"/>
      <c r="H26" s="156"/>
      <c r="I26" s="86"/>
      <c r="J26" s="86"/>
      <c r="K26" s="77"/>
      <c r="L26" s="84" t="s">
        <v>143</v>
      </c>
      <c r="M26" s="86" t="s">
        <v>152</v>
      </c>
      <c r="N26" s="155" t="s">
        <v>124</v>
      </c>
      <c r="O26" s="156"/>
      <c r="P26" s="86">
        <v>630</v>
      </c>
      <c r="Q26" s="83" t="s">
        <v>204</v>
      </c>
      <c r="R26" s="77"/>
      <c r="S26" s="84" t="s">
        <v>117</v>
      </c>
      <c r="T26" s="86">
        <v>8</v>
      </c>
      <c r="U26" s="155" t="s">
        <v>124</v>
      </c>
      <c r="V26" s="156"/>
      <c r="W26" s="86">
        <v>600</v>
      </c>
      <c r="X26" s="83" t="s">
        <v>205</v>
      </c>
      <c r="Y26" s="72"/>
      <c r="Z26" s="81" t="s">
        <v>143</v>
      </c>
      <c r="AA26" s="85">
        <v>0.13</v>
      </c>
      <c r="AB26" s="155" t="s">
        <v>124</v>
      </c>
      <c r="AC26" s="156"/>
      <c r="AD26" s="86">
        <v>600</v>
      </c>
      <c r="AE26" s="83" t="s">
        <v>203</v>
      </c>
    </row>
    <row r="27" spans="1:31" x14ac:dyDescent="0.25">
      <c r="A27" s="206"/>
      <c r="B27" s="209"/>
      <c r="C27" s="16" t="s">
        <v>17</v>
      </c>
      <c r="E27" s="84"/>
      <c r="F27" s="86"/>
      <c r="G27" s="155"/>
      <c r="H27" s="156"/>
      <c r="I27" s="86"/>
      <c r="J27" s="86"/>
      <c r="K27" s="77"/>
      <c r="L27" s="84"/>
      <c r="M27" s="86"/>
      <c r="N27" s="155"/>
      <c r="O27" s="156"/>
      <c r="P27" s="86"/>
      <c r="Q27" s="86"/>
      <c r="R27" s="77"/>
      <c r="S27" s="84"/>
      <c r="T27" s="86"/>
      <c r="U27" s="155"/>
      <c r="V27" s="156"/>
      <c r="W27" s="86"/>
      <c r="X27" s="86"/>
      <c r="Y27" s="72"/>
      <c r="Z27" s="84"/>
      <c r="AA27" s="86"/>
      <c r="AB27" s="155"/>
      <c r="AC27" s="156"/>
      <c r="AD27" s="86"/>
      <c r="AE27" s="86"/>
    </row>
    <row r="28" spans="1:31" ht="15.75" thickBot="1" x14ac:dyDescent="0.3">
      <c r="A28" s="206"/>
      <c r="B28" s="209"/>
      <c r="C28" s="32" t="s">
        <v>105</v>
      </c>
      <c r="E28" s="88"/>
      <c r="F28" s="89"/>
      <c r="G28" s="203"/>
      <c r="H28" s="204"/>
      <c r="I28" s="89"/>
      <c r="J28" s="89"/>
      <c r="K28" s="77"/>
      <c r="L28" s="88"/>
      <c r="M28" s="89"/>
      <c r="N28" s="203"/>
      <c r="O28" s="204"/>
      <c r="P28" s="89"/>
      <c r="Q28" s="89"/>
      <c r="R28" s="77"/>
      <c r="S28" s="88"/>
      <c r="T28" s="89"/>
      <c r="U28" s="203"/>
      <c r="V28" s="204"/>
      <c r="W28" s="89"/>
      <c r="X28" s="89"/>
      <c r="Y28" s="72"/>
      <c r="Z28" s="88"/>
      <c r="AA28" s="89"/>
      <c r="AB28" s="203"/>
      <c r="AC28" s="204"/>
      <c r="AD28" s="89"/>
      <c r="AE28" s="89"/>
    </row>
    <row r="29" spans="1:31" ht="18" thickBot="1" x14ac:dyDescent="0.3">
      <c r="A29" s="206"/>
      <c r="B29" s="209"/>
      <c r="C29" s="43" t="s">
        <v>90</v>
      </c>
      <c r="E29" s="78" t="s">
        <v>32</v>
      </c>
      <c r="F29" s="80" t="s">
        <v>91</v>
      </c>
      <c r="G29" s="195" t="s">
        <v>20</v>
      </c>
      <c r="H29" s="196"/>
      <c r="I29" s="80" t="s">
        <v>206</v>
      </c>
      <c r="J29" s="80" t="s">
        <v>23</v>
      </c>
      <c r="K29" s="77"/>
      <c r="L29" s="78" t="s">
        <v>32</v>
      </c>
      <c r="M29" s="80" t="s">
        <v>91</v>
      </c>
      <c r="N29" s="195" t="s">
        <v>20</v>
      </c>
      <c r="O29" s="196"/>
      <c r="P29" s="80" t="s">
        <v>206</v>
      </c>
      <c r="Q29" s="80" t="s">
        <v>23</v>
      </c>
      <c r="R29" s="77"/>
      <c r="S29" s="78" t="s">
        <v>32</v>
      </c>
      <c r="T29" s="80" t="s">
        <v>91</v>
      </c>
      <c r="U29" s="195" t="s">
        <v>20</v>
      </c>
      <c r="V29" s="196"/>
      <c r="W29" s="80" t="s">
        <v>206</v>
      </c>
      <c r="X29" s="80" t="s">
        <v>23</v>
      </c>
      <c r="Y29" s="72"/>
      <c r="Z29" s="78" t="s">
        <v>32</v>
      </c>
      <c r="AA29" s="80" t="s">
        <v>91</v>
      </c>
      <c r="AB29" s="195" t="s">
        <v>20</v>
      </c>
      <c r="AC29" s="196"/>
      <c r="AD29" s="80" t="s">
        <v>206</v>
      </c>
      <c r="AE29" s="80" t="s">
        <v>23</v>
      </c>
    </row>
    <row r="30" spans="1:31" x14ac:dyDescent="0.25">
      <c r="A30" s="206"/>
      <c r="B30" s="209"/>
      <c r="C30" s="41" t="s">
        <v>103</v>
      </c>
      <c r="E30" s="81"/>
      <c r="F30" s="83"/>
      <c r="G30" s="199"/>
      <c r="H30" s="200"/>
      <c r="I30" s="83"/>
      <c r="J30" s="83"/>
      <c r="K30" s="77"/>
      <c r="L30" s="81"/>
      <c r="M30" s="83"/>
      <c r="N30" s="199"/>
      <c r="O30" s="200"/>
      <c r="P30" s="83"/>
      <c r="Q30" s="83"/>
      <c r="R30" s="77"/>
      <c r="S30" s="81"/>
      <c r="T30" s="83"/>
      <c r="U30" s="199"/>
      <c r="V30" s="200"/>
      <c r="W30" s="83"/>
      <c r="X30" s="83"/>
      <c r="Y30" s="72"/>
      <c r="Z30" s="81"/>
      <c r="AA30" s="83"/>
      <c r="AB30" s="199"/>
      <c r="AC30" s="200"/>
      <c r="AD30" s="83"/>
      <c r="AE30" s="83"/>
    </row>
    <row r="31" spans="1:31" ht="15.75" thickBot="1" x14ac:dyDescent="0.3">
      <c r="A31" s="207"/>
      <c r="B31" s="210"/>
      <c r="C31" s="42" t="s">
        <v>104</v>
      </c>
      <c r="E31" s="90" t="s">
        <v>128</v>
      </c>
      <c r="F31" s="91" t="s">
        <v>131</v>
      </c>
      <c r="G31" s="197" t="s">
        <v>129</v>
      </c>
      <c r="H31" s="198"/>
      <c r="I31" s="91" t="s">
        <v>130</v>
      </c>
      <c r="J31" s="83" t="s">
        <v>207</v>
      </c>
      <c r="K31" s="77"/>
      <c r="L31" s="90"/>
      <c r="M31" s="91"/>
      <c r="N31" s="197"/>
      <c r="O31" s="198"/>
      <c r="P31" s="91"/>
      <c r="Q31" s="91"/>
      <c r="R31" s="77"/>
      <c r="S31" s="90"/>
      <c r="T31" s="91"/>
      <c r="U31" s="197"/>
      <c r="V31" s="198"/>
      <c r="W31" s="91"/>
      <c r="X31" s="91"/>
      <c r="Y31" s="72"/>
      <c r="Z31" s="90" t="s">
        <v>128</v>
      </c>
      <c r="AA31" s="91" t="s">
        <v>142</v>
      </c>
      <c r="AB31" s="197" t="s">
        <v>129</v>
      </c>
      <c r="AC31" s="198"/>
      <c r="AD31" s="91">
        <v>27</v>
      </c>
      <c r="AE31" s="83" t="s">
        <v>208</v>
      </c>
    </row>
    <row r="32" spans="1:31" ht="15.75" thickBot="1" x14ac:dyDescent="0.3">
      <c r="A32" s="17"/>
      <c r="B32" s="14"/>
      <c r="C32" s="14"/>
      <c r="E32" s="171"/>
      <c r="F32" s="172"/>
      <c r="G32" s="172"/>
      <c r="H32" s="172"/>
      <c r="I32" s="172"/>
      <c r="J32" s="172"/>
      <c r="K32" s="77"/>
      <c r="L32" s="171"/>
      <c r="M32" s="172"/>
      <c r="N32" s="172"/>
      <c r="O32" s="172"/>
      <c r="P32" s="172"/>
      <c r="Q32" s="172"/>
      <c r="R32" s="77"/>
      <c r="S32" s="171"/>
      <c r="T32" s="172"/>
      <c r="U32" s="172"/>
      <c r="V32" s="172"/>
      <c r="W32" s="172"/>
      <c r="X32" s="172"/>
      <c r="Y32" s="72"/>
      <c r="Z32" s="171"/>
      <c r="AA32" s="172"/>
      <c r="AB32" s="172"/>
      <c r="AC32" s="172"/>
      <c r="AD32" s="172"/>
      <c r="AE32" s="172"/>
    </row>
    <row r="33" spans="1:32" ht="60" customHeight="1" thickBot="1" x14ac:dyDescent="0.3">
      <c r="A33" s="211" t="s">
        <v>21</v>
      </c>
      <c r="B33" s="208" t="s">
        <v>99</v>
      </c>
      <c r="C33" s="43"/>
      <c r="E33" s="92" t="s">
        <v>32</v>
      </c>
      <c r="F33" s="80" t="s">
        <v>20</v>
      </c>
      <c r="G33" s="195" t="s">
        <v>93</v>
      </c>
      <c r="H33" s="196"/>
      <c r="I33" s="202" t="s">
        <v>23</v>
      </c>
      <c r="J33" s="202"/>
      <c r="K33" s="77"/>
      <c r="L33" s="92" t="s">
        <v>32</v>
      </c>
      <c r="M33" s="80" t="s">
        <v>20</v>
      </c>
      <c r="N33" s="195" t="s">
        <v>93</v>
      </c>
      <c r="O33" s="196"/>
      <c r="P33" s="202" t="s">
        <v>23</v>
      </c>
      <c r="Q33" s="202"/>
      <c r="R33" s="77"/>
      <c r="S33" s="92" t="s">
        <v>32</v>
      </c>
      <c r="T33" s="80" t="s">
        <v>20</v>
      </c>
      <c r="U33" s="195" t="s">
        <v>93</v>
      </c>
      <c r="V33" s="196"/>
      <c r="W33" s="202" t="s">
        <v>23</v>
      </c>
      <c r="X33" s="202"/>
      <c r="Y33" s="72"/>
      <c r="Z33" s="92" t="s">
        <v>32</v>
      </c>
      <c r="AA33" s="80" t="s">
        <v>20</v>
      </c>
      <c r="AB33" s="195" t="s">
        <v>93</v>
      </c>
      <c r="AC33" s="196"/>
      <c r="AD33" s="202" t="s">
        <v>23</v>
      </c>
      <c r="AE33" s="202"/>
    </row>
    <row r="34" spans="1:32" ht="17.25" customHeight="1" x14ac:dyDescent="0.25">
      <c r="A34" s="212"/>
      <c r="B34" s="209"/>
      <c r="C34" s="41" t="s">
        <v>24</v>
      </c>
      <c r="E34" s="93" t="s">
        <v>133</v>
      </c>
      <c r="F34" s="83" t="s">
        <v>137</v>
      </c>
      <c r="G34" s="199">
        <v>1</v>
      </c>
      <c r="H34" s="200"/>
      <c r="I34" s="201" t="s">
        <v>202</v>
      </c>
      <c r="J34" s="201"/>
      <c r="K34" s="77"/>
      <c r="L34" s="93" t="s">
        <v>133</v>
      </c>
      <c r="M34" s="83" t="s">
        <v>137</v>
      </c>
      <c r="N34" s="199">
        <v>1</v>
      </c>
      <c r="O34" s="200"/>
      <c r="P34" s="201" t="s">
        <v>202</v>
      </c>
      <c r="Q34" s="201"/>
      <c r="R34" s="77"/>
      <c r="S34" s="93" t="s">
        <v>167</v>
      </c>
      <c r="T34" s="83" t="s">
        <v>137</v>
      </c>
      <c r="U34" s="199">
        <v>0.2</v>
      </c>
      <c r="V34" s="200"/>
      <c r="W34" s="201" t="s">
        <v>205</v>
      </c>
      <c r="X34" s="201"/>
      <c r="Y34" s="72"/>
      <c r="Z34" s="93" t="s">
        <v>144</v>
      </c>
      <c r="AA34" s="83" t="s">
        <v>137</v>
      </c>
      <c r="AB34" s="199">
        <v>0.45</v>
      </c>
      <c r="AC34" s="200"/>
      <c r="AD34" s="201" t="s">
        <v>209</v>
      </c>
      <c r="AE34" s="201"/>
    </row>
    <row r="35" spans="1:32" ht="17.25" customHeight="1" x14ac:dyDescent="0.25">
      <c r="A35" s="212"/>
      <c r="B35" s="209"/>
      <c r="C35" s="16" t="s">
        <v>24</v>
      </c>
      <c r="E35" s="94" t="s">
        <v>134</v>
      </c>
      <c r="F35" s="83" t="s">
        <v>137</v>
      </c>
      <c r="G35" s="155">
        <v>0.02</v>
      </c>
      <c r="H35" s="156"/>
      <c r="I35" s="201" t="s">
        <v>202</v>
      </c>
      <c r="J35" s="201"/>
      <c r="K35" s="77"/>
      <c r="L35" s="94" t="s">
        <v>134</v>
      </c>
      <c r="M35" s="83" t="s">
        <v>137</v>
      </c>
      <c r="N35" s="155">
        <v>0.02</v>
      </c>
      <c r="O35" s="156"/>
      <c r="P35" s="201" t="s">
        <v>202</v>
      </c>
      <c r="Q35" s="201"/>
      <c r="R35" s="77"/>
      <c r="S35" s="93" t="s">
        <v>120</v>
      </c>
      <c r="T35" s="83" t="s">
        <v>137</v>
      </c>
      <c r="U35" s="155">
        <v>1</v>
      </c>
      <c r="V35" s="156"/>
      <c r="W35" s="201" t="s">
        <v>205</v>
      </c>
      <c r="X35" s="201"/>
      <c r="Y35" s="72"/>
      <c r="Z35" s="94" t="s">
        <v>145</v>
      </c>
      <c r="AA35" s="83" t="s">
        <v>137</v>
      </c>
      <c r="AB35" s="155">
        <v>2.5</v>
      </c>
      <c r="AC35" s="156"/>
      <c r="AD35" s="155" t="s">
        <v>210</v>
      </c>
      <c r="AE35" s="156"/>
    </row>
    <row r="36" spans="1:32" s="66" customFormat="1" ht="17.25" customHeight="1" x14ac:dyDescent="0.25">
      <c r="A36" s="212"/>
      <c r="B36" s="209"/>
      <c r="C36" s="16" t="s">
        <v>24</v>
      </c>
      <c r="D36" s="70"/>
      <c r="E36" s="94" t="s">
        <v>135</v>
      </c>
      <c r="F36" s="83" t="s">
        <v>137</v>
      </c>
      <c r="G36" s="155">
        <v>1.25</v>
      </c>
      <c r="H36" s="156"/>
      <c r="I36" s="155" t="s">
        <v>202</v>
      </c>
      <c r="J36" s="156"/>
      <c r="K36" s="95"/>
      <c r="L36" s="94" t="s">
        <v>135</v>
      </c>
      <c r="M36" s="83" t="s">
        <v>137</v>
      </c>
      <c r="N36" s="155">
        <v>1.25</v>
      </c>
      <c r="O36" s="156"/>
      <c r="P36" s="155" t="s">
        <v>202</v>
      </c>
      <c r="Q36" s="156"/>
      <c r="R36" s="95"/>
      <c r="S36" s="94"/>
      <c r="T36" s="86"/>
      <c r="U36" s="96"/>
      <c r="V36" s="94"/>
      <c r="W36" s="96"/>
      <c r="X36" s="94"/>
      <c r="Y36" s="97"/>
      <c r="Z36" s="94" t="s">
        <v>146</v>
      </c>
      <c r="AA36" s="83" t="s">
        <v>137</v>
      </c>
      <c r="AB36" s="155">
        <v>0.8</v>
      </c>
      <c r="AC36" s="156"/>
      <c r="AD36" s="155" t="s">
        <v>211</v>
      </c>
      <c r="AE36" s="156"/>
      <c r="AF36" s="70"/>
    </row>
    <row r="37" spans="1:32" x14ac:dyDescent="0.25">
      <c r="A37" s="212"/>
      <c r="B37" s="209"/>
      <c r="C37" s="16" t="s">
        <v>25</v>
      </c>
      <c r="E37" s="94"/>
      <c r="F37" s="86"/>
      <c r="G37" s="155"/>
      <c r="H37" s="156"/>
      <c r="I37" s="214"/>
      <c r="J37" s="214"/>
      <c r="K37" s="77"/>
      <c r="L37" s="94"/>
      <c r="M37" s="86"/>
      <c r="N37" s="155"/>
      <c r="O37" s="156"/>
      <c r="P37" s="214"/>
      <c r="Q37" s="214"/>
      <c r="R37" s="77"/>
      <c r="S37" s="94" t="s">
        <v>121</v>
      </c>
      <c r="T37" s="83" t="s">
        <v>137</v>
      </c>
      <c r="U37" s="155">
        <v>1.6</v>
      </c>
      <c r="V37" s="156"/>
      <c r="W37" s="201" t="s">
        <v>202</v>
      </c>
      <c r="X37" s="201"/>
      <c r="Y37" s="72"/>
      <c r="Z37" s="94" t="s">
        <v>147</v>
      </c>
      <c r="AA37" s="83" t="s">
        <v>137</v>
      </c>
      <c r="AB37" s="155" t="s">
        <v>148</v>
      </c>
      <c r="AC37" s="156"/>
      <c r="AD37" s="214" t="s">
        <v>212</v>
      </c>
      <c r="AE37" s="214"/>
    </row>
    <row r="38" spans="1:32" x14ac:dyDescent="0.25">
      <c r="A38" s="212"/>
      <c r="B38" s="209"/>
      <c r="C38" s="16" t="s">
        <v>22</v>
      </c>
      <c r="E38" s="94" t="s">
        <v>136</v>
      </c>
      <c r="F38" s="86"/>
      <c r="G38" s="214"/>
      <c r="H38" s="214"/>
      <c r="I38" s="214" t="s">
        <v>213</v>
      </c>
      <c r="J38" s="214"/>
      <c r="K38" s="77"/>
      <c r="L38" s="94" t="s">
        <v>136</v>
      </c>
      <c r="M38" s="86"/>
      <c r="N38" s="214"/>
      <c r="O38" s="214"/>
      <c r="P38" s="214" t="s">
        <v>213</v>
      </c>
      <c r="Q38" s="214"/>
      <c r="R38" s="77"/>
      <c r="S38" s="94" t="s">
        <v>122</v>
      </c>
      <c r="T38" s="83" t="s">
        <v>137</v>
      </c>
      <c r="U38" s="214">
        <v>0.8</v>
      </c>
      <c r="V38" s="214"/>
      <c r="W38" s="201" t="s">
        <v>202</v>
      </c>
      <c r="X38" s="201"/>
      <c r="Y38" s="72"/>
      <c r="Z38" s="94" t="s">
        <v>94</v>
      </c>
      <c r="AA38" s="83" t="s">
        <v>137</v>
      </c>
      <c r="AB38" s="214">
        <v>7.4999999999999997E-2</v>
      </c>
      <c r="AC38" s="214"/>
      <c r="AD38" s="214" t="s">
        <v>214</v>
      </c>
      <c r="AE38" s="214"/>
    </row>
    <row r="39" spans="1:32" x14ac:dyDescent="0.25">
      <c r="A39" s="212"/>
      <c r="B39" s="209"/>
      <c r="C39" s="16" t="s">
        <v>22</v>
      </c>
      <c r="E39" s="94"/>
      <c r="F39" s="86"/>
      <c r="G39" s="155"/>
      <c r="H39" s="156"/>
      <c r="I39" s="155"/>
      <c r="J39" s="156"/>
      <c r="K39" s="77"/>
      <c r="L39" s="94"/>
      <c r="M39" s="86"/>
      <c r="N39" s="155"/>
      <c r="O39" s="156"/>
      <c r="P39" s="155"/>
      <c r="Q39" s="156"/>
      <c r="R39" s="77"/>
      <c r="S39" s="94"/>
      <c r="T39" s="86"/>
      <c r="U39" s="155"/>
      <c r="V39" s="156"/>
      <c r="W39" s="155"/>
      <c r="X39" s="156"/>
      <c r="Y39" s="72"/>
      <c r="Z39" s="94" t="s">
        <v>149</v>
      </c>
      <c r="AA39" s="83" t="s">
        <v>137</v>
      </c>
      <c r="AB39" s="155">
        <v>0.15</v>
      </c>
      <c r="AC39" s="156"/>
      <c r="AD39" s="155" t="s">
        <v>207</v>
      </c>
      <c r="AE39" s="156"/>
    </row>
    <row r="40" spans="1:32" ht="15.75" thickBot="1" x14ac:dyDescent="0.3">
      <c r="A40" s="212"/>
      <c r="B40" s="209"/>
      <c r="C40" s="42" t="s">
        <v>22</v>
      </c>
      <c r="E40" s="98"/>
      <c r="F40" s="91"/>
      <c r="G40" s="197"/>
      <c r="H40" s="198"/>
      <c r="I40" s="197"/>
      <c r="J40" s="198"/>
      <c r="K40" s="77"/>
      <c r="L40" s="98"/>
      <c r="M40" s="91"/>
      <c r="N40" s="197"/>
      <c r="O40" s="198"/>
      <c r="P40" s="197"/>
      <c r="Q40" s="198"/>
      <c r="R40" s="77"/>
      <c r="S40" s="98"/>
      <c r="T40" s="91"/>
      <c r="U40" s="197"/>
      <c r="V40" s="198"/>
      <c r="W40" s="197"/>
      <c r="X40" s="198"/>
      <c r="Y40" s="72"/>
      <c r="Z40" s="98" t="s">
        <v>122</v>
      </c>
      <c r="AA40" s="83" t="s">
        <v>137</v>
      </c>
      <c r="AB40" s="197">
        <v>0.8</v>
      </c>
      <c r="AC40" s="198"/>
      <c r="AD40" s="155" t="s">
        <v>207</v>
      </c>
      <c r="AE40" s="156"/>
    </row>
    <row r="41" spans="1:32" s="33" customFormat="1" ht="15.75" thickBot="1" x14ac:dyDescent="0.3">
      <c r="A41" s="213"/>
      <c r="B41" s="210"/>
      <c r="C41" s="43" t="s">
        <v>71</v>
      </c>
      <c r="D41" s="22"/>
      <c r="E41" s="216"/>
      <c r="F41" s="216"/>
      <c r="G41" s="216"/>
      <c r="H41" s="196"/>
      <c r="I41" s="215"/>
      <c r="J41" s="215"/>
      <c r="K41" s="99"/>
      <c r="L41" s="216"/>
      <c r="M41" s="216"/>
      <c r="N41" s="216"/>
      <c r="O41" s="196"/>
      <c r="P41" s="215"/>
      <c r="Q41" s="215"/>
      <c r="R41" s="99"/>
      <c r="S41" s="216"/>
      <c r="T41" s="216"/>
      <c r="U41" s="216"/>
      <c r="V41" s="196"/>
      <c r="W41" s="215"/>
      <c r="X41" s="215"/>
      <c r="Y41" s="99"/>
      <c r="Z41" s="216"/>
      <c r="AA41" s="216"/>
      <c r="AB41" s="216"/>
      <c r="AC41" s="196"/>
      <c r="AD41" s="215"/>
      <c r="AE41" s="215"/>
      <c r="AF41" s="34"/>
    </row>
    <row r="42" spans="1:32" ht="15.75" thickBot="1" x14ac:dyDescent="0.3">
      <c r="A42" s="11"/>
      <c r="B42" s="14"/>
      <c r="C42" s="14"/>
      <c r="E42" s="171"/>
      <c r="F42" s="172"/>
      <c r="G42" s="172"/>
      <c r="H42" s="172"/>
      <c r="I42" s="172"/>
      <c r="J42" s="172"/>
      <c r="K42" s="77"/>
      <c r="L42" s="171"/>
      <c r="M42" s="172"/>
      <c r="N42" s="172"/>
      <c r="O42" s="172"/>
      <c r="P42" s="172"/>
      <c r="Q42" s="172"/>
      <c r="R42" s="77"/>
      <c r="S42" s="171"/>
      <c r="T42" s="172"/>
      <c r="U42" s="172"/>
      <c r="V42" s="172"/>
      <c r="W42" s="172"/>
      <c r="X42" s="172"/>
      <c r="Y42" s="72"/>
      <c r="Z42" s="171"/>
      <c r="AA42" s="172"/>
      <c r="AB42" s="172"/>
      <c r="AC42" s="172"/>
      <c r="AD42" s="172"/>
      <c r="AE42" s="172"/>
    </row>
    <row r="43" spans="1:32" ht="15.75" thickBot="1" x14ac:dyDescent="0.3">
      <c r="A43" s="217" t="s">
        <v>26</v>
      </c>
      <c r="B43" s="218" t="s">
        <v>100</v>
      </c>
      <c r="C43" s="44"/>
      <c r="D43" s="54"/>
      <c r="E43" s="221" t="s">
        <v>9</v>
      </c>
      <c r="F43" s="222"/>
      <c r="G43" s="223" t="s">
        <v>10</v>
      </c>
      <c r="H43" s="223"/>
      <c r="I43" s="223"/>
      <c r="J43" s="223"/>
      <c r="K43" s="100" t="s">
        <v>9</v>
      </c>
      <c r="L43" s="221" t="s">
        <v>9</v>
      </c>
      <c r="M43" s="222"/>
      <c r="N43" s="223" t="s">
        <v>10</v>
      </c>
      <c r="O43" s="223"/>
      <c r="P43" s="223"/>
      <c r="Q43" s="223"/>
      <c r="R43" s="100"/>
      <c r="S43" s="221" t="s">
        <v>9</v>
      </c>
      <c r="T43" s="222"/>
      <c r="U43" s="223" t="s">
        <v>10</v>
      </c>
      <c r="V43" s="223"/>
      <c r="W43" s="223"/>
      <c r="X43" s="223"/>
      <c r="Y43" s="100"/>
      <c r="Z43" s="221" t="s">
        <v>9</v>
      </c>
      <c r="AA43" s="222"/>
      <c r="AB43" s="223" t="s">
        <v>10</v>
      </c>
      <c r="AC43" s="223"/>
      <c r="AD43" s="223"/>
      <c r="AE43" s="223"/>
      <c r="AF43" s="54"/>
    </row>
    <row r="44" spans="1:32" ht="15" customHeight="1" x14ac:dyDescent="0.25">
      <c r="A44" s="217"/>
      <c r="B44" s="219"/>
      <c r="C44" s="15" t="s">
        <v>27</v>
      </c>
      <c r="E44" s="224"/>
      <c r="F44" s="225"/>
      <c r="G44" s="226" t="s">
        <v>215</v>
      </c>
      <c r="H44" s="226"/>
      <c r="I44" s="226"/>
      <c r="J44" s="226"/>
      <c r="K44" s="77"/>
      <c r="L44" s="224"/>
      <c r="M44" s="225"/>
      <c r="N44" s="226" t="s">
        <v>215</v>
      </c>
      <c r="O44" s="226"/>
      <c r="P44" s="226"/>
      <c r="Q44" s="226"/>
      <c r="R44" s="77"/>
      <c r="S44" s="224"/>
      <c r="T44" s="225"/>
      <c r="U44" s="226" t="s">
        <v>216</v>
      </c>
      <c r="V44" s="226"/>
      <c r="W44" s="226"/>
      <c r="X44" s="226"/>
      <c r="Y44" s="72"/>
      <c r="Z44" s="224"/>
      <c r="AA44" s="225"/>
      <c r="AB44" s="226" t="s">
        <v>216</v>
      </c>
      <c r="AC44" s="226"/>
      <c r="AD44" s="226"/>
      <c r="AE44" s="226"/>
    </row>
    <row r="45" spans="1:32" x14ac:dyDescent="0.25">
      <c r="A45" s="217"/>
      <c r="B45" s="219"/>
      <c r="C45" s="15" t="s">
        <v>28</v>
      </c>
      <c r="E45" s="227"/>
      <c r="F45" s="228"/>
      <c r="G45" s="194" t="s">
        <v>217</v>
      </c>
      <c r="H45" s="194"/>
      <c r="I45" s="194"/>
      <c r="J45" s="194"/>
      <c r="K45" s="77"/>
      <c r="L45" s="227"/>
      <c r="M45" s="228"/>
      <c r="N45" s="194" t="s">
        <v>217</v>
      </c>
      <c r="O45" s="194"/>
      <c r="P45" s="194"/>
      <c r="Q45" s="194"/>
      <c r="R45" s="77"/>
      <c r="S45" s="227"/>
      <c r="T45" s="228"/>
      <c r="U45" s="194" t="s">
        <v>218</v>
      </c>
      <c r="V45" s="194"/>
      <c r="W45" s="194"/>
      <c r="X45" s="194"/>
      <c r="Y45" s="72"/>
      <c r="Z45" s="227"/>
      <c r="AA45" s="228"/>
      <c r="AB45" s="194"/>
      <c r="AC45" s="194"/>
      <c r="AD45" s="194"/>
      <c r="AE45" s="194"/>
    </row>
    <row r="46" spans="1:32" ht="15.75" thickBot="1" x14ac:dyDescent="0.3">
      <c r="A46" s="217"/>
      <c r="B46" s="220"/>
      <c r="C46" s="45" t="s">
        <v>29</v>
      </c>
      <c r="E46" s="229"/>
      <c r="F46" s="230"/>
      <c r="G46" s="192"/>
      <c r="H46" s="192"/>
      <c r="I46" s="192"/>
      <c r="J46" s="192"/>
      <c r="K46" s="77"/>
      <c r="L46" s="229"/>
      <c r="M46" s="230"/>
      <c r="N46" s="192"/>
      <c r="O46" s="192"/>
      <c r="P46" s="192"/>
      <c r="Q46" s="192"/>
      <c r="R46" s="77"/>
      <c r="S46" s="229"/>
      <c r="T46" s="230"/>
      <c r="U46" s="192" t="s">
        <v>219</v>
      </c>
      <c r="V46" s="192"/>
      <c r="W46" s="192"/>
      <c r="X46" s="192"/>
      <c r="Y46" s="72"/>
      <c r="Z46" s="229"/>
      <c r="AA46" s="230"/>
      <c r="AB46" s="192" t="s">
        <v>220</v>
      </c>
      <c r="AC46" s="192"/>
      <c r="AD46" s="192"/>
      <c r="AE46" s="192"/>
    </row>
    <row r="47" spans="1:32" ht="15.75" thickBot="1" x14ac:dyDescent="0.3">
      <c r="A47" s="11"/>
      <c r="B47" s="14"/>
      <c r="C47" s="14"/>
      <c r="E47" s="171"/>
      <c r="F47" s="172"/>
      <c r="G47" s="172"/>
      <c r="H47" s="172"/>
      <c r="I47" s="172"/>
      <c r="J47" s="172"/>
      <c r="K47" s="77"/>
      <c r="L47" s="171"/>
      <c r="M47" s="172"/>
      <c r="N47" s="172"/>
      <c r="O47" s="172"/>
      <c r="P47" s="172"/>
      <c r="Q47" s="172"/>
      <c r="R47" s="77"/>
      <c r="S47" s="171"/>
      <c r="T47" s="172"/>
      <c r="U47" s="172"/>
      <c r="V47" s="172"/>
      <c r="W47" s="172"/>
      <c r="X47" s="172"/>
      <c r="Y47" s="72"/>
      <c r="Z47" s="171"/>
      <c r="AA47" s="172"/>
      <c r="AB47" s="172"/>
      <c r="AC47" s="172"/>
      <c r="AD47" s="172"/>
      <c r="AE47" s="172"/>
    </row>
    <row r="48" spans="1:32" ht="15" customHeight="1" thickBot="1" x14ac:dyDescent="0.3">
      <c r="A48" s="231" t="s">
        <v>30</v>
      </c>
      <c r="B48" s="233" t="s">
        <v>101</v>
      </c>
      <c r="C48" s="53"/>
      <c r="E48" s="101" t="s">
        <v>9</v>
      </c>
      <c r="F48" s="236" t="s">
        <v>87</v>
      </c>
      <c r="G48" s="237"/>
      <c r="H48" s="238" t="s">
        <v>86</v>
      </c>
      <c r="I48" s="238"/>
      <c r="J48" s="238"/>
      <c r="K48" s="77"/>
      <c r="L48" s="101" t="s">
        <v>9</v>
      </c>
      <c r="M48" s="236" t="s">
        <v>87</v>
      </c>
      <c r="N48" s="237"/>
      <c r="O48" s="238" t="s">
        <v>86</v>
      </c>
      <c r="P48" s="238"/>
      <c r="Q48" s="238"/>
      <c r="R48" s="77"/>
      <c r="S48" s="101" t="s">
        <v>9</v>
      </c>
      <c r="T48" s="236" t="s">
        <v>87</v>
      </c>
      <c r="U48" s="237"/>
      <c r="V48" s="238" t="s">
        <v>86</v>
      </c>
      <c r="W48" s="238"/>
      <c r="X48" s="238"/>
      <c r="Y48" s="72"/>
      <c r="Z48" s="101" t="s">
        <v>9</v>
      </c>
      <c r="AA48" s="236" t="s">
        <v>87</v>
      </c>
      <c r="AB48" s="237"/>
      <c r="AC48" s="238" t="s">
        <v>86</v>
      </c>
      <c r="AD48" s="238"/>
      <c r="AE48" s="238"/>
    </row>
    <row r="49" spans="1:32" ht="15" customHeight="1" x14ac:dyDescent="0.25">
      <c r="A49" s="232"/>
      <c r="B49" s="234"/>
      <c r="C49" s="52" t="s">
        <v>35</v>
      </c>
      <c r="E49" s="102" t="s">
        <v>115</v>
      </c>
      <c r="F49" s="241">
        <v>11</v>
      </c>
      <c r="G49" s="242"/>
      <c r="H49" s="243" t="s">
        <v>153</v>
      </c>
      <c r="I49" s="243"/>
      <c r="J49" s="243"/>
      <c r="K49" s="77"/>
      <c r="L49" s="102" t="s">
        <v>115</v>
      </c>
      <c r="M49" s="241">
        <v>11</v>
      </c>
      <c r="N49" s="242"/>
      <c r="O49" s="243" t="s">
        <v>153</v>
      </c>
      <c r="P49" s="243"/>
      <c r="Q49" s="243"/>
      <c r="R49" s="77"/>
      <c r="S49" s="102" t="s">
        <v>115</v>
      </c>
      <c r="T49" s="241">
        <v>7</v>
      </c>
      <c r="U49" s="242"/>
      <c r="V49" s="243" t="s">
        <v>169</v>
      </c>
      <c r="W49" s="243"/>
      <c r="X49" s="243"/>
      <c r="Y49" s="72"/>
      <c r="Z49" s="102" t="s">
        <v>115</v>
      </c>
      <c r="AA49" s="241">
        <v>3.2</v>
      </c>
      <c r="AB49" s="242"/>
      <c r="AC49" s="243" t="s">
        <v>164</v>
      </c>
      <c r="AD49" s="243"/>
      <c r="AE49" s="243"/>
    </row>
    <row r="50" spans="1:32" ht="15.75" thickBot="1" x14ac:dyDescent="0.3">
      <c r="A50" s="232"/>
      <c r="B50" s="235"/>
      <c r="C50" s="51" t="s">
        <v>34</v>
      </c>
      <c r="E50" s="103"/>
      <c r="F50" s="239"/>
      <c r="G50" s="240"/>
      <c r="H50" s="162"/>
      <c r="I50" s="162"/>
      <c r="J50" s="162"/>
      <c r="K50" s="77"/>
      <c r="L50" s="103"/>
      <c r="M50" s="239"/>
      <c r="N50" s="240"/>
      <c r="O50" s="162"/>
      <c r="P50" s="162"/>
      <c r="Q50" s="162"/>
      <c r="R50" s="77"/>
      <c r="S50" s="103" t="s">
        <v>123</v>
      </c>
      <c r="T50" s="239"/>
      <c r="U50" s="240"/>
      <c r="V50" s="162"/>
      <c r="W50" s="162"/>
      <c r="X50" s="162"/>
      <c r="Y50" s="72"/>
      <c r="Z50" s="103"/>
      <c r="AA50" s="239"/>
      <c r="AB50" s="240"/>
      <c r="AC50" s="162"/>
      <c r="AD50" s="162"/>
      <c r="AE50" s="162"/>
    </row>
    <row r="51" spans="1:32" ht="15.75" thickBot="1" x14ac:dyDescent="0.3">
      <c r="A51" s="11"/>
      <c r="B51" s="14"/>
      <c r="C51" s="14"/>
      <c r="E51" s="171"/>
      <c r="F51" s="172"/>
      <c r="G51" s="172"/>
      <c r="H51" s="172"/>
      <c r="I51" s="172"/>
      <c r="J51" s="172"/>
      <c r="K51" s="77"/>
      <c r="L51" s="171"/>
      <c r="M51" s="172"/>
      <c r="N51" s="172"/>
      <c r="O51" s="172"/>
      <c r="P51" s="172"/>
      <c r="Q51" s="172"/>
      <c r="R51" s="77"/>
      <c r="S51" s="171"/>
      <c r="T51" s="172"/>
      <c r="U51" s="172"/>
      <c r="V51" s="172"/>
      <c r="W51" s="172"/>
      <c r="X51" s="172"/>
      <c r="Y51" s="72"/>
      <c r="Z51" s="171"/>
      <c r="AA51" s="172"/>
      <c r="AB51" s="172"/>
      <c r="AC51" s="172"/>
      <c r="AD51" s="172"/>
      <c r="AE51" s="172"/>
    </row>
    <row r="52" spans="1:32" ht="15" customHeight="1" x14ac:dyDescent="0.25">
      <c r="A52" s="211" t="s">
        <v>31</v>
      </c>
      <c r="B52" s="244" t="s">
        <v>106</v>
      </c>
      <c r="C52" s="50" t="s">
        <v>36</v>
      </c>
      <c r="E52" s="247">
        <v>145</v>
      </c>
      <c r="F52" s="248"/>
      <c r="G52" s="248"/>
      <c r="H52" s="248"/>
      <c r="I52" s="248"/>
      <c r="J52" s="248"/>
      <c r="K52" s="77"/>
      <c r="L52" s="247">
        <v>145</v>
      </c>
      <c r="M52" s="248"/>
      <c r="N52" s="248"/>
      <c r="O52" s="248"/>
      <c r="P52" s="248"/>
      <c r="Q52" s="248"/>
      <c r="R52" s="77"/>
      <c r="S52" s="247">
        <v>106</v>
      </c>
      <c r="T52" s="248"/>
      <c r="U52" s="248"/>
      <c r="V52" s="248"/>
      <c r="W52" s="248"/>
      <c r="X52" s="248"/>
      <c r="Y52" s="72"/>
      <c r="Z52" s="247">
        <v>81</v>
      </c>
      <c r="AA52" s="248"/>
      <c r="AB52" s="248"/>
      <c r="AC52" s="248"/>
      <c r="AD52" s="248"/>
      <c r="AE52" s="248"/>
    </row>
    <row r="53" spans="1:32" x14ac:dyDescent="0.25">
      <c r="A53" s="212"/>
      <c r="B53" s="245"/>
      <c r="C53" s="18" t="s">
        <v>72</v>
      </c>
      <c r="E53" s="156">
        <v>358</v>
      </c>
      <c r="F53" s="214"/>
      <c r="G53" s="214"/>
      <c r="H53" s="214"/>
      <c r="I53" s="214"/>
      <c r="J53" s="214"/>
      <c r="K53" s="77"/>
      <c r="L53" s="156">
        <v>358</v>
      </c>
      <c r="M53" s="214"/>
      <c r="N53" s="214"/>
      <c r="O53" s="214"/>
      <c r="P53" s="214"/>
      <c r="Q53" s="214"/>
      <c r="R53" s="77"/>
      <c r="S53" s="156">
        <v>291</v>
      </c>
      <c r="T53" s="214"/>
      <c r="U53" s="214"/>
      <c r="V53" s="214"/>
      <c r="W53" s="214"/>
      <c r="X53" s="214"/>
      <c r="Y53" s="72"/>
      <c r="Z53" s="156">
        <v>375</v>
      </c>
      <c r="AA53" s="214"/>
      <c r="AB53" s="214"/>
      <c r="AC53" s="214"/>
      <c r="AD53" s="214"/>
      <c r="AE53" s="214"/>
    </row>
    <row r="54" spans="1:32" x14ac:dyDescent="0.25">
      <c r="A54" s="212"/>
      <c r="B54" s="245"/>
      <c r="C54" s="18" t="s">
        <v>42</v>
      </c>
      <c r="E54" s="156">
        <v>212</v>
      </c>
      <c r="F54" s="214"/>
      <c r="G54" s="214"/>
      <c r="H54" s="214"/>
      <c r="I54" s="214"/>
      <c r="J54" s="214"/>
      <c r="K54" s="77"/>
      <c r="L54" s="156">
        <v>212</v>
      </c>
      <c r="M54" s="214"/>
      <c r="N54" s="214"/>
      <c r="O54" s="214"/>
      <c r="P54" s="214"/>
      <c r="Q54" s="214"/>
      <c r="R54" s="77"/>
      <c r="S54" s="156">
        <v>148</v>
      </c>
      <c r="T54" s="214"/>
      <c r="U54" s="214"/>
      <c r="V54" s="214"/>
      <c r="W54" s="214"/>
      <c r="X54" s="214"/>
      <c r="Y54" s="72"/>
      <c r="Z54" s="156">
        <v>308</v>
      </c>
      <c r="AA54" s="214"/>
      <c r="AB54" s="214"/>
      <c r="AC54" s="214"/>
      <c r="AD54" s="214"/>
      <c r="AE54" s="214"/>
    </row>
    <row r="55" spans="1:32" x14ac:dyDescent="0.25">
      <c r="A55" s="212"/>
      <c r="B55" s="245"/>
      <c r="C55" s="18" t="s">
        <v>43</v>
      </c>
      <c r="E55" s="156" t="s">
        <v>171</v>
      </c>
      <c r="F55" s="214"/>
      <c r="G55" s="214"/>
      <c r="H55" s="214"/>
      <c r="I55" s="214"/>
      <c r="J55" s="214"/>
      <c r="K55" s="77"/>
      <c r="L55" s="156" t="s">
        <v>171</v>
      </c>
      <c r="M55" s="214"/>
      <c r="N55" s="214"/>
      <c r="O55" s="214"/>
      <c r="P55" s="214"/>
      <c r="Q55" s="214"/>
      <c r="R55" s="77"/>
      <c r="S55" s="156" t="s">
        <v>177</v>
      </c>
      <c r="T55" s="214"/>
      <c r="U55" s="214"/>
      <c r="V55" s="214"/>
      <c r="W55" s="214"/>
      <c r="X55" s="214"/>
      <c r="Y55" s="72"/>
      <c r="Z55" s="156" t="s">
        <v>170</v>
      </c>
      <c r="AA55" s="214"/>
      <c r="AB55" s="214"/>
      <c r="AC55" s="214"/>
      <c r="AD55" s="214"/>
      <c r="AE55" s="214"/>
    </row>
    <row r="56" spans="1:32" x14ac:dyDescent="0.25">
      <c r="A56" s="212"/>
      <c r="B56" s="245"/>
      <c r="C56" s="16" t="s">
        <v>44</v>
      </c>
      <c r="E56" s="249">
        <v>350</v>
      </c>
      <c r="F56" s="250"/>
      <c r="G56" s="250"/>
      <c r="H56" s="250"/>
      <c r="I56" s="250"/>
      <c r="J56" s="250"/>
      <c r="K56" s="77"/>
      <c r="L56" s="249">
        <v>350</v>
      </c>
      <c r="M56" s="250"/>
      <c r="N56" s="250"/>
      <c r="O56" s="250"/>
      <c r="P56" s="250"/>
      <c r="Q56" s="250"/>
      <c r="R56" s="77"/>
      <c r="S56" s="249">
        <v>80</v>
      </c>
      <c r="T56" s="250"/>
      <c r="U56" s="250"/>
      <c r="V56" s="250"/>
      <c r="W56" s="250"/>
      <c r="X56" s="250"/>
      <c r="Y56" s="72"/>
      <c r="Z56" s="249">
        <v>60</v>
      </c>
      <c r="AA56" s="250"/>
      <c r="AB56" s="250"/>
      <c r="AC56" s="250"/>
      <c r="AD56" s="250"/>
      <c r="AE56" s="250"/>
    </row>
    <row r="57" spans="1:32" x14ac:dyDescent="0.25">
      <c r="A57" s="212"/>
      <c r="B57" s="245"/>
      <c r="C57" s="16" t="s">
        <v>45</v>
      </c>
      <c r="E57" s="249" t="s">
        <v>163</v>
      </c>
      <c r="F57" s="250"/>
      <c r="G57" s="250"/>
      <c r="H57" s="250"/>
      <c r="I57" s="250"/>
      <c r="J57" s="250"/>
      <c r="K57" s="77"/>
      <c r="L57" s="249" t="s">
        <v>163</v>
      </c>
      <c r="M57" s="250"/>
      <c r="N57" s="250"/>
      <c r="O57" s="250"/>
      <c r="P57" s="250"/>
      <c r="Q57" s="250"/>
      <c r="R57" s="77"/>
      <c r="S57" s="249" t="s">
        <v>178</v>
      </c>
      <c r="T57" s="250"/>
      <c r="U57" s="250"/>
      <c r="V57" s="250"/>
      <c r="W57" s="250"/>
      <c r="X57" s="250"/>
      <c r="Y57" s="72"/>
      <c r="Z57" s="249" t="s">
        <v>165</v>
      </c>
      <c r="AA57" s="250"/>
      <c r="AB57" s="250"/>
      <c r="AC57" s="250"/>
      <c r="AD57" s="250"/>
      <c r="AE57" s="250"/>
    </row>
    <row r="58" spans="1:32" x14ac:dyDescent="0.25">
      <c r="A58" s="212"/>
      <c r="B58" s="245"/>
      <c r="C58" s="18" t="s">
        <v>46</v>
      </c>
      <c r="E58" s="249">
        <v>260</v>
      </c>
      <c r="F58" s="250"/>
      <c r="G58" s="250"/>
      <c r="H58" s="250"/>
      <c r="I58" s="250"/>
      <c r="J58" s="250"/>
      <c r="K58" s="77"/>
      <c r="L58" s="249">
        <v>260</v>
      </c>
      <c r="M58" s="250"/>
      <c r="N58" s="250"/>
      <c r="O58" s="250"/>
      <c r="P58" s="250"/>
      <c r="Q58" s="250"/>
      <c r="R58" s="77"/>
      <c r="S58" s="249" t="s">
        <v>116</v>
      </c>
      <c r="T58" s="250"/>
      <c r="U58" s="250"/>
      <c r="V58" s="250"/>
      <c r="W58" s="250"/>
      <c r="X58" s="250"/>
      <c r="Y58" s="72"/>
      <c r="Z58" s="249">
        <v>30</v>
      </c>
      <c r="AA58" s="250"/>
      <c r="AB58" s="250"/>
      <c r="AC58" s="250"/>
      <c r="AD58" s="250"/>
      <c r="AE58" s="250"/>
    </row>
    <row r="59" spans="1:32" x14ac:dyDescent="0.25">
      <c r="A59" s="212"/>
      <c r="B59" s="245"/>
      <c r="C59" s="16" t="s">
        <v>47</v>
      </c>
      <c r="E59" s="156">
        <v>1676</v>
      </c>
      <c r="F59" s="214"/>
      <c r="G59" s="214"/>
      <c r="H59" s="214"/>
      <c r="I59" s="214"/>
      <c r="J59" s="214"/>
      <c r="K59" s="77"/>
      <c r="L59" s="156">
        <v>1676</v>
      </c>
      <c r="M59" s="214"/>
      <c r="N59" s="214"/>
      <c r="O59" s="214"/>
      <c r="P59" s="214"/>
      <c r="Q59" s="214"/>
      <c r="R59" s="77"/>
      <c r="S59" s="156">
        <v>913</v>
      </c>
      <c r="T59" s="214"/>
      <c r="U59" s="214"/>
      <c r="V59" s="214"/>
      <c r="W59" s="214"/>
      <c r="X59" s="214"/>
      <c r="Y59" s="72"/>
      <c r="Z59" s="156">
        <v>1321</v>
      </c>
      <c r="AA59" s="214"/>
      <c r="AB59" s="214"/>
      <c r="AC59" s="214"/>
      <c r="AD59" s="214"/>
      <c r="AE59" s="214"/>
    </row>
    <row r="60" spans="1:32" ht="15" customHeight="1" x14ac:dyDescent="0.25">
      <c r="A60" s="212"/>
      <c r="B60" s="245"/>
      <c r="C60" s="251" t="s">
        <v>73</v>
      </c>
      <c r="D60" s="40"/>
      <c r="E60" s="249" t="s">
        <v>166</v>
      </c>
      <c r="F60" s="250"/>
      <c r="G60" s="250"/>
      <c r="H60" s="250"/>
      <c r="I60" s="250"/>
      <c r="J60" s="250"/>
      <c r="K60" s="104"/>
      <c r="L60" s="249" t="s">
        <v>166</v>
      </c>
      <c r="M60" s="250"/>
      <c r="N60" s="250"/>
      <c r="O60" s="250"/>
      <c r="P60" s="250"/>
      <c r="Q60" s="250"/>
      <c r="R60" s="104"/>
      <c r="S60" s="249">
        <v>270</v>
      </c>
      <c r="T60" s="250"/>
      <c r="U60" s="250"/>
      <c r="V60" s="250"/>
      <c r="W60" s="250"/>
      <c r="X60" s="250"/>
      <c r="Y60" s="104"/>
      <c r="Z60" s="249">
        <v>270</v>
      </c>
      <c r="AA60" s="250"/>
      <c r="AB60" s="250"/>
      <c r="AC60" s="250"/>
      <c r="AD60" s="250"/>
      <c r="AE60" s="250"/>
      <c r="AF60" s="35"/>
    </row>
    <row r="61" spans="1:32" ht="15.75" thickBot="1" x14ac:dyDescent="0.3">
      <c r="A61" s="213"/>
      <c r="B61" s="246"/>
      <c r="C61" s="252"/>
      <c r="D61" s="40"/>
      <c r="E61" s="253"/>
      <c r="F61" s="254"/>
      <c r="G61" s="254"/>
      <c r="H61" s="254"/>
      <c r="I61" s="254"/>
      <c r="J61" s="254"/>
      <c r="K61" s="104"/>
      <c r="L61" s="253"/>
      <c r="M61" s="254"/>
      <c r="N61" s="254"/>
      <c r="O61" s="254"/>
      <c r="P61" s="254"/>
      <c r="Q61" s="254"/>
      <c r="R61" s="104"/>
      <c r="S61" s="253"/>
      <c r="T61" s="254"/>
      <c r="U61" s="254"/>
      <c r="V61" s="254"/>
      <c r="W61" s="254"/>
      <c r="X61" s="254"/>
      <c r="Y61" s="104"/>
      <c r="Z61" s="253"/>
      <c r="AA61" s="254"/>
      <c r="AB61" s="254"/>
      <c r="AC61" s="254"/>
      <c r="AD61" s="254"/>
      <c r="AE61" s="254"/>
      <c r="AF61" s="35"/>
    </row>
    <row r="62" spans="1:32" x14ac:dyDescent="0.25">
      <c r="E62" s="105"/>
      <c r="F62" s="105"/>
      <c r="G62" s="105"/>
      <c r="H62" s="105"/>
      <c r="I62" s="105"/>
      <c r="J62" s="105"/>
      <c r="K62" s="77"/>
      <c r="L62" s="105"/>
      <c r="M62" s="105"/>
      <c r="N62" s="105"/>
      <c r="O62" s="105"/>
      <c r="P62" s="105"/>
      <c r="Q62" s="105"/>
      <c r="R62" s="77"/>
      <c r="S62" s="105"/>
      <c r="T62" s="105"/>
      <c r="U62" s="105"/>
      <c r="V62" s="105"/>
      <c r="W62" s="105"/>
      <c r="X62" s="105"/>
      <c r="Y62" s="72"/>
      <c r="Z62" s="105"/>
      <c r="AA62" s="105"/>
      <c r="AB62" s="105"/>
      <c r="AC62" s="105"/>
      <c r="AD62" s="105"/>
      <c r="AE62" s="105"/>
    </row>
    <row r="63" spans="1:32" x14ac:dyDescent="0.25">
      <c r="E63" s="105"/>
      <c r="F63" s="105"/>
      <c r="G63" s="105"/>
      <c r="H63" s="105"/>
      <c r="I63" s="105"/>
      <c r="J63" s="105"/>
      <c r="K63" s="77"/>
      <c r="L63" s="105"/>
      <c r="M63" s="105"/>
      <c r="N63" s="105"/>
      <c r="O63" s="105"/>
      <c r="P63" s="105"/>
      <c r="Q63" s="105"/>
      <c r="R63" s="77"/>
      <c r="S63" s="105"/>
      <c r="T63" s="105"/>
      <c r="U63" s="105"/>
      <c r="V63" s="105"/>
      <c r="W63" s="105"/>
      <c r="X63" s="105"/>
      <c r="Y63" s="72"/>
      <c r="Z63" s="105"/>
      <c r="AA63" s="105"/>
      <c r="AB63" s="105"/>
      <c r="AC63" s="105"/>
      <c r="AD63" s="105"/>
      <c r="AE63" s="105"/>
    </row>
  </sheetData>
  <mergeCells count="295">
    <mergeCell ref="Z57:AE57"/>
    <mergeCell ref="Z60:AE61"/>
    <mergeCell ref="E59:J59"/>
    <mergeCell ref="L59:Q59"/>
    <mergeCell ref="S59:X59"/>
    <mergeCell ref="Z59:AE59"/>
    <mergeCell ref="E58:J58"/>
    <mergeCell ref="L58:Q58"/>
    <mergeCell ref="S58:X58"/>
    <mergeCell ref="Z58:AE58"/>
    <mergeCell ref="Z56:AE56"/>
    <mergeCell ref="Z52:AE52"/>
    <mergeCell ref="E53:J53"/>
    <mergeCell ref="L53:Q53"/>
    <mergeCell ref="S53:X53"/>
    <mergeCell ref="Z53:AE53"/>
    <mergeCell ref="Z54:AE54"/>
    <mergeCell ref="E55:J55"/>
    <mergeCell ref="L55:Q55"/>
    <mergeCell ref="S55:X55"/>
    <mergeCell ref="Z55:AE55"/>
    <mergeCell ref="A52:A61"/>
    <mergeCell ref="B52:B61"/>
    <mergeCell ref="E52:J52"/>
    <mergeCell ref="L52:Q52"/>
    <mergeCell ref="S52:X52"/>
    <mergeCell ref="E54:J54"/>
    <mergeCell ref="L54:Q54"/>
    <mergeCell ref="S54:X54"/>
    <mergeCell ref="E56:J56"/>
    <mergeCell ref="L56:Q56"/>
    <mergeCell ref="S56:X56"/>
    <mergeCell ref="C60:C61"/>
    <mergeCell ref="E60:J61"/>
    <mergeCell ref="L60:Q61"/>
    <mergeCell ref="S60:X61"/>
    <mergeCell ref="E57:J57"/>
    <mergeCell ref="L57:Q57"/>
    <mergeCell ref="S57:X57"/>
    <mergeCell ref="E51:J51"/>
    <mergeCell ref="L51:Q51"/>
    <mergeCell ref="S51:X51"/>
    <mergeCell ref="Z51:AE51"/>
    <mergeCell ref="O50:Q50"/>
    <mergeCell ref="T50:U50"/>
    <mergeCell ref="V50:X50"/>
    <mergeCell ref="AA50:AB50"/>
    <mergeCell ref="AC50:AE50"/>
    <mergeCell ref="E47:J47"/>
    <mergeCell ref="L47:Q47"/>
    <mergeCell ref="S47:X47"/>
    <mergeCell ref="Z47:AE47"/>
    <mergeCell ref="F49:G49"/>
    <mergeCell ref="H49:J49"/>
    <mergeCell ref="M49:N49"/>
    <mergeCell ref="O49:Q49"/>
    <mergeCell ref="T49:U49"/>
    <mergeCell ref="V48:X48"/>
    <mergeCell ref="AA48:AB48"/>
    <mergeCell ref="AC48:AE48"/>
    <mergeCell ref="AC49:AE49"/>
    <mergeCell ref="V49:X49"/>
    <mergeCell ref="AA49:AB49"/>
    <mergeCell ref="A48:A50"/>
    <mergeCell ref="B48:B50"/>
    <mergeCell ref="F48:G48"/>
    <mergeCell ref="H48:J48"/>
    <mergeCell ref="M48:N48"/>
    <mergeCell ref="O48:Q48"/>
    <mergeCell ref="T48:U48"/>
    <mergeCell ref="F50:G50"/>
    <mergeCell ref="H50:J50"/>
    <mergeCell ref="M50:N50"/>
    <mergeCell ref="Z46:AA46"/>
    <mergeCell ref="AB46:AE46"/>
    <mergeCell ref="Z45:AA45"/>
    <mergeCell ref="AB45:AE45"/>
    <mergeCell ref="E46:F46"/>
    <mergeCell ref="G46:J46"/>
    <mergeCell ref="L46:M46"/>
    <mergeCell ref="N46:Q46"/>
    <mergeCell ref="S46:T46"/>
    <mergeCell ref="U46:X46"/>
    <mergeCell ref="S45:T45"/>
    <mergeCell ref="U45:X45"/>
    <mergeCell ref="S44:T44"/>
    <mergeCell ref="U44:X44"/>
    <mergeCell ref="S43:T43"/>
    <mergeCell ref="U43:X43"/>
    <mergeCell ref="Z43:AA43"/>
    <mergeCell ref="AB43:AE43"/>
    <mergeCell ref="E45:F45"/>
    <mergeCell ref="G45:J45"/>
    <mergeCell ref="L45:M45"/>
    <mergeCell ref="N45:Q45"/>
    <mergeCell ref="Z44:AA44"/>
    <mergeCell ref="AB44:AE44"/>
    <mergeCell ref="A43:A46"/>
    <mergeCell ref="B43:B46"/>
    <mergeCell ref="E43:F43"/>
    <mergeCell ref="G43:J43"/>
    <mergeCell ref="L43:M43"/>
    <mergeCell ref="N43:Q43"/>
    <mergeCell ref="E44:F44"/>
    <mergeCell ref="G44:J44"/>
    <mergeCell ref="L44:M44"/>
    <mergeCell ref="N44:Q44"/>
    <mergeCell ref="W40:X40"/>
    <mergeCell ref="AB40:AC40"/>
    <mergeCell ref="AD40:AE40"/>
    <mergeCell ref="AD41:AE41"/>
    <mergeCell ref="E42:J42"/>
    <mergeCell ref="L42:Q42"/>
    <mergeCell ref="S42:X42"/>
    <mergeCell ref="Z42:AE42"/>
    <mergeCell ref="E41:H41"/>
    <mergeCell ref="I41:J41"/>
    <mergeCell ref="L41:O41"/>
    <mergeCell ref="P41:Q41"/>
    <mergeCell ref="S41:V41"/>
    <mergeCell ref="W41:X41"/>
    <mergeCell ref="Z41:AC41"/>
    <mergeCell ref="G40:H40"/>
    <mergeCell ref="I40:J40"/>
    <mergeCell ref="N40:O40"/>
    <mergeCell ref="P40:Q40"/>
    <mergeCell ref="U40:V40"/>
    <mergeCell ref="AB39:AC39"/>
    <mergeCell ref="AD38:AE38"/>
    <mergeCell ref="G38:H38"/>
    <mergeCell ref="I38:J38"/>
    <mergeCell ref="N38:O38"/>
    <mergeCell ref="P38:Q38"/>
    <mergeCell ref="U38:V38"/>
    <mergeCell ref="W38:X38"/>
    <mergeCell ref="AB38:AC38"/>
    <mergeCell ref="AD39:AE39"/>
    <mergeCell ref="P39:Q39"/>
    <mergeCell ref="U39:V39"/>
    <mergeCell ref="W39:X39"/>
    <mergeCell ref="W37:X37"/>
    <mergeCell ref="AB37:AC37"/>
    <mergeCell ref="G37:H37"/>
    <mergeCell ref="AD37:AE37"/>
    <mergeCell ref="I36:J36"/>
    <mergeCell ref="N36:O36"/>
    <mergeCell ref="AB36:AC36"/>
    <mergeCell ref="AD36:AE36"/>
    <mergeCell ref="I37:J37"/>
    <mergeCell ref="N37:O37"/>
    <mergeCell ref="P37:Q37"/>
    <mergeCell ref="U37:V37"/>
    <mergeCell ref="A21:A31"/>
    <mergeCell ref="B21:B31"/>
    <mergeCell ref="G21:H21"/>
    <mergeCell ref="N21:O21"/>
    <mergeCell ref="W35:X35"/>
    <mergeCell ref="AB35:AC35"/>
    <mergeCell ref="AD35:AE35"/>
    <mergeCell ref="W34:X34"/>
    <mergeCell ref="AB34:AC34"/>
    <mergeCell ref="A33:A41"/>
    <mergeCell ref="B33:B41"/>
    <mergeCell ref="G33:H33"/>
    <mergeCell ref="I33:J33"/>
    <mergeCell ref="N33:O33"/>
    <mergeCell ref="P33:Q33"/>
    <mergeCell ref="U33:V33"/>
    <mergeCell ref="P35:Q35"/>
    <mergeCell ref="U35:V35"/>
    <mergeCell ref="G35:H35"/>
    <mergeCell ref="I35:J35"/>
    <mergeCell ref="N35:O35"/>
    <mergeCell ref="G39:H39"/>
    <mergeCell ref="I39:J39"/>
    <mergeCell ref="N39:O39"/>
    <mergeCell ref="G29:H29"/>
    <mergeCell ref="N29:O29"/>
    <mergeCell ref="U29:V29"/>
    <mergeCell ref="AB29:AC29"/>
    <mergeCell ref="G28:H28"/>
    <mergeCell ref="N28:O28"/>
    <mergeCell ref="U28:V28"/>
    <mergeCell ref="AB28:AC28"/>
    <mergeCell ref="G30:H30"/>
    <mergeCell ref="N30:O30"/>
    <mergeCell ref="U30:V30"/>
    <mergeCell ref="AB30:AC30"/>
    <mergeCell ref="G31:H31"/>
    <mergeCell ref="N31:O31"/>
    <mergeCell ref="U31:V31"/>
    <mergeCell ref="AB31:AC31"/>
    <mergeCell ref="P36:Q36"/>
    <mergeCell ref="E32:J32"/>
    <mergeCell ref="L32:Q32"/>
    <mergeCell ref="S32:X32"/>
    <mergeCell ref="Z32:AE32"/>
    <mergeCell ref="G34:H34"/>
    <mergeCell ref="I34:J34"/>
    <mergeCell ref="N34:O34"/>
    <mergeCell ref="P34:Q34"/>
    <mergeCell ref="U34:V34"/>
    <mergeCell ref="W33:X33"/>
    <mergeCell ref="AB33:AC33"/>
    <mergeCell ref="AD33:AE33"/>
    <mergeCell ref="AD34:AE34"/>
    <mergeCell ref="G36:H36"/>
    <mergeCell ref="U21:V21"/>
    <mergeCell ref="AB21:AC21"/>
    <mergeCell ref="E20:J20"/>
    <mergeCell ref="L20:Q20"/>
    <mergeCell ref="S20:X20"/>
    <mergeCell ref="Z20:AE20"/>
    <mergeCell ref="G22:H22"/>
    <mergeCell ref="N22:O22"/>
    <mergeCell ref="U22:V22"/>
    <mergeCell ref="AB22:AC22"/>
    <mergeCell ref="G24:H24"/>
    <mergeCell ref="N24:O24"/>
    <mergeCell ref="U24:V24"/>
    <mergeCell ref="AB24:AC24"/>
    <mergeCell ref="G27:H27"/>
    <mergeCell ref="N27:O27"/>
    <mergeCell ref="U27:V27"/>
    <mergeCell ref="AB27:AC27"/>
    <mergeCell ref="G26:H26"/>
    <mergeCell ref="N26:O26"/>
    <mergeCell ref="U26:V26"/>
    <mergeCell ref="AB26:AC26"/>
    <mergeCell ref="L16:Q16"/>
    <mergeCell ref="S16:X16"/>
    <mergeCell ref="Z16:AE16"/>
    <mergeCell ref="E19:J19"/>
    <mergeCell ref="L19:Q19"/>
    <mergeCell ref="S19:X19"/>
    <mergeCell ref="Z19:AE19"/>
    <mergeCell ref="E18:J18"/>
    <mergeCell ref="L18:Q18"/>
    <mergeCell ref="S18:X18"/>
    <mergeCell ref="Z18:AE18"/>
    <mergeCell ref="E7:J7"/>
    <mergeCell ref="L7:Q7"/>
    <mergeCell ref="S7:X7"/>
    <mergeCell ref="Z7:AE7"/>
    <mergeCell ref="E9:J9"/>
    <mergeCell ref="L9:Q9"/>
    <mergeCell ref="S9:X9"/>
    <mergeCell ref="Z9:AE9"/>
    <mergeCell ref="E11:J11"/>
    <mergeCell ref="L11:Q11"/>
    <mergeCell ref="S11:X11"/>
    <mergeCell ref="Z11:AE11"/>
    <mergeCell ref="E10:J10"/>
    <mergeCell ref="L10:Q10"/>
    <mergeCell ref="S10:X10"/>
    <mergeCell ref="Z10:AE10"/>
    <mergeCell ref="A8:A11"/>
    <mergeCell ref="B8:B11"/>
    <mergeCell ref="E8:J8"/>
    <mergeCell ref="L8:Q8"/>
    <mergeCell ref="S8:X8"/>
    <mergeCell ref="Z8:AE8"/>
    <mergeCell ref="E14:J14"/>
    <mergeCell ref="L14:Q14"/>
    <mergeCell ref="S14:X14"/>
    <mergeCell ref="Z14:AE14"/>
    <mergeCell ref="Z13:AE13"/>
    <mergeCell ref="E12:J12"/>
    <mergeCell ref="L12:Q12"/>
    <mergeCell ref="S12:X12"/>
    <mergeCell ref="Z12:AE12"/>
    <mergeCell ref="G23:H23"/>
    <mergeCell ref="N23:O23"/>
    <mergeCell ref="U23:V23"/>
    <mergeCell ref="AB23:AC23"/>
    <mergeCell ref="G25:H25"/>
    <mergeCell ref="N25:O25"/>
    <mergeCell ref="U25:V25"/>
    <mergeCell ref="AB25:AC25"/>
    <mergeCell ref="A13:A15"/>
    <mergeCell ref="B13:B15"/>
    <mergeCell ref="E13:J13"/>
    <mergeCell ref="L13:Q13"/>
    <mergeCell ref="S13:X13"/>
    <mergeCell ref="E15:J15"/>
    <mergeCell ref="L15:Q15"/>
    <mergeCell ref="S15:X15"/>
    <mergeCell ref="Z15:AE15"/>
    <mergeCell ref="A17:A19"/>
    <mergeCell ref="B17:B19"/>
    <mergeCell ref="E17:J17"/>
    <mergeCell ref="L17:Q17"/>
    <mergeCell ref="S17:X17"/>
    <mergeCell ref="Z17:AE17"/>
    <mergeCell ref="E16:J16"/>
  </mergeCells>
  <pageMargins left="0.7" right="0.7" top="0.78740157499999996" bottom="0.78740157499999996" header="0.3" footer="0.3"/>
  <pageSetup paperSize="9"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7"/>
  <sheetViews>
    <sheetView zoomScale="60" zoomScaleNormal="60" workbookViewId="0">
      <pane xSplit="3" topLeftCell="W1" activePane="topRight" state="frozen"/>
      <selection pane="topRight" activeCell="AC18" sqref="AC18"/>
    </sheetView>
  </sheetViews>
  <sheetFormatPr baseColWidth="10" defaultColWidth="11.42578125" defaultRowHeight="15" x14ac:dyDescent="0.25"/>
  <cols>
    <col min="1" max="1" width="11.42578125" style="4"/>
    <col min="2" max="2" width="44.140625" style="4" customWidth="1"/>
    <col min="3" max="3" width="51.5703125" style="4" bestFit="1" customWidth="1"/>
    <col min="4" max="4" width="11.42578125" style="4"/>
    <col min="5" max="5" width="35" style="4" bestFit="1" customWidth="1"/>
    <col min="6" max="7" width="11.42578125" style="4"/>
    <col min="8" max="8" width="25.85546875" style="4" bestFit="1" customWidth="1"/>
    <col min="9" max="9" width="28.140625" style="4" bestFit="1" customWidth="1"/>
    <col min="10" max="10" width="1.7109375" style="22" customWidth="1"/>
    <col min="11" max="11" width="8.5703125" style="4" bestFit="1" customWidth="1"/>
    <col min="12" max="12" width="35" style="4" customWidth="1"/>
    <col min="13" max="14" width="9.28515625" style="4" customWidth="1"/>
    <col min="15" max="15" width="25.85546875" style="4" bestFit="1" customWidth="1"/>
    <col min="16" max="16" width="28.140625" style="4" bestFit="1" customWidth="1"/>
    <col min="17" max="17" width="1.7109375" style="22" customWidth="1"/>
    <col min="18" max="18" width="11.42578125" style="4"/>
    <col min="19" max="19" width="21.42578125" style="4" customWidth="1"/>
    <col min="20" max="20" width="34.28515625" style="4" bestFit="1" customWidth="1"/>
    <col min="21" max="21" width="11.42578125" style="4"/>
    <col min="22" max="22" width="25.85546875" style="4" bestFit="1" customWidth="1"/>
    <col min="23" max="23" width="28.140625" style="4" bestFit="1" customWidth="1"/>
    <col min="24" max="24" width="1.7109375" style="7" customWidth="1"/>
    <col min="25" max="25" width="11.42578125" style="4"/>
    <col min="26" max="26" width="34.28515625" style="4" bestFit="1" customWidth="1"/>
    <col min="27" max="27" width="34.28515625" style="4" customWidth="1"/>
    <col min="28" max="28" width="11.42578125" style="4"/>
    <col min="29" max="29" width="25.85546875" style="4" bestFit="1" customWidth="1"/>
    <col min="30" max="30" width="28.140625" style="4" bestFit="1" customWidth="1"/>
    <col min="31" max="31" width="1.7109375" style="7" customWidth="1"/>
    <col min="32" max="32" width="11.42578125" style="4"/>
    <col min="33" max="33" width="35" style="4" bestFit="1" customWidth="1"/>
    <col min="34" max="34" width="34.28515625" style="4" bestFit="1" customWidth="1"/>
    <col min="35" max="35" width="11.42578125" style="4"/>
    <col min="36" max="36" width="25.85546875" style="4" bestFit="1" customWidth="1"/>
    <col min="37" max="37" width="28.140625" style="4" bestFit="1" customWidth="1"/>
    <col min="38" max="38" width="1.7109375" style="7" customWidth="1"/>
    <col min="39" max="16384" width="11.42578125" style="4"/>
  </cols>
  <sheetData>
    <row r="1" spans="1:38" ht="15.75" thickBot="1" x14ac:dyDescent="0.3"/>
    <row r="2" spans="1:38" ht="15.75" thickBot="1" x14ac:dyDescent="0.3">
      <c r="A2" s="20"/>
      <c r="B2" s="21" t="s">
        <v>40</v>
      </c>
      <c r="C2" s="21" t="s">
        <v>41</v>
      </c>
      <c r="D2" s="266" t="s">
        <v>48</v>
      </c>
      <c r="E2" s="184"/>
      <c r="F2" s="184"/>
      <c r="G2" s="184"/>
      <c r="H2" s="184"/>
      <c r="I2" s="184"/>
      <c r="J2" s="55"/>
      <c r="K2" s="183" t="s">
        <v>49</v>
      </c>
      <c r="L2" s="184"/>
      <c r="M2" s="184"/>
      <c r="N2" s="184"/>
      <c r="O2" s="184"/>
      <c r="P2" s="184"/>
      <c r="Q2" s="55"/>
      <c r="R2" s="183" t="s">
        <v>50</v>
      </c>
      <c r="S2" s="184"/>
      <c r="T2" s="184"/>
      <c r="U2" s="184"/>
      <c r="V2" s="184"/>
      <c r="W2" s="184"/>
      <c r="X2" s="56"/>
      <c r="Y2" s="267" t="s">
        <v>51</v>
      </c>
      <c r="Z2" s="267"/>
      <c r="AA2" s="267"/>
      <c r="AB2" s="267"/>
      <c r="AC2" s="267"/>
      <c r="AD2" s="268"/>
      <c r="AE2" s="56"/>
      <c r="AF2" s="183" t="s">
        <v>52</v>
      </c>
      <c r="AG2" s="184"/>
      <c r="AH2" s="184"/>
      <c r="AI2" s="184"/>
      <c r="AJ2" s="184"/>
      <c r="AK2" s="184"/>
      <c r="AL2" s="56"/>
    </row>
    <row r="3" spans="1:38" ht="15" customHeight="1" x14ac:dyDescent="0.25">
      <c r="A3" s="173" t="s">
        <v>39</v>
      </c>
      <c r="B3" s="176" t="s">
        <v>38</v>
      </c>
      <c r="C3" s="38" t="s">
        <v>2</v>
      </c>
      <c r="D3" s="179" t="s">
        <v>111</v>
      </c>
      <c r="E3" s="180"/>
      <c r="F3" s="180"/>
      <c r="G3" s="180"/>
      <c r="H3" s="180"/>
      <c r="I3" s="180"/>
      <c r="J3" s="71"/>
      <c r="K3" s="179" t="s">
        <v>111</v>
      </c>
      <c r="L3" s="180"/>
      <c r="M3" s="180"/>
      <c r="N3" s="180"/>
      <c r="O3" s="180"/>
      <c r="P3" s="180"/>
      <c r="Q3" s="71"/>
      <c r="R3" s="179" t="s">
        <v>112</v>
      </c>
      <c r="S3" s="180"/>
      <c r="T3" s="180"/>
      <c r="U3" s="180"/>
      <c r="V3" s="180"/>
      <c r="W3" s="180"/>
      <c r="X3" s="72"/>
      <c r="Y3" s="260" t="s">
        <v>168</v>
      </c>
      <c r="Z3" s="261"/>
      <c r="AA3" s="261"/>
      <c r="AB3" s="261"/>
      <c r="AC3" s="261"/>
      <c r="AD3" s="262"/>
      <c r="AE3" s="72"/>
      <c r="AF3" s="179" t="s">
        <v>138</v>
      </c>
      <c r="AG3" s="180"/>
      <c r="AH3" s="180"/>
      <c r="AI3" s="180"/>
      <c r="AJ3" s="180"/>
      <c r="AK3" s="180"/>
    </row>
    <row r="4" spans="1:38" x14ac:dyDescent="0.25">
      <c r="A4" s="174"/>
      <c r="B4" s="177"/>
      <c r="C4" s="39" t="s">
        <v>3</v>
      </c>
      <c r="D4" s="185" t="s">
        <v>115</v>
      </c>
      <c r="E4" s="186"/>
      <c r="F4" s="186"/>
      <c r="G4" s="186"/>
      <c r="H4" s="186"/>
      <c r="I4" s="186"/>
      <c r="J4" s="71"/>
      <c r="K4" s="185" t="s">
        <v>115</v>
      </c>
      <c r="L4" s="186"/>
      <c r="M4" s="186"/>
      <c r="N4" s="186"/>
      <c r="O4" s="186"/>
      <c r="P4" s="186"/>
      <c r="Q4" s="71"/>
      <c r="R4" s="255" t="s">
        <v>115</v>
      </c>
      <c r="S4" s="256"/>
      <c r="T4" s="256"/>
      <c r="U4" s="256"/>
      <c r="V4" s="256"/>
      <c r="W4" s="256"/>
      <c r="X4" s="72"/>
      <c r="Y4" s="257" t="s">
        <v>115</v>
      </c>
      <c r="Z4" s="258"/>
      <c r="AA4" s="258"/>
      <c r="AB4" s="258"/>
      <c r="AC4" s="258"/>
      <c r="AD4" s="259"/>
      <c r="AE4" s="72"/>
      <c r="AF4" s="185" t="s">
        <v>115</v>
      </c>
      <c r="AG4" s="186"/>
      <c r="AH4" s="186"/>
      <c r="AI4" s="186"/>
      <c r="AJ4" s="186"/>
      <c r="AK4" s="186"/>
    </row>
    <row r="5" spans="1:38" x14ac:dyDescent="0.25">
      <c r="A5" s="174"/>
      <c r="B5" s="177"/>
      <c r="C5" s="57" t="s">
        <v>102</v>
      </c>
      <c r="D5" s="190" t="s">
        <v>126</v>
      </c>
      <c r="E5" s="190"/>
      <c r="F5" s="190"/>
      <c r="G5" s="190"/>
      <c r="H5" s="190"/>
      <c r="I5" s="190"/>
      <c r="J5" s="106"/>
      <c r="K5" s="190" t="s">
        <v>126</v>
      </c>
      <c r="L5" s="190"/>
      <c r="M5" s="190"/>
      <c r="N5" s="190"/>
      <c r="O5" s="190"/>
      <c r="P5" s="190"/>
      <c r="Q5" s="73"/>
      <c r="R5" s="190" t="s">
        <v>155</v>
      </c>
      <c r="S5" s="190"/>
      <c r="T5" s="190"/>
      <c r="U5" s="190"/>
      <c r="V5" s="190"/>
      <c r="W5" s="190"/>
      <c r="X5" s="73"/>
      <c r="Y5" s="263" t="s">
        <v>125</v>
      </c>
      <c r="Z5" s="264"/>
      <c r="AA5" s="264"/>
      <c r="AB5" s="264"/>
      <c r="AC5" s="264"/>
      <c r="AD5" s="265"/>
      <c r="AE5" s="74"/>
      <c r="AF5" s="190" t="s">
        <v>139</v>
      </c>
      <c r="AG5" s="190"/>
      <c r="AH5" s="190"/>
      <c r="AI5" s="190"/>
      <c r="AJ5" s="190"/>
      <c r="AK5" s="190"/>
      <c r="AL5" s="59"/>
    </row>
    <row r="6" spans="1:38" ht="15.75" thickBot="1" x14ac:dyDescent="0.3">
      <c r="A6" s="175"/>
      <c r="B6" s="178"/>
      <c r="C6" s="49" t="s">
        <v>69</v>
      </c>
      <c r="D6" s="187" t="s">
        <v>116</v>
      </c>
      <c r="E6" s="188"/>
      <c r="F6" s="188"/>
      <c r="G6" s="188"/>
      <c r="H6" s="188"/>
      <c r="I6" s="189"/>
      <c r="J6" s="71"/>
      <c r="K6" s="187" t="s">
        <v>116</v>
      </c>
      <c r="L6" s="188"/>
      <c r="M6" s="188"/>
      <c r="N6" s="188"/>
      <c r="O6" s="188"/>
      <c r="P6" s="189"/>
      <c r="Q6" s="71"/>
      <c r="R6" s="271" t="s">
        <v>116</v>
      </c>
      <c r="S6" s="188"/>
      <c r="T6" s="188"/>
      <c r="U6" s="188"/>
      <c r="V6" s="188"/>
      <c r="W6" s="189"/>
      <c r="X6" s="107"/>
      <c r="Y6" s="187" t="s">
        <v>116</v>
      </c>
      <c r="Z6" s="188"/>
      <c r="AA6" s="188"/>
      <c r="AB6" s="188"/>
      <c r="AC6" s="188"/>
      <c r="AD6" s="189"/>
      <c r="AE6" s="107"/>
      <c r="AF6" s="187" t="s">
        <v>175</v>
      </c>
      <c r="AG6" s="188"/>
      <c r="AH6" s="188"/>
      <c r="AI6" s="188"/>
      <c r="AJ6" s="188"/>
      <c r="AK6" s="189"/>
    </row>
    <row r="7" spans="1:38" ht="15.75" thickBot="1" x14ac:dyDescent="0.3">
      <c r="A7" s="10"/>
      <c r="B7" s="12"/>
      <c r="C7" s="48"/>
      <c r="D7" s="171"/>
      <c r="E7" s="172"/>
      <c r="F7" s="172"/>
      <c r="G7" s="172"/>
      <c r="H7" s="172"/>
      <c r="I7" s="172"/>
      <c r="J7" s="77"/>
      <c r="K7" s="171"/>
      <c r="L7" s="172"/>
      <c r="M7" s="172"/>
      <c r="N7" s="172"/>
      <c r="O7" s="172"/>
      <c r="P7" s="172"/>
      <c r="Q7" s="77"/>
      <c r="R7" s="269"/>
      <c r="S7" s="270"/>
      <c r="T7" s="270"/>
      <c r="U7" s="270"/>
      <c r="V7" s="270"/>
      <c r="W7" s="270"/>
      <c r="X7" s="72"/>
      <c r="Y7" s="269"/>
      <c r="Z7" s="270"/>
      <c r="AA7" s="270"/>
      <c r="AB7" s="270"/>
      <c r="AC7" s="270"/>
      <c r="AD7" s="270"/>
      <c r="AE7" s="72"/>
      <c r="AF7" s="171"/>
      <c r="AG7" s="172"/>
      <c r="AH7" s="172"/>
      <c r="AI7" s="172"/>
      <c r="AJ7" s="172"/>
      <c r="AK7" s="172"/>
    </row>
    <row r="8" spans="1:38" ht="15" customHeight="1" x14ac:dyDescent="0.25">
      <c r="A8" s="157" t="s">
        <v>37</v>
      </c>
      <c r="B8" s="158" t="s">
        <v>96</v>
      </c>
      <c r="C8" s="46" t="s">
        <v>5</v>
      </c>
      <c r="D8" s="159" t="s">
        <v>192</v>
      </c>
      <c r="E8" s="160"/>
      <c r="F8" s="160"/>
      <c r="G8" s="160"/>
      <c r="H8" s="160"/>
      <c r="I8" s="160"/>
      <c r="J8" s="77"/>
      <c r="K8" s="159" t="s">
        <v>193</v>
      </c>
      <c r="L8" s="160"/>
      <c r="M8" s="160"/>
      <c r="N8" s="160"/>
      <c r="O8" s="160"/>
      <c r="P8" s="160"/>
      <c r="Q8" s="77"/>
      <c r="R8" s="159" t="s">
        <v>221</v>
      </c>
      <c r="S8" s="160"/>
      <c r="T8" s="160"/>
      <c r="U8" s="160"/>
      <c r="V8" s="160"/>
      <c r="W8" s="160"/>
      <c r="X8" s="72"/>
      <c r="Y8" s="275" t="s">
        <v>222</v>
      </c>
      <c r="Z8" s="276"/>
      <c r="AA8" s="276"/>
      <c r="AB8" s="276"/>
      <c r="AC8" s="276"/>
      <c r="AD8" s="277"/>
      <c r="AE8" s="72"/>
      <c r="AF8" s="159" t="s">
        <v>195</v>
      </c>
      <c r="AG8" s="160"/>
      <c r="AH8" s="160"/>
      <c r="AI8" s="160"/>
      <c r="AJ8" s="160"/>
      <c r="AK8" s="160"/>
    </row>
    <row r="9" spans="1:38" x14ac:dyDescent="0.25">
      <c r="A9" s="157"/>
      <c r="B9" s="158"/>
      <c r="C9" s="13" t="s">
        <v>6</v>
      </c>
      <c r="D9" s="181"/>
      <c r="E9" s="182"/>
      <c r="F9" s="182"/>
      <c r="G9" s="182"/>
      <c r="H9" s="182"/>
      <c r="I9" s="182"/>
      <c r="J9" s="77"/>
      <c r="K9" s="181"/>
      <c r="L9" s="182"/>
      <c r="M9" s="182"/>
      <c r="N9" s="182"/>
      <c r="O9" s="182"/>
      <c r="P9" s="182"/>
      <c r="Q9" s="77"/>
      <c r="R9" s="181"/>
      <c r="S9" s="182"/>
      <c r="T9" s="182"/>
      <c r="U9" s="182"/>
      <c r="V9" s="182"/>
      <c r="W9" s="182"/>
      <c r="X9" s="72"/>
      <c r="Y9" s="272" t="s">
        <v>116</v>
      </c>
      <c r="Z9" s="273"/>
      <c r="AA9" s="273"/>
      <c r="AB9" s="273"/>
      <c r="AC9" s="273"/>
      <c r="AD9" s="274"/>
      <c r="AE9" s="72"/>
      <c r="AF9" s="181"/>
      <c r="AG9" s="182"/>
      <c r="AH9" s="182"/>
      <c r="AI9" s="182"/>
      <c r="AJ9" s="182"/>
      <c r="AK9" s="182"/>
    </row>
    <row r="10" spans="1:38" ht="15.75" thickBot="1" x14ac:dyDescent="0.3">
      <c r="A10" s="157"/>
      <c r="B10" s="158"/>
      <c r="C10" s="47" t="s">
        <v>7</v>
      </c>
      <c r="D10" s="161" t="s">
        <v>196</v>
      </c>
      <c r="E10" s="162"/>
      <c r="F10" s="162"/>
      <c r="G10" s="162"/>
      <c r="H10" s="162"/>
      <c r="I10" s="162"/>
      <c r="J10" s="77"/>
      <c r="K10" s="161" t="s">
        <v>196</v>
      </c>
      <c r="L10" s="162"/>
      <c r="M10" s="162"/>
      <c r="N10" s="162"/>
      <c r="O10" s="162"/>
      <c r="P10" s="162"/>
      <c r="Q10" s="77"/>
      <c r="R10" s="161" t="s">
        <v>196</v>
      </c>
      <c r="S10" s="162"/>
      <c r="T10" s="162"/>
      <c r="U10" s="162"/>
      <c r="V10" s="162"/>
      <c r="W10" s="162"/>
      <c r="X10" s="72"/>
      <c r="Y10" s="278" t="s">
        <v>223</v>
      </c>
      <c r="Z10" s="279"/>
      <c r="AA10" s="279"/>
      <c r="AB10" s="279"/>
      <c r="AC10" s="279"/>
      <c r="AD10" s="240"/>
      <c r="AE10" s="72"/>
      <c r="AF10" s="161" t="s">
        <v>198</v>
      </c>
      <c r="AG10" s="162"/>
      <c r="AH10" s="162"/>
      <c r="AI10" s="162"/>
      <c r="AJ10" s="162"/>
      <c r="AK10" s="162"/>
    </row>
    <row r="11" spans="1:38" ht="15.75" thickBot="1" x14ac:dyDescent="0.3">
      <c r="A11" s="11"/>
      <c r="B11" s="14"/>
      <c r="C11" s="14"/>
      <c r="D11" s="171"/>
      <c r="E11" s="172"/>
      <c r="F11" s="172"/>
      <c r="G11" s="172"/>
      <c r="H11" s="172"/>
      <c r="I11" s="172"/>
      <c r="J11" s="77"/>
      <c r="K11" s="171"/>
      <c r="L11" s="172"/>
      <c r="M11" s="172"/>
      <c r="N11" s="172"/>
      <c r="O11" s="172"/>
      <c r="P11" s="172"/>
      <c r="Q11" s="77"/>
      <c r="R11" s="171"/>
      <c r="S11" s="172"/>
      <c r="T11" s="172"/>
      <c r="U11" s="172"/>
      <c r="V11" s="172"/>
      <c r="W11" s="172"/>
      <c r="X11" s="72"/>
      <c r="Y11" s="269"/>
      <c r="Z11" s="270"/>
      <c r="AA11" s="270"/>
      <c r="AB11" s="270"/>
      <c r="AC11" s="270"/>
      <c r="AD11" s="270"/>
      <c r="AE11" s="72"/>
      <c r="AF11" s="171"/>
      <c r="AG11" s="172"/>
      <c r="AH11" s="172"/>
      <c r="AI11" s="172"/>
      <c r="AJ11" s="172"/>
      <c r="AK11" s="172"/>
    </row>
    <row r="12" spans="1:38" ht="15" customHeight="1" x14ac:dyDescent="0.25">
      <c r="A12" s="163" t="s">
        <v>8</v>
      </c>
      <c r="B12" s="166" t="s">
        <v>97</v>
      </c>
      <c r="C12" s="44" t="s">
        <v>70</v>
      </c>
      <c r="D12" s="169" t="s">
        <v>162</v>
      </c>
      <c r="E12" s="170"/>
      <c r="F12" s="170"/>
      <c r="G12" s="170"/>
      <c r="H12" s="170"/>
      <c r="I12" s="170"/>
      <c r="J12" s="77"/>
      <c r="K12" s="169" t="s">
        <v>162</v>
      </c>
      <c r="L12" s="170"/>
      <c r="M12" s="170"/>
      <c r="N12" s="170"/>
      <c r="O12" s="170"/>
      <c r="P12" s="170"/>
      <c r="Q12" s="77"/>
      <c r="R12" s="169" t="s">
        <v>160</v>
      </c>
      <c r="S12" s="170"/>
      <c r="T12" s="170"/>
      <c r="U12" s="170"/>
      <c r="V12" s="170"/>
      <c r="W12" s="170"/>
      <c r="X12" s="72"/>
      <c r="Y12" s="280" t="s">
        <v>161</v>
      </c>
      <c r="Z12" s="281"/>
      <c r="AA12" s="281"/>
      <c r="AB12" s="281"/>
      <c r="AC12" s="281"/>
      <c r="AD12" s="282"/>
      <c r="AE12" s="72"/>
      <c r="AF12" s="169" t="s">
        <v>141</v>
      </c>
      <c r="AG12" s="170"/>
      <c r="AH12" s="170"/>
      <c r="AI12" s="170"/>
      <c r="AJ12" s="170"/>
      <c r="AK12" s="170"/>
    </row>
    <row r="13" spans="1:38" x14ac:dyDescent="0.25">
      <c r="A13" s="164"/>
      <c r="B13" s="167"/>
      <c r="C13" s="15" t="s">
        <v>77</v>
      </c>
      <c r="D13" s="193" t="s">
        <v>127</v>
      </c>
      <c r="E13" s="194"/>
      <c r="F13" s="194"/>
      <c r="G13" s="194"/>
      <c r="H13" s="194"/>
      <c r="I13" s="194"/>
      <c r="J13" s="77"/>
      <c r="K13" s="193" t="s">
        <v>127</v>
      </c>
      <c r="L13" s="194"/>
      <c r="M13" s="194"/>
      <c r="N13" s="194"/>
      <c r="O13" s="194"/>
      <c r="P13" s="194"/>
      <c r="Q13" s="77"/>
      <c r="R13" s="193" t="s">
        <v>158</v>
      </c>
      <c r="S13" s="194"/>
      <c r="T13" s="194"/>
      <c r="U13" s="194"/>
      <c r="V13" s="194"/>
      <c r="W13" s="194"/>
      <c r="X13" s="72"/>
      <c r="Y13" s="283">
        <v>180</v>
      </c>
      <c r="Z13" s="227"/>
      <c r="AA13" s="227"/>
      <c r="AB13" s="227"/>
      <c r="AC13" s="227"/>
      <c r="AD13" s="228"/>
      <c r="AE13" s="72"/>
      <c r="AF13" s="193">
        <v>5</v>
      </c>
      <c r="AG13" s="194"/>
      <c r="AH13" s="194"/>
      <c r="AI13" s="194"/>
      <c r="AJ13" s="194"/>
      <c r="AK13" s="194"/>
    </row>
    <row r="14" spans="1:38" ht="15.75" thickBot="1" x14ac:dyDescent="0.3">
      <c r="A14" s="165"/>
      <c r="B14" s="168"/>
      <c r="C14" s="45" t="s">
        <v>10</v>
      </c>
      <c r="D14" s="191" t="s">
        <v>199</v>
      </c>
      <c r="E14" s="192"/>
      <c r="F14" s="192"/>
      <c r="G14" s="192"/>
      <c r="H14" s="192"/>
      <c r="I14" s="192"/>
      <c r="J14" s="77"/>
      <c r="K14" s="191" t="s">
        <v>199</v>
      </c>
      <c r="L14" s="192"/>
      <c r="M14" s="192"/>
      <c r="N14" s="192"/>
      <c r="O14" s="192"/>
      <c r="P14" s="192"/>
      <c r="Q14" s="77"/>
      <c r="R14" s="191" t="s">
        <v>224</v>
      </c>
      <c r="S14" s="192"/>
      <c r="T14" s="192"/>
      <c r="U14" s="192"/>
      <c r="V14" s="192"/>
      <c r="W14" s="192"/>
      <c r="X14" s="72"/>
      <c r="Y14" s="191" t="s">
        <v>225</v>
      </c>
      <c r="Z14" s="192"/>
      <c r="AA14" s="192"/>
      <c r="AB14" s="192"/>
      <c r="AC14" s="192"/>
      <c r="AD14" s="192"/>
      <c r="AE14" s="72"/>
      <c r="AF14" s="191" t="s">
        <v>201</v>
      </c>
      <c r="AG14" s="192"/>
      <c r="AH14" s="192"/>
      <c r="AI14" s="192"/>
      <c r="AJ14" s="192"/>
      <c r="AK14" s="192"/>
    </row>
    <row r="15" spans="1:38" ht="15.75" thickBot="1" x14ac:dyDescent="0.3">
      <c r="A15" s="11"/>
      <c r="B15" s="14"/>
      <c r="C15" s="14"/>
      <c r="D15" s="171"/>
      <c r="E15" s="172"/>
      <c r="F15" s="172"/>
      <c r="G15" s="172"/>
      <c r="H15" s="172"/>
      <c r="I15" s="172"/>
      <c r="J15" s="77"/>
      <c r="K15" s="171"/>
      <c r="L15" s="172"/>
      <c r="M15" s="172"/>
      <c r="N15" s="172"/>
      <c r="O15" s="172"/>
      <c r="P15" s="172"/>
      <c r="Q15" s="77"/>
      <c r="R15" s="171"/>
      <c r="S15" s="172"/>
      <c r="T15" s="172"/>
      <c r="U15" s="172"/>
      <c r="V15" s="172"/>
      <c r="W15" s="172"/>
      <c r="X15" s="72"/>
      <c r="Y15" s="269"/>
      <c r="Z15" s="270"/>
      <c r="AA15" s="270"/>
      <c r="AB15" s="270"/>
      <c r="AC15" s="270"/>
      <c r="AD15" s="270"/>
      <c r="AE15" s="72"/>
      <c r="AF15" s="171"/>
      <c r="AG15" s="172"/>
      <c r="AH15" s="172"/>
      <c r="AI15" s="172"/>
      <c r="AJ15" s="172"/>
      <c r="AK15" s="172"/>
    </row>
    <row r="16" spans="1:38" ht="15.75" customHeight="1" thickBot="1" x14ac:dyDescent="0.3">
      <c r="A16" s="205" t="s">
        <v>11</v>
      </c>
      <c r="B16" s="208" t="s">
        <v>98</v>
      </c>
      <c r="C16" s="43" t="s">
        <v>92</v>
      </c>
      <c r="D16" s="78" t="s">
        <v>32</v>
      </c>
      <c r="E16" s="79" t="s">
        <v>74</v>
      </c>
      <c r="F16" s="195" t="s">
        <v>20</v>
      </c>
      <c r="G16" s="196"/>
      <c r="H16" s="80" t="s">
        <v>95</v>
      </c>
      <c r="I16" s="80" t="s">
        <v>23</v>
      </c>
      <c r="J16" s="77"/>
      <c r="K16" s="78" t="s">
        <v>32</v>
      </c>
      <c r="L16" s="79" t="s">
        <v>74</v>
      </c>
      <c r="M16" s="195" t="s">
        <v>20</v>
      </c>
      <c r="N16" s="196"/>
      <c r="O16" s="80" t="s">
        <v>95</v>
      </c>
      <c r="P16" s="80" t="s">
        <v>23</v>
      </c>
      <c r="Q16" s="77"/>
      <c r="R16" s="78" t="s">
        <v>32</v>
      </c>
      <c r="S16" s="79" t="s">
        <v>74</v>
      </c>
      <c r="T16" s="195" t="s">
        <v>20</v>
      </c>
      <c r="U16" s="196"/>
      <c r="V16" s="80" t="s">
        <v>95</v>
      </c>
      <c r="W16" s="80" t="s">
        <v>23</v>
      </c>
      <c r="X16" s="72"/>
      <c r="Y16" s="78" t="s">
        <v>32</v>
      </c>
      <c r="Z16" s="79" t="s">
        <v>74</v>
      </c>
      <c r="AA16" s="195" t="s">
        <v>20</v>
      </c>
      <c r="AB16" s="196"/>
      <c r="AC16" s="80" t="s">
        <v>95</v>
      </c>
      <c r="AD16" s="80" t="s">
        <v>23</v>
      </c>
      <c r="AE16" s="72"/>
      <c r="AF16" s="78" t="s">
        <v>32</v>
      </c>
      <c r="AG16" s="79" t="s">
        <v>74</v>
      </c>
      <c r="AH16" s="195" t="s">
        <v>20</v>
      </c>
      <c r="AI16" s="196"/>
      <c r="AJ16" s="80" t="s">
        <v>95</v>
      </c>
      <c r="AK16" s="80" t="s">
        <v>23</v>
      </c>
    </row>
    <row r="17" spans="1:38" ht="15" customHeight="1" x14ac:dyDescent="0.25">
      <c r="A17" s="206"/>
      <c r="B17" s="209"/>
      <c r="C17" s="41" t="s">
        <v>12</v>
      </c>
      <c r="D17" s="81" t="s">
        <v>132</v>
      </c>
      <c r="E17" s="82" t="s">
        <v>150</v>
      </c>
      <c r="F17" s="155" t="s">
        <v>124</v>
      </c>
      <c r="G17" s="156"/>
      <c r="H17" s="83">
        <v>250</v>
      </c>
      <c r="I17" s="83" t="s">
        <v>202</v>
      </c>
      <c r="J17" s="77"/>
      <c r="K17" s="81" t="s">
        <v>132</v>
      </c>
      <c r="L17" s="82" t="s">
        <v>150</v>
      </c>
      <c r="M17" s="155" t="s">
        <v>124</v>
      </c>
      <c r="N17" s="156"/>
      <c r="O17" s="83">
        <v>160</v>
      </c>
      <c r="P17" s="83" t="s">
        <v>202</v>
      </c>
      <c r="Q17" s="77"/>
      <c r="R17" s="81"/>
      <c r="S17" s="82"/>
      <c r="T17" s="199"/>
      <c r="U17" s="200"/>
      <c r="V17" s="83"/>
      <c r="W17" s="83"/>
      <c r="X17" s="72"/>
      <c r="Y17" s="81" t="s">
        <v>119</v>
      </c>
      <c r="Z17" s="82">
        <v>0.24</v>
      </c>
      <c r="AA17" s="284" t="s">
        <v>124</v>
      </c>
      <c r="AB17" s="247"/>
      <c r="AC17" s="83">
        <v>137</v>
      </c>
      <c r="AD17" s="83" t="s">
        <v>202</v>
      </c>
      <c r="AE17" s="72"/>
      <c r="AF17" s="81" t="s">
        <v>143</v>
      </c>
      <c r="AG17" s="82">
        <v>0.26</v>
      </c>
      <c r="AH17" s="155" t="s">
        <v>124</v>
      </c>
      <c r="AI17" s="156"/>
      <c r="AJ17" s="83">
        <v>600</v>
      </c>
      <c r="AK17" s="83" t="s">
        <v>203</v>
      </c>
    </row>
    <row r="18" spans="1:38" x14ac:dyDescent="0.25">
      <c r="A18" s="206"/>
      <c r="B18" s="209"/>
      <c r="C18" s="16" t="s">
        <v>13</v>
      </c>
      <c r="D18" s="84"/>
      <c r="E18" s="85"/>
      <c r="F18" s="155"/>
      <c r="G18" s="156"/>
      <c r="H18" s="86"/>
      <c r="I18" s="86"/>
      <c r="J18" s="77"/>
      <c r="K18" s="84"/>
      <c r="L18" s="85"/>
      <c r="M18" s="155"/>
      <c r="N18" s="156"/>
      <c r="O18" s="86"/>
      <c r="P18" s="86"/>
      <c r="Q18" s="77"/>
      <c r="R18" s="84"/>
      <c r="S18" s="85"/>
      <c r="T18" s="155"/>
      <c r="U18" s="156"/>
      <c r="V18" s="86"/>
      <c r="W18" s="86"/>
      <c r="X18" s="72"/>
      <c r="Y18" s="84"/>
      <c r="Z18" s="85"/>
      <c r="AA18" s="155"/>
      <c r="AB18" s="156"/>
      <c r="AC18" s="86"/>
      <c r="AD18" s="86"/>
      <c r="AE18" s="72"/>
      <c r="AF18" s="84"/>
      <c r="AG18" s="85"/>
      <c r="AH18" s="155"/>
      <c r="AI18" s="156"/>
      <c r="AJ18" s="86"/>
      <c r="AK18" s="86"/>
    </row>
    <row r="19" spans="1:38" x14ac:dyDescent="0.25">
      <c r="A19" s="206"/>
      <c r="B19" s="209"/>
      <c r="C19" s="16" t="s">
        <v>14</v>
      </c>
      <c r="D19" s="84"/>
      <c r="E19" s="86"/>
      <c r="F19" s="155"/>
      <c r="G19" s="156"/>
      <c r="H19" s="86"/>
      <c r="I19" s="86"/>
      <c r="J19" s="77"/>
      <c r="K19" s="84"/>
      <c r="L19" s="86"/>
      <c r="M19" s="155"/>
      <c r="N19" s="156"/>
      <c r="O19" s="86"/>
      <c r="P19" s="86"/>
      <c r="Q19" s="77"/>
      <c r="R19" s="84"/>
      <c r="S19" s="86"/>
      <c r="T19" s="155"/>
      <c r="U19" s="156"/>
      <c r="V19" s="86"/>
      <c r="W19" s="86"/>
      <c r="X19" s="72"/>
      <c r="Y19" s="84"/>
      <c r="Z19" s="86"/>
      <c r="AA19" s="155"/>
      <c r="AB19" s="156"/>
      <c r="AC19" s="86"/>
      <c r="AD19" s="86"/>
      <c r="AE19" s="72"/>
      <c r="AF19" s="84"/>
      <c r="AG19" s="86"/>
      <c r="AH19" s="155"/>
      <c r="AI19" s="156"/>
      <c r="AJ19" s="86"/>
      <c r="AK19" s="86"/>
    </row>
    <row r="20" spans="1:38" x14ac:dyDescent="0.25">
      <c r="A20" s="206"/>
      <c r="B20" s="209"/>
      <c r="C20" s="16" t="s">
        <v>15</v>
      </c>
      <c r="D20" s="84"/>
      <c r="E20" s="86"/>
      <c r="F20" s="155"/>
      <c r="G20" s="156"/>
      <c r="H20" s="86"/>
      <c r="I20" s="86"/>
      <c r="J20" s="77"/>
      <c r="K20" s="84" t="s">
        <v>173</v>
      </c>
      <c r="L20" s="86" t="s">
        <v>174</v>
      </c>
      <c r="M20" s="155" t="s">
        <v>124</v>
      </c>
      <c r="N20" s="156"/>
      <c r="O20" s="86">
        <v>630</v>
      </c>
      <c r="P20" s="83" t="s">
        <v>204</v>
      </c>
      <c r="Q20" s="77"/>
      <c r="R20" s="84"/>
      <c r="S20" s="86"/>
      <c r="T20" s="155"/>
      <c r="U20" s="156"/>
      <c r="V20" s="86"/>
      <c r="W20" s="86"/>
      <c r="X20" s="72"/>
      <c r="Y20" s="84" t="s">
        <v>117</v>
      </c>
      <c r="Z20" s="87" t="s">
        <v>118</v>
      </c>
      <c r="AA20" s="155" t="s">
        <v>124</v>
      </c>
      <c r="AB20" s="156"/>
      <c r="AC20" s="86">
        <v>600</v>
      </c>
      <c r="AD20" s="83" t="s">
        <v>205</v>
      </c>
      <c r="AE20" s="72"/>
      <c r="AF20" s="84"/>
      <c r="AG20" s="86"/>
      <c r="AH20" s="155"/>
      <c r="AI20" s="156"/>
      <c r="AJ20" s="86"/>
      <c r="AK20" s="86"/>
    </row>
    <row r="21" spans="1:38" x14ac:dyDescent="0.25">
      <c r="A21" s="206"/>
      <c r="B21" s="209"/>
      <c r="C21" s="16" t="s">
        <v>16</v>
      </c>
      <c r="D21" s="84"/>
      <c r="E21" s="86"/>
      <c r="F21" s="155"/>
      <c r="G21" s="156"/>
      <c r="H21" s="86"/>
      <c r="I21" s="86"/>
      <c r="J21" s="77"/>
      <c r="K21" s="84" t="s">
        <v>173</v>
      </c>
      <c r="L21" s="86" t="s">
        <v>152</v>
      </c>
      <c r="M21" s="155" t="s">
        <v>124</v>
      </c>
      <c r="N21" s="156"/>
      <c r="O21" s="86">
        <v>630</v>
      </c>
      <c r="P21" s="83" t="s">
        <v>204</v>
      </c>
      <c r="Q21" s="77"/>
      <c r="R21" s="84"/>
      <c r="S21" s="86"/>
      <c r="T21" s="155"/>
      <c r="U21" s="156"/>
      <c r="V21" s="86"/>
      <c r="W21" s="86"/>
      <c r="X21" s="72"/>
      <c r="Y21" s="84" t="s">
        <v>117</v>
      </c>
      <c r="Z21" s="86">
        <v>8</v>
      </c>
      <c r="AA21" s="155" t="s">
        <v>124</v>
      </c>
      <c r="AB21" s="156"/>
      <c r="AC21" s="86">
        <v>600</v>
      </c>
      <c r="AD21" s="83" t="s">
        <v>205</v>
      </c>
      <c r="AE21" s="72"/>
      <c r="AF21" s="81" t="s">
        <v>143</v>
      </c>
      <c r="AG21" s="85">
        <v>0.13</v>
      </c>
      <c r="AH21" s="155" t="s">
        <v>124</v>
      </c>
      <c r="AI21" s="156"/>
      <c r="AJ21" s="86">
        <v>600</v>
      </c>
      <c r="AK21" s="83" t="s">
        <v>203</v>
      </c>
    </row>
    <row r="22" spans="1:38" x14ac:dyDescent="0.25">
      <c r="A22" s="206"/>
      <c r="B22" s="209"/>
      <c r="C22" s="16" t="s">
        <v>17</v>
      </c>
      <c r="D22" s="84"/>
      <c r="E22" s="86"/>
      <c r="F22" s="155"/>
      <c r="G22" s="156"/>
      <c r="H22" s="86"/>
      <c r="I22" s="86"/>
      <c r="J22" s="77"/>
      <c r="K22" s="84"/>
      <c r="L22" s="86"/>
      <c r="M22" s="155"/>
      <c r="N22" s="156"/>
      <c r="O22" s="86"/>
      <c r="P22" s="86"/>
      <c r="Q22" s="77"/>
      <c r="R22" s="84"/>
      <c r="S22" s="86"/>
      <c r="T22" s="155"/>
      <c r="U22" s="156"/>
      <c r="V22" s="86"/>
      <c r="W22" s="86"/>
      <c r="X22" s="72"/>
      <c r="Y22" s="84"/>
      <c r="Z22" s="86"/>
      <c r="AA22" s="155"/>
      <c r="AB22" s="156"/>
      <c r="AC22" s="86"/>
      <c r="AD22" s="86"/>
      <c r="AE22" s="72"/>
      <c r="AF22" s="84"/>
      <c r="AG22" s="86"/>
      <c r="AH22" s="155"/>
      <c r="AI22" s="156"/>
      <c r="AJ22" s="86"/>
      <c r="AK22" s="86"/>
    </row>
    <row r="23" spans="1:38" ht="15.75" thickBot="1" x14ac:dyDescent="0.3">
      <c r="A23" s="206"/>
      <c r="B23" s="209"/>
      <c r="C23" s="32" t="s">
        <v>33</v>
      </c>
      <c r="D23" s="88"/>
      <c r="E23" s="89"/>
      <c r="F23" s="203"/>
      <c r="G23" s="204"/>
      <c r="H23" s="89"/>
      <c r="I23" s="89"/>
      <c r="J23" s="77"/>
      <c r="K23" s="88"/>
      <c r="L23" s="89"/>
      <c r="M23" s="203"/>
      <c r="N23" s="204"/>
      <c r="O23" s="89"/>
      <c r="P23" s="89"/>
      <c r="Q23" s="77"/>
      <c r="R23" s="88"/>
      <c r="S23" s="89"/>
      <c r="T23" s="203"/>
      <c r="U23" s="204"/>
      <c r="V23" s="89"/>
      <c r="W23" s="89"/>
      <c r="X23" s="72"/>
      <c r="Y23" s="88"/>
      <c r="Z23" s="89"/>
      <c r="AA23" s="197"/>
      <c r="AB23" s="198"/>
      <c r="AC23" s="89"/>
      <c r="AD23" s="89"/>
      <c r="AE23" s="72"/>
      <c r="AF23" s="88"/>
      <c r="AG23" s="89"/>
      <c r="AH23" s="203"/>
      <c r="AI23" s="204"/>
      <c r="AJ23" s="89"/>
      <c r="AK23" s="89"/>
    </row>
    <row r="24" spans="1:38" ht="18" thickBot="1" x14ac:dyDescent="0.3">
      <c r="A24" s="206"/>
      <c r="B24" s="209"/>
      <c r="C24" s="43" t="s">
        <v>90</v>
      </c>
      <c r="D24" s="78" t="s">
        <v>32</v>
      </c>
      <c r="E24" s="80" t="s">
        <v>91</v>
      </c>
      <c r="F24" s="195" t="s">
        <v>20</v>
      </c>
      <c r="G24" s="196"/>
      <c r="H24" s="80" t="s">
        <v>206</v>
      </c>
      <c r="I24" s="80" t="s">
        <v>23</v>
      </c>
      <c r="J24" s="77"/>
      <c r="K24" s="78" t="s">
        <v>32</v>
      </c>
      <c r="L24" s="80" t="s">
        <v>91</v>
      </c>
      <c r="M24" s="195" t="s">
        <v>20</v>
      </c>
      <c r="N24" s="196"/>
      <c r="O24" s="80" t="s">
        <v>206</v>
      </c>
      <c r="P24" s="80" t="s">
        <v>23</v>
      </c>
      <c r="Q24" s="77"/>
      <c r="R24" s="78" t="s">
        <v>32</v>
      </c>
      <c r="S24" s="80" t="s">
        <v>91</v>
      </c>
      <c r="T24" s="195" t="s">
        <v>20</v>
      </c>
      <c r="U24" s="196"/>
      <c r="V24" s="80" t="s">
        <v>206</v>
      </c>
      <c r="W24" s="80" t="s">
        <v>23</v>
      </c>
      <c r="X24" s="72"/>
      <c r="Y24" s="78" t="s">
        <v>32</v>
      </c>
      <c r="Z24" s="80" t="s">
        <v>91</v>
      </c>
      <c r="AA24" s="195" t="s">
        <v>20</v>
      </c>
      <c r="AB24" s="196"/>
      <c r="AC24" s="80" t="s">
        <v>206</v>
      </c>
      <c r="AD24" s="80" t="s">
        <v>23</v>
      </c>
      <c r="AE24" s="72"/>
      <c r="AF24" s="78" t="s">
        <v>32</v>
      </c>
      <c r="AG24" s="80" t="s">
        <v>91</v>
      </c>
      <c r="AH24" s="195" t="s">
        <v>20</v>
      </c>
      <c r="AI24" s="196"/>
      <c r="AJ24" s="80" t="s">
        <v>206</v>
      </c>
      <c r="AK24" s="80" t="s">
        <v>23</v>
      </c>
    </row>
    <row r="25" spans="1:38" x14ac:dyDescent="0.25">
      <c r="A25" s="206"/>
      <c r="B25" s="209"/>
      <c r="C25" s="41" t="s">
        <v>19</v>
      </c>
      <c r="D25" s="81"/>
      <c r="E25" s="83"/>
      <c r="F25" s="199"/>
      <c r="G25" s="200"/>
      <c r="H25" s="83"/>
      <c r="I25" s="83"/>
      <c r="J25" s="77"/>
      <c r="K25" s="81"/>
      <c r="L25" s="83"/>
      <c r="M25" s="199"/>
      <c r="N25" s="200"/>
      <c r="O25" s="83"/>
      <c r="P25" s="83"/>
      <c r="Q25" s="77"/>
      <c r="R25" s="81"/>
      <c r="S25" s="83"/>
      <c r="T25" s="199"/>
      <c r="U25" s="200"/>
      <c r="V25" s="83"/>
      <c r="W25" s="83"/>
      <c r="X25" s="72"/>
      <c r="Y25" s="81"/>
      <c r="Z25" s="83"/>
      <c r="AA25" s="284"/>
      <c r="AB25" s="247"/>
      <c r="AC25" s="83"/>
      <c r="AD25" s="83"/>
      <c r="AE25" s="72"/>
      <c r="AF25" s="81"/>
      <c r="AG25" s="83"/>
      <c r="AH25" s="199"/>
      <c r="AI25" s="200"/>
      <c r="AJ25" s="83"/>
      <c r="AK25" s="83"/>
    </row>
    <row r="26" spans="1:38" ht="15.75" thickBot="1" x14ac:dyDescent="0.3">
      <c r="A26" s="207"/>
      <c r="B26" s="210"/>
      <c r="C26" s="42" t="s">
        <v>18</v>
      </c>
      <c r="D26" s="90" t="s">
        <v>128</v>
      </c>
      <c r="E26" s="91" t="s">
        <v>131</v>
      </c>
      <c r="F26" s="197" t="s">
        <v>129</v>
      </c>
      <c r="G26" s="198"/>
      <c r="H26" s="91" t="s">
        <v>130</v>
      </c>
      <c r="I26" s="83" t="s">
        <v>207</v>
      </c>
      <c r="J26" s="77"/>
      <c r="K26" s="90"/>
      <c r="L26" s="91"/>
      <c r="M26" s="197"/>
      <c r="N26" s="198"/>
      <c r="O26" s="91"/>
      <c r="P26" s="91"/>
      <c r="Q26" s="77"/>
      <c r="R26" s="90"/>
      <c r="S26" s="91"/>
      <c r="T26" s="197"/>
      <c r="U26" s="198"/>
      <c r="V26" s="91"/>
      <c r="W26" s="91"/>
      <c r="X26" s="72"/>
      <c r="Y26" s="90"/>
      <c r="Z26" s="91"/>
      <c r="AA26" s="197"/>
      <c r="AB26" s="198"/>
      <c r="AC26" s="91"/>
      <c r="AD26" s="91"/>
      <c r="AE26" s="72"/>
      <c r="AF26" s="90" t="s">
        <v>128</v>
      </c>
      <c r="AG26" s="91" t="s">
        <v>142</v>
      </c>
      <c r="AH26" s="197" t="s">
        <v>129</v>
      </c>
      <c r="AI26" s="198"/>
      <c r="AJ26" s="91">
        <v>27</v>
      </c>
      <c r="AK26" s="83" t="s">
        <v>208</v>
      </c>
    </row>
    <row r="27" spans="1:38" ht="15.75" thickBot="1" x14ac:dyDescent="0.3">
      <c r="A27" s="17"/>
      <c r="B27" s="14"/>
      <c r="C27" s="14"/>
      <c r="D27" s="171"/>
      <c r="E27" s="172"/>
      <c r="F27" s="172"/>
      <c r="G27" s="172"/>
      <c r="H27" s="172"/>
      <c r="I27" s="172"/>
      <c r="J27" s="77"/>
      <c r="K27" s="171"/>
      <c r="L27" s="172"/>
      <c r="M27" s="172"/>
      <c r="N27" s="172"/>
      <c r="O27" s="172"/>
      <c r="P27" s="172"/>
      <c r="Q27" s="77"/>
      <c r="R27" s="171"/>
      <c r="S27" s="172"/>
      <c r="T27" s="172"/>
      <c r="U27" s="172"/>
      <c r="V27" s="172"/>
      <c r="W27" s="172"/>
      <c r="X27" s="72"/>
      <c r="Y27" s="269"/>
      <c r="Z27" s="270"/>
      <c r="AA27" s="270"/>
      <c r="AB27" s="270"/>
      <c r="AC27" s="270"/>
      <c r="AD27" s="270"/>
      <c r="AE27" s="72"/>
      <c r="AF27" s="171"/>
      <c r="AG27" s="172"/>
      <c r="AH27" s="172"/>
      <c r="AI27" s="172"/>
      <c r="AJ27" s="172"/>
      <c r="AK27" s="172"/>
    </row>
    <row r="28" spans="1:38" ht="60" customHeight="1" thickBot="1" x14ac:dyDescent="0.3">
      <c r="A28" s="211" t="s">
        <v>21</v>
      </c>
      <c r="B28" s="208" t="s">
        <v>99</v>
      </c>
      <c r="C28" s="43"/>
      <c r="D28" s="92" t="s">
        <v>32</v>
      </c>
      <c r="E28" s="80" t="s">
        <v>20</v>
      </c>
      <c r="F28" s="195" t="s">
        <v>93</v>
      </c>
      <c r="G28" s="196"/>
      <c r="H28" s="202" t="s">
        <v>23</v>
      </c>
      <c r="I28" s="202"/>
      <c r="J28" s="77"/>
      <c r="K28" s="92" t="s">
        <v>32</v>
      </c>
      <c r="L28" s="80" t="s">
        <v>20</v>
      </c>
      <c r="M28" s="195" t="s">
        <v>93</v>
      </c>
      <c r="N28" s="196"/>
      <c r="O28" s="202" t="s">
        <v>23</v>
      </c>
      <c r="P28" s="202"/>
      <c r="Q28" s="77"/>
      <c r="R28" s="92" t="s">
        <v>32</v>
      </c>
      <c r="S28" s="80" t="s">
        <v>20</v>
      </c>
      <c r="T28" s="195" t="s">
        <v>93</v>
      </c>
      <c r="U28" s="196"/>
      <c r="V28" s="202" t="s">
        <v>23</v>
      </c>
      <c r="W28" s="202"/>
      <c r="X28" s="72"/>
      <c r="Y28" s="92" t="s">
        <v>32</v>
      </c>
      <c r="Z28" s="80" t="s">
        <v>20</v>
      </c>
      <c r="AA28" s="195" t="s">
        <v>93</v>
      </c>
      <c r="AB28" s="196"/>
      <c r="AC28" s="285" t="s">
        <v>23</v>
      </c>
      <c r="AD28" s="286"/>
      <c r="AE28" s="72"/>
      <c r="AF28" s="92" t="s">
        <v>32</v>
      </c>
      <c r="AG28" s="80" t="s">
        <v>20</v>
      </c>
      <c r="AH28" s="195" t="s">
        <v>93</v>
      </c>
      <c r="AI28" s="196"/>
      <c r="AJ28" s="202" t="s">
        <v>23</v>
      </c>
      <c r="AK28" s="202"/>
    </row>
    <row r="29" spans="1:38" ht="17.25" customHeight="1" x14ac:dyDescent="0.25">
      <c r="A29" s="212"/>
      <c r="B29" s="209"/>
      <c r="C29" s="41" t="s">
        <v>24</v>
      </c>
      <c r="D29" s="93" t="s">
        <v>133</v>
      </c>
      <c r="E29" s="83" t="s">
        <v>137</v>
      </c>
      <c r="F29" s="199">
        <v>1</v>
      </c>
      <c r="G29" s="200"/>
      <c r="H29" s="201" t="s">
        <v>202</v>
      </c>
      <c r="I29" s="201"/>
      <c r="J29" s="77"/>
      <c r="K29" s="93" t="s">
        <v>133</v>
      </c>
      <c r="L29" s="83" t="s">
        <v>137</v>
      </c>
      <c r="M29" s="199">
        <v>1</v>
      </c>
      <c r="N29" s="200"/>
      <c r="O29" s="201" t="s">
        <v>202</v>
      </c>
      <c r="P29" s="201"/>
      <c r="Q29" s="77"/>
      <c r="R29" s="93" t="s">
        <v>156</v>
      </c>
      <c r="S29" s="83" t="s">
        <v>137</v>
      </c>
      <c r="T29" s="199">
        <v>2</v>
      </c>
      <c r="U29" s="200"/>
      <c r="V29" s="201" t="s">
        <v>204</v>
      </c>
      <c r="W29" s="201"/>
      <c r="X29" s="72"/>
      <c r="Y29" s="93" t="s">
        <v>167</v>
      </c>
      <c r="Z29" s="83" t="s">
        <v>137</v>
      </c>
      <c r="AA29" s="284">
        <v>1</v>
      </c>
      <c r="AB29" s="247"/>
      <c r="AC29" s="201" t="s">
        <v>205</v>
      </c>
      <c r="AD29" s="201"/>
      <c r="AE29" s="72"/>
      <c r="AF29" s="93" t="s">
        <v>144</v>
      </c>
      <c r="AG29" s="83" t="s">
        <v>137</v>
      </c>
      <c r="AH29" s="199">
        <v>0.45</v>
      </c>
      <c r="AI29" s="200"/>
      <c r="AJ29" s="201" t="s">
        <v>209</v>
      </c>
      <c r="AK29" s="201"/>
    </row>
    <row r="30" spans="1:38" ht="17.25" customHeight="1" x14ac:dyDescent="0.25">
      <c r="A30" s="212"/>
      <c r="B30" s="209"/>
      <c r="C30" s="16" t="s">
        <v>24</v>
      </c>
      <c r="D30" s="94" t="s">
        <v>134</v>
      </c>
      <c r="E30" s="83" t="s">
        <v>137</v>
      </c>
      <c r="F30" s="155">
        <v>0.02</v>
      </c>
      <c r="G30" s="156"/>
      <c r="H30" s="201" t="s">
        <v>202</v>
      </c>
      <c r="I30" s="201"/>
      <c r="J30" s="77"/>
      <c r="K30" s="94" t="s">
        <v>134</v>
      </c>
      <c r="L30" s="83" t="s">
        <v>137</v>
      </c>
      <c r="M30" s="155">
        <v>0.02</v>
      </c>
      <c r="N30" s="156"/>
      <c r="O30" s="201" t="s">
        <v>202</v>
      </c>
      <c r="P30" s="201"/>
      <c r="Q30" s="77"/>
      <c r="R30" s="94" t="s">
        <v>157</v>
      </c>
      <c r="S30" s="83" t="s">
        <v>137</v>
      </c>
      <c r="T30" s="155">
        <v>0.2</v>
      </c>
      <c r="U30" s="156"/>
      <c r="V30" s="201" t="s">
        <v>204</v>
      </c>
      <c r="W30" s="201"/>
      <c r="X30" s="72"/>
      <c r="Y30" s="93" t="s">
        <v>120</v>
      </c>
      <c r="Z30" s="83" t="s">
        <v>137</v>
      </c>
      <c r="AA30" s="155">
        <v>1</v>
      </c>
      <c r="AB30" s="156"/>
      <c r="AC30" s="201" t="s">
        <v>205</v>
      </c>
      <c r="AD30" s="201"/>
      <c r="AE30" s="72"/>
      <c r="AF30" s="94" t="s">
        <v>145</v>
      </c>
      <c r="AG30" s="83" t="s">
        <v>137</v>
      </c>
      <c r="AH30" s="155">
        <v>2.5</v>
      </c>
      <c r="AI30" s="156"/>
      <c r="AJ30" s="155" t="s">
        <v>210</v>
      </c>
      <c r="AK30" s="156"/>
    </row>
    <row r="31" spans="1:38" s="66" customFormat="1" ht="17.25" customHeight="1" x14ac:dyDescent="0.25">
      <c r="A31" s="212"/>
      <c r="B31" s="209"/>
      <c r="C31" s="16" t="s">
        <v>24</v>
      </c>
      <c r="D31" s="94" t="s">
        <v>135</v>
      </c>
      <c r="E31" s="83" t="s">
        <v>137</v>
      </c>
      <c r="F31" s="155">
        <v>1.25</v>
      </c>
      <c r="G31" s="156"/>
      <c r="H31" s="155" t="s">
        <v>202</v>
      </c>
      <c r="I31" s="156"/>
      <c r="J31" s="95"/>
      <c r="K31" s="94" t="s">
        <v>135</v>
      </c>
      <c r="L31" s="83" t="s">
        <v>137</v>
      </c>
      <c r="M31" s="155">
        <v>1.25</v>
      </c>
      <c r="N31" s="156"/>
      <c r="O31" s="155" t="s">
        <v>202</v>
      </c>
      <c r="P31" s="156"/>
      <c r="Q31" s="95"/>
      <c r="R31" s="94"/>
      <c r="S31" s="86"/>
      <c r="T31" s="96"/>
      <c r="U31" s="94"/>
      <c r="V31" s="96"/>
      <c r="W31" s="94"/>
      <c r="X31" s="97"/>
      <c r="Y31" s="94"/>
      <c r="Z31" s="86"/>
      <c r="AA31" s="96"/>
      <c r="AB31" s="94"/>
      <c r="AC31" s="96"/>
      <c r="AD31" s="94"/>
      <c r="AE31" s="97"/>
      <c r="AF31" s="94" t="s">
        <v>146</v>
      </c>
      <c r="AG31" s="83" t="s">
        <v>137</v>
      </c>
      <c r="AH31" s="155">
        <v>0.8</v>
      </c>
      <c r="AI31" s="156"/>
      <c r="AJ31" s="155" t="s">
        <v>211</v>
      </c>
      <c r="AK31" s="156"/>
      <c r="AL31" s="70"/>
    </row>
    <row r="32" spans="1:38" x14ac:dyDescent="0.25">
      <c r="A32" s="212"/>
      <c r="B32" s="209"/>
      <c r="C32" s="16" t="s">
        <v>25</v>
      </c>
      <c r="D32" s="94"/>
      <c r="E32" s="86"/>
      <c r="F32" s="155"/>
      <c r="G32" s="156"/>
      <c r="H32" s="214"/>
      <c r="I32" s="214"/>
      <c r="J32" s="77"/>
      <c r="K32" s="94"/>
      <c r="L32" s="86"/>
      <c r="M32" s="155"/>
      <c r="N32" s="156"/>
      <c r="O32" s="214"/>
      <c r="P32" s="214"/>
      <c r="Q32" s="77"/>
      <c r="R32" s="94"/>
      <c r="S32" s="86"/>
      <c r="T32" s="155"/>
      <c r="U32" s="156"/>
      <c r="V32" s="214"/>
      <c r="W32" s="214"/>
      <c r="X32" s="72"/>
      <c r="Y32" s="94" t="s">
        <v>121</v>
      </c>
      <c r="Z32" s="83" t="s">
        <v>137</v>
      </c>
      <c r="AA32" s="155">
        <v>1.6</v>
      </c>
      <c r="AB32" s="156"/>
      <c r="AC32" s="201" t="s">
        <v>202</v>
      </c>
      <c r="AD32" s="201"/>
      <c r="AE32" s="72"/>
      <c r="AF32" s="94" t="s">
        <v>147</v>
      </c>
      <c r="AG32" s="83" t="s">
        <v>137</v>
      </c>
      <c r="AH32" s="155" t="s">
        <v>148</v>
      </c>
      <c r="AI32" s="156"/>
      <c r="AJ32" s="214" t="s">
        <v>212</v>
      </c>
      <c r="AK32" s="214"/>
    </row>
    <row r="33" spans="1:38" ht="15.75" customHeight="1" x14ac:dyDescent="0.25">
      <c r="A33" s="212"/>
      <c r="B33" s="209"/>
      <c r="C33" s="16" t="s">
        <v>22</v>
      </c>
      <c r="D33" s="94" t="s">
        <v>136</v>
      </c>
      <c r="E33" s="86"/>
      <c r="F33" s="214"/>
      <c r="G33" s="214"/>
      <c r="H33" s="214" t="s">
        <v>213</v>
      </c>
      <c r="I33" s="214"/>
      <c r="J33" s="77"/>
      <c r="K33" s="94" t="s">
        <v>136</v>
      </c>
      <c r="L33" s="86"/>
      <c r="M33" s="214"/>
      <c r="N33" s="214"/>
      <c r="O33" s="214" t="s">
        <v>213</v>
      </c>
      <c r="P33" s="214"/>
      <c r="Q33" s="77"/>
      <c r="R33" s="94"/>
      <c r="S33" s="86"/>
      <c r="T33" s="214"/>
      <c r="U33" s="214"/>
      <c r="V33" s="214"/>
      <c r="W33" s="214"/>
      <c r="X33" s="72"/>
      <c r="Y33" s="94" t="s">
        <v>122</v>
      </c>
      <c r="Z33" s="83" t="s">
        <v>137</v>
      </c>
      <c r="AA33" s="155">
        <v>0.8</v>
      </c>
      <c r="AB33" s="156"/>
      <c r="AC33" s="201" t="s">
        <v>202</v>
      </c>
      <c r="AD33" s="201"/>
      <c r="AE33" s="72"/>
      <c r="AF33" s="94" t="s">
        <v>94</v>
      </c>
      <c r="AG33" s="83" t="s">
        <v>137</v>
      </c>
      <c r="AH33" s="214">
        <v>7.4999999999999997E-2</v>
      </c>
      <c r="AI33" s="214"/>
      <c r="AJ33" s="214" t="s">
        <v>214</v>
      </c>
      <c r="AK33" s="214"/>
    </row>
    <row r="34" spans="1:38" x14ac:dyDescent="0.25">
      <c r="A34" s="212"/>
      <c r="B34" s="209"/>
      <c r="C34" s="16" t="s">
        <v>22</v>
      </c>
      <c r="D34" s="94"/>
      <c r="E34" s="86"/>
      <c r="F34" s="155"/>
      <c r="G34" s="156"/>
      <c r="H34" s="155"/>
      <c r="I34" s="156"/>
      <c r="J34" s="77"/>
      <c r="K34" s="94"/>
      <c r="L34" s="86"/>
      <c r="M34" s="155"/>
      <c r="N34" s="156"/>
      <c r="O34" s="155"/>
      <c r="P34" s="156"/>
      <c r="Q34" s="77"/>
      <c r="R34" s="94"/>
      <c r="S34" s="86"/>
      <c r="T34" s="155"/>
      <c r="U34" s="156"/>
      <c r="V34" s="155"/>
      <c r="W34" s="156"/>
      <c r="X34" s="72"/>
      <c r="Y34" s="94"/>
      <c r="Z34" s="86"/>
      <c r="AA34" s="155"/>
      <c r="AB34" s="156"/>
      <c r="AC34" s="155"/>
      <c r="AD34" s="156"/>
      <c r="AE34" s="72"/>
      <c r="AF34" s="94" t="s">
        <v>149</v>
      </c>
      <c r="AG34" s="83" t="s">
        <v>137</v>
      </c>
      <c r="AH34" s="155">
        <v>0.15</v>
      </c>
      <c r="AI34" s="156"/>
      <c r="AJ34" s="155" t="s">
        <v>207</v>
      </c>
      <c r="AK34" s="156"/>
    </row>
    <row r="35" spans="1:38" ht="15.75" thickBot="1" x14ac:dyDescent="0.3">
      <c r="A35" s="212"/>
      <c r="B35" s="209"/>
      <c r="C35" s="42" t="s">
        <v>22</v>
      </c>
      <c r="D35" s="98"/>
      <c r="E35" s="91"/>
      <c r="F35" s="197"/>
      <c r="G35" s="198"/>
      <c r="H35" s="197"/>
      <c r="I35" s="198"/>
      <c r="J35" s="77"/>
      <c r="K35" s="98"/>
      <c r="L35" s="91"/>
      <c r="M35" s="197"/>
      <c r="N35" s="198"/>
      <c r="O35" s="197"/>
      <c r="P35" s="198"/>
      <c r="Q35" s="77"/>
      <c r="R35" s="98"/>
      <c r="S35" s="91"/>
      <c r="T35" s="197"/>
      <c r="U35" s="198"/>
      <c r="V35" s="197"/>
      <c r="W35" s="198"/>
      <c r="X35" s="72"/>
      <c r="Y35" s="98"/>
      <c r="Z35" s="91"/>
      <c r="AA35" s="197"/>
      <c r="AB35" s="198"/>
      <c r="AC35" s="197"/>
      <c r="AD35" s="198"/>
      <c r="AE35" s="72"/>
      <c r="AF35" s="98" t="s">
        <v>122</v>
      </c>
      <c r="AG35" s="83" t="s">
        <v>137</v>
      </c>
      <c r="AH35" s="197">
        <v>0.8</v>
      </c>
      <c r="AI35" s="198"/>
      <c r="AJ35" s="155" t="s">
        <v>207</v>
      </c>
      <c r="AK35" s="156"/>
    </row>
    <row r="36" spans="1:38" s="33" customFormat="1" ht="15.75" thickBot="1" x14ac:dyDescent="0.3">
      <c r="A36" s="213"/>
      <c r="B36" s="210"/>
      <c r="C36" s="43" t="s">
        <v>71</v>
      </c>
      <c r="D36" s="216"/>
      <c r="E36" s="216"/>
      <c r="F36" s="216"/>
      <c r="G36" s="196"/>
      <c r="H36" s="215"/>
      <c r="I36" s="215"/>
      <c r="J36" s="99"/>
      <c r="K36" s="216"/>
      <c r="L36" s="216"/>
      <c r="M36" s="216"/>
      <c r="N36" s="196"/>
      <c r="O36" s="215"/>
      <c r="P36" s="215"/>
      <c r="Q36" s="99"/>
      <c r="R36" s="216" t="s">
        <v>140</v>
      </c>
      <c r="S36" s="216"/>
      <c r="T36" s="216"/>
      <c r="U36" s="196"/>
      <c r="V36" s="215"/>
      <c r="W36" s="215"/>
      <c r="X36" s="99"/>
      <c r="Y36" s="216"/>
      <c r="Z36" s="216"/>
      <c r="AA36" s="216"/>
      <c r="AB36" s="196"/>
      <c r="AC36" s="195"/>
      <c r="AD36" s="196"/>
      <c r="AE36" s="99"/>
      <c r="AF36" s="216"/>
      <c r="AG36" s="216"/>
      <c r="AH36" s="216"/>
      <c r="AI36" s="196"/>
      <c r="AJ36" s="215"/>
      <c r="AK36" s="215"/>
      <c r="AL36" s="34"/>
    </row>
    <row r="37" spans="1:38" ht="15.75" thickBot="1" x14ac:dyDescent="0.3">
      <c r="A37" s="11"/>
      <c r="B37" s="14"/>
      <c r="C37" s="14"/>
      <c r="D37" s="171"/>
      <c r="E37" s="172"/>
      <c r="F37" s="172"/>
      <c r="G37" s="172"/>
      <c r="H37" s="172"/>
      <c r="I37" s="172"/>
      <c r="J37" s="77"/>
      <c r="K37" s="171"/>
      <c r="L37" s="172"/>
      <c r="M37" s="172"/>
      <c r="N37" s="172"/>
      <c r="O37" s="172"/>
      <c r="P37" s="172"/>
      <c r="Q37" s="77"/>
      <c r="R37" s="171"/>
      <c r="S37" s="172"/>
      <c r="T37" s="172"/>
      <c r="U37" s="172"/>
      <c r="V37" s="172"/>
      <c r="W37" s="172"/>
      <c r="X37" s="72"/>
      <c r="Y37" s="269"/>
      <c r="Z37" s="270"/>
      <c r="AA37" s="270"/>
      <c r="AB37" s="270"/>
      <c r="AC37" s="270"/>
      <c r="AD37" s="270"/>
      <c r="AE37" s="72"/>
      <c r="AF37" s="171"/>
      <c r="AG37" s="172"/>
      <c r="AH37" s="172"/>
      <c r="AI37" s="172"/>
      <c r="AJ37" s="172"/>
      <c r="AK37" s="172"/>
    </row>
    <row r="38" spans="1:38" ht="15.75" customHeight="1" thickBot="1" x14ac:dyDescent="0.3">
      <c r="A38" s="217" t="s">
        <v>26</v>
      </c>
      <c r="B38" s="218" t="s">
        <v>100</v>
      </c>
      <c r="C38" s="44"/>
      <c r="D38" s="221" t="s">
        <v>9</v>
      </c>
      <c r="E38" s="222"/>
      <c r="F38" s="223" t="s">
        <v>10</v>
      </c>
      <c r="G38" s="223"/>
      <c r="H38" s="223"/>
      <c r="I38" s="223"/>
      <c r="J38" s="100" t="s">
        <v>9</v>
      </c>
      <c r="K38" s="221" t="s">
        <v>9</v>
      </c>
      <c r="L38" s="222"/>
      <c r="M38" s="223" t="s">
        <v>10</v>
      </c>
      <c r="N38" s="223"/>
      <c r="O38" s="223"/>
      <c r="P38" s="223"/>
      <c r="Q38" s="100"/>
      <c r="R38" s="221" t="s">
        <v>9</v>
      </c>
      <c r="S38" s="222"/>
      <c r="T38" s="223" t="s">
        <v>10</v>
      </c>
      <c r="U38" s="223"/>
      <c r="V38" s="223"/>
      <c r="W38" s="223"/>
      <c r="X38" s="100"/>
      <c r="Y38" s="221" t="s">
        <v>9</v>
      </c>
      <c r="Z38" s="222"/>
      <c r="AA38" s="287" t="s">
        <v>10</v>
      </c>
      <c r="AB38" s="221"/>
      <c r="AC38" s="221"/>
      <c r="AD38" s="222"/>
      <c r="AE38" s="100"/>
      <c r="AF38" s="221" t="s">
        <v>9</v>
      </c>
      <c r="AG38" s="222"/>
      <c r="AH38" s="223" t="s">
        <v>10</v>
      </c>
      <c r="AI38" s="223"/>
      <c r="AJ38" s="223"/>
      <c r="AK38" s="223"/>
      <c r="AL38" s="54"/>
    </row>
    <row r="39" spans="1:38" ht="15" customHeight="1" x14ac:dyDescent="0.25">
      <c r="A39" s="217"/>
      <c r="B39" s="219"/>
      <c r="C39" s="15" t="s">
        <v>27</v>
      </c>
      <c r="D39" s="224"/>
      <c r="E39" s="225"/>
      <c r="F39" s="226" t="s">
        <v>215</v>
      </c>
      <c r="G39" s="226"/>
      <c r="H39" s="226"/>
      <c r="I39" s="226"/>
      <c r="J39" s="77"/>
      <c r="K39" s="224"/>
      <c r="L39" s="225"/>
      <c r="M39" s="226" t="s">
        <v>215</v>
      </c>
      <c r="N39" s="226"/>
      <c r="O39" s="226"/>
      <c r="P39" s="226"/>
      <c r="Q39" s="77"/>
      <c r="R39" s="224"/>
      <c r="S39" s="225"/>
      <c r="T39" s="226" t="s">
        <v>226</v>
      </c>
      <c r="U39" s="226"/>
      <c r="V39" s="226"/>
      <c r="W39" s="226"/>
      <c r="X39" s="72"/>
      <c r="Y39" s="281"/>
      <c r="Z39" s="282"/>
      <c r="AA39" s="226" t="s">
        <v>216</v>
      </c>
      <c r="AB39" s="226"/>
      <c r="AC39" s="226"/>
      <c r="AD39" s="226"/>
      <c r="AE39" s="72"/>
      <c r="AF39" s="224"/>
      <c r="AG39" s="225"/>
      <c r="AH39" s="226" t="s">
        <v>216</v>
      </c>
      <c r="AI39" s="226"/>
      <c r="AJ39" s="226"/>
      <c r="AK39" s="226"/>
    </row>
    <row r="40" spans="1:38" x14ac:dyDescent="0.25">
      <c r="A40" s="217"/>
      <c r="B40" s="219"/>
      <c r="C40" s="15" t="s">
        <v>28</v>
      </c>
      <c r="D40" s="227"/>
      <c r="E40" s="228"/>
      <c r="F40" s="194" t="s">
        <v>217</v>
      </c>
      <c r="G40" s="194"/>
      <c r="H40" s="194"/>
      <c r="I40" s="194"/>
      <c r="J40" s="77"/>
      <c r="K40" s="227"/>
      <c r="L40" s="228"/>
      <c r="M40" s="194" t="s">
        <v>217</v>
      </c>
      <c r="N40" s="194"/>
      <c r="O40" s="194"/>
      <c r="P40" s="194"/>
      <c r="Q40" s="77"/>
      <c r="R40" s="227"/>
      <c r="S40" s="228"/>
      <c r="T40" s="194"/>
      <c r="U40" s="194"/>
      <c r="V40" s="194"/>
      <c r="W40" s="194"/>
      <c r="X40" s="72"/>
      <c r="Y40" s="227"/>
      <c r="Z40" s="228"/>
      <c r="AA40" s="194" t="s">
        <v>218</v>
      </c>
      <c r="AB40" s="194"/>
      <c r="AC40" s="194"/>
      <c r="AD40" s="194"/>
      <c r="AE40" s="72"/>
      <c r="AF40" s="227"/>
      <c r="AG40" s="228"/>
      <c r="AH40" s="194"/>
      <c r="AI40" s="194"/>
      <c r="AJ40" s="194"/>
      <c r="AK40" s="194"/>
    </row>
    <row r="41" spans="1:38" ht="15.75" thickBot="1" x14ac:dyDescent="0.3">
      <c r="A41" s="217"/>
      <c r="B41" s="220"/>
      <c r="C41" s="45" t="s">
        <v>29</v>
      </c>
      <c r="D41" s="229"/>
      <c r="E41" s="230"/>
      <c r="F41" s="192"/>
      <c r="G41" s="192"/>
      <c r="H41" s="192"/>
      <c r="I41" s="192"/>
      <c r="J41" s="77"/>
      <c r="K41" s="229"/>
      <c r="L41" s="230"/>
      <c r="M41" s="192"/>
      <c r="N41" s="192"/>
      <c r="O41" s="192"/>
      <c r="P41" s="192"/>
      <c r="Q41" s="77"/>
      <c r="R41" s="229"/>
      <c r="S41" s="230"/>
      <c r="T41" s="192"/>
      <c r="U41" s="192"/>
      <c r="V41" s="192"/>
      <c r="W41" s="192"/>
      <c r="X41" s="72"/>
      <c r="Y41" s="229"/>
      <c r="Z41" s="230"/>
      <c r="AA41" s="192" t="s">
        <v>219</v>
      </c>
      <c r="AB41" s="192"/>
      <c r="AC41" s="192"/>
      <c r="AD41" s="192"/>
      <c r="AE41" s="72"/>
      <c r="AF41" s="229"/>
      <c r="AG41" s="230"/>
      <c r="AH41" s="192" t="s">
        <v>220</v>
      </c>
      <c r="AI41" s="192"/>
      <c r="AJ41" s="192"/>
      <c r="AK41" s="192"/>
    </row>
    <row r="42" spans="1:38" ht="15.75" thickBot="1" x14ac:dyDescent="0.3">
      <c r="A42" s="11"/>
      <c r="B42" s="14"/>
      <c r="C42" s="14"/>
      <c r="D42" s="171"/>
      <c r="E42" s="172"/>
      <c r="F42" s="172"/>
      <c r="G42" s="172"/>
      <c r="H42" s="172"/>
      <c r="I42" s="172"/>
      <c r="J42" s="77"/>
      <c r="K42" s="171"/>
      <c r="L42" s="172"/>
      <c r="M42" s="172"/>
      <c r="N42" s="172"/>
      <c r="O42" s="172"/>
      <c r="P42" s="172"/>
      <c r="Q42" s="77"/>
      <c r="R42" s="171"/>
      <c r="S42" s="172"/>
      <c r="T42" s="172"/>
      <c r="U42" s="172"/>
      <c r="V42" s="172"/>
      <c r="W42" s="172"/>
      <c r="X42" s="72"/>
      <c r="Y42" s="269"/>
      <c r="Z42" s="270"/>
      <c r="AA42" s="270"/>
      <c r="AB42" s="270"/>
      <c r="AC42" s="270"/>
      <c r="AD42" s="270"/>
      <c r="AE42" s="72"/>
      <c r="AF42" s="171"/>
      <c r="AG42" s="172"/>
      <c r="AH42" s="172"/>
      <c r="AI42" s="172"/>
      <c r="AJ42" s="172"/>
      <c r="AK42" s="172"/>
    </row>
    <row r="43" spans="1:38" ht="15" customHeight="1" thickBot="1" x14ac:dyDescent="0.3">
      <c r="A43" s="231" t="s">
        <v>30</v>
      </c>
      <c r="B43" s="233" t="s">
        <v>101</v>
      </c>
      <c r="C43" s="53"/>
      <c r="D43" s="101" t="s">
        <v>9</v>
      </c>
      <c r="E43" s="236" t="s">
        <v>87</v>
      </c>
      <c r="F43" s="237"/>
      <c r="G43" s="238" t="s">
        <v>86</v>
      </c>
      <c r="H43" s="238"/>
      <c r="I43" s="238"/>
      <c r="J43" s="77"/>
      <c r="K43" s="101" t="s">
        <v>9</v>
      </c>
      <c r="L43" s="236" t="s">
        <v>87</v>
      </c>
      <c r="M43" s="237"/>
      <c r="N43" s="238" t="s">
        <v>86</v>
      </c>
      <c r="O43" s="238"/>
      <c r="P43" s="238"/>
      <c r="Q43" s="77"/>
      <c r="R43" s="101" t="s">
        <v>9</v>
      </c>
      <c r="S43" s="236" t="s">
        <v>87</v>
      </c>
      <c r="T43" s="237"/>
      <c r="U43" s="238" t="s">
        <v>86</v>
      </c>
      <c r="V43" s="238"/>
      <c r="W43" s="238"/>
      <c r="X43" s="72"/>
      <c r="Y43" s="101" t="s">
        <v>9</v>
      </c>
      <c r="Z43" s="236" t="s">
        <v>87</v>
      </c>
      <c r="AA43" s="237"/>
      <c r="AB43" s="236" t="s">
        <v>86</v>
      </c>
      <c r="AC43" s="289"/>
      <c r="AD43" s="237"/>
      <c r="AE43" s="72"/>
      <c r="AF43" s="101" t="s">
        <v>9</v>
      </c>
      <c r="AG43" s="236" t="s">
        <v>87</v>
      </c>
      <c r="AH43" s="237"/>
      <c r="AI43" s="238" t="s">
        <v>86</v>
      </c>
      <c r="AJ43" s="238"/>
      <c r="AK43" s="238"/>
    </row>
    <row r="44" spans="1:38" ht="15" customHeight="1" x14ac:dyDescent="0.25">
      <c r="A44" s="232"/>
      <c r="B44" s="234"/>
      <c r="C44" s="52" t="s">
        <v>35</v>
      </c>
      <c r="D44" s="102" t="s">
        <v>115</v>
      </c>
      <c r="E44" s="241">
        <v>11</v>
      </c>
      <c r="F44" s="242"/>
      <c r="G44" s="243" t="s">
        <v>153</v>
      </c>
      <c r="H44" s="243"/>
      <c r="I44" s="243"/>
      <c r="J44" s="77"/>
      <c r="K44" s="102" t="s">
        <v>115</v>
      </c>
      <c r="L44" s="241">
        <v>11</v>
      </c>
      <c r="M44" s="242"/>
      <c r="N44" s="243" t="s">
        <v>153</v>
      </c>
      <c r="O44" s="243"/>
      <c r="P44" s="243"/>
      <c r="Q44" s="77"/>
      <c r="R44" s="102" t="s">
        <v>115</v>
      </c>
      <c r="S44" s="241">
        <v>3</v>
      </c>
      <c r="T44" s="242"/>
      <c r="U44" s="243" t="s">
        <v>154</v>
      </c>
      <c r="V44" s="243"/>
      <c r="W44" s="243"/>
      <c r="X44" s="72"/>
      <c r="Y44" s="102" t="s">
        <v>115</v>
      </c>
      <c r="Z44" s="288">
        <v>7</v>
      </c>
      <c r="AA44" s="277"/>
      <c r="AB44" s="288" t="s">
        <v>169</v>
      </c>
      <c r="AC44" s="276"/>
      <c r="AD44" s="277"/>
      <c r="AE44" s="72"/>
      <c r="AF44" s="102" t="s">
        <v>115</v>
      </c>
      <c r="AG44" s="241">
        <v>3.2</v>
      </c>
      <c r="AH44" s="242"/>
      <c r="AI44" s="243" t="s">
        <v>164</v>
      </c>
      <c r="AJ44" s="243"/>
      <c r="AK44" s="243"/>
    </row>
    <row r="45" spans="1:38" ht="15.75" thickBot="1" x14ac:dyDescent="0.3">
      <c r="A45" s="232"/>
      <c r="B45" s="235"/>
      <c r="C45" s="51" t="s">
        <v>34</v>
      </c>
      <c r="D45" s="103"/>
      <c r="E45" s="239"/>
      <c r="F45" s="240"/>
      <c r="G45" s="162"/>
      <c r="H45" s="162"/>
      <c r="I45" s="162"/>
      <c r="J45" s="77"/>
      <c r="K45" s="103"/>
      <c r="L45" s="239"/>
      <c r="M45" s="240"/>
      <c r="N45" s="162"/>
      <c r="O45" s="162"/>
      <c r="P45" s="162"/>
      <c r="Q45" s="77"/>
      <c r="R45" s="103"/>
      <c r="S45" s="239"/>
      <c r="T45" s="240"/>
      <c r="U45" s="162"/>
      <c r="V45" s="162"/>
      <c r="W45" s="162"/>
      <c r="X45" s="72"/>
      <c r="Y45" s="103" t="s">
        <v>123</v>
      </c>
      <c r="Z45" s="239"/>
      <c r="AA45" s="290"/>
      <c r="AB45" s="291"/>
      <c r="AC45" s="279"/>
      <c r="AD45" s="240"/>
      <c r="AE45" s="72"/>
      <c r="AF45" s="103"/>
      <c r="AG45" s="239"/>
      <c r="AH45" s="240"/>
      <c r="AI45" s="162"/>
      <c r="AJ45" s="162"/>
      <c r="AK45" s="162"/>
    </row>
    <row r="46" spans="1:38" ht="15.75" thickBot="1" x14ac:dyDescent="0.3">
      <c r="A46" s="11"/>
      <c r="B46" s="14"/>
      <c r="C46" s="14"/>
      <c r="D46" s="171"/>
      <c r="E46" s="172"/>
      <c r="F46" s="172"/>
      <c r="G46" s="172"/>
      <c r="H46" s="172"/>
      <c r="I46" s="172"/>
      <c r="J46" s="77"/>
      <c r="K46" s="171"/>
      <c r="L46" s="172"/>
      <c r="M46" s="172"/>
      <c r="N46" s="172"/>
      <c r="O46" s="172"/>
      <c r="P46" s="172"/>
      <c r="Q46" s="77"/>
      <c r="R46" s="171"/>
      <c r="S46" s="172"/>
      <c r="T46" s="172"/>
      <c r="U46" s="172"/>
      <c r="V46" s="172"/>
      <c r="W46" s="172"/>
      <c r="X46" s="72"/>
      <c r="Y46" s="269"/>
      <c r="Z46" s="270"/>
      <c r="AA46" s="270"/>
      <c r="AB46" s="270"/>
      <c r="AC46" s="270"/>
      <c r="AD46" s="270"/>
      <c r="AE46" s="72"/>
      <c r="AF46" s="171"/>
      <c r="AG46" s="172"/>
      <c r="AH46" s="172"/>
      <c r="AI46" s="172"/>
      <c r="AJ46" s="172"/>
      <c r="AK46" s="172"/>
    </row>
    <row r="47" spans="1:38" ht="15" customHeight="1" x14ac:dyDescent="0.25">
      <c r="A47" s="211" t="s">
        <v>31</v>
      </c>
      <c r="B47" s="244" t="s">
        <v>106</v>
      </c>
      <c r="C47" s="50" t="s">
        <v>36</v>
      </c>
      <c r="D47" s="247">
        <v>145</v>
      </c>
      <c r="E47" s="248"/>
      <c r="F47" s="248"/>
      <c r="G47" s="248"/>
      <c r="H47" s="248"/>
      <c r="I47" s="248"/>
      <c r="J47" s="77"/>
      <c r="K47" s="247">
        <v>145</v>
      </c>
      <c r="L47" s="248"/>
      <c r="M47" s="248"/>
      <c r="N47" s="248"/>
      <c r="O47" s="248"/>
      <c r="P47" s="248"/>
      <c r="Q47" s="77"/>
      <c r="R47" s="247" t="s">
        <v>172</v>
      </c>
      <c r="S47" s="248"/>
      <c r="T47" s="248"/>
      <c r="U47" s="248"/>
      <c r="V47" s="248"/>
      <c r="W47" s="248"/>
      <c r="X47" s="72"/>
      <c r="Y47" s="293">
        <v>106</v>
      </c>
      <c r="Z47" s="293"/>
      <c r="AA47" s="293"/>
      <c r="AB47" s="293"/>
      <c r="AC47" s="293"/>
      <c r="AD47" s="247"/>
      <c r="AE47" s="72"/>
      <c r="AF47" s="247">
        <v>81</v>
      </c>
      <c r="AG47" s="248"/>
      <c r="AH47" s="248"/>
      <c r="AI47" s="248"/>
      <c r="AJ47" s="248"/>
      <c r="AK47" s="248"/>
    </row>
    <row r="48" spans="1:38" x14ac:dyDescent="0.25">
      <c r="A48" s="212"/>
      <c r="B48" s="245"/>
      <c r="C48" s="18" t="s">
        <v>72</v>
      </c>
      <c r="D48" s="156">
        <v>358</v>
      </c>
      <c r="E48" s="214"/>
      <c r="F48" s="214"/>
      <c r="G48" s="214"/>
      <c r="H48" s="214"/>
      <c r="I48" s="214"/>
      <c r="J48" s="77"/>
      <c r="K48" s="156">
        <v>358</v>
      </c>
      <c r="L48" s="214"/>
      <c r="M48" s="214"/>
      <c r="N48" s="214"/>
      <c r="O48" s="214"/>
      <c r="P48" s="214"/>
      <c r="Q48" s="77"/>
      <c r="R48" s="156">
        <v>61</v>
      </c>
      <c r="S48" s="214"/>
      <c r="T48" s="214"/>
      <c r="U48" s="214"/>
      <c r="V48" s="214"/>
      <c r="W48" s="214"/>
      <c r="X48" s="72"/>
      <c r="Y48" s="292">
        <v>267</v>
      </c>
      <c r="Z48" s="292"/>
      <c r="AA48" s="292"/>
      <c r="AB48" s="292"/>
      <c r="AC48" s="292"/>
      <c r="AD48" s="156"/>
      <c r="AE48" s="72"/>
      <c r="AF48" s="156">
        <v>375</v>
      </c>
      <c r="AG48" s="214"/>
      <c r="AH48" s="214"/>
      <c r="AI48" s="214"/>
      <c r="AJ48" s="214"/>
      <c r="AK48" s="214"/>
    </row>
    <row r="49" spans="1:38" x14ac:dyDescent="0.25">
      <c r="A49" s="212"/>
      <c r="B49" s="245"/>
      <c r="C49" s="18" t="s">
        <v>42</v>
      </c>
      <c r="D49" s="156">
        <v>212</v>
      </c>
      <c r="E49" s="214"/>
      <c r="F49" s="214"/>
      <c r="G49" s="214"/>
      <c r="H49" s="214"/>
      <c r="I49" s="214"/>
      <c r="J49" s="77"/>
      <c r="K49" s="156">
        <v>212</v>
      </c>
      <c r="L49" s="214"/>
      <c r="M49" s="214"/>
      <c r="N49" s="214"/>
      <c r="O49" s="214"/>
      <c r="P49" s="214"/>
      <c r="Q49" s="77"/>
      <c r="R49" s="156">
        <v>113</v>
      </c>
      <c r="S49" s="214"/>
      <c r="T49" s="214"/>
      <c r="U49" s="214"/>
      <c r="V49" s="214"/>
      <c r="W49" s="214"/>
      <c r="X49" s="72"/>
      <c r="Y49" s="292">
        <v>148</v>
      </c>
      <c r="Z49" s="292"/>
      <c r="AA49" s="292"/>
      <c r="AB49" s="292"/>
      <c r="AC49" s="292"/>
      <c r="AD49" s="156"/>
      <c r="AE49" s="72"/>
      <c r="AF49" s="156">
        <v>308</v>
      </c>
      <c r="AG49" s="214"/>
      <c r="AH49" s="214"/>
      <c r="AI49" s="214"/>
      <c r="AJ49" s="214"/>
      <c r="AK49" s="214"/>
    </row>
    <row r="50" spans="1:38" x14ac:dyDescent="0.25">
      <c r="A50" s="212"/>
      <c r="B50" s="245"/>
      <c r="C50" s="18" t="s">
        <v>43</v>
      </c>
      <c r="D50" s="156" t="s">
        <v>171</v>
      </c>
      <c r="E50" s="214"/>
      <c r="F50" s="214"/>
      <c r="G50" s="214"/>
      <c r="H50" s="214"/>
      <c r="I50" s="214"/>
      <c r="J50" s="77"/>
      <c r="K50" s="156" t="s">
        <v>171</v>
      </c>
      <c r="L50" s="214"/>
      <c r="M50" s="214"/>
      <c r="N50" s="214"/>
      <c r="O50" s="214"/>
      <c r="P50" s="214"/>
      <c r="Q50" s="77"/>
      <c r="R50" s="156" t="s">
        <v>179</v>
      </c>
      <c r="S50" s="214"/>
      <c r="T50" s="214"/>
      <c r="U50" s="214"/>
      <c r="V50" s="214"/>
      <c r="W50" s="214"/>
      <c r="X50" s="72"/>
      <c r="Y50" s="292" t="s">
        <v>176</v>
      </c>
      <c r="Z50" s="292"/>
      <c r="AA50" s="292"/>
      <c r="AB50" s="292"/>
      <c r="AC50" s="292"/>
      <c r="AD50" s="156"/>
      <c r="AE50" s="72"/>
      <c r="AF50" s="156" t="s">
        <v>170</v>
      </c>
      <c r="AG50" s="214"/>
      <c r="AH50" s="214"/>
      <c r="AI50" s="214"/>
      <c r="AJ50" s="214"/>
      <c r="AK50" s="214"/>
    </row>
    <row r="51" spans="1:38" x14ac:dyDescent="0.25">
      <c r="A51" s="212"/>
      <c r="B51" s="245"/>
      <c r="C51" s="16" t="s">
        <v>44</v>
      </c>
      <c r="D51" s="249">
        <v>350</v>
      </c>
      <c r="E51" s="250"/>
      <c r="F51" s="250"/>
      <c r="G51" s="250"/>
      <c r="H51" s="250"/>
      <c r="I51" s="250"/>
      <c r="J51" s="77"/>
      <c r="K51" s="249">
        <v>350</v>
      </c>
      <c r="L51" s="250"/>
      <c r="M51" s="250"/>
      <c r="N51" s="250"/>
      <c r="O51" s="250"/>
      <c r="P51" s="250"/>
      <c r="Q51" s="77"/>
      <c r="R51" s="249">
        <v>100</v>
      </c>
      <c r="S51" s="250"/>
      <c r="T51" s="250"/>
      <c r="U51" s="250"/>
      <c r="V51" s="250"/>
      <c r="W51" s="250"/>
      <c r="X51" s="72"/>
      <c r="Y51" s="294">
        <v>80</v>
      </c>
      <c r="Z51" s="294"/>
      <c r="AA51" s="294"/>
      <c r="AB51" s="294"/>
      <c r="AC51" s="294"/>
      <c r="AD51" s="249"/>
      <c r="AE51" s="72"/>
      <c r="AF51" s="249">
        <v>60</v>
      </c>
      <c r="AG51" s="250"/>
      <c r="AH51" s="250"/>
      <c r="AI51" s="250"/>
      <c r="AJ51" s="250"/>
      <c r="AK51" s="250"/>
    </row>
    <row r="52" spans="1:38" x14ac:dyDescent="0.25">
      <c r="A52" s="212"/>
      <c r="B52" s="245"/>
      <c r="C52" s="16" t="s">
        <v>45</v>
      </c>
      <c r="D52" s="249" t="s">
        <v>163</v>
      </c>
      <c r="E52" s="250"/>
      <c r="F52" s="250"/>
      <c r="G52" s="250"/>
      <c r="H52" s="250"/>
      <c r="I52" s="250"/>
      <c r="J52" s="77"/>
      <c r="K52" s="249" t="s">
        <v>163</v>
      </c>
      <c r="L52" s="250"/>
      <c r="M52" s="250"/>
      <c r="N52" s="250"/>
      <c r="O52" s="250"/>
      <c r="P52" s="250"/>
      <c r="Q52" s="77"/>
      <c r="R52" s="249" t="s">
        <v>159</v>
      </c>
      <c r="S52" s="250"/>
      <c r="T52" s="250"/>
      <c r="U52" s="250"/>
      <c r="V52" s="250"/>
      <c r="W52" s="250"/>
      <c r="X52" s="72"/>
      <c r="Y52" s="294" t="s">
        <v>178</v>
      </c>
      <c r="Z52" s="294"/>
      <c r="AA52" s="294"/>
      <c r="AB52" s="294"/>
      <c r="AC52" s="294"/>
      <c r="AD52" s="249"/>
      <c r="AE52" s="72"/>
      <c r="AF52" s="249" t="s">
        <v>165</v>
      </c>
      <c r="AG52" s="250"/>
      <c r="AH52" s="250"/>
      <c r="AI52" s="250"/>
      <c r="AJ52" s="250"/>
      <c r="AK52" s="250"/>
    </row>
    <row r="53" spans="1:38" x14ac:dyDescent="0.25">
      <c r="A53" s="212"/>
      <c r="B53" s="245"/>
      <c r="C53" s="18" t="s">
        <v>46</v>
      </c>
      <c r="D53" s="249">
        <v>260</v>
      </c>
      <c r="E53" s="250"/>
      <c r="F53" s="250"/>
      <c r="G53" s="250"/>
      <c r="H53" s="250"/>
      <c r="I53" s="250"/>
      <c r="J53" s="77"/>
      <c r="K53" s="249">
        <v>260</v>
      </c>
      <c r="L53" s="250"/>
      <c r="M53" s="250"/>
      <c r="N53" s="250"/>
      <c r="O53" s="250"/>
      <c r="P53" s="250"/>
      <c r="Q53" s="77"/>
      <c r="R53" s="249">
        <v>60</v>
      </c>
      <c r="S53" s="250"/>
      <c r="T53" s="250"/>
      <c r="U53" s="250"/>
      <c r="V53" s="250"/>
      <c r="W53" s="250"/>
      <c r="X53" s="72"/>
      <c r="Y53" s="294" t="s">
        <v>116</v>
      </c>
      <c r="Z53" s="294"/>
      <c r="AA53" s="294"/>
      <c r="AB53" s="294"/>
      <c r="AC53" s="294"/>
      <c r="AD53" s="249"/>
      <c r="AE53" s="72"/>
      <c r="AF53" s="249">
        <v>30</v>
      </c>
      <c r="AG53" s="250"/>
      <c r="AH53" s="250"/>
      <c r="AI53" s="250"/>
      <c r="AJ53" s="250"/>
      <c r="AK53" s="250"/>
    </row>
    <row r="54" spans="1:38" x14ac:dyDescent="0.25">
      <c r="A54" s="212"/>
      <c r="B54" s="245"/>
      <c r="C54" s="16" t="s">
        <v>47</v>
      </c>
      <c r="D54" s="156">
        <v>1676</v>
      </c>
      <c r="E54" s="214"/>
      <c r="F54" s="214"/>
      <c r="G54" s="214"/>
      <c r="H54" s="214"/>
      <c r="I54" s="214"/>
      <c r="J54" s="77"/>
      <c r="K54" s="156">
        <v>1676</v>
      </c>
      <c r="L54" s="214"/>
      <c r="M54" s="214"/>
      <c r="N54" s="214"/>
      <c r="O54" s="214"/>
      <c r="P54" s="214"/>
      <c r="Q54" s="77"/>
      <c r="R54" s="156">
        <v>967</v>
      </c>
      <c r="S54" s="214"/>
      <c r="T54" s="214"/>
      <c r="U54" s="214"/>
      <c r="V54" s="214"/>
      <c r="W54" s="214"/>
      <c r="X54" s="72"/>
      <c r="Y54" s="292">
        <v>878</v>
      </c>
      <c r="Z54" s="292"/>
      <c r="AA54" s="292"/>
      <c r="AB54" s="292"/>
      <c r="AC54" s="292"/>
      <c r="AD54" s="156"/>
      <c r="AE54" s="72"/>
      <c r="AF54" s="156">
        <v>1321</v>
      </c>
      <c r="AG54" s="214"/>
      <c r="AH54" s="214"/>
      <c r="AI54" s="214"/>
      <c r="AJ54" s="214"/>
      <c r="AK54" s="214"/>
    </row>
    <row r="55" spans="1:38" ht="15" customHeight="1" x14ac:dyDescent="0.25">
      <c r="A55" s="212"/>
      <c r="B55" s="245"/>
      <c r="C55" s="251" t="s">
        <v>73</v>
      </c>
      <c r="D55" s="249" t="s">
        <v>166</v>
      </c>
      <c r="E55" s="250"/>
      <c r="F55" s="250"/>
      <c r="G55" s="250"/>
      <c r="H55" s="250"/>
      <c r="I55" s="250"/>
      <c r="J55" s="104"/>
      <c r="K55" s="249" t="s">
        <v>166</v>
      </c>
      <c r="L55" s="250"/>
      <c r="M55" s="250"/>
      <c r="N55" s="250"/>
      <c r="O55" s="250"/>
      <c r="P55" s="250"/>
      <c r="Q55" s="104"/>
      <c r="R55" s="249">
        <v>270</v>
      </c>
      <c r="S55" s="250"/>
      <c r="T55" s="250"/>
      <c r="U55" s="250"/>
      <c r="V55" s="250"/>
      <c r="W55" s="250"/>
      <c r="X55" s="104"/>
      <c r="Y55" s="295">
        <v>270</v>
      </c>
      <c r="Z55" s="296"/>
      <c r="AA55" s="296"/>
      <c r="AB55" s="296"/>
      <c r="AC55" s="296"/>
      <c r="AD55" s="297"/>
      <c r="AE55" s="104"/>
      <c r="AF55" s="249">
        <v>270</v>
      </c>
      <c r="AG55" s="250"/>
      <c r="AH55" s="250"/>
      <c r="AI55" s="250"/>
      <c r="AJ55" s="250"/>
      <c r="AK55" s="250"/>
      <c r="AL55" s="35"/>
    </row>
    <row r="56" spans="1:38" ht="15.75" thickBot="1" x14ac:dyDescent="0.3">
      <c r="A56" s="213"/>
      <c r="B56" s="246"/>
      <c r="C56" s="252"/>
      <c r="D56" s="253"/>
      <c r="E56" s="254"/>
      <c r="F56" s="254"/>
      <c r="G56" s="254"/>
      <c r="H56" s="254"/>
      <c r="I56" s="254"/>
      <c r="J56" s="104"/>
      <c r="K56" s="253"/>
      <c r="L56" s="254"/>
      <c r="M56" s="254"/>
      <c r="N56" s="254"/>
      <c r="O56" s="254"/>
      <c r="P56" s="254"/>
      <c r="Q56" s="104"/>
      <c r="R56" s="253"/>
      <c r="S56" s="254"/>
      <c r="T56" s="254"/>
      <c r="U56" s="254"/>
      <c r="V56" s="254"/>
      <c r="W56" s="254"/>
      <c r="X56" s="104"/>
      <c r="Y56" s="298"/>
      <c r="Z56" s="299"/>
      <c r="AA56" s="299"/>
      <c r="AB56" s="299"/>
      <c r="AC56" s="299"/>
      <c r="AD56" s="300"/>
      <c r="AE56" s="104"/>
      <c r="AF56" s="253"/>
      <c r="AG56" s="254"/>
      <c r="AH56" s="254"/>
      <c r="AI56" s="254"/>
      <c r="AJ56" s="254"/>
      <c r="AK56" s="254"/>
      <c r="AL56" s="35"/>
    </row>
    <row r="57" spans="1:38" x14ac:dyDescent="0.25">
      <c r="D57" s="105"/>
      <c r="E57" s="105"/>
      <c r="F57" s="105"/>
      <c r="G57" s="105"/>
      <c r="H57" s="105"/>
      <c r="I57" s="105"/>
      <c r="J57" s="77"/>
      <c r="K57" s="105"/>
      <c r="L57" s="105"/>
      <c r="M57" s="105"/>
      <c r="N57" s="105"/>
      <c r="O57" s="105"/>
      <c r="P57" s="105"/>
      <c r="Q57" s="77"/>
      <c r="R57" s="105"/>
      <c r="S57" s="105"/>
      <c r="T57" s="105"/>
      <c r="U57" s="105"/>
      <c r="V57" s="105"/>
      <c r="W57" s="105"/>
      <c r="X57" s="72"/>
      <c r="Y57" s="105"/>
      <c r="Z57" s="105"/>
      <c r="AA57" s="105"/>
      <c r="AB57" s="105"/>
      <c r="AC57" s="105"/>
      <c r="AD57" s="105"/>
      <c r="AE57" s="72"/>
      <c r="AF57" s="105"/>
      <c r="AG57" s="105"/>
      <c r="AH57" s="105"/>
      <c r="AI57" s="105"/>
      <c r="AJ57" s="105"/>
      <c r="AK57" s="105"/>
    </row>
  </sheetData>
  <mergeCells count="363">
    <mergeCell ref="C55:C56"/>
    <mergeCell ref="D55:I56"/>
    <mergeCell ref="K55:P56"/>
    <mergeCell ref="R55:W56"/>
    <mergeCell ref="Y55:AD56"/>
    <mergeCell ref="AF55:AK56"/>
    <mergeCell ref="D54:I54"/>
    <mergeCell ref="K54:P54"/>
    <mergeCell ref="R54:W54"/>
    <mergeCell ref="Y54:AD54"/>
    <mergeCell ref="AF54:AK54"/>
    <mergeCell ref="R50:W50"/>
    <mergeCell ref="Y50:AD50"/>
    <mergeCell ref="AF50:AK50"/>
    <mergeCell ref="D53:I53"/>
    <mergeCell ref="K53:P53"/>
    <mergeCell ref="R53:W53"/>
    <mergeCell ref="Y53:AD53"/>
    <mergeCell ref="AF53:AK53"/>
    <mergeCell ref="D52:I52"/>
    <mergeCell ref="K52:P52"/>
    <mergeCell ref="R52:W52"/>
    <mergeCell ref="Y52:AD52"/>
    <mergeCell ref="AF52:AK52"/>
    <mergeCell ref="AF47:AK47"/>
    <mergeCell ref="D48:I48"/>
    <mergeCell ref="K48:P48"/>
    <mergeCell ref="R48:W48"/>
    <mergeCell ref="Y48:AD48"/>
    <mergeCell ref="AF48:AK48"/>
    <mergeCell ref="A47:A56"/>
    <mergeCell ref="B47:B56"/>
    <mergeCell ref="D47:I47"/>
    <mergeCell ref="K47:P47"/>
    <mergeCell ref="R47:W47"/>
    <mergeCell ref="Y47:AD47"/>
    <mergeCell ref="D49:I49"/>
    <mergeCell ref="K49:P49"/>
    <mergeCell ref="R49:W49"/>
    <mergeCell ref="Y49:AD49"/>
    <mergeCell ref="D51:I51"/>
    <mergeCell ref="K51:P51"/>
    <mergeCell ref="R51:W51"/>
    <mergeCell ref="Y51:AD51"/>
    <mergeCell ref="AF51:AK51"/>
    <mergeCell ref="AF49:AK49"/>
    <mergeCell ref="D50:I50"/>
    <mergeCell ref="K50:P50"/>
    <mergeCell ref="D46:I46"/>
    <mergeCell ref="K46:P46"/>
    <mergeCell ref="R46:W46"/>
    <mergeCell ref="Y46:AD46"/>
    <mergeCell ref="AF46:AK46"/>
    <mergeCell ref="Z45:AA45"/>
    <mergeCell ref="AB45:AD45"/>
    <mergeCell ref="AG45:AH45"/>
    <mergeCell ref="AI45:AK45"/>
    <mergeCell ref="AG43:AH43"/>
    <mergeCell ref="AI43:AK43"/>
    <mergeCell ref="AG44:AH44"/>
    <mergeCell ref="AI44:AK44"/>
    <mergeCell ref="E45:F45"/>
    <mergeCell ref="G45:I45"/>
    <mergeCell ref="L45:M45"/>
    <mergeCell ref="N45:P45"/>
    <mergeCell ref="S45:T45"/>
    <mergeCell ref="U45:W45"/>
    <mergeCell ref="E44:F44"/>
    <mergeCell ref="G44:I44"/>
    <mergeCell ref="L44:M44"/>
    <mergeCell ref="N44:P44"/>
    <mergeCell ref="S44:T44"/>
    <mergeCell ref="U44:W44"/>
    <mergeCell ref="Z44:AA44"/>
    <mergeCell ref="AB44:AD44"/>
    <mergeCell ref="S43:T43"/>
    <mergeCell ref="U43:W43"/>
    <mergeCell ref="Z43:AA43"/>
    <mergeCell ref="AB43:AD43"/>
    <mergeCell ref="AF38:AG38"/>
    <mergeCell ref="AH38:AK38"/>
    <mergeCell ref="D38:E38"/>
    <mergeCell ref="F38:I38"/>
    <mergeCell ref="AF39:AG39"/>
    <mergeCell ref="AH39:AK39"/>
    <mergeCell ref="A43:A45"/>
    <mergeCell ref="B43:B45"/>
    <mergeCell ref="E43:F43"/>
    <mergeCell ref="G43:I43"/>
    <mergeCell ref="L43:M43"/>
    <mergeCell ref="N43:P43"/>
    <mergeCell ref="D42:I42"/>
    <mergeCell ref="K42:P42"/>
    <mergeCell ref="R42:W42"/>
    <mergeCell ref="Y42:AD42"/>
    <mergeCell ref="AF42:AK42"/>
    <mergeCell ref="R41:S41"/>
    <mergeCell ref="T41:W41"/>
    <mergeCell ref="Y41:Z41"/>
    <mergeCell ref="AA41:AD41"/>
    <mergeCell ref="A38:A41"/>
    <mergeCell ref="B38:B41"/>
    <mergeCell ref="K38:L38"/>
    <mergeCell ref="M39:P39"/>
    <mergeCell ref="R39:S39"/>
    <mergeCell ref="T39:W39"/>
    <mergeCell ref="Y39:Z39"/>
    <mergeCell ref="AA39:AD39"/>
    <mergeCell ref="R38:S38"/>
    <mergeCell ref="T38:W38"/>
    <mergeCell ref="Y38:Z38"/>
    <mergeCell ref="AA38:AD38"/>
    <mergeCell ref="M38:P38"/>
    <mergeCell ref="D41:E41"/>
    <mergeCell ref="F41:I41"/>
    <mergeCell ref="K41:L41"/>
    <mergeCell ref="M41:P41"/>
    <mergeCell ref="D37:I37"/>
    <mergeCell ref="K37:P37"/>
    <mergeCell ref="R37:W37"/>
    <mergeCell ref="Y37:AD37"/>
    <mergeCell ref="AF37:AK37"/>
    <mergeCell ref="D40:E40"/>
    <mergeCell ref="F40:I40"/>
    <mergeCell ref="K40:L40"/>
    <mergeCell ref="M40:P40"/>
    <mergeCell ref="R40:S40"/>
    <mergeCell ref="T40:W40"/>
    <mergeCell ref="Y40:Z40"/>
    <mergeCell ref="AA40:AD40"/>
    <mergeCell ref="AF40:AG40"/>
    <mergeCell ref="AH40:AK40"/>
    <mergeCell ref="AF41:AG41"/>
    <mergeCell ref="AH41:AK41"/>
    <mergeCell ref="D39:E39"/>
    <mergeCell ref="F39:I39"/>
    <mergeCell ref="K39:L39"/>
    <mergeCell ref="Y36:AB36"/>
    <mergeCell ref="AC36:AD36"/>
    <mergeCell ref="AJ36:AK36"/>
    <mergeCell ref="D36:G36"/>
    <mergeCell ref="H36:I36"/>
    <mergeCell ref="K36:N36"/>
    <mergeCell ref="O36:P36"/>
    <mergeCell ref="R36:U36"/>
    <mergeCell ref="V36:W36"/>
    <mergeCell ref="AA35:AB35"/>
    <mergeCell ref="AC35:AD35"/>
    <mergeCell ref="AH35:AI35"/>
    <mergeCell ref="AJ35:AK35"/>
    <mergeCell ref="F35:G35"/>
    <mergeCell ref="H35:I35"/>
    <mergeCell ref="M35:N35"/>
    <mergeCell ref="O35:P35"/>
    <mergeCell ref="T35:U35"/>
    <mergeCell ref="V35:W35"/>
    <mergeCell ref="AH32:AI32"/>
    <mergeCell ref="AJ32:AK32"/>
    <mergeCell ref="AA34:AB34"/>
    <mergeCell ref="AC34:AD34"/>
    <mergeCell ref="AH34:AI34"/>
    <mergeCell ref="AJ34:AK34"/>
    <mergeCell ref="AH33:AI33"/>
    <mergeCell ref="AJ33:AK33"/>
    <mergeCell ref="T34:U34"/>
    <mergeCell ref="V34:W34"/>
    <mergeCell ref="F29:G29"/>
    <mergeCell ref="H29:I29"/>
    <mergeCell ref="M29:N29"/>
    <mergeCell ref="O29:P29"/>
    <mergeCell ref="AC33:AD33"/>
    <mergeCell ref="T32:U32"/>
    <mergeCell ref="V32:W32"/>
    <mergeCell ref="AA32:AB32"/>
    <mergeCell ref="AC32:AD32"/>
    <mergeCell ref="M33:N33"/>
    <mergeCell ref="O33:P33"/>
    <mergeCell ref="T33:U33"/>
    <mergeCell ref="V33:W33"/>
    <mergeCell ref="AA33:AB33"/>
    <mergeCell ref="AC29:AD29"/>
    <mergeCell ref="T28:U28"/>
    <mergeCell ref="V28:W28"/>
    <mergeCell ref="AA28:AB28"/>
    <mergeCell ref="AC28:AD28"/>
    <mergeCell ref="AH28:AI28"/>
    <mergeCell ref="AJ28:AK28"/>
    <mergeCell ref="AA30:AB30"/>
    <mergeCell ref="AC30:AD30"/>
    <mergeCell ref="AH30:AI30"/>
    <mergeCell ref="AJ30:AK30"/>
    <mergeCell ref="AH29:AI29"/>
    <mergeCell ref="AJ29:AK29"/>
    <mergeCell ref="T30:U30"/>
    <mergeCell ref="V30:W30"/>
    <mergeCell ref="T29:U29"/>
    <mergeCell ref="V29:W29"/>
    <mergeCell ref="AA29:AB29"/>
    <mergeCell ref="A28:A36"/>
    <mergeCell ref="B28:B36"/>
    <mergeCell ref="F28:G28"/>
    <mergeCell ref="H28:I28"/>
    <mergeCell ref="M28:N28"/>
    <mergeCell ref="O28:P28"/>
    <mergeCell ref="F32:G32"/>
    <mergeCell ref="H32:I32"/>
    <mergeCell ref="M32:N32"/>
    <mergeCell ref="O32:P32"/>
    <mergeCell ref="F30:G30"/>
    <mergeCell ref="H30:I30"/>
    <mergeCell ref="M30:N30"/>
    <mergeCell ref="O30:P30"/>
    <mergeCell ref="F31:G31"/>
    <mergeCell ref="H31:I31"/>
    <mergeCell ref="M31:N31"/>
    <mergeCell ref="O31:P31"/>
    <mergeCell ref="F34:G34"/>
    <mergeCell ref="H34:I34"/>
    <mergeCell ref="M34:N34"/>
    <mergeCell ref="O34:P34"/>
    <mergeCell ref="F33:G33"/>
    <mergeCell ref="H33:I33"/>
    <mergeCell ref="AH25:AI25"/>
    <mergeCell ref="F24:G24"/>
    <mergeCell ref="M24:N24"/>
    <mergeCell ref="T24:U24"/>
    <mergeCell ref="AA24:AB24"/>
    <mergeCell ref="AH24:AI24"/>
    <mergeCell ref="D27:I27"/>
    <mergeCell ref="K27:P27"/>
    <mergeCell ref="R27:W27"/>
    <mergeCell ref="Y27:AD27"/>
    <mergeCell ref="AF27:AK27"/>
    <mergeCell ref="F26:G26"/>
    <mergeCell ref="M26:N26"/>
    <mergeCell ref="T26:U26"/>
    <mergeCell ref="AA26:AB26"/>
    <mergeCell ref="AH26:AI26"/>
    <mergeCell ref="AH21:AI21"/>
    <mergeCell ref="F20:G20"/>
    <mergeCell ref="M20:N20"/>
    <mergeCell ref="T20:U20"/>
    <mergeCell ref="AA20:AB20"/>
    <mergeCell ref="AH20:AI20"/>
    <mergeCell ref="F23:G23"/>
    <mergeCell ref="M23:N23"/>
    <mergeCell ref="T23:U23"/>
    <mergeCell ref="AA23:AB23"/>
    <mergeCell ref="AH23:AI23"/>
    <mergeCell ref="F22:G22"/>
    <mergeCell ref="M22:N22"/>
    <mergeCell ref="T22:U22"/>
    <mergeCell ref="AA22:AB22"/>
    <mergeCell ref="AH22:AI22"/>
    <mergeCell ref="AH18:AI18"/>
    <mergeCell ref="F19:G19"/>
    <mergeCell ref="M19:N19"/>
    <mergeCell ref="T19:U19"/>
    <mergeCell ref="AA19:AB19"/>
    <mergeCell ref="AH19:AI19"/>
    <mergeCell ref="AH16:AI16"/>
    <mergeCell ref="F17:G17"/>
    <mergeCell ref="M17:N17"/>
    <mergeCell ref="T17:U17"/>
    <mergeCell ref="AA17:AB17"/>
    <mergeCell ref="AH17:AI17"/>
    <mergeCell ref="A16:A26"/>
    <mergeCell ref="B16:B26"/>
    <mergeCell ref="F16:G16"/>
    <mergeCell ref="M16:N16"/>
    <mergeCell ref="T16:U16"/>
    <mergeCell ref="AA16:AB16"/>
    <mergeCell ref="F18:G18"/>
    <mergeCell ref="M18:N18"/>
    <mergeCell ref="T18:U18"/>
    <mergeCell ref="AA18:AB18"/>
    <mergeCell ref="F21:G21"/>
    <mergeCell ref="M21:N21"/>
    <mergeCell ref="T21:U21"/>
    <mergeCell ref="AA21:AB21"/>
    <mergeCell ref="F25:G25"/>
    <mergeCell ref="M25:N25"/>
    <mergeCell ref="T25:U25"/>
    <mergeCell ref="AA25:AB25"/>
    <mergeCell ref="K15:P15"/>
    <mergeCell ref="R15:W15"/>
    <mergeCell ref="Y15:AD15"/>
    <mergeCell ref="AF15:AK15"/>
    <mergeCell ref="AF12:AK12"/>
    <mergeCell ref="D13:I13"/>
    <mergeCell ref="K13:P13"/>
    <mergeCell ref="R13:W13"/>
    <mergeCell ref="Y13:AD13"/>
    <mergeCell ref="AF13:AK13"/>
    <mergeCell ref="A12:A14"/>
    <mergeCell ref="B12:B14"/>
    <mergeCell ref="D12:I12"/>
    <mergeCell ref="K12:P12"/>
    <mergeCell ref="R12:W12"/>
    <mergeCell ref="Y12:AD12"/>
    <mergeCell ref="D14:I14"/>
    <mergeCell ref="K14:P14"/>
    <mergeCell ref="R14:W14"/>
    <mergeCell ref="Y14:AD14"/>
    <mergeCell ref="A3:A6"/>
    <mergeCell ref="B3:B6"/>
    <mergeCell ref="D3:I3"/>
    <mergeCell ref="K3:P3"/>
    <mergeCell ref="R3:W3"/>
    <mergeCell ref="D11:I11"/>
    <mergeCell ref="K11:P11"/>
    <mergeCell ref="R11:W11"/>
    <mergeCell ref="Y11:AD11"/>
    <mergeCell ref="D9:I9"/>
    <mergeCell ref="K9:P9"/>
    <mergeCell ref="R9:W9"/>
    <mergeCell ref="Y9:AD9"/>
    <mergeCell ref="A8:A10"/>
    <mergeCell ref="B8:B10"/>
    <mergeCell ref="D8:I8"/>
    <mergeCell ref="K8:P8"/>
    <mergeCell ref="R8:W8"/>
    <mergeCell ref="Y8:AD8"/>
    <mergeCell ref="D10:I10"/>
    <mergeCell ref="K10:P10"/>
    <mergeCell ref="R10:W10"/>
    <mergeCell ref="Y10:AD10"/>
    <mergeCell ref="AH31:AI31"/>
    <mergeCell ref="AJ31:AK31"/>
    <mergeCell ref="AF36:AI36"/>
    <mergeCell ref="D2:I2"/>
    <mergeCell ref="K2:P2"/>
    <mergeCell ref="R2:W2"/>
    <mergeCell ref="Y2:AD2"/>
    <mergeCell ref="AF2:AK2"/>
    <mergeCell ref="D7:I7"/>
    <mergeCell ref="K7:P7"/>
    <mergeCell ref="R7:W7"/>
    <mergeCell ref="Y7:AD7"/>
    <mergeCell ref="AF7:AK7"/>
    <mergeCell ref="D6:I6"/>
    <mergeCell ref="K6:P6"/>
    <mergeCell ref="R6:W6"/>
    <mergeCell ref="Y6:AD6"/>
    <mergeCell ref="AF6:AK6"/>
    <mergeCell ref="AF10:AK10"/>
    <mergeCell ref="AF11:AK11"/>
    <mergeCell ref="AF8:AK8"/>
    <mergeCell ref="AF9:AK9"/>
    <mergeCell ref="AF14:AK14"/>
    <mergeCell ref="D15:I15"/>
    <mergeCell ref="AF5:AK5"/>
    <mergeCell ref="AF3:AK3"/>
    <mergeCell ref="D4:I4"/>
    <mergeCell ref="K4:P4"/>
    <mergeCell ref="R4:W4"/>
    <mergeCell ref="Y4:AD4"/>
    <mergeCell ref="AF4:AK4"/>
    <mergeCell ref="Y3:AD3"/>
    <mergeCell ref="D5:I5"/>
    <mergeCell ref="K5:P5"/>
    <mergeCell ref="R5:W5"/>
    <mergeCell ref="Y5:AD5"/>
  </mergeCells>
  <pageMargins left="0.7" right="0.7" top="0.78740157499999996" bottom="0.78740157499999996" header="0.3" footer="0.3"/>
  <pageSetup paperSize="9" orientation="portrait" horizontalDpi="4294967294" vertic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S68"/>
  <sheetViews>
    <sheetView topLeftCell="A34" workbookViewId="0">
      <selection activeCell="K51" sqref="K51"/>
    </sheetView>
  </sheetViews>
  <sheetFormatPr baseColWidth="10" defaultColWidth="11.42578125" defaultRowHeight="15" x14ac:dyDescent="0.25"/>
  <cols>
    <col min="1" max="1" width="14.85546875" style="67" bestFit="1" customWidth="1"/>
    <col min="2" max="4" width="11.42578125" style="67"/>
    <col min="5" max="5" width="14.85546875" style="67" bestFit="1" customWidth="1"/>
    <col min="6" max="8" width="11.42578125" style="67"/>
    <col min="9" max="9" width="14.85546875" style="67" bestFit="1" customWidth="1"/>
    <col min="10" max="12" width="11.42578125" style="67"/>
    <col min="13" max="13" width="14.85546875" style="67" bestFit="1" customWidth="1"/>
    <col min="14" max="16" width="11.42578125" style="67"/>
    <col min="17" max="17" width="14.85546875" style="67" bestFit="1" customWidth="1"/>
    <col min="18" max="16384" width="11.42578125" style="67"/>
  </cols>
  <sheetData>
    <row r="5" spans="1:19" x14ac:dyDescent="0.25">
      <c r="A5" s="301" t="s">
        <v>269</v>
      </c>
      <c r="B5" s="301"/>
      <c r="C5" s="301"/>
      <c r="E5" s="301" t="s">
        <v>270</v>
      </c>
      <c r="F5" s="301"/>
      <c r="G5" s="301"/>
      <c r="I5" s="301" t="s">
        <v>271</v>
      </c>
      <c r="J5" s="301"/>
      <c r="K5" s="301"/>
      <c r="M5" s="301" t="s">
        <v>272</v>
      </c>
      <c r="N5" s="301"/>
      <c r="O5" s="301"/>
      <c r="Q5" s="301"/>
      <c r="R5" s="301"/>
      <c r="S5" s="301"/>
    </row>
    <row r="6" spans="1:19" x14ac:dyDescent="0.25">
      <c r="A6" s="67" t="s">
        <v>89</v>
      </c>
      <c r="B6" s="67" t="s">
        <v>75</v>
      </c>
      <c r="C6" s="67" t="s">
        <v>88</v>
      </c>
      <c r="D6" s="67" t="s">
        <v>88</v>
      </c>
      <c r="E6" s="67" t="s">
        <v>89</v>
      </c>
      <c r="F6" s="67" t="s">
        <v>75</v>
      </c>
      <c r="G6" s="67" t="s">
        <v>88</v>
      </c>
      <c r="I6" s="67" t="s">
        <v>89</v>
      </c>
      <c r="J6" s="67" t="s">
        <v>75</v>
      </c>
      <c r="K6" s="67" t="s">
        <v>88</v>
      </c>
      <c r="M6" s="67" t="s">
        <v>89</v>
      </c>
      <c r="N6" s="67" t="s">
        <v>75</v>
      </c>
      <c r="O6" s="67" t="s">
        <v>88</v>
      </c>
    </row>
    <row r="7" spans="1:19" x14ac:dyDescent="0.25">
      <c r="A7" s="67">
        <v>1</v>
      </c>
      <c r="B7" s="67">
        <v>1998</v>
      </c>
      <c r="C7" s="67">
        <v>11.6</v>
      </c>
      <c r="E7" s="67">
        <v>1</v>
      </c>
      <c r="F7" s="67">
        <v>2004</v>
      </c>
      <c r="G7" s="67">
        <v>10.8</v>
      </c>
      <c r="I7" s="67">
        <v>1</v>
      </c>
      <c r="J7" s="67">
        <v>1993</v>
      </c>
      <c r="M7" s="67">
        <v>1</v>
      </c>
    </row>
    <row r="8" spans="1:19" x14ac:dyDescent="0.25">
      <c r="A8" s="67">
        <v>2</v>
      </c>
      <c r="B8" s="67">
        <v>1999</v>
      </c>
      <c r="C8" s="67">
        <v>13.8</v>
      </c>
      <c r="E8" s="67">
        <v>2</v>
      </c>
      <c r="F8" s="67">
        <v>2005</v>
      </c>
      <c r="G8" s="67">
        <v>8.5</v>
      </c>
      <c r="I8" s="67">
        <v>2</v>
      </c>
      <c r="J8" s="67">
        <v>1994</v>
      </c>
      <c r="K8" s="67">
        <v>13.9</v>
      </c>
      <c r="M8" s="67">
        <v>2</v>
      </c>
    </row>
    <row r="9" spans="1:19" x14ac:dyDescent="0.25">
      <c r="A9" s="67">
        <v>3</v>
      </c>
      <c r="B9" s="67">
        <v>2000</v>
      </c>
      <c r="C9" s="67">
        <v>12.2</v>
      </c>
      <c r="E9" s="67">
        <v>3</v>
      </c>
      <c r="F9" s="67">
        <v>2006</v>
      </c>
      <c r="G9" s="62">
        <v>9</v>
      </c>
      <c r="I9" s="67">
        <v>3</v>
      </c>
      <c r="J9" s="67">
        <v>1995</v>
      </c>
      <c r="K9" s="67">
        <v>40.6</v>
      </c>
      <c r="M9" s="67">
        <v>3</v>
      </c>
    </row>
    <row r="10" spans="1:19" x14ac:dyDescent="0.25">
      <c r="A10" s="67">
        <v>4</v>
      </c>
      <c r="B10" s="67">
        <v>2001</v>
      </c>
      <c r="C10" s="67">
        <v>12.1</v>
      </c>
      <c r="E10" s="67">
        <v>4</v>
      </c>
      <c r="F10" s="67">
        <v>2007</v>
      </c>
      <c r="G10" s="67">
        <v>7.6</v>
      </c>
      <c r="I10" s="67">
        <v>4</v>
      </c>
      <c r="J10" s="67">
        <v>1996</v>
      </c>
      <c r="K10" s="67" t="s">
        <v>273</v>
      </c>
      <c r="M10" s="67">
        <v>4</v>
      </c>
    </row>
    <row r="11" spans="1:19" x14ac:dyDescent="0.25">
      <c r="A11" s="67">
        <v>5</v>
      </c>
      <c r="B11" s="67">
        <v>2002</v>
      </c>
      <c r="C11" s="67">
        <v>14.1</v>
      </c>
      <c r="E11" s="67">
        <v>5</v>
      </c>
      <c r="F11" s="67">
        <v>2008</v>
      </c>
      <c r="G11" s="67">
        <v>10.4</v>
      </c>
      <c r="I11" s="67">
        <v>5</v>
      </c>
      <c r="J11" s="67">
        <v>1997</v>
      </c>
      <c r="K11" s="67">
        <v>26.8</v>
      </c>
      <c r="M11" s="67">
        <v>5</v>
      </c>
      <c r="N11" s="67">
        <v>2013</v>
      </c>
      <c r="O11" s="67">
        <v>34.28</v>
      </c>
    </row>
    <row r="12" spans="1:19" x14ac:dyDescent="0.25">
      <c r="A12" s="67">
        <v>6</v>
      </c>
      <c r="B12" s="67">
        <v>2003</v>
      </c>
      <c r="C12" s="67">
        <v>8.4</v>
      </c>
      <c r="E12" s="67">
        <v>6</v>
      </c>
      <c r="F12" s="67">
        <v>2009</v>
      </c>
      <c r="I12" s="67">
        <v>6</v>
      </c>
      <c r="J12" s="67">
        <v>1998</v>
      </c>
      <c r="K12" s="67">
        <v>36</v>
      </c>
      <c r="M12" s="67">
        <v>6</v>
      </c>
      <c r="N12" s="67">
        <v>2014</v>
      </c>
      <c r="O12" s="67">
        <v>41.65</v>
      </c>
    </row>
    <row r="13" spans="1:19" x14ac:dyDescent="0.25">
      <c r="A13" s="67">
        <v>7</v>
      </c>
      <c r="B13" s="67">
        <v>2004</v>
      </c>
      <c r="C13" s="67">
        <v>14.2</v>
      </c>
      <c r="E13" s="67">
        <v>7</v>
      </c>
      <c r="F13" s="67">
        <v>2010</v>
      </c>
      <c r="G13" s="67">
        <v>8.1999999999999993</v>
      </c>
      <c r="I13" s="67">
        <v>7</v>
      </c>
      <c r="J13" s="67">
        <v>1999</v>
      </c>
      <c r="K13" s="67">
        <v>34.5</v>
      </c>
      <c r="M13" s="67">
        <v>7</v>
      </c>
      <c r="N13" s="67">
        <v>2015</v>
      </c>
      <c r="O13" s="67">
        <v>25.42</v>
      </c>
    </row>
    <row r="14" spans="1:19" x14ac:dyDescent="0.25">
      <c r="A14" s="67">
        <v>8</v>
      </c>
      <c r="B14" s="67">
        <v>2005</v>
      </c>
      <c r="C14" s="67">
        <v>12.3</v>
      </c>
      <c r="E14" s="67">
        <v>8</v>
      </c>
      <c r="F14" s="67">
        <v>2011</v>
      </c>
      <c r="G14" s="67">
        <v>9.9</v>
      </c>
      <c r="I14" s="67">
        <v>8</v>
      </c>
      <c r="J14" s="67">
        <v>2000</v>
      </c>
      <c r="K14" s="67">
        <v>33.299999999999997</v>
      </c>
      <c r="M14" s="67">
        <v>8</v>
      </c>
      <c r="N14" s="67">
        <v>2016</v>
      </c>
      <c r="O14" s="67">
        <v>41.530900000000003</v>
      </c>
    </row>
    <row r="15" spans="1:19" x14ac:dyDescent="0.25">
      <c r="A15" s="67">
        <v>9</v>
      </c>
      <c r="B15" s="67">
        <v>2006</v>
      </c>
      <c r="C15" s="62">
        <v>14</v>
      </c>
      <c r="E15" s="67">
        <v>9</v>
      </c>
      <c r="F15" s="67">
        <v>2012</v>
      </c>
      <c r="G15" s="67">
        <v>10.5</v>
      </c>
      <c r="I15" s="67">
        <v>9</v>
      </c>
      <c r="J15" s="67">
        <v>2001</v>
      </c>
      <c r="K15" s="67">
        <v>31.2</v>
      </c>
      <c r="M15" s="67">
        <v>9</v>
      </c>
      <c r="N15" s="67">
        <v>2017</v>
      </c>
      <c r="O15" s="67">
        <v>42.885100000000001</v>
      </c>
    </row>
    <row r="16" spans="1:19" x14ac:dyDescent="0.25">
      <c r="A16" s="67">
        <v>10</v>
      </c>
      <c r="B16" s="67">
        <v>2007</v>
      </c>
      <c r="C16" s="67">
        <v>15.5</v>
      </c>
      <c r="E16" s="67">
        <v>10</v>
      </c>
      <c r="F16" s="67">
        <v>2013</v>
      </c>
      <c r="G16" s="67">
        <v>10.9</v>
      </c>
      <c r="I16" s="67">
        <v>10</v>
      </c>
      <c r="J16" s="67">
        <v>2002</v>
      </c>
      <c r="K16" s="67">
        <v>31</v>
      </c>
      <c r="M16" s="67">
        <v>10</v>
      </c>
      <c r="N16" s="67">
        <v>2018</v>
      </c>
      <c r="O16" s="67">
        <v>23.425000000000001</v>
      </c>
    </row>
    <row r="17" spans="1:17" x14ac:dyDescent="0.25">
      <c r="B17" s="67">
        <v>2008</v>
      </c>
      <c r="C17" s="67">
        <v>16.3</v>
      </c>
      <c r="F17" s="67">
        <v>2014</v>
      </c>
      <c r="G17" s="62">
        <v>11</v>
      </c>
      <c r="J17" s="67">
        <v>2003</v>
      </c>
      <c r="K17" s="67">
        <v>26.6</v>
      </c>
      <c r="O17" s="117">
        <f>_xlfn.STDEV.P(O7:O16)/AVERAGE(O7:O16)</f>
        <v>0.2268158909710756</v>
      </c>
    </row>
    <row r="18" spans="1:17" x14ac:dyDescent="0.25">
      <c r="B18" s="67">
        <v>2009</v>
      </c>
      <c r="C18" s="67">
        <v>14.7</v>
      </c>
      <c r="D18" s="67">
        <v>14.4</v>
      </c>
      <c r="F18" s="67">
        <v>2015</v>
      </c>
      <c r="G18" s="62">
        <v>10</v>
      </c>
      <c r="J18" s="67">
        <v>2004</v>
      </c>
      <c r="K18" s="67" t="s">
        <v>274</v>
      </c>
    </row>
    <row r="19" spans="1:17" x14ac:dyDescent="0.25">
      <c r="B19" s="67">
        <v>2010</v>
      </c>
      <c r="C19" s="62">
        <v>14</v>
      </c>
      <c r="D19" s="67">
        <v>12.7</v>
      </c>
      <c r="F19" s="67">
        <v>2016</v>
      </c>
      <c r="G19" s="67">
        <v>9.6</v>
      </c>
      <c r="J19" s="67">
        <v>2005</v>
      </c>
      <c r="K19" s="67">
        <v>37.5</v>
      </c>
    </row>
    <row r="20" spans="1:17" x14ac:dyDescent="0.25">
      <c r="B20" s="67">
        <v>2011</v>
      </c>
      <c r="C20" s="67">
        <v>15.2</v>
      </c>
      <c r="D20" s="67">
        <v>15.1</v>
      </c>
      <c r="F20" s="67">
        <v>2017</v>
      </c>
      <c r="G20" s="67">
        <v>9.8000000000000007</v>
      </c>
      <c r="J20" s="67">
        <v>2006</v>
      </c>
      <c r="K20" s="67">
        <v>39.6</v>
      </c>
    </row>
    <row r="21" spans="1:17" x14ac:dyDescent="0.25">
      <c r="B21" s="67">
        <v>2012</v>
      </c>
      <c r="C21" s="67">
        <v>14.3</v>
      </c>
      <c r="D21" s="67">
        <v>15.5</v>
      </c>
      <c r="F21" s="67">
        <v>2018</v>
      </c>
      <c r="G21" s="62">
        <v>9</v>
      </c>
      <c r="J21" s="67">
        <v>2007</v>
      </c>
      <c r="K21" s="67">
        <v>33</v>
      </c>
    </row>
    <row r="22" spans="1:17" x14ac:dyDescent="0.25">
      <c r="B22" s="67">
        <v>2013</v>
      </c>
      <c r="C22" s="67">
        <v>15.5</v>
      </c>
      <c r="D22" s="67">
        <v>12.5</v>
      </c>
      <c r="F22" s="67">
        <v>2019</v>
      </c>
      <c r="G22" s="67">
        <v>10.8</v>
      </c>
      <c r="J22" s="67">
        <v>2008</v>
      </c>
      <c r="K22" s="67">
        <v>34</v>
      </c>
    </row>
    <row r="23" spans="1:17" x14ac:dyDescent="0.25">
      <c r="B23" s="67">
        <v>2014</v>
      </c>
      <c r="D23" s="67">
        <v>15.8</v>
      </c>
      <c r="J23" s="67">
        <v>2009</v>
      </c>
      <c r="K23" s="67">
        <v>23.8</v>
      </c>
    </row>
    <row r="24" spans="1:17" x14ac:dyDescent="0.25">
      <c r="B24" s="67">
        <v>2015</v>
      </c>
      <c r="D24" s="67">
        <v>14.9</v>
      </c>
      <c r="J24" s="67">
        <v>2010</v>
      </c>
      <c r="K24" s="67">
        <v>30.6</v>
      </c>
    </row>
    <row r="25" spans="1:17" x14ac:dyDescent="0.25">
      <c r="B25" s="67">
        <v>2016</v>
      </c>
      <c r="J25" s="67">
        <v>2011</v>
      </c>
      <c r="K25" s="67">
        <v>27.1</v>
      </c>
    </row>
    <row r="26" spans="1:17" x14ac:dyDescent="0.25">
      <c r="B26" s="67">
        <v>2017</v>
      </c>
      <c r="D26" s="67">
        <v>16.100000000000001</v>
      </c>
      <c r="J26" s="67">
        <v>2012</v>
      </c>
      <c r="K26" s="67">
        <v>13.7</v>
      </c>
      <c r="L26" s="67" t="s">
        <v>275</v>
      </c>
    </row>
    <row r="27" spans="1:17" x14ac:dyDescent="0.25">
      <c r="B27" s="67">
        <v>2018</v>
      </c>
      <c r="D27" s="62">
        <v>12</v>
      </c>
      <c r="J27" s="67">
        <v>2013</v>
      </c>
      <c r="K27" s="67">
        <v>33.5</v>
      </c>
    </row>
    <row r="31" spans="1:17" x14ac:dyDescent="0.25">
      <c r="A31" s="67" t="s">
        <v>374</v>
      </c>
      <c r="O31" s="67" t="s">
        <v>375</v>
      </c>
    </row>
    <row r="32" spans="1:17" x14ac:dyDescent="0.25">
      <c r="A32" s="301" t="s">
        <v>269</v>
      </c>
      <c r="B32" s="301"/>
      <c r="C32" s="301"/>
      <c r="E32" s="301" t="s">
        <v>270</v>
      </c>
      <c r="F32" s="301"/>
      <c r="G32" s="301"/>
      <c r="I32" s="301" t="s">
        <v>271</v>
      </c>
      <c r="J32" s="301"/>
      <c r="K32" s="301"/>
      <c r="O32" s="301" t="s">
        <v>376</v>
      </c>
      <c r="P32" s="301"/>
      <c r="Q32" s="301"/>
    </row>
    <row r="33" spans="1:17" x14ac:dyDescent="0.25">
      <c r="A33" s="67" t="s">
        <v>89</v>
      </c>
      <c r="B33" s="67" t="s">
        <v>75</v>
      </c>
      <c r="C33" s="67" t="s">
        <v>88</v>
      </c>
      <c r="E33" s="67" t="s">
        <v>89</v>
      </c>
      <c r="F33" s="67" t="s">
        <v>75</v>
      </c>
      <c r="G33" s="67" t="s">
        <v>88</v>
      </c>
      <c r="I33" s="67" t="s">
        <v>89</v>
      </c>
      <c r="J33" s="67" t="s">
        <v>75</v>
      </c>
      <c r="K33" s="67" t="s">
        <v>88</v>
      </c>
      <c r="O33" s="67" t="s">
        <v>89</v>
      </c>
      <c r="P33" s="67" t="s">
        <v>75</v>
      </c>
      <c r="Q33" s="67" t="s">
        <v>88</v>
      </c>
    </row>
    <row r="34" spans="1:17" x14ac:dyDescent="0.25">
      <c r="A34" s="67">
        <v>1</v>
      </c>
      <c r="B34" s="67">
        <v>2008</v>
      </c>
      <c r="C34" s="67">
        <v>10.98</v>
      </c>
      <c r="E34" s="67">
        <v>1</v>
      </c>
      <c r="F34" s="67">
        <v>2008</v>
      </c>
      <c r="G34" s="67">
        <v>7.19</v>
      </c>
      <c r="I34" s="67">
        <v>1</v>
      </c>
      <c r="J34" s="67">
        <v>2008</v>
      </c>
      <c r="K34" s="67">
        <v>3.74</v>
      </c>
      <c r="O34" s="67">
        <v>1</v>
      </c>
    </row>
    <row r="35" spans="1:17" x14ac:dyDescent="0.25">
      <c r="A35" s="67">
        <v>2</v>
      </c>
      <c r="B35" s="67">
        <v>2009</v>
      </c>
      <c r="C35" s="67">
        <v>11.75</v>
      </c>
      <c r="E35" s="67">
        <v>2</v>
      </c>
      <c r="F35" s="67">
        <v>2009</v>
      </c>
      <c r="G35" s="67">
        <v>6.24</v>
      </c>
      <c r="I35" s="67">
        <v>2</v>
      </c>
      <c r="J35" s="67">
        <v>2009</v>
      </c>
      <c r="K35" s="67">
        <v>4.05</v>
      </c>
      <c r="O35" s="67">
        <v>2</v>
      </c>
    </row>
    <row r="36" spans="1:17" x14ac:dyDescent="0.25">
      <c r="A36" s="67">
        <v>3</v>
      </c>
      <c r="B36" s="67">
        <v>2010</v>
      </c>
      <c r="C36" s="67">
        <v>9.39</v>
      </c>
      <c r="E36" s="67">
        <v>3</v>
      </c>
      <c r="F36" s="67">
        <v>2010</v>
      </c>
      <c r="G36" s="62">
        <v>6.44</v>
      </c>
      <c r="I36" s="67">
        <v>3</v>
      </c>
      <c r="J36" s="67">
        <v>2010</v>
      </c>
      <c r="K36" s="67">
        <v>4.0199999999999996</v>
      </c>
      <c r="O36" s="67">
        <v>3</v>
      </c>
    </row>
    <row r="37" spans="1:17" x14ac:dyDescent="0.25">
      <c r="A37" s="67">
        <v>4</v>
      </c>
      <c r="B37" s="67">
        <v>2011</v>
      </c>
      <c r="C37" s="67">
        <v>13.67</v>
      </c>
      <c r="E37" s="67">
        <v>4</v>
      </c>
      <c r="F37" s="67">
        <v>2011</v>
      </c>
      <c r="G37" s="67">
        <v>9.19</v>
      </c>
      <c r="I37" s="67">
        <v>4</v>
      </c>
      <c r="O37" s="67">
        <v>4</v>
      </c>
    </row>
    <row r="38" spans="1:17" x14ac:dyDescent="0.25">
      <c r="A38" s="67">
        <v>5</v>
      </c>
      <c r="B38" s="67">
        <v>2012</v>
      </c>
      <c r="C38" s="67">
        <v>12.42</v>
      </c>
      <c r="E38" s="67">
        <v>5</v>
      </c>
      <c r="F38" s="67">
        <v>2012</v>
      </c>
      <c r="G38" s="67">
        <v>7.98</v>
      </c>
      <c r="I38" s="67">
        <v>5</v>
      </c>
      <c r="O38" s="67">
        <v>5</v>
      </c>
    </row>
    <row r="39" spans="1:17" x14ac:dyDescent="0.25">
      <c r="A39" s="67">
        <v>6</v>
      </c>
      <c r="B39" s="67">
        <v>2013</v>
      </c>
      <c r="C39" s="67">
        <v>10.52</v>
      </c>
      <c r="E39" s="67">
        <v>6</v>
      </c>
      <c r="F39" s="67">
        <v>2013</v>
      </c>
      <c r="G39" s="67">
        <v>8.4</v>
      </c>
      <c r="I39" s="67">
        <v>6</v>
      </c>
      <c r="J39" s="67">
        <v>2013</v>
      </c>
      <c r="K39" s="67">
        <v>4.1100000000000003</v>
      </c>
      <c r="O39" s="67">
        <v>6</v>
      </c>
    </row>
    <row r="40" spans="1:17" x14ac:dyDescent="0.25">
      <c r="A40" s="67">
        <v>7</v>
      </c>
      <c r="B40" s="67">
        <v>2014</v>
      </c>
      <c r="C40" s="67">
        <v>12.49</v>
      </c>
      <c r="E40" s="67">
        <v>7</v>
      </c>
      <c r="F40" s="67">
        <v>2014</v>
      </c>
      <c r="G40" s="67">
        <v>9.51</v>
      </c>
      <c r="I40" s="67">
        <v>7</v>
      </c>
      <c r="O40" s="67">
        <v>7</v>
      </c>
      <c r="P40" s="67">
        <v>2016</v>
      </c>
      <c r="Q40" s="67">
        <v>2.774</v>
      </c>
    </row>
    <row r="41" spans="1:17" x14ac:dyDescent="0.25">
      <c r="A41" s="67">
        <v>8</v>
      </c>
      <c r="B41" s="67">
        <v>2015</v>
      </c>
      <c r="C41" s="67">
        <v>11.08</v>
      </c>
      <c r="E41" s="67">
        <v>8</v>
      </c>
      <c r="F41" s="67">
        <v>2015</v>
      </c>
      <c r="G41" s="67">
        <v>9.0299999999999994</v>
      </c>
      <c r="I41" s="67">
        <v>8</v>
      </c>
      <c r="O41" s="67">
        <v>8</v>
      </c>
      <c r="P41" s="67">
        <v>2017</v>
      </c>
      <c r="Q41" s="67">
        <v>3.7160000000000002</v>
      </c>
    </row>
    <row r="42" spans="1:17" x14ac:dyDescent="0.25">
      <c r="A42" s="67">
        <v>9</v>
      </c>
      <c r="B42" s="67">
        <v>2016</v>
      </c>
      <c r="C42" s="113">
        <v>9.8800000000000008</v>
      </c>
      <c r="E42" s="67">
        <v>9</v>
      </c>
      <c r="F42" s="67">
        <v>2016</v>
      </c>
      <c r="G42" s="67">
        <v>6.87</v>
      </c>
      <c r="I42" s="67">
        <v>9</v>
      </c>
      <c r="J42" s="67">
        <v>2016</v>
      </c>
      <c r="K42" s="67">
        <v>4.04</v>
      </c>
      <c r="O42" s="67">
        <v>9</v>
      </c>
      <c r="P42" s="67">
        <v>2018</v>
      </c>
      <c r="Q42" s="67">
        <v>2.5720000000000001</v>
      </c>
    </row>
    <row r="43" spans="1:17" x14ac:dyDescent="0.25">
      <c r="A43" s="67">
        <v>10</v>
      </c>
      <c r="B43" s="67">
        <v>2017</v>
      </c>
      <c r="C43" s="67">
        <v>13.66</v>
      </c>
      <c r="E43" s="67">
        <v>10</v>
      </c>
      <c r="F43" s="67">
        <v>2017</v>
      </c>
      <c r="G43" s="113">
        <v>8</v>
      </c>
      <c r="I43" s="67">
        <v>10</v>
      </c>
      <c r="J43" s="67">
        <v>2017</v>
      </c>
      <c r="K43" s="67">
        <v>2.81</v>
      </c>
      <c r="O43" s="67">
        <v>10</v>
      </c>
      <c r="P43" s="67">
        <v>2019</v>
      </c>
      <c r="Q43" s="67">
        <v>2.98</v>
      </c>
    </row>
    <row r="44" spans="1:17" x14ac:dyDescent="0.25">
      <c r="B44" s="67">
        <v>2018</v>
      </c>
      <c r="C44" s="67">
        <v>10.8</v>
      </c>
      <c r="F44" s="67">
        <v>2018</v>
      </c>
      <c r="G44" s="113">
        <v>8.2200000000000006</v>
      </c>
      <c r="J44" s="67">
        <v>2018</v>
      </c>
      <c r="K44" s="67">
        <v>3.79</v>
      </c>
      <c r="Q44" s="117">
        <f>_xlfn.STDEV.P(Q40:Q43)/AVERAGE(Q40:Q43)</f>
        <v>0.14353418051356479</v>
      </c>
    </row>
    <row r="45" spans="1:17" x14ac:dyDescent="0.25">
      <c r="B45" s="67">
        <v>2019</v>
      </c>
      <c r="C45" s="67">
        <v>12.36</v>
      </c>
      <c r="F45" s="67">
        <v>2019</v>
      </c>
      <c r="G45" s="113">
        <v>8.76</v>
      </c>
      <c r="J45" s="67">
        <v>2019</v>
      </c>
      <c r="K45" s="67">
        <v>4.04</v>
      </c>
    </row>
    <row r="46" spans="1:17" x14ac:dyDescent="0.25">
      <c r="C46" s="117">
        <f>_xlfn.STDEV.P(C34:C45)/AVERAGE(C34:C45)</f>
        <v>0.11391504211490425</v>
      </c>
      <c r="G46" s="117">
        <f>_xlfn.STDEV.P(G34:G45)/AVERAGE(G34:G45)</f>
        <v>0.13036145019937909</v>
      </c>
      <c r="K46" s="117">
        <f>_xlfn.STDEV.P(K34:K45)/AVERAGE(K34:K45)</f>
        <v>0.10542951660878259</v>
      </c>
    </row>
    <row r="49" spans="1:15" x14ac:dyDescent="0.25">
      <c r="E49" s="69" t="s">
        <v>377</v>
      </c>
    </row>
    <row r="50" spans="1:15" x14ac:dyDescent="0.25">
      <c r="F50" s="67" t="s">
        <v>232</v>
      </c>
      <c r="G50" s="67" t="s">
        <v>233</v>
      </c>
      <c r="H50" s="67" t="s">
        <v>234</v>
      </c>
      <c r="I50" s="67" t="s">
        <v>235</v>
      </c>
      <c r="J50" s="67" t="s">
        <v>236</v>
      </c>
    </row>
    <row r="51" spans="1:15" x14ac:dyDescent="0.25">
      <c r="E51" s="67" t="s">
        <v>237</v>
      </c>
      <c r="F51" s="67" t="s">
        <v>238</v>
      </c>
      <c r="G51" s="67" t="s">
        <v>238</v>
      </c>
      <c r="H51" s="67" t="s">
        <v>239</v>
      </c>
      <c r="I51" s="67" t="s">
        <v>240</v>
      </c>
      <c r="K51" s="108">
        <f>AVERAGE(C46,C46,G46,K46)</f>
        <v>0.11590526275949255</v>
      </c>
    </row>
    <row r="52" spans="1:15" x14ac:dyDescent="0.25">
      <c r="E52" s="67" t="s">
        <v>241</v>
      </c>
      <c r="F52" s="67" t="s">
        <v>238</v>
      </c>
      <c r="G52" s="67" t="s">
        <v>238</v>
      </c>
      <c r="H52" s="67" t="s">
        <v>242</v>
      </c>
      <c r="I52" s="67" t="s">
        <v>239</v>
      </c>
      <c r="J52" s="67" t="s">
        <v>240</v>
      </c>
      <c r="K52" s="108">
        <f>AVERAGE(C46,C46,Q44,G46,K46)</f>
        <v>0.12143104631030699</v>
      </c>
    </row>
    <row r="53" spans="1:15" x14ac:dyDescent="0.25">
      <c r="A53" s="301"/>
      <c r="B53" s="301"/>
      <c r="C53" s="301"/>
      <c r="E53" s="301"/>
      <c r="F53" s="301"/>
      <c r="G53" s="301"/>
      <c r="I53" s="301"/>
      <c r="J53" s="301"/>
      <c r="K53" s="301"/>
      <c r="M53" s="301"/>
      <c r="N53" s="301"/>
      <c r="O53" s="301"/>
    </row>
    <row r="68" spans="1:19" x14ac:dyDescent="0.25">
      <c r="A68" s="301"/>
      <c r="B68" s="301"/>
      <c r="C68" s="301"/>
      <c r="E68" s="301"/>
      <c r="F68" s="301"/>
      <c r="G68" s="301"/>
      <c r="I68" s="301"/>
      <c r="J68" s="301"/>
      <c r="K68" s="301"/>
      <c r="M68" s="301"/>
      <c r="N68" s="301"/>
      <c r="O68" s="301"/>
      <c r="Q68" s="301"/>
      <c r="R68" s="301"/>
      <c r="S68" s="301"/>
    </row>
  </sheetData>
  <mergeCells count="18">
    <mergeCell ref="Q68:S68"/>
    <mergeCell ref="A53:C53"/>
    <mergeCell ref="E53:G53"/>
    <mergeCell ref="I53:K53"/>
    <mergeCell ref="M53:O53"/>
    <mergeCell ref="A68:C68"/>
    <mergeCell ref="E68:G68"/>
    <mergeCell ref="I68:K68"/>
    <mergeCell ref="M68:O68"/>
    <mergeCell ref="A32:C32"/>
    <mergeCell ref="E32:G32"/>
    <mergeCell ref="I32:K32"/>
    <mergeCell ref="O32:Q32"/>
    <mergeCell ref="A5:C5"/>
    <mergeCell ref="E5:G5"/>
    <mergeCell ref="I5:K5"/>
    <mergeCell ref="M5:O5"/>
    <mergeCell ref="Q5:S5"/>
  </mergeCells>
  <pageMargins left="0.7" right="0.7" top="0.78740157499999996" bottom="0.78740157499999996" header="0.3" footer="0.3"/>
  <pageSetup paperSize="9" orientation="portrait" horizontalDpi="4294967294" verticalDpi="4294967294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B25" sqref="B25"/>
    </sheetView>
  </sheetViews>
  <sheetFormatPr baseColWidth="10" defaultColWidth="11.42578125" defaultRowHeight="15" x14ac:dyDescent="0.25"/>
  <cols>
    <col min="1" max="1" width="27.42578125" style="67" customWidth="1"/>
    <col min="2" max="16384" width="11.42578125" style="67"/>
  </cols>
  <sheetData>
    <row r="1" spans="1:13" x14ac:dyDescent="0.25">
      <c r="B1" s="67" t="s">
        <v>232</v>
      </c>
      <c r="C1" s="67" t="s">
        <v>233</v>
      </c>
      <c r="D1" s="67" t="s">
        <v>234</v>
      </c>
      <c r="E1" s="67" t="s">
        <v>235</v>
      </c>
      <c r="F1" s="67" t="s">
        <v>236</v>
      </c>
    </row>
    <row r="2" spans="1:13" x14ac:dyDescent="0.25">
      <c r="A2" s="67" t="s">
        <v>237</v>
      </c>
      <c r="B2" s="67" t="s">
        <v>238</v>
      </c>
      <c r="C2" s="67" t="s">
        <v>238</v>
      </c>
      <c r="D2" s="67" t="s">
        <v>239</v>
      </c>
      <c r="E2" s="67" t="s">
        <v>240</v>
      </c>
    </row>
    <row r="3" spans="1:13" x14ac:dyDescent="0.25">
      <c r="A3" s="67" t="s">
        <v>241</v>
      </c>
      <c r="B3" s="67" t="s">
        <v>238</v>
      </c>
      <c r="C3" s="67" t="s">
        <v>238</v>
      </c>
      <c r="D3" s="67" t="s">
        <v>242</v>
      </c>
      <c r="E3" s="67" t="s">
        <v>239</v>
      </c>
      <c r="F3" s="67" t="s">
        <v>240</v>
      </c>
    </row>
    <row r="7" spans="1:13" x14ac:dyDescent="0.25">
      <c r="B7" s="67" t="s">
        <v>238</v>
      </c>
      <c r="C7" s="67" t="s">
        <v>238</v>
      </c>
      <c r="D7" s="67" t="s">
        <v>239</v>
      </c>
      <c r="E7" s="67" t="s">
        <v>240</v>
      </c>
      <c r="I7" s="67" t="s">
        <v>238</v>
      </c>
      <c r="J7" s="67" t="s">
        <v>238</v>
      </c>
      <c r="K7" s="67" t="s">
        <v>242</v>
      </c>
      <c r="L7" s="67" t="s">
        <v>239</v>
      </c>
      <c r="M7" s="67" t="s">
        <v>240</v>
      </c>
    </row>
    <row r="8" spans="1:13" x14ac:dyDescent="0.25">
      <c r="A8" s="67" t="s">
        <v>378</v>
      </c>
      <c r="B8" s="67">
        <v>11</v>
      </c>
      <c r="C8" s="67">
        <v>11</v>
      </c>
      <c r="D8" s="67">
        <v>7</v>
      </c>
      <c r="E8" s="67">
        <v>3.2</v>
      </c>
      <c r="I8" s="67">
        <v>11</v>
      </c>
      <c r="J8" s="67">
        <v>11</v>
      </c>
      <c r="K8" s="67">
        <v>3</v>
      </c>
      <c r="L8" s="67">
        <v>7</v>
      </c>
      <c r="M8" s="67">
        <v>3.2</v>
      </c>
    </row>
    <row r="9" spans="1:13" x14ac:dyDescent="0.25">
      <c r="A9" s="67" t="s">
        <v>419</v>
      </c>
      <c r="B9" s="67">
        <f>B10/B8</f>
        <v>150</v>
      </c>
      <c r="C9" s="67">
        <f>C10/C8</f>
        <v>150</v>
      </c>
      <c r="D9" s="67">
        <f>D10/D8</f>
        <v>170</v>
      </c>
      <c r="E9" s="67">
        <f>E10/E8</f>
        <v>750</v>
      </c>
      <c r="I9" s="67">
        <f>I10/I8</f>
        <v>150</v>
      </c>
      <c r="J9" s="67">
        <f>J10/J8</f>
        <v>150</v>
      </c>
      <c r="K9" s="67">
        <f>K10/K8</f>
        <v>350</v>
      </c>
      <c r="L9" s="67">
        <f>L10/L8</f>
        <v>170</v>
      </c>
      <c r="M9" s="67">
        <f>M10/M8</f>
        <v>750</v>
      </c>
    </row>
    <row r="10" spans="1:13" x14ac:dyDescent="0.25">
      <c r="A10" s="67" t="s">
        <v>420</v>
      </c>
      <c r="B10" s="67">
        <v>1650</v>
      </c>
      <c r="C10" s="67">
        <v>1650</v>
      </c>
      <c r="D10" s="67">
        <v>1190</v>
      </c>
      <c r="E10" s="67">
        <v>2400</v>
      </c>
      <c r="I10" s="67">
        <v>1650</v>
      </c>
      <c r="J10" s="67">
        <v>1650</v>
      </c>
      <c r="K10" s="67">
        <v>1050</v>
      </c>
      <c r="L10" s="67">
        <v>1190</v>
      </c>
      <c r="M10" s="67">
        <v>2400</v>
      </c>
    </row>
    <row r="11" spans="1:13" x14ac:dyDescent="0.25">
      <c r="A11" s="125" t="s">
        <v>421</v>
      </c>
    </row>
    <row r="12" spans="1:13" x14ac:dyDescent="0.25">
      <c r="A12" s="67" t="s">
        <v>422</v>
      </c>
      <c r="B12" s="67">
        <v>1676</v>
      </c>
      <c r="C12" s="67">
        <v>1676</v>
      </c>
      <c r="D12" s="67">
        <v>913</v>
      </c>
      <c r="E12" s="67">
        <v>1321</v>
      </c>
      <c r="I12" s="67">
        <v>1676</v>
      </c>
      <c r="J12" s="67">
        <v>1676</v>
      </c>
      <c r="K12" s="67">
        <v>967</v>
      </c>
      <c r="L12" s="67">
        <v>878</v>
      </c>
      <c r="M12" s="67">
        <v>1321</v>
      </c>
    </row>
    <row r="13" spans="1:13" x14ac:dyDescent="0.25">
      <c r="A13" s="67" t="s">
        <v>423</v>
      </c>
      <c r="B13" s="67">
        <f>B10-B12</f>
        <v>-26</v>
      </c>
      <c r="C13" s="67">
        <f t="shared" ref="C13:E13" si="0">C10-C12</f>
        <v>-26</v>
      </c>
      <c r="D13" s="67">
        <f t="shared" si="0"/>
        <v>277</v>
      </c>
      <c r="E13" s="67">
        <f t="shared" si="0"/>
        <v>1079</v>
      </c>
      <c r="I13" s="67">
        <f>I10-I12</f>
        <v>-26</v>
      </c>
      <c r="J13" s="67">
        <f t="shared" ref="J13:M13" si="1">J10-J12</f>
        <v>-26</v>
      </c>
      <c r="K13" s="67">
        <f t="shared" si="1"/>
        <v>83</v>
      </c>
      <c r="L13" s="67">
        <f t="shared" si="1"/>
        <v>312</v>
      </c>
      <c r="M13" s="67">
        <f t="shared" si="1"/>
        <v>1079</v>
      </c>
    </row>
    <row r="15" spans="1:13" x14ac:dyDescent="0.25">
      <c r="A15" s="67" t="s">
        <v>424</v>
      </c>
      <c r="B15" s="67">
        <f>SUM(B13:E13)/4</f>
        <v>326</v>
      </c>
      <c r="I15" s="116">
        <f>SUM(I13:M13)/5</f>
        <v>284.39999999999998</v>
      </c>
    </row>
    <row r="18" spans="1:13" x14ac:dyDescent="0.25">
      <c r="A18" s="67" t="s">
        <v>36</v>
      </c>
      <c r="B18" s="67">
        <v>145</v>
      </c>
      <c r="C18" s="67">
        <v>145</v>
      </c>
      <c r="D18" s="67">
        <v>106</v>
      </c>
      <c r="E18" s="67">
        <v>81</v>
      </c>
      <c r="I18" s="67">
        <v>145</v>
      </c>
      <c r="J18" s="67">
        <v>145</v>
      </c>
      <c r="K18" s="67" t="s">
        <v>172</v>
      </c>
      <c r="L18" s="67">
        <v>106</v>
      </c>
      <c r="M18" s="67">
        <v>81</v>
      </c>
    </row>
    <row r="19" spans="1:13" x14ac:dyDescent="0.25">
      <c r="A19" s="67" t="s">
        <v>72</v>
      </c>
      <c r="B19" s="67">
        <v>358</v>
      </c>
      <c r="C19" s="67">
        <v>358</v>
      </c>
      <c r="D19" s="67">
        <v>291</v>
      </c>
      <c r="E19" s="67">
        <v>375</v>
      </c>
      <c r="I19" s="67">
        <v>358</v>
      </c>
      <c r="J19" s="67">
        <v>358</v>
      </c>
      <c r="K19" s="67">
        <v>61</v>
      </c>
      <c r="L19" s="67">
        <v>267</v>
      </c>
      <c r="M19" s="67">
        <v>375</v>
      </c>
    </row>
    <row r="20" spans="1:13" x14ac:dyDescent="0.25">
      <c r="A20" s="67" t="s">
        <v>42</v>
      </c>
      <c r="B20" s="67">
        <v>212</v>
      </c>
      <c r="C20" s="67">
        <v>212</v>
      </c>
      <c r="D20" s="67">
        <v>148</v>
      </c>
      <c r="E20" s="67">
        <v>308</v>
      </c>
      <c r="I20" s="67">
        <v>212</v>
      </c>
      <c r="J20" s="67">
        <v>212</v>
      </c>
      <c r="K20" s="67">
        <v>113</v>
      </c>
      <c r="L20" s="67">
        <v>148</v>
      </c>
      <c r="M20" s="67">
        <v>308</v>
      </c>
    </row>
    <row r="21" spans="1:13" x14ac:dyDescent="0.25">
      <c r="A21" s="67" t="s">
        <v>43</v>
      </c>
      <c r="B21" s="67" t="s">
        <v>171</v>
      </c>
      <c r="C21" s="67" t="s">
        <v>171</v>
      </c>
      <c r="D21" s="67" t="s">
        <v>177</v>
      </c>
      <c r="E21" s="67" t="s">
        <v>170</v>
      </c>
      <c r="I21" s="67" t="s">
        <v>171</v>
      </c>
      <c r="J21" s="67" t="s">
        <v>171</v>
      </c>
      <c r="K21" s="67" t="s">
        <v>179</v>
      </c>
      <c r="L21" s="67" t="s">
        <v>176</v>
      </c>
      <c r="M21" s="67" t="s">
        <v>170</v>
      </c>
    </row>
    <row r="22" spans="1:13" x14ac:dyDescent="0.25">
      <c r="A22" s="67" t="s">
        <v>44</v>
      </c>
      <c r="B22" s="67">
        <v>350</v>
      </c>
      <c r="C22" s="67">
        <v>350</v>
      </c>
      <c r="D22" s="67">
        <v>80</v>
      </c>
      <c r="E22" s="67">
        <v>60</v>
      </c>
      <c r="I22" s="67">
        <v>350</v>
      </c>
      <c r="J22" s="67">
        <v>350</v>
      </c>
      <c r="K22" s="67">
        <v>100</v>
      </c>
      <c r="L22" s="67">
        <v>80</v>
      </c>
      <c r="M22" s="67">
        <v>60</v>
      </c>
    </row>
    <row r="23" spans="1:13" x14ac:dyDescent="0.25">
      <c r="A23" s="67" t="s">
        <v>45</v>
      </c>
      <c r="B23" s="67" t="s">
        <v>163</v>
      </c>
      <c r="C23" s="67" t="s">
        <v>163</v>
      </c>
      <c r="D23" s="67" t="s">
        <v>178</v>
      </c>
      <c r="E23" s="67" t="s">
        <v>165</v>
      </c>
      <c r="I23" s="67" t="s">
        <v>163</v>
      </c>
      <c r="J23" s="67" t="s">
        <v>163</v>
      </c>
      <c r="K23" s="67" t="s">
        <v>159</v>
      </c>
      <c r="L23" s="67" t="s">
        <v>178</v>
      </c>
      <c r="M23" s="67" t="s">
        <v>165</v>
      </c>
    </row>
    <row r="24" spans="1:13" x14ac:dyDescent="0.25">
      <c r="A24" s="67" t="s">
        <v>46</v>
      </c>
      <c r="B24" s="67">
        <v>260</v>
      </c>
      <c r="C24" s="67">
        <v>260</v>
      </c>
      <c r="D24" s="67" t="s">
        <v>116</v>
      </c>
      <c r="E24" s="67">
        <v>30</v>
      </c>
      <c r="I24" s="67">
        <v>260</v>
      </c>
      <c r="J24" s="67">
        <v>260</v>
      </c>
      <c r="K24" s="67">
        <v>60</v>
      </c>
      <c r="L24" s="67" t="s">
        <v>116</v>
      </c>
      <c r="M24" s="67">
        <v>30</v>
      </c>
    </row>
    <row r="25" spans="1:13" x14ac:dyDescent="0.25">
      <c r="A25" s="67" t="s">
        <v>47</v>
      </c>
      <c r="B25" s="67">
        <v>1676</v>
      </c>
      <c r="C25" s="67">
        <v>1676</v>
      </c>
      <c r="D25" s="67">
        <v>913</v>
      </c>
      <c r="E25" s="67">
        <v>1321</v>
      </c>
      <c r="I25" s="67">
        <v>1676</v>
      </c>
      <c r="J25" s="67">
        <v>1676</v>
      </c>
      <c r="K25" s="67">
        <v>967</v>
      </c>
      <c r="L25" s="67">
        <v>878</v>
      </c>
      <c r="M25" s="67">
        <v>1321</v>
      </c>
    </row>
    <row r="26" spans="1:13" x14ac:dyDescent="0.25">
      <c r="A26" s="67" t="s">
        <v>73</v>
      </c>
      <c r="B26" s="67" t="s">
        <v>166</v>
      </c>
      <c r="C26" s="67" t="s">
        <v>166</v>
      </c>
      <c r="D26" s="67">
        <v>270</v>
      </c>
      <c r="E26" s="67">
        <v>270</v>
      </c>
      <c r="I26" s="67" t="s">
        <v>166</v>
      </c>
      <c r="J26" s="67" t="s">
        <v>166</v>
      </c>
      <c r="K26" s="67">
        <v>270</v>
      </c>
      <c r="L26" s="67">
        <v>270</v>
      </c>
      <c r="M26" s="67">
        <v>270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A4" workbookViewId="0">
      <selection activeCell="K26" sqref="K26"/>
    </sheetView>
  </sheetViews>
  <sheetFormatPr baseColWidth="10" defaultColWidth="11.42578125" defaultRowHeight="15" x14ac:dyDescent="0.25"/>
  <cols>
    <col min="1" max="1" width="22.28515625" style="67" bestFit="1" customWidth="1"/>
    <col min="2" max="7" width="11.42578125" style="67"/>
    <col min="8" max="8" width="22.28515625" style="67" bestFit="1" customWidth="1"/>
    <col min="9" max="11" width="11.42578125" style="67"/>
    <col min="12" max="12" width="13.28515625" style="67" bestFit="1" customWidth="1"/>
    <col min="13" max="16384" width="11.42578125" style="67"/>
  </cols>
  <sheetData>
    <row r="1" spans="1:13" x14ac:dyDescent="0.25">
      <c r="B1" s="67" t="s">
        <v>232</v>
      </c>
      <c r="C1" s="67" t="s">
        <v>233</v>
      </c>
      <c r="D1" s="67" t="s">
        <v>234</v>
      </c>
      <c r="E1" s="67" t="s">
        <v>235</v>
      </c>
      <c r="F1" s="67" t="s">
        <v>236</v>
      </c>
    </row>
    <row r="2" spans="1:13" x14ac:dyDescent="0.25">
      <c r="A2" s="67" t="s">
        <v>237</v>
      </c>
      <c r="B2" s="67" t="s">
        <v>238</v>
      </c>
      <c r="C2" s="67" t="s">
        <v>238</v>
      </c>
      <c r="D2" s="67" t="s">
        <v>239</v>
      </c>
      <c r="E2" s="67" t="s">
        <v>240</v>
      </c>
    </row>
    <row r="3" spans="1:13" x14ac:dyDescent="0.25">
      <c r="A3" s="67" t="s">
        <v>241</v>
      </c>
      <c r="B3" s="67" t="s">
        <v>238</v>
      </c>
      <c r="C3" s="67" t="s">
        <v>238</v>
      </c>
      <c r="D3" s="67" t="s">
        <v>242</v>
      </c>
      <c r="E3" s="67" t="s">
        <v>239</v>
      </c>
      <c r="F3" s="67" t="s">
        <v>240</v>
      </c>
    </row>
    <row r="7" spans="1:13" x14ac:dyDescent="0.25">
      <c r="A7" s="120"/>
      <c r="B7" s="118" t="s">
        <v>238</v>
      </c>
      <c r="C7" s="118" t="s">
        <v>238</v>
      </c>
      <c r="D7" s="118" t="s">
        <v>239</v>
      </c>
      <c r="E7" s="118" t="s">
        <v>240</v>
      </c>
      <c r="F7" s="118"/>
      <c r="G7" s="118"/>
      <c r="H7" s="122"/>
      <c r="I7" s="118" t="s">
        <v>238</v>
      </c>
      <c r="J7" s="118" t="s">
        <v>238</v>
      </c>
      <c r="K7" s="118" t="s">
        <v>242</v>
      </c>
      <c r="L7" s="118" t="s">
        <v>239</v>
      </c>
      <c r="M7" s="118" t="s">
        <v>240</v>
      </c>
    </row>
    <row r="8" spans="1:13" x14ac:dyDescent="0.25">
      <c r="A8" s="121" t="s">
        <v>378</v>
      </c>
      <c r="B8" s="119">
        <v>11</v>
      </c>
      <c r="C8" s="119">
        <v>11</v>
      </c>
      <c r="D8" s="119">
        <v>7</v>
      </c>
      <c r="E8" s="119">
        <v>3.2</v>
      </c>
      <c r="F8" s="119"/>
      <c r="G8" s="119"/>
      <c r="H8" s="121" t="s">
        <v>378</v>
      </c>
      <c r="I8" s="119">
        <v>11</v>
      </c>
      <c r="J8" s="119">
        <v>11</v>
      </c>
      <c r="K8" s="119">
        <v>3</v>
      </c>
      <c r="L8" s="119">
        <v>7</v>
      </c>
      <c r="M8" s="119">
        <v>3.2</v>
      </c>
    </row>
    <row r="9" spans="1:13" x14ac:dyDescent="0.25">
      <c r="A9" s="122" t="s">
        <v>276</v>
      </c>
      <c r="H9" s="122" t="s">
        <v>276</v>
      </c>
    </row>
    <row r="10" spans="1:13" x14ac:dyDescent="0.25">
      <c r="A10" s="120" t="s">
        <v>32</v>
      </c>
      <c r="B10" s="67" t="s">
        <v>132</v>
      </c>
      <c r="C10" s="67" t="s">
        <v>132</v>
      </c>
      <c r="D10" s="67" t="s">
        <v>119</v>
      </c>
      <c r="E10" s="67" t="s">
        <v>143</v>
      </c>
      <c r="H10" s="120" t="s">
        <v>32</v>
      </c>
      <c r="I10" s="67" t="s">
        <v>132</v>
      </c>
      <c r="J10" s="67" t="s">
        <v>132</v>
      </c>
      <c r="L10" s="67" t="s">
        <v>119</v>
      </c>
      <c r="M10" s="67" t="s">
        <v>143</v>
      </c>
    </row>
    <row r="11" spans="1:13" x14ac:dyDescent="0.25">
      <c r="A11" s="120" t="s">
        <v>243</v>
      </c>
      <c r="B11" s="108">
        <v>0.46</v>
      </c>
      <c r="C11" s="108">
        <v>0.46</v>
      </c>
      <c r="D11" s="108">
        <v>0.24</v>
      </c>
      <c r="E11" s="108">
        <v>0.26</v>
      </c>
      <c r="H11" s="120" t="s">
        <v>243</v>
      </c>
      <c r="I11" s="108">
        <v>0.46</v>
      </c>
      <c r="J11" s="108">
        <v>0.46</v>
      </c>
      <c r="L11" s="108">
        <v>0.24</v>
      </c>
      <c r="M11" s="108">
        <v>0.26</v>
      </c>
    </row>
    <row r="12" spans="1:13" x14ac:dyDescent="0.25">
      <c r="A12" s="120" t="s">
        <v>425</v>
      </c>
      <c r="B12" s="67">
        <v>250</v>
      </c>
      <c r="C12" s="67">
        <v>160</v>
      </c>
      <c r="D12" s="67">
        <v>220</v>
      </c>
      <c r="E12" s="67">
        <v>600</v>
      </c>
      <c r="H12" s="120" t="s">
        <v>425</v>
      </c>
      <c r="I12" s="67">
        <v>250</v>
      </c>
      <c r="J12" s="67">
        <v>160</v>
      </c>
      <c r="L12" s="67">
        <v>137</v>
      </c>
      <c r="M12" s="67">
        <v>600</v>
      </c>
    </row>
    <row r="13" spans="1:13" x14ac:dyDescent="0.25">
      <c r="A13" s="120" t="s">
        <v>426</v>
      </c>
      <c r="B13" s="67">
        <f>B11*B12</f>
        <v>115</v>
      </c>
      <c r="C13" s="67">
        <f>C11*C12</f>
        <v>73.600000000000009</v>
      </c>
      <c r="D13" s="67">
        <f>D11*D12</f>
        <v>52.8</v>
      </c>
      <c r="E13" s="67">
        <f>E11*E12</f>
        <v>156</v>
      </c>
      <c r="H13" s="120" t="s">
        <v>426</v>
      </c>
      <c r="I13" s="67">
        <f>I11*I12</f>
        <v>115</v>
      </c>
      <c r="J13" s="67">
        <f>J11*J12</f>
        <v>73.600000000000009</v>
      </c>
      <c r="L13" s="67">
        <f>L11*L12</f>
        <v>32.879999999999995</v>
      </c>
      <c r="M13" s="67">
        <f>M11*M12</f>
        <v>156</v>
      </c>
    </row>
    <row r="14" spans="1:13" x14ac:dyDescent="0.25">
      <c r="A14" s="120"/>
      <c r="H14" s="120"/>
    </row>
    <row r="15" spans="1:13" x14ac:dyDescent="0.25">
      <c r="A15" s="120" t="s">
        <v>32</v>
      </c>
      <c r="B15" s="67" t="s">
        <v>244</v>
      </c>
      <c r="C15" s="67" t="s">
        <v>143</v>
      </c>
      <c r="D15" s="67" t="s">
        <v>117</v>
      </c>
      <c r="H15" s="120" t="s">
        <v>32</v>
      </c>
      <c r="I15" s="67" t="s">
        <v>244</v>
      </c>
      <c r="J15" s="67" t="s">
        <v>143</v>
      </c>
      <c r="L15" s="67" t="s">
        <v>117</v>
      </c>
    </row>
    <row r="16" spans="1:13" x14ac:dyDescent="0.25">
      <c r="A16" s="120" t="s">
        <v>243</v>
      </c>
      <c r="C16" s="108">
        <v>0.15</v>
      </c>
      <c r="D16" s="108">
        <v>0.13</v>
      </c>
      <c r="E16" s="108"/>
      <c r="H16" s="120" t="s">
        <v>243</v>
      </c>
      <c r="J16" s="108">
        <v>0.15</v>
      </c>
      <c r="L16" s="108">
        <v>0.13</v>
      </c>
      <c r="M16" s="108"/>
    </row>
    <row r="17" spans="1:13" x14ac:dyDescent="0.25">
      <c r="A17" s="120" t="s">
        <v>425</v>
      </c>
      <c r="C17" s="67">
        <v>630</v>
      </c>
      <c r="D17" s="67">
        <v>600</v>
      </c>
      <c r="H17" s="120" t="s">
        <v>425</v>
      </c>
      <c r="J17" s="67">
        <v>630</v>
      </c>
      <c r="L17" s="67">
        <v>600</v>
      </c>
    </row>
    <row r="18" spans="1:13" x14ac:dyDescent="0.25">
      <c r="A18" s="120" t="s">
        <v>426</v>
      </c>
      <c r="B18" s="67">
        <v>53</v>
      </c>
      <c r="C18" s="67">
        <f>C16*C17</f>
        <v>94.5</v>
      </c>
      <c r="D18" s="67">
        <f>D16*D17</f>
        <v>78</v>
      </c>
      <c r="H18" s="120" t="s">
        <v>426</v>
      </c>
      <c r="I18" s="67">
        <v>53</v>
      </c>
      <c r="J18" s="67">
        <f>J16*J17</f>
        <v>94.5</v>
      </c>
      <c r="L18" s="67">
        <f>L16*L17</f>
        <v>78</v>
      </c>
    </row>
    <row r="19" spans="1:13" x14ac:dyDescent="0.25">
      <c r="A19" s="120"/>
      <c r="H19" s="120"/>
    </row>
    <row r="20" spans="1:13" x14ac:dyDescent="0.25">
      <c r="A20" s="120" t="s">
        <v>32</v>
      </c>
      <c r="E20" s="67" t="s">
        <v>244</v>
      </c>
      <c r="H20" s="120" t="s">
        <v>32</v>
      </c>
      <c r="M20" s="67" t="s">
        <v>244</v>
      </c>
    </row>
    <row r="21" spans="1:13" x14ac:dyDescent="0.25">
      <c r="A21" s="120" t="s">
        <v>243</v>
      </c>
      <c r="D21" s="108"/>
      <c r="H21" s="120" t="s">
        <v>243</v>
      </c>
      <c r="L21" s="108"/>
    </row>
    <row r="22" spans="1:13" x14ac:dyDescent="0.25">
      <c r="A22" s="120" t="s">
        <v>425</v>
      </c>
      <c r="H22" s="120" t="s">
        <v>425</v>
      </c>
    </row>
    <row r="23" spans="1:13" x14ac:dyDescent="0.25">
      <c r="A23" s="120" t="s">
        <v>426</v>
      </c>
      <c r="E23" s="67">
        <v>77</v>
      </c>
      <c r="H23" s="120" t="s">
        <v>426</v>
      </c>
      <c r="M23" s="67">
        <v>77</v>
      </c>
    </row>
    <row r="24" spans="1:13" x14ac:dyDescent="0.25">
      <c r="A24" s="120"/>
      <c r="H24" s="120"/>
    </row>
    <row r="25" spans="1:13" x14ac:dyDescent="0.25">
      <c r="A25" s="120"/>
      <c r="H25" s="120"/>
    </row>
    <row r="26" spans="1:13" x14ac:dyDescent="0.25">
      <c r="A26" s="120" t="s">
        <v>427</v>
      </c>
      <c r="B26" s="67">
        <f>B13+B18+B23</f>
        <v>168</v>
      </c>
      <c r="C26" s="67">
        <f>C13+C18+C23</f>
        <v>168.10000000000002</v>
      </c>
      <c r="D26" s="67">
        <f>D13+D18+D23</f>
        <v>130.80000000000001</v>
      </c>
      <c r="E26" s="67">
        <f>E13+E18+E23</f>
        <v>233</v>
      </c>
      <c r="H26" s="120" t="s">
        <v>427</v>
      </c>
      <c r="I26" s="67">
        <f>I13+I18+I23</f>
        <v>168</v>
      </c>
      <c r="J26" s="67">
        <f>J13+J18+J23</f>
        <v>168.10000000000002</v>
      </c>
      <c r="L26" s="62">
        <f>L13+L18+L23</f>
        <v>110.88</v>
      </c>
      <c r="M26" s="67">
        <f>M13+M18+M23</f>
        <v>233</v>
      </c>
    </row>
    <row r="27" spans="1:13" x14ac:dyDescent="0.25">
      <c r="A27" s="120"/>
      <c r="H27" s="120"/>
    </row>
    <row r="28" spans="1:13" x14ac:dyDescent="0.25">
      <c r="A28" s="120" t="s">
        <v>428</v>
      </c>
      <c r="B28" s="67">
        <f>SUM(B26:E26)/4</f>
        <v>174.97500000000002</v>
      </c>
      <c r="H28" s="120" t="s">
        <v>428</v>
      </c>
      <c r="I28" s="67">
        <f>SUM(I26:M26)/5</f>
        <v>135.99600000000001</v>
      </c>
    </row>
    <row r="29" spans="1:13" x14ac:dyDescent="0.25">
      <c r="A29" s="120"/>
      <c r="H29" s="120"/>
    </row>
    <row r="30" spans="1:13" x14ac:dyDescent="0.25">
      <c r="A30" s="120" t="s">
        <v>429</v>
      </c>
      <c r="B30" s="67">
        <f>(B13+C26+D26+E13+E18)/4</f>
        <v>142.47500000000002</v>
      </c>
      <c r="H30" s="120" t="s">
        <v>429</v>
      </c>
      <c r="I30" s="67">
        <f>(I13+J26+L26+M13+M18)/5</f>
        <v>109.99600000000001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activeCell="B20" sqref="B20"/>
    </sheetView>
  </sheetViews>
  <sheetFormatPr baseColWidth="10" defaultColWidth="11.42578125" defaultRowHeight="15" x14ac:dyDescent="0.25"/>
  <cols>
    <col min="1" max="1" width="23.7109375" style="67" bestFit="1" customWidth="1"/>
    <col min="2" max="13" width="11.42578125" style="67"/>
    <col min="14" max="14" width="21.5703125" style="67" customWidth="1"/>
    <col min="15" max="15" width="21.28515625" style="67" customWidth="1"/>
    <col min="16" max="16" width="22" style="67" bestFit="1" customWidth="1"/>
    <col min="17" max="17" width="11.42578125" style="67"/>
    <col min="18" max="18" width="16" style="67" customWidth="1"/>
    <col min="19" max="16384" width="11.42578125" style="67"/>
  </cols>
  <sheetData>
    <row r="1" spans="1:19" x14ac:dyDescent="0.25">
      <c r="B1" s="67" t="s">
        <v>232</v>
      </c>
      <c r="C1" s="67" t="s">
        <v>233</v>
      </c>
      <c r="D1" s="67" t="s">
        <v>234</v>
      </c>
      <c r="E1" s="67" t="s">
        <v>235</v>
      </c>
      <c r="F1" s="67" t="s">
        <v>236</v>
      </c>
      <c r="N1" s="68" t="s">
        <v>278</v>
      </c>
      <c r="O1" s="68" t="s">
        <v>388</v>
      </c>
      <c r="P1" s="68" t="s">
        <v>389</v>
      </c>
      <c r="Q1" s="68"/>
      <c r="R1" s="68" t="s">
        <v>278</v>
      </c>
      <c r="S1" s="69" t="s">
        <v>279</v>
      </c>
    </row>
    <row r="2" spans="1:19" x14ac:dyDescent="0.25">
      <c r="A2" s="67" t="s">
        <v>237</v>
      </c>
      <c r="B2" s="67" t="s">
        <v>238</v>
      </c>
      <c r="C2" s="67" t="s">
        <v>238</v>
      </c>
      <c r="D2" s="67" t="s">
        <v>239</v>
      </c>
      <c r="E2" s="67" t="s">
        <v>240</v>
      </c>
      <c r="N2" s="134" t="s">
        <v>390</v>
      </c>
      <c r="O2" s="138">
        <v>0.10299999999999999</v>
      </c>
      <c r="P2" s="125">
        <v>18</v>
      </c>
      <c r="Q2" s="125"/>
      <c r="R2" s="123" t="s">
        <v>280</v>
      </c>
      <c r="S2" s="37">
        <v>0.85</v>
      </c>
    </row>
    <row r="3" spans="1:19" x14ac:dyDescent="0.25">
      <c r="A3" s="67" t="s">
        <v>241</v>
      </c>
      <c r="B3" s="67" t="s">
        <v>238</v>
      </c>
      <c r="C3" s="67" t="s">
        <v>238</v>
      </c>
      <c r="D3" s="67" t="s">
        <v>242</v>
      </c>
      <c r="E3" s="67" t="s">
        <v>239</v>
      </c>
      <c r="F3" s="67" t="s">
        <v>240</v>
      </c>
      <c r="N3" s="135" t="s">
        <v>391</v>
      </c>
      <c r="O3" s="138">
        <v>0.11700000000000001</v>
      </c>
      <c r="P3" s="67">
        <v>18.100000000000001</v>
      </c>
      <c r="R3" s="67" t="s">
        <v>281</v>
      </c>
      <c r="S3" s="67">
        <v>0.88</v>
      </c>
    </row>
    <row r="4" spans="1:19" x14ac:dyDescent="0.25">
      <c r="N4" s="110" t="s">
        <v>392</v>
      </c>
      <c r="O4" s="138">
        <v>0.126</v>
      </c>
      <c r="P4" s="67">
        <v>18.2</v>
      </c>
      <c r="R4" s="67" t="s">
        <v>282</v>
      </c>
      <c r="S4" s="67">
        <v>0.89</v>
      </c>
    </row>
    <row r="5" spans="1:19" x14ac:dyDescent="0.25">
      <c r="N5" s="110" t="s">
        <v>284</v>
      </c>
      <c r="O5" s="138">
        <v>0.11799999999999999</v>
      </c>
      <c r="P5" s="125">
        <v>18.399999999999999</v>
      </c>
      <c r="R5" s="67" t="s">
        <v>283</v>
      </c>
      <c r="S5" s="67">
        <v>0.89</v>
      </c>
    </row>
    <row r="6" spans="1:19" x14ac:dyDescent="0.25">
      <c r="N6" s="134" t="s">
        <v>364</v>
      </c>
      <c r="O6" s="138">
        <v>0.28999999999999998</v>
      </c>
      <c r="P6" s="125">
        <v>18.7</v>
      </c>
      <c r="Q6" s="125"/>
      <c r="R6" s="67" t="s">
        <v>284</v>
      </c>
      <c r="S6" s="67">
        <v>0.89</v>
      </c>
    </row>
    <row r="7" spans="1:19" x14ac:dyDescent="0.25">
      <c r="B7" s="67" t="s">
        <v>238</v>
      </c>
      <c r="C7" s="67" t="s">
        <v>238</v>
      </c>
      <c r="D7" s="67" t="s">
        <v>239</v>
      </c>
      <c r="E7" s="67" t="s">
        <v>240</v>
      </c>
      <c r="H7" s="67" t="s">
        <v>238</v>
      </c>
      <c r="I7" s="67" t="s">
        <v>238</v>
      </c>
      <c r="J7" s="67" t="s">
        <v>242</v>
      </c>
      <c r="K7" s="67" t="s">
        <v>239</v>
      </c>
      <c r="L7" s="67" t="s">
        <v>240</v>
      </c>
      <c r="N7" s="67" t="s">
        <v>393</v>
      </c>
      <c r="O7" s="138">
        <v>0.20899999999999999</v>
      </c>
      <c r="P7" s="67">
        <v>28.8</v>
      </c>
      <c r="R7" s="67" t="s">
        <v>285</v>
      </c>
      <c r="S7" s="67">
        <v>0.89</v>
      </c>
    </row>
    <row r="8" spans="1:19" x14ac:dyDescent="0.25">
      <c r="A8" s="67" t="s">
        <v>413</v>
      </c>
      <c r="B8" s="67">
        <v>11</v>
      </c>
      <c r="C8" s="67">
        <v>11</v>
      </c>
      <c r="D8" s="67">
        <v>7</v>
      </c>
      <c r="E8" s="67">
        <v>3.2</v>
      </c>
      <c r="H8" s="67">
        <v>11</v>
      </c>
      <c r="I8" s="67">
        <v>11</v>
      </c>
      <c r="J8" s="67">
        <v>3</v>
      </c>
      <c r="K8" s="67">
        <v>7</v>
      </c>
      <c r="L8" s="67">
        <v>3.2</v>
      </c>
      <c r="N8" s="67" t="s">
        <v>394</v>
      </c>
      <c r="O8" s="138">
        <v>0.33700000000000002</v>
      </c>
      <c r="P8" s="125">
        <v>20.3</v>
      </c>
      <c r="Q8" s="125"/>
      <c r="R8" s="67" t="s">
        <v>238</v>
      </c>
      <c r="S8" s="67">
        <v>0.87</v>
      </c>
    </row>
    <row r="9" spans="1:19" x14ac:dyDescent="0.25">
      <c r="A9" s="67" t="s">
        <v>414</v>
      </c>
      <c r="B9" s="108">
        <v>0.87</v>
      </c>
      <c r="C9" s="108">
        <v>0.87</v>
      </c>
      <c r="D9" s="108">
        <v>0.89</v>
      </c>
      <c r="E9" s="108">
        <v>0.85</v>
      </c>
      <c r="F9" s="108"/>
      <c r="G9" s="108"/>
      <c r="H9" s="108">
        <v>0.87</v>
      </c>
      <c r="I9" s="108">
        <v>0.87</v>
      </c>
      <c r="J9" s="108">
        <v>0.91</v>
      </c>
      <c r="K9" s="108">
        <v>0.89</v>
      </c>
      <c r="L9" s="108">
        <v>0.85</v>
      </c>
      <c r="N9" s="67" t="s">
        <v>395</v>
      </c>
      <c r="O9" s="138">
        <v>0.23899999999999999</v>
      </c>
      <c r="P9" s="125">
        <v>18.3</v>
      </c>
      <c r="R9" s="67" t="s">
        <v>286</v>
      </c>
      <c r="S9" s="67">
        <v>0.88</v>
      </c>
    </row>
    <row r="10" spans="1:19" x14ac:dyDescent="0.25">
      <c r="A10" s="67" t="s">
        <v>415</v>
      </c>
      <c r="B10" s="67">
        <f>B8*B9</f>
        <v>9.57</v>
      </c>
      <c r="C10" s="67">
        <f t="shared" ref="C10:E10" si="0">C8*C9</f>
        <v>9.57</v>
      </c>
      <c r="D10" s="67">
        <f t="shared" si="0"/>
        <v>6.23</v>
      </c>
      <c r="E10" s="67">
        <f t="shared" si="0"/>
        <v>2.72</v>
      </c>
      <c r="H10" s="67">
        <f>H8*H9</f>
        <v>9.57</v>
      </c>
      <c r="I10" s="67">
        <f t="shared" ref="I10:K10" si="1">I8*I9</f>
        <v>9.57</v>
      </c>
      <c r="J10" s="67">
        <f t="shared" si="1"/>
        <v>2.73</v>
      </c>
      <c r="K10" s="67">
        <f t="shared" si="1"/>
        <v>6.23</v>
      </c>
      <c r="L10" s="67">
        <f>L8*L9</f>
        <v>2.72</v>
      </c>
      <c r="N10" s="67" t="s">
        <v>396</v>
      </c>
      <c r="O10" s="138">
        <v>0.11</v>
      </c>
      <c r="P10" s="125">
        <v>19.5</v>
      </c>
      <c r="Q10" s="125"/>
      <c r="R10" s="67" t="s">
        <v>287</v>
      </c>
      <c r="S10" s="67">
        <v>0.89</v>
      </c>
    </row>
    <row r="11" spans="1:19" x14ac:dyDescent="0.25">
      <c r="A11" s="67" t="s">
        <v>388</v>
      </c>
      <c r="B11" s="109">
        <v>9.4E-2</v>
      </c>
      <c r="C11" s="109">
        <v>9.4E-2</v>
      </c>
      <c r="D11" s="109">
        <v>0.126</v>
      </c>
      <c r="E11" s="109">
        <v>0.20899999999999999</v>
      </c>
      <c r="H11" s="109">
        <v>9.4E-2</v>
      </c>
      <c r="I11" s="109">
        <v>9.4E-2</v>
      </c>
      <c r="J11" s="109">
        <v>0.39600000000000002</v>
      </c>
      <c r="K11" s="109">
        <v>0.126</v>
      </c>
      <c r="L11" s="109">
        <v>0.20899999999999999</v>
      </c>
      <c r="N11" s="134" t="s">
        <v>397</v>
      </c>
      <c r="O11" s="138">
        <v>0.08</v>
      </c>
      <c r="P11" s="62">
        <v>18.899999999999999</v>
      </c>
      <c r="Q11" s="125"/>
      <c r="R11" s="67" t="s">
        <v>288</v>
      </c>
      <c r="S11" s="113">
        <v>0.9</v>
      </c>
    </row>
    <row r="12" spans="1:19" x14ac:dyDescent="0.25">
      <c r="A12" s="67" t="s">
        <v>416</v>
      </c>
      <c r="B12" s="112">
        <f>B11*B10</f>
        <v>0.89958000000000005</v>
      </c>
      <c r="C12" s="112">
        <f t="shared" ref="C12:E12" si="2">C11*C10</f>
        <v>0.89958000000000005</v>
      </c>
      <c r="D12" s="112">
        <f t="shared" si="2"/>
        <v>0.78498000000000001</v>
      </c>
      <c r="E12" s="112">
        <f t="shared" si="2"/>
        <v>0.56847999999999999</v>
      </c>
      <c r="H12" s="112">
        <f>H11*H10</f>
        <v>0.89958000000000005</v>
      </c>
      <c r="I12" s="112">
        <f t="shared" ref="I12:K12" si="3">I11*I10</f>
        <v>0.89958000000000005</v>
      </c>
      <c r="J12" s="112">
        <f t="shared" si="3"/>
        <v>1.08108</v>
      </c>
      <c r="K12" s="112">
        <f t="shared" si="3"/>
        <v>0.78498000000000001</v>
      </c>
      <c r="L12" s="112">
        <f>L11*L10</f>
        <v>0.56847999999999999</v>
      </c>
      <c r="N12" s="134" t="s">
        <v>398</v>
      </c>
      <c r="O12" s="138">
        <v>0.191</v>
      </c>
      <c r="P12" s="67">
        <v>18.2</v>
      </c>
      <c r="R12" s="67" t="s">
        <v>289</v>
      </c>
      <c r="S12" s="67">
        <v>0.89</v>
      </c>
    </row>
    <row r="13" spans="1:19" x14ac:dyDescent="0.25">
      <c r="N13" s="114" t="s">
        <v>242</v>
      </c>
      <c r="O13" s="138">
        <v>0.39600000000000002</v>
      </c>
      <c r="P13" s="125">
        <v>23.6</v>
      </c>
      <c r="R13" s="67" t="s">
        <v>290</v>
      </c>
      <c r="S13" s="67">
        <v>0.91</v>
      </c>
    </row>
    <row r="14" spans="1:19" x14ac:dyDescent="0.25">
      <c r="A14" s="67" t="s">
        <v>417</v>
      </c>
      <c r="B14" s="116">
        <f>(AVERAGE(B12:E12)*1000)</f>
        <v>788.15500000000009</v>
      </c>
      <c r="C14" s="116"/>
      <c r="D14" s="116"/>
      <c r="E14" s="116"/>
      <c r="F14" s="116"/>
      <c r="G14" s="116"/>
      <c r="H14" s="116">
        <f>(AVERAGE(H12:L12)*1000)</f>
        <v>846.7399999999999</v>
      </c>
      <c r="N14" s="67" t="s">
        <v>399</v>
      </c>
      <c r="O14" s="138">
        <v>9.4E-2</v>
      </c>
      <c r="P14" s="67">
        <v>18.7</v>
      </c>
      <c r="Q14" s="125"/>
      <c r="R14" s="67" t="s">
        <v>291</v>
      </c>
      <c r="S14" s="67">
        <v>0.91</v>
      </c>
    </row>
    <row r="15" spans="1:19" x14ac:dyDescent="0.25">
      <c r="N15" s="114" t="s">
        <v>370</v>
      </c>
      <c r="O15" s="138">
        <v>0.16600000000000001</v>
      </c>
      <c r="P15" s="67">
        <v>28.7</v>
      </c>
      <c r="R15" s="67" t="s">
        <v>292</v>
      </c>
      <c r="S15" s="67">
        <v>0.22</v>
      </c>
    </row>
    <row r="16" spans="1:19" x14ac:dyDescent="0.25">
      <c r="A16" s="67" t="s">
        <v>389</v>
      </c>
      <c r="B16" s="67">
        <v>18.7</v>
      </c>
      <c r="C16" s="67">
        <v>18.7</v>
      </c>
      <c r="D16" s="67">
        <v>18.2</v>
      </c>
      <c r="E16" s="67">
        <v>28.8</v>
      </c>
      <c r="H16" s="67">
        <v>18.7</v>
      </c>
      <c r="I16" s="67">
        <v>18.7</v>
      </c>
      <c r="J16" s="125">
        <v>23.6</v>
      </c>
      <c r="K16" s="67">
        <v>18.2</v>
      </c>
      <c r="L16" s="67">
        <v>28.8</v>
      </c>
      <c r="N16" s="111" t="s">
        <v>400</v>
      </c>
      <c r="O16" s="138">
        <v>0.248</v>
      </c>
      <c r="P16" s="67">
        <v>18.600000000000001</v>
      </c>
      <c r="R16" s="67" t="s">
        <v>293</v>
      </c>
      <c r="S16" s="67">
        <v>0.94</v>
      </c>
    </row>
    <row r="17" spans="1:19" x14ac:dyDescent="0.25">
      <c r="A17" s="67" t="s">
        <v>387</v>
      </c>
      <c r="B17" s="113">
        <f>B16*B10</f>
        <v>178.959</v>
      </c>
      <c r="C17" s="113">
        <f t="shared" ref="C17:E17" si="4">C16*C10</f>
        <v>178.959</v>
      </c>
      <c r="D17" s="113">
        <f t="shared" si="4"/>
        <v>113.38600000000001</v>
      </c>
      <c r="E17" s="113">
        <f t="shared" si="4"/>
        <v>78.336000000000013</v>
      </c>
      <c r="F17" s="113"/>
      <c r="G17" s="113"/>
      <c r="H17" s="113">
        <f>H16*H10</f>
        <v>178.959</v>
      </c>
      <c r="I17" s="113">
        <f t="shared" ref="I17" si="5">I16*I10</f>
        <v>178.959</v>
      </c>
      <c r="J17" s="113">
        <f t="shared" ref="J17" si="6">J16*J10</f>
        <v>64.427999999999997</v>
      </c>
      <c r="K17" s="113">
        <f t="shared" ref="K17" si="7">K16*K10</f>
        <v>113.38600000000001</v>
      </c>
      <c r="L17" s="113">
        <f>L16*L10</f>
        <v>78.336000000000013</v>
      </c>
      <c r="N17" s="67" t="s">
        <v>401</v>
      </c>
      <c r="O17" s="138">
        <v>0.17699999999999999</v>
      </c>
      <c r="P17" s="67">
        <v>18.5</v>
      </c>
      <c r="Q17" s="125"/>
      <c r="R17" s="67" t="s">
        <v>294</v>
      </c>
      <c r="S17" s="67">
        <v>0.9</v>
      </c>
    </row>
    <row r="18" spans="1:19" x14ac:dyDescent="0.25">
      <c r="B18" s="113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N18" s="67" t="s">
        <v>402</v>
      </c>
      <c r="O18" s="138">
        <v>7.8E-2</v>
      </c>
      <c r="P18" s="67">
        <v>16.899999999999999</v>
      </c>
      <c r="R18" s="67" t="s">
        <v>295</v>
      </c>
      <c r="S18" s="67">
        <v>0.9</v>
      </c>
    </row>
    <row r="19" spans="1:19" x14ac:dyDescent="0.25">
      <c r="A19" s="67" t="s">
        <v>418</v>
      </c>
      <c r="B19" s="113">
        <f>AVERAGE(B17:E17)</f>
        <v>137.41000000000003</v>
      </c>
      <c r="C19" s="113"/>
      <c r="D19" s="113"/>
      <c r="E19" s="113"/>
      <c r="F19" s="113"/>
      <c r="G19" s="113"/>
      <c r="H19" s="113">
        <f>AVERAGE(H17:L17)</f>
        <v>122.81359999999999</v>
      </c>
      <c r="I19" s="113"/>
      <c r="J19" s="113"/>
      <c r="K19" s="113"/>
      <c r="L19" s="113"/>
      <c r="N19" s="67" t="s">
        <v>403</v>
      </c>
      <c r="O19" s="138">
        <v>0.189</v>
      </c>
      <c r="P19" s="67">
        <v>18.899999999999999</v>
      </c>
      <c r="R19" s="67" t="s">
        <v>296</v>
      </c>
      <c r="S19" s="67">
        <v>0.9</v>
      </c>
    </row>
    <row r="20" spans="1:19" x14ac:dyDescent="0.25">
      <c r="B20" s="113"/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N20" s="67" t="s">
        <v>404</v>
      </c>
      <c r="O20" s="138">
        <v>0.16200000000000001</v>
      </c>
      <c r="P20" s="67">
        <v>18.7</v>
      </c>
      <c r="R20" s="67" t="s">
        <v>297</v>
      </c>
      <c r="S20" s="67">
        <v>0.9</v>
      </c>
    </row>
    <row r="21" spans="1:19" x14ac:dyDescent="0.25"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N21" s="67" t="s">
        <v>405</v>
      </c>
      <c r="O21" s="138">
        <v>0.10199999999999999</v>
      </c>
      <c r="P21" s="67">
        <v>17.7</v>
      </c>
      <c r="R21" s="67" t="s">
        <v>298</v>
      </c>
      <c r="S21" s="67">
        <v>0.9</v>
      </c>
    </row>
    <row r="22" spans="1:19" x14ac:dyDescent="0.25"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N22" s="67" t="s">
        <v>406</v>
      </c>
      <c r="O22" s="138">
        <v>0.14699999999999999</v>
      </c>
      <c r="P22" s="62">
        <v>18.18</v>
      </c>
      <c r="R22" s="67" t="s">
        <v>299</v>
      </c>
      <c r="S22" s="67">
        <v>0.9</v>
      </c>
    </row>
    <row r="23" spans="1:19" x14ac:dyDescent="0.25">
      <c r="N23" s="67" t="s">
        <v>407</v>
      </c>
      <c r="O23" s="138">
        <v>0.11</v>
      </c>
      <c r="P23" s="67">
        <v>17.899999999999999</v>
      </c>
    </row>
    <row r="24" spans="1:19" x14ac:dyDescent="0.25">
      <c r="N24" s="135" t="s">
        <v>408</v>
      </c>
      <c r="O24" s="138">
        <v>0.17280000000000001</v>
      </c>
      <c r="P24" s="139">
        <v>18.78</v>
      </c>
      <c r="R24" s="67" t="s">
        <v>409</v>
      </c>
    </row>
    <row r="26" spans="1:19" x14ac:dyDescent="0.25">
      <c r="N26" s="125" t="s">
        <v>410</v>
      </c>
      <c r="O26" s="67" t="s">
        <v>411</v>
      </c>
    </row>
    <row r="27" spans="1:19" x14ac:dyDescent="0.25">
      <c r="O27" s="67" t="s">
        <v>412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Output</vt:lpstr>
      <vt:lpstr>Data source</vt:lpstr>
      <vt:lpstr>Site characteristics</vt:lpstr>
      <vt:lpstr>Without legumes</vt:lpstr>
      <vt:lpstr>With legumes 1</vt:lpstr>
      <vt:lpstr>Data for yield stability</vt:lpstr>
      <vt:lpstr>GM</vt:lpstr>
      <vt:lpstr>N fertilizer</vt:lpstr>
      <vt:lpstr>Protein &amp; Energy Output</vt:lpstr>
      <vt:lpstr>Crop Diversity</vt:lpstr>
      <vt:lpstr>NO3</vt:lpstr>
      <vt:lpstr>N2O calculations</vt:lpstr>
      <vt:lpstr>N2O default values</vt:lpstr>
      <vt:lpstr>Mapping crops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notz</dc:creator>
  <cp:lastModifiedBy>notz</cp:lastModifiedBy>
  <dcterms:created xsi:type="dcterms:W3CDTF">2019-08-15T12:33:08Z</dcterms:created>
  <dcterms:modified xsi:type="dcterms:W3CDTF">2020-12-08T15:16:14Z</dcterms:modified>
</cp:coreProperties>
</file>