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bookViews>
  <sheets>
    <sheet name="Output" sheetId="26" r:id="rId1"/>
    <sheet name="Data source" sheetId="21" r:id="rId2"/>
    <sheet name="Standorteigenschaften" sheetId="1" r:id="rId3"/>
    <sheet name="Ohne Leguminosen" sheetId="20" r:id="rId4"/>
    <sheet name="Leguminosen Alternative" sheetId="18" r:id="rId5"/>
    <sheet name="Daten für Ertragsstabilität" sheetId="12" r:id="rId6"/>
    <sheet name="GM" sheetId="22" r:id="rId7"/>
    <sheet name="N fertilizer" sheetId="23" r:id="rId8"/>
    <sheet name="Protein &amp; Energy Output" sheetId="24" r:id="rId9"/>
    <sheet name="Crop Diversity" sheetId="25" r:id="rId10"/>
    <sheet name="NO3" sheetId="30" r:id="rId11"/>
    <sheet name="N2O calculations" sheetId="27" r:id="rId12"/>
    <sheet name="N2O default values" sheetId="28" r:id="rId13"/>
    <sheet name="Mapping crops" sheetId="29"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12" l="1"/>
  <c r="G32" i="12"/>
  <c r="K32" i="12"/>
  <c r="S17" i="12"/>
  <c r="O17" i="12"/>
  <c r="K17" i="12"/>
  <c r="G17" i="12"/>
  <c r="C17" i="12"/>
  <c r="I18" i="22"/>
  <c r="K17" i="22"/>
  <c r="I15" i="22"/>
  <c r="B15" i="22"/>
  <c r="I29" i="23"/>
  <c r="I27" i="23"/>
  <c r="B27" i="23"/>
  <c r="B29" i="23"/>
  <c r="G21" i="24"/>
  <c r="B21" i="24"/>
  <c r="C16" i="24"/>
  <c r="H16" i="24"/>
  <c r="K12" i="30" l="1"/>
  <c r="K6" i="30"/>
  <c r="K3" i="26" l="1"/>
  <c r="K2" i="26"/>
  <c r="L25" i="27" l="1"/>
  <c r="K25" i="27"/>
  <c r="J25" i="27"/>
  <c r="I25" i="27"/>
  <c r="C25" i="27"/>
  <c r="D25" i="27"/>
  <c r="B25" i="27"/>
  <c r="L28" i="27"/>
  <c r="K28" i="27"/>
  <c r="J28" i="27"/>
  <c r="I28" i="27"/>
  <c r="C28" i="27"/>
  <c r="D28" i="27"/>
  <c r="B28" i="27"/>
  <c r="I11" i="27" l="1"/>
  <c r="J10" i="27"/>
  <c r="J11" i="27"/>
  <c r="K9" i="27"/>
  <c r="K10" i="27"/>
  <c r="K11" i="27"/>
  <c r="L11" i="27"/>
  <c r="B10" i="27"/>
  <c r="B11" i="27"/>
  <c r="C11" i="27"/>
  <c r="D11" i="27"/>
  <c r="L7" i="27"/>
  <c r="L24" i="27" s="1"/>
  <c r="K7" i="27"/>
  <c r="K8" i="27" s="1"/>
  <c r="K14" i="27" s="1"/>
  <c r="K15" i="27" s="1"/>
  <c r="K17" i="27" s="1"/>
  <c r="J7" i="27"/>
  <c r="I7" i="27"/>
  <c r="I8" i="27" s="1"/>
  <c r="I14" i="27" s="1"/>
  <c r="D7" i="27"/>
  <c r="C7" i="27"/>
  <c r="C24" i="27" s="1"/>
  <c r="B7" i="27"/>
  <c r="B24" i="27" s="1"/>
  <c r="E4" i="27"/>
  <c r="D4" i="27"/>
  <c r="C4" i="27"/>
  <c r="B4" i="27"/>
  <c r="A4" i="27"/>
  <c r="E3" i="27"/>
  <c r="D3" i="27"/>
  <c r="C3" i="27"/>
  <c r="B3" i="27"/>
  <c r="A3" i="27"/>
  <c r="E2" i="27"/>
  <c r="D2" i="27"/>
  <c r="C2" i="27"/>
  <c r="B2" i="27"/>
  <c r="A2" i="27"/>
  <c r="E1" i="27"/>
  <c r="D1" i="27"/>
  <c r="C1" i="27"/>
  <c r="B1" i="27"/>
  <c r="A1" i="27"/>
  <c r="U22" i="28"/>
  <c r="U21" i="28"/>
  <c r="U20" i="28"/>
  <c r="U19" i="28"/>
  <c r="U18" i="28"/>
  <c r="Q18" i="28"/>
  <c r="U17" i="28"/>
  <c r="Q17" i="28"/>
  <c r="U16" i="28"/>
  <c r="R16" i="28"/>
  <c r="P16" i="28"/>
  <c r="U15" i="28"/>
  <c r="U14" i="28"/>
  <c r="U13" i="28"/>
  <c r="U12" i="28"/>
  <c r="R12" i="28"/>
  <c r="U11" i="28"/>
  <c r="R11" i="28"/>
  <c r="P11" i="28"/>
  <c r="U10" i="28"/>
  <c r="P10" i="28"/>
  <c r="U9" i="28"/>
  <c r="R9" i="28"/>
  <c r="U8" i="28"/>
  <c r="U7" i="28"/>
  <c r="U6" i="28"/>
  <c r="U5" i="28"/>
  <c r="U4" i="28"/>
  <c r="E4" i="28"/>
  <c r="U3" i="28"/>
  <c r="E3" i="28"/>
  <c r="U2" i="28"/>
  <c r="G2" i="28"/>
  <c r="E2" i="28"/>
  <c r="L27" i="27"/>
  <c r="K27" i="27"/>
  <c r="J27" i="27"/>
  <c r="I27" i="27"/>
  <c r="D27" i="27"/>
  <c r="C27" i="27"/>
  <c r="B27" i="27"/>
  <c r="J8" i="27"/>
  <c r="J14" i="27"/>
  <c r="D8" i="27"/>
  <c r="D14" i="27" s="1"/>
  <c r="D15" i="27" s="1"/>
  <c r="D16" i="27" s="1"/>
  <c r="D18" i="27" s="1"/>
  <c r="C8" i="27"/>
  <c r="C14" i="27" s="1"/>
  <c r="C15" i="27" s="1"/>
  <c r="J24" i="27"/>
  <c r="D24" i="27"/>
  <c r="J15" i="27"/>
  <c r="J17" i="27" s="1"/>
  <c r="L13" i="22"/>
  <c r="D12" i="24"/>
  <c r="C12" i="24"/>
  <c r="C19" i="24" s="1"/>
  <c r="C14" i="24"/>
  <c r="B12" i="24"/>
  <c r="B19" i="24" s="1"/>
  <c r="D22" i="25"/>
  <c r="E22" i="25"/>
  <c r="B22" i="25"/>
  <c r="D20" i="25"/>
  <c r="E20" i="25"/>
  <c r="B20" i="25"/>
  <c r="D14" i="25"/>
  <c r="E14" i="25"/>
  <c r="F8" i="25"/>
  <c r="J12" i="24"/>
  <c r="J19" i="24" s="1"/>
  <c r="I12" i="24"/>
  <c r="I19" i="24" s="1"/>
  <c r="H12" i="24"/>
  <c r="H19" i="24" s="1"/>
  <c r="G12" i="24"/>
  <c r="G19" i="24" s="1"/>
  <c r="L18" i="23"/>
  <c r="L10" i="27" s="1"/>
  <c r="J18" i="23"/>
  <c r="J25" i="23" s="1"/>
  <c r="I18" i="23"/>
  <c r="I25" i="23" s="1"/>
  <c r="D18" i="23"/>
  <c r="D10" i="27" s="1"/>
  <c r="C18" i="23"/>
  <c r="C10" i="27" s="1"/>
  <c r="B18" i="23"/>
  <c r="L13" i="23"/>
  <c r="M3" i="26" s="1"/>
  <c r="J3" i="26" s="1"/>
  <c r="J13" i="23"/>
  <c r="J9" i="27" s="1"/>
  <c r="I13" i="23"/>
  <c r="I9" i="27" s="1"/>
  <c r="D13" i="23"/>
  <c r="C13" i="23"/>
  <c r="B13" i="23"/>
  <c r="B9" i="27" s="1"/>
  <c r="K13" i="22"/>
  <c r="I13" i="22"/>
  <c r="D13" i="22"/>
  <c r="B13" i="22"/>
  <c r="J10" i="22"/>
  <c r="J13" i="22"/>
  <c r="C10" i="22"/>
  <c r="C13" i="22"/>
  <c r="L9" i="22"/>
  <c r="K9" i="22"/>
  <c r="I9" i="22"/>
  <c r="D9" i="22"/>
  <c r="B9" i="22"/>
  <c r="J37" i="12"/>
  <c r="O2" i="26" s="1"/>
  <c r="J38" i="12"/>
  <c r="O3" i="26"/>
  <c r="B25" i="23"/>
  <c r="D25" i="23"/>
  <c r="E17" i="25"/>
  <c r="R2" i="26"/>
  <c r="E23" i="25"/>
  <c r="R3" i="26"/>
  <c r="H39" i="18"/>
  <c r="H39" i="20"/>
  <c r="G2" i="26" l="1"/>
  <c r="F2" i="26"/>
  <c r="M2" i="26"/>
  <c r="J2" i="26" s="1"/>
  <c r="D14" i="24"/>
  <c r="D19" i="24"/>
  <c r="Q2" i="26" s="1"/>
  <c r="C9" i="27"/>
  <c r="C26" i="27" s="1"/>
  <c r="C25" i="23"/>
  <c r="L2" i="26" s="1"/>
  <c r="F3" i="26"/>
  <c r="I3" i="26" s="1"/>
  <c r="B8" i="27"/>
  <c r="B14" i="27" s="1"/>
  <c r="B15" i="27" s="1"/>
  <c r="B17" i="27" s="1"/>
  <c r="I24" i="27"/>
  <c r="D9" i="27"/>
  <c r="D26" i="27" s="1"/>
  <c r="L25" i="23"/>
  <c r="L3" i="26" s="1"/>
  <c r="L8" i="27"/>
  <c r="L14" i="27" s="1"/>
  <c r="L15" i="27" s="1"/>
  <c r="L17" i="27" s="1"/>
  <c r="K24" i="27"/>
  <c r="L9" i="27"/>
  <c r="I10" i="27"/>
  <c r="G14" i="24"/>
  <c r="I26" i="27"/>
  <c r="J26" i="27"/>
  <c r="K26" i="27"/>
  <c r="B26" i="27"/>
  <c r="L26" i="27"/>
  <c r="J16" i="27"/>
  <c r="J18" i="27" s="1"/>
  <c r="J19" i="27" s="1"/>
  <c r="J31" i="27" s="1"/>
  <c r="G3" i="26"/>
  <c r="C16" i="27"/>
  <c r="C18" i="27" s="1"/>
  <c r="C17" i="27"/>
  <c r="I15" i="27"/>
  <c r="I17" i="27" s="1"/>
  <c r="K16" i="27"/>
  <c r="K18" i="27" s="1"/>
  <c r="K19" i="27" s="1"/>
  <c r="D17" i="27"/>
  <c r="D19" i="27" s="1"/>
  <c r="H14" i="24"/>
  <c r="B14" i="24"/>
  <c r="P2" i="26"/>
  <c r="I14" i="24"/>
  <c r="Q3" i="26"/>
  <c r="J14" i="24"/>
  <c r="H3" i="26" l="1"/>
  <c r="P3" i="26"/>
  <c r="I2" i="26"/>
  <c r="H2" i="26"/>
  <c r="L16" i="27"/>
  <c r="L18" i="27" s="1"/>
  <c r="L19" i="27" s="1"/>
  <c r="L31" i="27" s="1"/>
  <c r="B16" i="27"/>
  <c r="B18" i="27" s="1"/>
  <c r="B19" i="27" s="1"/>
  <c r="B31" i="27" s="1"/>
  <c r="K31" i="27"/>
  <c r="D31" i="27"/>
  <c r="C19" i="27"/>
  <c r="C31" i="27" s="1"/>
  <c r="I16" i="27"/>
  <c r="I18" i="27" s="1"/>
  <c r="I19" i="27" s="1"/>
  <c r="I31" i="27" s="1"/>
  <c r="H31" i="27" l="1"/>
  <c r="N3" i="26" s="1"/>
  <c r="A31" i="27"/>
  <c r="N2" i="26" s="1"/>
</calcChain>
</file>

<file path=xl/comments1.xml><?xml version="1.0" encoding="utf-8"?>
<comments xmlns="http://schemas.openxmlformats.org/spreadsheetml/2006/main">
  <authors>
    <author>notz</author>
  </authors>
  <commentList>
    <comment ref="G1" authorId="0" shapeId="0">
      <text>
        <r>
          <rPr>
            <b/>
            <sz val="9"/>
            <color indexed="81"/>
            <rFont val="Segoe UI"/>
            <family val="2"/>
          </rPr>
          <t>notz:</t>
        </r>
        <r>
          <rPr>
            <sz val="9"/>
            <color indexed="81"/>
            <rFont val="Segoe UI"/>
            <family val="2"/>
          </rPr>
          <t xml:space="preserve">
The GM from the legume-based rotations increased compared to the standard GM as the given legume prices were exchanged here with their actual feed value - calculation details see sheet "GM"</t>
        </r>
      </text>
    </comment>
    <comment ref="H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I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sharedStrings.xml><?xml version="1.0" encoding="utf-8"?>
<sst xmlns="http://schemas.openxmlformats.org/spreadsheetml/2006/main" count="986" uniqueCount="447">
  <si>
    <t>Specify</t>
  </si>
  <si>
    <t>CaCO3</t>
  </si>
  <si>
    <t>Region</t>
  </si>
  <si>
    <t>Year</t>
  </si>
  <si>
    <t xml:space="preserve">Yield [t/ha] </t>
  </si>
  <si>
    <t>Number of year</t>
  </si>
  <si>
    <t>Crop [name of crop]:</t>
  </si>
  <si>
    <t xml:space="preserve">KAS </t>
  </si>
  <si>
    <t>_</t>
  </si>
  <si>
    <t>27% N, 2% Mg</t>
  </si>
  <si>
    <t>Standort</t>
  </si>
  <si>
    <t>Bitte geben Sie den lokalen Namen des Standorts innerhalb der Region an, z.B. durch den Bodentyp oder ähnliches.</t>
  </si>
  <si>
    <t>Bitte geben Sie den Namen ihrer Region (z.B. Brandenburg) und den Code zur territorialen Gliederung entsprechend der NUTS 2* Ebene an (z.B. DE40).</t>
  </si>
  <si>
    <t>Bodenart</t>
  </si>
  <si>
    <t>Bitte beschreiben Sie die typische Bodenart der Region (z.B. sandiger Lehm).</t>
  </si>
  <si>
    <t>Ackergröße</t>
  </si>
  <si>
    <t>Bitte geben Sie die durchschnittliche Ackergröße an [ha].</t>
  </si>
  <si>
    <t>Jahre</t>
  </si>
  <si>
    <t>Bitte geben Sie den Zeitraum des Anbaus an (z.B.. 2015-2018).</t>
  </si>
  <si>
    <t>Falls Sie die folgenden Informationen nicht haben, helfen wir Ihnen und nutzen u.U. Standardwerte.</t>
  </si>
  <si>
    <t>Nur für Deutschalnd: Durchschnittliche Ackerzahl</t>
  </si>
  <si>
    <t>Bitte geben Sie die durchschnnittliche AZ (z.B. 49) an.</t>
  </si>
  <si>
    <t xml:space="preserve">Organischer Kohlenstoffgehalt des Oberbodens </t>
  </si>
  <si>
    <t>C/N Verhältnis der organischen Bodensubstanz</t>
  </si>
  <si>
    <t>Bitte geben Sie den durchschnittlichen organischen Kohlestoffgehalt an [% Kohlenstoff in TM] (z.B. 0,9%).</t>
  </si>
  <si>
    <t>Bitte geben Sie das Kohlenstoff-Stickstoff-Verhältnis der organischen Bodensubstanz an (z.B. 11).</t>
  </si>
  <si>
    <t xml:space="preserve">Lagerungsdichte des Oberboden </t>
  </si>
  <si>
    <r>
      <t>Bitte geben Sie die Lagerungsdichte des Oberboden in [g/cm³] an (z.B. 1,5g/cm</t>
    </r>
    <r>
      <rPr>
        <vertAlign val="superscript"/>
        <sz val="11"/>
        <color theme="1"/>
        <rFont val="Calibri"/>
        <family val="2"/>
        <scheme val="minor"/>
      </rPr>
      <t>3</t>
    </r>
    <r>
      <rPr>
        <sz val="11"/>
        <color theme="1"/>
        <rFont val="Calibri"/>
        <family val="2"/>
        <scheme val="minor"/>
      </rPr>
      <t>).</t>
    </r>
  </si>
  <si>
    <t>Oberboden</t>
  </si>
  <si>
    <t>Bitte geben Sie die Höher der oberen Bodenschicht in [cm] an (z.B. 30 cm).</t>
  </si>
  <si>
    <t>Jährliche Mineralisierungsrate</t>
  </si>
  <si>
    <t>Bitte geben Sie die jährliche Mineralisierungsrate in [%] an (z.B. 1,7%).</t>
  </si>
  <si>
    <t>Wasserspeicherkapazität in der Wurzelzone</t>
  </si>
  <si>
    <t xml:space="preserve">Bitte geben Sie die Wasserspeicherkapazität in der Wurzelzone in [mm] an (z.B. 400mm). </t>
  </si>
  <si>
    <t>Jahresniederschlag (mm)</t>
  </si>
  <si>
    <t xml:space="preserve">Bitte geben Sie den Jahresniederschlag in [mm] an (z.B. 510mm). </t>
  </si>
  <si>
    <t>Niederschlag im Winterhalbjahr (mm)</t>
  </si>
  <si>
    <t>Bitte geben Sie den Niederschlag im Winterhalbjahr, von Oktober bis März, in [mm] an (z.B. 220mm)</t>
  </si>
  <si>
    <t>Fruchtfolge</t>
  </si>
  <si>
    <t>Mechani-sierung</t>
  </si>
  <si>
    <t>Saat</t>
  </si>
  <si>
    <t>Düngung</t>
  </si>
  <si>
    <t>Pflanzenschutz</t>
  </si>
  <si>
    <t>Ernte</t>
  </si>
  <si>
    <t>Ertrag</t>
  </si>
  <si>
    <t>Variable Kosten</t>
  </si>
  <si>
    <t>Hinweise zum Ausfüllen</t>
  </si>
  <si>
    <t>Pflügen</t>
  </si>
  <si>
    <t>Eggen</t>
  </si>
  <si>
    <t>Saatbettvorbereitung</t>
  </si>
  <si>
    <t>Bitte spezifizieren Sie, welche Maschinen benutzt wurden für:</t>
  </si>
  <si>
    <t xml:space="preserve">Bitte geben Sie die Sorte, die Menge des Saatguts und eingesetzte Maschinen an. </t>
  </si>
  <si>
    <t>Bitte geben Sie die spezifischen Düngertypen, die Zusammensetzung und Ausbringungsmethode, Gesamtmenge und Gesamtanzahl der Ausbringungen an.</t>
  </si>
  <si>
    <t>Bitte spezifizieren Sie die Ernte und entfernte Rückstände, nennen Sie verwendete Maschinen und den durchschnittlichen Verkaufspreis der Kulturpflanze.</t>
  </si>
  <si>
    <t xml:space="preserve">Bitte geben Sie die spezifischen Kosten der Produktion, die  gesamten variablen Kosten und Subventionen an.  </t>
  </si>
  <si>
    <t>Beschreibung</t>
  </si>
  <si>
    <t>Name der Kulturpflanze</t>
  </si>
  <si>
    <t>Verwendung der Kulturpflanze (Korn, Silage, Biomasse,…)</t>
  </si>
  <si>
    <t>Kulturpflanze intern verwendet (z.B. als Futtermittel) oder verkauft?</t>
  </si>
  <si>
    <t>Zwischenfrucht (folgt der obengenannten Kulturpflanze)</t>
  </si>
  <si>
    <t>Sorte</t>
  </si>
  <si>
    <t>Menge [kg/ha]</t>
  </si>
  <si>
    <t>Eingesetzte Maschinen</t>
  </si>
  <si>
    <t xml:space="preserve">Mineraldünger </t>
  </si>
  <si>
    <t>N-Dünger</t>
  </si>
  <si>
    <t>P-Dünger</t>
  </si>
  <si>
    <t>K-Dünger</t>
  </si>
  <si>
    <t>N-P-K Dünger</t>
  </si>
  <si>
    <t>S-Dünger</t>
  </si>
  <si>
    <t>Weitere verwendete Mineraldünger</t>
  </si>
  <si>
    <t>Organischer Dünger</t>
  </si>
  <si>
    <t>Fest</t>
  </si>
  <si>
    <t>Flüssig</t>
  </si>
  <si>
    <t>Herbizide</t>
  </si>
  <si>
    <t>Fungizide</t>
  </si>
  <si>
    <t>Pestizide</t>
  </si>
  <si>
    <t>Mechanisches Unkrautmanagement</t>
  </si>
  <si>
    <t>Nacherntebehandlung</t>
  </si>
  <si>
    <t>Behandlung der Ernterückstände</t>
  </si>
  <si>
    <t>Entfernte Rückstände</t>
  </si>
  <si>
    <t>Kosten für Saatgut [EUR/ha]</t>
  </si>
  <si>
    <t>Gesamtkosten Düngung [EUR/ha]</t>
  </si>
  <si>
    <t>Gesamtkosten Pflanzenschutzmittel [EUR/ha]</t>
  </si>
  <si>
    <t>Gesamte variable Maschinenkosten  [EUR/ha]</t>
  </si>
  <si>
    <t>Kosten Bewässerung [EUR/ha]</t>
  </si>
  <si>
    <t>Kosten Versicherung [EUR/ha]</t>
  </si>
  <si>
    <t>Kosten Trocknung, Reinigung [EUR/ha]</t>
  </si>
  <si>
    <t>Gesamte variable Kosten  [EUR/ha]</t>
  </si>
  <si>
    <t>Subventionen (generell + spezifische für jeweilige Kulturpflanze [EUR/ha]</t>
  </si>
  <si>
    <t>Korn</t>
  </si>
  <si>
    <t>Typ</t>
  </si>
  <si>
    <t>Zusammensetzung</t>
  </si>
  <si>
    <t>Ausbringungsmethode</t>
  </si>
  <si>
    <t>Ausbrinungsmethode</t>
  </si>
  <si>
    <t>Preis [EUR/ha]</t>
  </si>
  <si>
    <t xml:space="preserve">Menge [t/ha] </t>
  </si>
  <si>
    <t>Gesamtanzahl Ausbringungen</t>
  </si>
  <si>
    <t>Streuer</t>
  </si>
  <si>
    <t>Mähdrescher</t>
  </si>
  <si>
    <t>Spezifiziere</t>
  </si>
  <si>
    <t>Auf dem Feld gelassen</t>
  </si>
  <si>
    <t>KULTUR 1</t>
  </si>
  <si>
    <t>KULTUR  2</t>
  </si>
  <si>
    <t>KULTUR  3</t>
  </si>
  <si>
    <t>KULTUR 4</t>
  </si>
  <si>
    <t>Jahresanzahl</t>
  </si>
  <si>
    <t>Jahr</t>
  </si>
  <si>
    <t xml:space="preserve">Ertrag [t/ha] </t>
  </si>
  <si>
    <t>BEISPIEL - Kultur: Winterroggen</t>
  </si>
  <si>
    <t>Kultur:</t>
  </si>
  <si>
    <t>Bitte beschreiben Sie die Fruchtfolge.</t>
  </si>
  <si>
    <t>Nährstoffgehalte z.B. N, P, K (%)</t>
  </si>
  <si>
    <t>Bitte geben Sie die spezifischen Pflanzenschutzmaßnahmen, Ausbringungsmethoden, Menge und Gesamtanzahl der Anwendungen an.</t>
  </si>
  <si>
    <t>Gesamtmenge [kg oder l/ha]</t>
  </si>
  <si>
    <r>
      <t>Gesamtmenge [kg oder m</t>
    </r>
    <r>
      <rPr>
        <vertAlign val="superscript"/>
        <sz val="11"/>
        <color theme="1"/>
        <rFont val="Calibri"/>
        <family val="2"/>
        <scheme val="minor"/>
      </rPr>
      <t>3</t>
    </r>
    <r>
      <rPr>
        <sz val="11"/>
        <color theme="1"/>
        <rFont val="Calibri"/>
        <family val="2"/>
        <scheme val="minor"/>
      </rPr>
      <t>/ha]</t>
    </r>
  </si>
  <si>
    <t xml:space="preserve">Bitte spezifizieren Sie den Ernteprozess, einschließlich Behandlung der Ernterückstände und Nacherntebehandlung und nennen Sie eingesetzte Maschinen. </t>
  </si>
  <si>
    <t>Weizen</t>
  </si>
  <si>
    <t>Futtermittel</t>
  </si>
  <si>
    <t>Grubbern</t>
  </si>
  <si>
    <t>Patras</t>
  </si>
  <si>
    <t>190 kg/ ha</t>
  </si>
  <si>
    <t>Schleppschlauch</t>
  </si>
  <si>
    <t>3,2 kg/t  N, 2,1 kg/t  P, 2,2 kg/t K, 1,3 kg/t Mg</t>
  </si>
  <si>
    <t>Alliance</t>
  </si>
  <si>
    <t>Aufsattelspritze</t>
  </si>
  <si>
    <t>Adexar</t>
  </si>
  <si>
    <t>0,3  kg/ ha</t>
  </si>
  <si>
    <t>2 l/ha</t>
  </si>
  <si>
    <t>Häckseln</t>
  </si>
  <si>
    <t xml:space="preserve"> </t>
  </si>
  <si>
    <t>keine</t>
  </si>
  <si>
    <t>Gerste</t>
  </si>
  <si>
    <t>Infinity</t>
  </si>
  <si>
    <t>Erbsen</t>
  </si>
  <si>
    <t>Zwischenfruchtgemenge</t>
  </si>
  <si>
    <t>Fanfare</t>
  </si>
  <si>
    <t>220 kg/ha</t>
  </si>
  <si>
    <t>Centium + Artist</t>
  </si>
  <si>
    <t>0,2l + 1,5 l/ha</t>
  </si>
  <si>
    <t>0,0075 kg/ha</t>
  </si>
  <si>
    <t>Harmony</t>
  </si>
  <si>
    <t>Fussilade</t>
  </si>
  <si>
    <t>1,0 l/ha</t>
  </si>
  <si>
    <t>Mähdrusch</t>
  </si>
  <si>
    <t>Zurücklassen auf dem Feld</t>
  </si>
  <si>
    <t>Einpflügen für Zwischenfrucht</t>
  </si>
  <si>
    <t>Triticale</t>
  </si>
  <si>
    <t>Lombardo</t>
  </si>
  <si>
    <t>Axial; Biathlon, Dash</t>
  </si>
  <si>
    <t>Aufsattelspritze 15 m</t>
  </si>
  <si>
    <t>1,2 l+70 gr, 1,0 l</t>
  </si>
  <si>
    <t>2,0 l</t>
  </si>
  <si>
    <t>Grubbern zur Aussaat der Folgekultur</t>
  </si>
  <si>
    <t>Arelon</t>
  </si>
  <si>
    <t>Stoppelbearbeitung</t>
  </si>
  <si>
    <t>Grubbern, 30.07</t>
  </si>
  <si>
    <t>Grubbern, 15.09</t>
  </si>
  <si>
    <t xml:space="preserve">Saatbettkombination,30.09 </t>
  </si>
  <si>
    <t>Aufbausämaschine, 30.09</t>
  </si>
  <si>
    <t>2, 01.03, 30.05</t>
  </si>
  <si>
    <t>1, 15.04</t>
  </si>
  <si>
    <t>Mähdrescher, 08.08</t>
  </si>
  <si>
    <t>Häckseln, 08.08</t>
  </si>
  <si>
    <t>Einarbeiten vor nächster Kultur, 25.08</t>
  </si>
  <si>
    <t xml:space="preserve">Anbaupflug 18 cm, 30.08 </t>
  </si>
  <si>
    <t>Kreiselegge, 05.09</t>
  </si>
  <si>
    <t>Saatbettkombination, 05.09</t>
  </si>
  <si>
    <t>Scheibenscharsämaschine, 05.09</t>
  </si>
  <si>
    <t>2, 01.03, 15.05</t>
  </si>
  <si>
    <t>2, 05.09, 15.04</t>
  </si>
  <si>
    <t>1, 10.10</t>
  </si>
  <si>
    <t>Mähdrescher, 15.07</t>
  </si>
  <si>
    <t>Grubber, 17.07</t>
  </si>
  <si>
    <t>Anbaupflug 4- furchig, 15.09</t>
  </si>
  <si>
    <t>Kreiselegge, 16.09</t>
  </si>
  <si>
    <t>Saatbettkombination, 16.09</t>
  </si>
  <si>
    <t>Scheibenscharsämschine 3 m, 16.09</t>
  </si>
  <si>
    <t>2; 01.03, 02.06</t>
  </si>
  <si>
    <t>2; 01.04, 03.05</t>
  </si>
  <si>
    <t>1, 18.04.</t>
  </si>
  <si>
    <t>1, 28.05</t>
  </si>
  <si>
    <t>Mähdrescher, 01.08</t>
  </si>
  <si>
    <t>Flügelschargrubber, 02.08</t>
  </si>
  <si>
    <t>Grubberkombination, 30.08</t>
  </si>
  <si>
    <t>DE 119</t>
  </si>
  <si>
    <t>Hohenlohekreis</t>
  </si>
  <si>
    <t>2015-2018</t>
  </si>
  <si>
    <t>Lösslehm</t>
  </si>
  <si>
    <t>Anbaupflug 4- furchig, 01.11</t>
  </si>
  <si>
    <t>Kreiselegge, 12.03</t>
  </si>
  <si>
    <t>Saatbettkombination, 20.03</t>
  </si>
  <si>
    <t>Scheibenscharsämaschine, 20.03</t>
  </si>
  <si>
    <t>1. 28.03</t>
  </si>
  <si>
    <t>1, 03.06.</t>
  </si>
  <si>
    <t>Mähdrescher, 27.08.</t>
  </si>
  <si>
    <t>Scheibenegge, 28.08.</t>
  </si>
  <si>
    <t>Saatbettkombination, 17.09</t>
  </si>
  <si>
    <t>Scheibenscharsämschine 3 m, 17.09</t>
  </si>
  <si>
    <t>2, 15.04, 08.05</t>
  </si>
  <si>
    <t>2, 01.03, 16.06</t>
  </si>
  <si>
    <t>1, 01.04</t>
  </si>
  <si>
    <t>1, 10.05</t>
  </si>
  <si>
    <t>Mähdrescher, 14.08.</t>
  </si>
  <si>
    <t>Flügelschargrubber, 15.08</t>
  </si>
  <si>
    <t>Grubberkombination, 01.09</t>
  </si>
  <si>
    <t>2, 10.04, 30.04</t>
  </si>
  <si>
    <t xml:space="preserve">Contact person:
</t>
  </si>
  <si>
    <t xml:space="preserve">Acknowledgement to:
</t>
  </si>
  <si>
    <t>How representative are the data?</t>
  </si>
  <si>
    <t>Data representing practical farming?</t>
  </si>
  <si>
    <t>Data coming from averages over several years?</t>
  </si>
  <si>
    <t>Yes</t>
  </si>
  <si>
    <t>Data for yield stability?</t>
  </si>
  <si>
    <t>Average yields from this data cannot be compared with the data in the rotations!</t>
  </si>
  <si>
    <t>Can differences between the rotations be traced back to the presence of the legume alone?</t>
  </si>
  <si>
    <t>There are no differences in the management and yield of the other crops.</t>
  </si>
  <si>
    <t>Fritz Wolf (Landwirtschaftlicher Beratungsdienst Schwäbisch Hall e.V.)</t>
  </si>
  <si>
    <t>Fritz Wolf, Landwirtschaftlicher Beratungsdienst Schwäbisch Hall e.V.. Contact: fritz.wolf@besh.de</t>
  </si>
  <si>
    <t>Kultur: Triticale</t>
  </si>
  <si>
    <t>Kultur: Erbse</t>
  </si>
  <si>
    <t>Kultur: Zuckerrübe</t>
  </si>
  <si>
    <t>Kultur: Körnermais</t>
  </si>
  <si>
    <t>Kultur: Ackerbohne</t>
  </si>
  <si>
    <t>Kultur: Winterweizen</t>
  </si>
  <si>
    <t>Kultur: Wintergerste</t>
  </si>
  <si>
    <t>Data are coming from Statistisches Landesamt Baden-Württemberg.</t>
  </si>
  <si>
    <t xml:space="preserve">The rotations are typical in terms of crop choice and management for the region. </t>
  </si>
  <si>
    <t>The rotations are based on expert knowledge informed by regional statistics.</t>
  </si>
  <si>
    <t>These are crop rotations that are based on regional experts' knowledge and are representative for a longer time period.</t>
  </si>
  <si>
    <t>Crop 1</t>
  </si>
  <si>
    <t>Crop 2</t>
  </si>
  <si>
    <t>Crop 3</t>
  </si>
  <si>
    <t>Crop 4</t>
  </si>
  <si>
    <t xml:space="preserve">Without legumes: </t>
  </si>
  <si>
    <t>Winter wheat</t>
  </si>
  <si>
    <t xml:space="preserve">With legumes option 1: </t>
  </si>
  <si>
    <t>Wheat</t>
  </si>
  <si>
    <t>Faba bean</t>
  </si>
  <si>
    <t>Pea</t>
  </si>
  <si>
    <t>Soy</t>
  </si>
  <si>
    <t>Type</t>
  </si>
  <si>
    <t>KAS</t>
  </si>
  <si>
    <t>Content N</t>
  </si>
  <si>
    <t>Gülle</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</si>
  <si>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</si>
  <si>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</si>
  <si>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</si>
  <si>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</si>
  <si>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</si>
  <si>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</si>
  <si>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</si>
  <si>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</si>
  <si>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</si>
  <si>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</si>
  <si>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</si>
  <si>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</si>
  <si>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</si>
  <si>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 option 1</t>
  </si>
  <si>
    <t>Gross margin (prices feed calculator)</t>
  </si>
  <si>
    <t>GM with CO2 tax I</t>
  </si>
  <si>
    <t>GM with CO2 tax II</t>
  </si>
  <si>
    <t>NO3 leaching [kg/ha]</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</si>
  <si>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</si>
  <si>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</si>
  <si>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</si>
  <si>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</si>
  <si>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Crop diversity</t>
  </si>
  <si>
    <t>Protein yield [kg/ha]</t>
  </si>
  <si>
    <t>Coefficient of variation</t>
  </si>
  <si>
    <t>Winter barley</t>
  </si>
  <si>
    <t>N fertilizers</t>
  </si>
  <si>
    <t>Yield stability (CV)</t>
  </si>
  <si>
    <t>Crop</t>
  </si>
  <si>
    <t>Dry matter fraction of harvested product (DRY):</t>
  </si>
  <si>
    <t>Generic values for crops not indicated below</t>
  </si>
  <si>
    <t>Generic Grains</t>
  </si>
  <si>
    <t>Winter Wheat</t>
  </si>
  <si>
    <t>Spring Wheat</t>
  </si>
  <si>
    <t>Barley</t>
  </si>
  <si>
    <t>Oats</t>
  </si>
  <si>
    <t>Maize</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</si>
  <si>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</si>
  <si>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</si>
  <si>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</si>
  <si>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</si>
  <si>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</si>
  <si>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</si>
  <si>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</si>
  <si>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</si>
  <si>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</si>
  <si>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</si>
  <si>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</si>
  <si>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</si>
  <si>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</si>
  <si>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</si>
  <si>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</si>
  <si>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</si>
  <si>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</si>
  <si>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</si>
  <si>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</si>
  <si>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</si>
  <si>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</si>
  <si>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</si>
  <si>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</si>
  <si>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</si>
  <si>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</si>
  <si>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</si>
  <si>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</si>
  <si>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</si>
  <si>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</si>
  <si>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</si>
  <si>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</si>
  <si>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</si>
  <si>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</si>
  <si>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</si>
  <si>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</si>
  <si>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</si>
  <si>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</si>
  <si>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</si>
  <si>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</si>
  <si>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</si>
  <si>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Urea</t>
  </si>
  <si>
    <t>Value for Urea</t>
  </si>
  <si>
    <t>EF1 - organic N</t>
  </si>
  <si>
    <t>Ammonium</t>
  </si>
  <si>
    <t>Value for Ammonium based</t>
  </si>
  <si>
    <t>EF4</t>
  </si>
  <si>
    <t>Nitrate</t>
  </si>
  <si>
    <t>Value for Nitrate based</t>
  </si>
  <si>
    <t>AN</t>
  </si>
  <si>
    <t>Value for ammonium-Nitrate based</t>
  </si>
  <si>
    <t>Nutribor</t>
  </si>
  <si>
    <t>Default</t>
  </si>
  <si>
    <t>FYM</t>
  </si>
  <si>
    <t>NPK</t>
  </si>
  <si>
    <t>NH4NO3</t>
  </si>
  <si>
    <t>Euroserial Duo</t>
  </si>
  <si>
    <t>Sulfano</t>
  </si>
  <si>
    <t>DAP</t>
  </si>
  <si>
    <t>Lebosol</t>
  </si>
  <si>
    <t>CAN</t>
  </si>
  <si>
    <t>Urea 120</t>
  </si>
  <si>
    <t>N8P16K20 +SO3+B</t>
  </si>
  <si>
    <t>MAP</t>
  </si>
  <si>
    <t>Other</t>
  </si>
  <si>
    <t>NP</t>
  </si>
  <si>
    <t>Anhydrous ammonia</t>
  </si>
  <si>
    <t>ammonium nitrate</t>
  </si>
  <si>
    <t>Diammofoska</t>
  </si>
  <si>
    <t>Ammonium sulfate</t>
  </si>
  <si>
    <t>Nitroamofoska</t>
  </si>
  <si>
    <t>Urea (carbamide)</t>
  </si>
  <si>
    <t>VK gelb</t>
  </si>
  <si>
    <t>NAC</t>
  </si>
  <si>
    <t>Alzon</t>
  </si>
  <si>
    <t>Manure</t>
  </si>
  <si>
    <t>Diammonium phosphate</t>
  </si>
  <si>
    <t>Yara tris</t>
  </si>
  <si>
    <t>UMOSTART G MAXI</t>
  </si>
  <si>
    <t>Harnstoff</t>
  </si>
  <si>
    <t>Entec</t>
  </si>
  <si>
    <t>Mischdünger</t>
  </si>
  <si>
    <t>IPCCID</t>
  </si>
  <si>
    <t>Field pea</t>
  </si>
  <si>
    <t>Spring barley</t>
  </si>
  <si>
    <t>Winter oat</t>
  </si>
  <si>
    <t>Winter rape</t>
  </si>
  <si>
    <t>Soya</t>
  </si>
  <si>
    <t>Sunflower</t>
  </si>
  <si>
    <t>Dry bean</t>
  </si>
  <si>
    <t>Forage pea</t>
  </si>
  <si>
    <t>Soybean</t>
  </si>
  <si>
    <t>Corn</t>
  </si>
  <si>
    <t>Data from Landkreis Hohenlohekreis (Statistisches Landesamt Baden-Würrtemberg: https://www.statistik-bw.de/Landwirtschaft/Ernte/0502301x.tab?R=KR126), despite legumes these from Bundesland Baden-Württemberg (https://www.statistischebibliothek.de/mir/receive/BWSerie_mods_00000311)</t>
  </si>
  <si>
    <t>Yield [t/ha]</t>
  </si>
  <si>
    <t>N fertilizer [kg/ha]</t>
  </si>
  <si>
    <t>N manure P [kg/ha]</t>
  </si>
  <si>
    <t>N input [kg/ha]</t>
  </si>
  <si>
    <t>N mineralization [kg/ha]</t>
  </si>
  <si>
    <t>N dfS [kg/ha]</t>
  </si>
  <si>
    <t>N surplus [kg/ha]</t>
  </si>
  <si>
    <t>N leaching [kg/ha]</t>
  </si>
  <si>
    <t>Leaching probability</t>
  </si>
  <si>
    <t>With legumes</t>
  </si>
  <si>
    <t>Energy output [GJ/ha]</t>
  </si>
  <si>
    <t>Crude protein [% DM]</t>
  </si>
  <si>
    <t>Gross energy [GJ/t DM]</t>
  </si>
  <si>
    <t xml:space="preserve">Rye </t>
  </si>
  <si>
    <t>Tritcale</t>
  </si>
  <si>
    <t>Rapeseeds</t>
  </si>
  <si>
    <t>Blue lupin</t>
  </si>
  <si>
    <t>Pea seeds</t>
  </si>
  <si>
    <t>Oat</t>
  </si>
  <si>
    <t>Maize silage</t>
  </si>
  <si>
    <t>Alfalfa</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</si>
  <si>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</si>
  <si>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</si>
  <si>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</si>
  <si>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</si>
  <si>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</si>
  <si>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</si>
  <si>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</si>
  <si>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</si>
  <si>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</si>
  <si>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</si>
  <si>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</si>
  <si>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</si>
  <si>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</si>
  <si>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</si>
  <si>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Yield FM [t/ha]</t>
  </si>
  <si>
    <t>DM content</t>
  </si>
  <si>
    <t>Yield DM [t/ha]</t>
  </si>
  <si>
    <t>Protein output [t/ha]</t>
  </si>
  <si>
    <t>Protein output rotations [kg/ha]</t>
  </si>
  <si>
    <t xml:space="preserve">Energy output rotations [GJ/ha] </t>
  </si>
  <si>
    <t>Price [€/t]</t>
  </si>
  <si>
    <t>Revenue [€/ha]</t>
  </si>
  <si>
    <t>Straw [t/ha]</t>
  </si>
  <si>
    <t>Variable costs [€/ha]</t>
  </si>
  <si>
    <t>Gross margin [€/ha]</t>
  </si>
  <si>
    <t>Gross margin rotation [€/ha]</t>
  </si>
  <si>
    <t>GM 'feed calculator' per crop [€/ha]</t>
  </si>
  <si>
    <t>GM 'feed calculator' per rotation [€/ha]</t>
  </si>
  <si>
    <t>Prices feed calculator*</t>
  </si>
  <si>
    <t>Input prices [€/t] (Eurostat: https://ec.europa.eu/eurostat/databrowser/view/APRI_AP_INA__custom_152018/default/table?lang=en)</t>
  </si>
  <si>
    <t>*Landesbetrieb Landwirtschaft Hessen (LLH) (2018) Berechnung der Preiswürdigkeit von</t>
  </si>
  <si>
    <t>Einzelfuttermitteln für Schweine nach der Austauschmethode Löhr. Excel-based calculation tool. Landesbetrieb</t>
  </si>
  <si>
    <t>Landwirtschaft Hessen. Available at: https://www.proteinmarkt.de/aktuelles/schweine/rationsberechnung</t>
  </si>
  <si>
    <t>Output prices  [€/t]</t>
  </si>
  <si>
    <t>Total amount [kg/ha]</t>
  </si>
  <si>
    <t xml:space="preserve">N [kg/ha]  </t>
  </si>
  <si>
    <t xml:space="preserve">Total N per crop [kg/ha]  </t>
  </si>
  <si>
    <t xml:space="preserve">Total N rotation [kg/ha]  </t>
  </si>
  <si>
    <t xml:space="preserve">Total synthetic N fertilizer  [kg/ha]  </t>
  </si>
  <si>
    <t>Nfix [kg/ha]</t>
  </si>
  <si>
    <t>Gross margin (standard) [€/ha]</t>
  </si>
  <si>
    <t>Calculations</t>
  </si>
  <si>
    <t xml:space="preserve"> N leaching= N surplus * Leaching probability * N leach_corr</t>
  </si>
  <si>
    <t>N surplus = N input + Nminpa - N dfs</t>
  </si>
  <si>
    <t>-&gt; valid for non-legumes</t>
  </si>
  <si>
    <t>N surplus = N minfert + N manure P + Nminpa - N dfs</t>
  </si>
  <si>
    <t>-&gt; valid for legumes and non-legumes</t>
  </si>
  <si>
    <t xml:space="preserve">N dfs is the nitrogen derived from soil </t>
  </si>
  <si>
    <t>-&gt; N uptake is the N accumulated by the crop and N fix is BNF of grain and forage legumes</t>
  </si>
  <si>
    <t>(N input encloses additional N from seed)</t>
  </si>
  <si>
    <t>Value for organic fertilizers is 0,21</t>
  </si>
  <si>
    <t>N dfs = N uptake - N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</si>
</sst>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
  </numFmts>
  <fonts count="14"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theme="1"/>
      <name val="Calibri"/>
      <family val="2"/>
      <scheme val="minor"/>
    </font>
    <font>
      <sz val="10"/>
      <color indexed="8"/>
      <name val="Arial"/>
      <family val="2"/>
    </font>
    <font>
      <sz val="11"/>
      <color indexed="8"/>
      <name val="Calibri"/>
      <family val="2"/>
    </font>
    <font>
      <sz val="11"/>
      <color theme="1"/>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11"/>
      <color rgb="FF000000"/>
      <name val="Calibri"/>
      <family val="2"/>
    </font>
    <font>
      <b/>
      <sz val="9"/>
      <color indexed="81"/>
      <name val="Segoe UI"/>
      <family val="2"/>
    </font>
    <font>
      <sz val="9"/>
      <color indexed="81"/>
      <name val="Segoe U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top/>
      <bottom/>
      <diagonal/>
    </border>
    <border>
      <left style="thin">
        <color rgb="FFD0D7E5"/>
      </left>
      <right style="thin">
        <color rgb="FFD0D7E5"/>
      </right>
      <top/>
      <bottom/>
      <diagonal/>
    </border>
    <border>
      <left/>
      <right style="thin">
        <color rgb="FFD0D7E5"/>
      </right>
      <top/>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6">
    <xf numFmtId="0" fontId="0" fillId="0" borderId="0"/>
    <xf numFmtId="9" fontId="4" fillId="0" borderId="0" applyFont="0" applyFill="0" applyBorder="0" applyAlignment="0" applyProtection="0"/>
    <xf numFmtId="0" fontId="5" fillId="0" borderId="0"/>
    <xf numFmtId="0" fontId="5" fillId="0" borderId="0"/>
    <xf numFmtId="0" fontId="5" fillId="0" borderId="0"/>
    <xf numFmtId="0" fontId="5" fillId="0" borderId="0"/>
  </cellStyleXfs>
  <cellXfs count="310">
    <xf numFmtId="0" fontId="0" fillId="0" borderId="0" xfId="0"/>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xf numFmtId="0" fontId="1" fillId="0" borderId="0" xfId="0" applyFont="1"/>
    <xf numFmtId="0" fontId="1" fillId="0" borderId="0" xfId="0" applyFont="1" applyAlignment="1">
      <alignment horizontal="center"/>
    </xf>
    <xf numFmtId="0" fontId="0" fillId="8" borderId="0" xfId="0" applyFill="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0" fillId="0" borderId="21" xfId="0" applyBorder="1"/>
    <xf numFmtId="0" fontId="1"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1" fillId="0" borderId="0" xfId="0" applyFont="1" applyAlignment="1">
      <alignment wrapText="1"/>
    </xf>
    <xf numFmtId="0" fontId="0" fillId="0" borderId="0" xfId="0" quotePrefix="1"/>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1" fillId="0" borderId="0" xfId="0" applyFont="1" applyAlignment="1">
      <alignment horizontal="center" vertical="center"/>
    </xf>
    <xf numFmtId="0" fontId="0" fillId="3" borderId="16" xfId="0" applyFill="1" applyBorder="1"/>
    <xf numFmtId="0" fontId="0" fillId="0" borderId="0" xfId="0" applyBorder="1"/>
    <xf numFmtId="0" fontId="0" fillId="8" borderId="3" xfId="0" applyFill="1" applyBorder="1"/>
    <xf numFmtId="0" fontId="0" fillId="8" borderId="29" xfId="0" applyFill="1" applyBorder="1"/>
    <xf numFmtId="0" fontId="1" fillId="0" borderId="0" xfId="0" applyFont="1" applyAlignment="1">
      <alignment horizontal="center"/>
    </xf>
    <xf numFmtId="0" fontId="0" fillId="0" borderId="0" xfId="0" applyAlignment="1">
      <alignment wrapText="1"/>
    </xf>
    <xf numFmtId="0" fontId="0" fillId="0" borderId="0" xfId="0" applyAlignment="1">
      <alignment horizontal="right"/>
    </xf>
    <xf numFmtId="0" fontId="3" fillId="9" borderId="19" xfId="0" applyFont="1" applyFill="1" applyBorder="1"/>
    <xf numFmtId="0" fontId="3" fillId="9" borderId="14" xfId="0" applyFont="1" applyFill="1" applyBorder="1"/>
    <xf numFmtId="9" fontId="0" fillId="3" borderId="1" xfId="0" applyNumberFormat="1" applyFill="1" applyBorder="1" applyAlignment="1">
      <alignment horizontal="center"/>
    </xf>
    <xf numFmtId="0" fontId="0" fillId="3" borderId="19" xfId="0" applyFill="1" applyBorder="1"/>
    <xf numFmtId="9" fontId="0" fillId="3" borderId="5" xfId="0" applyNumberFormat="1" applyFill="1" applyBorder="1" applyAlignment="1">
      <alignment horizontal="center"/>
    </xf>
    <xf numFmtId="0" fontId="0" fillId="3" borderId="34" xfId="0" applyFill="1" applyBorder="1"/>
    <xf numFmtId="0" fontId="0" fillId="3" borderId="36" xfId="0" applyFill="1" applyBorder="1" applyAlignment="1">
      <alignment horizontal="center"/>
    </xf>
    <xf numFmtId="0" fontId="0" fillId="3" borderId="27" xfId="0" applyFill="1" applyBorder="1" applyAlignment="1">
      <alignment horizontal="center"/>
    </xf>
    <xf numFmtId="0" fontId="0" fillId="3" borderId="8" xfId="0" applyFill="1" applyBorder="1"/>
    <xf numFmtId="0" fontId="0" fillId="3" borderId="38" xfId="0" applyFill="1" applyBorder="1" applyAlignment="1">
      <alignment horizontal="center"/>
    </xf>
    <xf numFmtId="0" fontId="0" fillId="3" borderId="45" xfId="0" applyFill="1" applyBorder="1" applyAlignment="1">
      <alignment horizontal="center"/>
    </xf>
    <xf numFmtId="0" fontId="0" fillId="3" borderId="44" xfId="0" applyFill="1" applyBorder="1" applyAlignment="1">
      <alignment horizontal="center"/>
    </xf>
    <xf numFmtId="0" fontId="0" fillId="3" borderId="46" xfId="0" applyFill="1" applyBorder="1" applyAlignment="1">
      <alignment horizontal="center"/>
    </xf>
    <xf numFmtId="0" fontId="0" fillId="3" borderId="32" xfId="0" applyFill="1" applyBorder="1" applyAlignment="1">
      <alignment horizontal="center"/>
    </xf>
    <xf numFmtId="0" fontId="0" fillId="6" borderId="47" xfId="0" applyFill="1" applyBorder="1"/>
    <xf numFmtId="0" fontId="0" fillId="6" borderId="34" xfId="0" applyFill="1" applyBorder="1"/>
    <xf numFmtId="0" fontId="3" fillId="4" borderId="47" xfId="0" applyFont="1" applyFill="1" applyBorder="1"/>
    <xf numFmtId="0" fontId="0" fillId="4" borderId="34" xfId="0" applyFill="1" applyBorder="1" applyAlignment="1">
      <alignment wrapText="1"/>
    </xf>
    <xf numFmtId="0" fontId="0" fillId="0" borderId="18" xfId="0" applyBorder="1" applyAlignment="1"/>
    <xf numFmtId="0" fontId="0" fillId="9" borderId="34" xfId="0" applyFill="1" applyBorder="1"/>
    <xf numFmtId="0" fontId="0" fillId="3" borderId="47" xfId="0" applyFill="1" applyBorder="1"/>
    <xf numFmtId="0" fontId="0" fillId="8" borderId="10" xfId="0" applyFill="1" applyBorder="1"/>
    <xf numFmtId="0" fontId="1" fillId="8" borderId="52" xfId="0" applyFont="1" applyFill="1" applyBorder="1" applyAlignment="1"/>
    <xf numFmtId="0" fontId="0" fillId="8" borderId="52" xfId="0" applyFill="1" applyBorder="1"/>
    <xf numFmtId="0" fontId="0" fillId="8" borderId="1" xfId="0" applyFill="1" applyBorder="1" applyAlignment="1"/>
    <xf numFmtId="0" fontId="0" fillId="8" borderId="1" xfId="0" applyFill="1" applyBorder="1"/>
    <xf numFmtId="0" fontId="0" fillId="8" borderId="36" xfId="0" applyFill="1" applyBorder="1" applyAlignment="1"/>
    <xf numFmtId="0" fontId="0" fillId="8" borderId="36" xfId="0" applyFill="1" applyBorder="1"/>
    <xf numFmtId="9" fontId="0" fillId="3" borderId="33" xfId="0" applyNumberFormat="1" applyFill="1" applyBorder="1" applyAlignment="1">
      <alignment horizontal="center"/>
    </xf>
    <xf numFmtId="165" fontId="0" fillId="0" borderId="0" xfId="0" applyNumberFormat="1"/>
    <xf numFmtId="0" fontId="0" fillId="0" borderId="0" xfId="0" applyAlignment="1">
      <alignment horizontal="left" vertical="center" wrapText="1"/>
    </xf>
    <xf numFmtId="0" fontId="1" fillId="0" borderId="0" xfId="0" applyFont="1" applyAlignment="1">
      <alignment horizontal="center" vertical="center" wrapText="1"/>
    </xf>
    <xf numFmtId="0" fontId="0" fillId="4" borderId="39" xfId="0" applyFill="1" applyBorder="1" applyAlignment="1">
      <alignment horizontal="center"/>
    </xf>
    <xf numFmtId="0" fontId="0" fillId="3" borderId="4" xfId="0" applyFill="1" applyBorder="1" applyAlignment="1">
      <alignment horizontal="center"/>
    </xf>
    <xf numFmtId="0" fontId="0" fillId="3" borderId="35" xfId="0" applyFill="1" applyBorder="1" applyAlignment="1">
      <alignment horizontal="center"/>
    </xf>
    <xf numFmtId="0" fontId="0" fillId="3" borderId="40" xfId="0" applyFill="1" applyBorder="1" applyAlignment="1">
      <alignment horizontal="center"/>
    </xf>
    <xf numFmtId="0" fontId="0" fillId="3" borderId="3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1" xfId="0" applyFill="1" applyBorder="1" applyAlignment="1">
      <alignment horizontal="center"/>
    </xf>
    <xf numFmtId="0" fontId="0" fillId="4" borderId="30" xfId="0" applyFill="1" applyBorder="1" applyAlignment="1">
      <alignment horizontal="center"/>
    </xf>
    <xf numFmtId="0" fontId="0" fillId="4" borderId="21" xfId="0" applyFill="1" applyBorder="1"/>
    <xf numFmtId="0" fontId="0" fillId="4" borderId="13" xfId="0" applyFill="1" applyBorder="1"/>
    <xf numFmtId="0" fontId="0" fillId="0" borderId="0" xfId="0" applyAlignment="1">
      <alignment vertical="center"/>
    </xf>
    <xf numFmtId="0" fontId="0" fillId="3" borderId="5"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4" borderId="30" xfId="0" applyFill="1" applyBorder="1" applyAlignment="1">
      <alignment horizontal="center"/>
    </xf>
    <xf numFmtId="0" fontId="0" fillId="4" borderId="39" xfId="0" applyFill="1" applyBorder="1" applyAlignment="1">
      <alignment horizontal="center"/>
    </xf>
    <xf numFmtId="0" fontId="0" fillId="3" borderId="5" xfId="0" applyFill="1" applyBorder="1" applyAlignment="1">
      <alignment horizontal="center"/>
    </xf>
    <xf numFmtId="0" fontId="0" fillId="3" borderId="39" xfId="0" applyFill="1" applyBorder="1" applyAlignment="1">
      <alignment horizontal="center"/>
    </xf>
    <xf numFmtId="0" fontId="0" fillId="3" borderId="40" xfId="0" applyFill="1" applyBorder="1" applyAlignment="1">
      <alignment horizontal="center"/>
    </xf>
    <xf numFmtId="0" fontId="0" fillId="3" borderId="35" xfId="0" applyFill="1" applyBorder="1" applyAlignment="1">
      <alignment horizontal="center"/>
    </xf>
    <xf numFmtId="0" fontId="0" fillId="3" borderId="6" xfId="0" applyFill="1"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4" borderId="39" xfId="0" applyFill="1" applyBorder="1" applyAlignment="1">
      <alignment horizontal="center"/>
    </xf>
    <xf numFmtId="0" fontId="0" fillId="4" borderId="30" xfId="0" applyFill="1" applyBorder="1" applyAlignment="1">
      <alignment horizontal="center"/>
    </xf>
    <xf numFmtId="0" fontId="0" fillId="3" borderId="35" xfId="0" applyFill="1" applyBorder="1" applyAlignment="1">
      <alignment horizontal="center"/>
    </xf>
    <xf numFmtId="0" fontId="0" fillId="3" borderId="39" xfId="0" applyFill="1" applyBorder="1" applyAlignment="1">
      <alignment horizontal="center"/>
    </xf>
    <xf numFmtId="0" fontId="0" fillId="3" borderId="40"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1" fillId="0" borderId="0" xfId="0" applyFont="1" applyAlignment="1"/>
    <xf numFmtId="0" fontId="0" fillId="0" borderId="0" xfId="0" applyAlignment="1"/>
    <xf numFmtId="0" fontId="0" fillId="0" borderId="0" xfId="0" applyAlignment="1">
      <alignment vertical="center" wrapText="1"/>
    </xf>
    <xf numFmtId="0" fontId="0" fillId="3" borderId="1" xfId="0" applyFill="1" applyBorder="1" applyAlignment="1">
      <alignment horizontal="center"/>
    </xf>
    <xf numFmtId="0" fontId="0" fillId="3" borderId="65" xfId="0" applyFill="1" applyBorder="1" applyAlignment="1">
      <alignment horizontal="center"/>
    </xf>
    <xf numFmtId="9" fontId="0" fillId="0" borderId="0" xfId="1" applyFont="1"/>
    <xf numFmtId="9" fontId="0" fillId="0" borderId="0" xfId="0" applyNumberFormat="1"/>
    <xf numFmtId="2" fontId="0" fillId="0" borderId="0" xfId="0" applyNumberFormat="1"/>
    <xf numFmtId="10" fontId="0" fillId="0" borderId="0" xfId="0" applyNumberFormat="1"/>
    <xf numFmtId="0" fontId="6" fillId="0" borderId="0" xfId="3" applyFont="1" applyFill="1" applyBorder="1" applyAlignment="1">
      <alignment wrapText="1"/>
    </xf>
    <xf numFmtId="0" fontId="6" fillId="0" borderId="0" xfId="2" applyFont="1" applyFill="1" applyBorder="1" applyAlignment="1"/>
    <xf numFmtId="0" fontId="6" fillId="0" borderId="0" xfId="2" applyFont="1" applyFill="1" applyBorder="1" applyAlignment="1">
      <alignment wrapText="1"/>
    </xf>
    <xf numFmtId="0" fontId="6" fillId="0" borderId="3" xfId="4" applyFont="1" applyFill="1" applyBorder="1" applyAlignment="1">
      <alignment horizontal="right" wrapText="1"/>
    </xf>
    <xf numFmtId="0" fontId="0" fillId="0" borderId="7" xfId="0" applyBorder="1"/>
    <xf numFmtId="0" fontId="0" fillId="0" borderId="30" xfId="0" applyBorder="1"/>
    <xf numFmtId="0" fontId="1" fillId="0" borderId="6" xfId="0" applyFont="1" applyBorder="1"/>
    <xf numFmtId="0" fontId="1" fillId="0" borderId="30" xfId="0" applyFont="1" applyBorder="1"/>
    <xf numFmtId="0" fontId="0" fillId="0" borderId="0" xfId="0" applyNumberFormat="1"/>
    <xf numFmtId="0" fontId="0" fillId="11" borderId="0" xfId="0" applyFill="1"/>
    <xf numFmtId="0" fontId="1" fillId="0" borderId="0" xfId="0" applyFont="1" applyBorder="1"/>
    <xf numFmtId="0" fontId="0" fillId="0" borderId="0" xfId="0" applyFill="1" applyBorder="1"/>
    <xf numFmtId="0" fontId="0" fillId="0" borderId="29" xfId="0" applyFill="1" applyBorder="1" applyAlignment="1">
      <alignment horizontal="center" vertical="center" wrapText="1"/>
    </xf>
    <xf numFmtId="0" fontId="0" fillId="0" borderId="66" xfId="0" applyFill="1" applyBorder="1" applyAlignment="1">
      <alignment horizontal="center" vertical="center"/>
    </xf>
    <xf numFmtId="0" fontId="0" fillId="0" borderId="66" xfId="0" applyFill="1" applyBorder="1" applyAlignment="1">
      <alignment horizontal="center" vertical="center" wrapText="1"/>
    </xf>
    <xf numFmtId="164" fontId="0" fillId="0" borderId="66" xfId="0" applyNumberFormat="1" applyFill="1" applyBorder="1" applyAlignment="1">
      <alignment horizontal="center" vertical="center" wrapText="1"/>
    </xf>
    <xf numFmtId="0" fontId="0" fillId="12" borderId="0" xfId="0" applyFill="1"/>
    <xf numFmtId="0" fontId="10" fillId="0" borderId="0" xfId="0" applyFont="1" applyBorder="1"/>
    <xf numFmtId="0" fontId="1" fillId="0" borderId="0" xfId="0" applyFont="1" applyFill="1" applyBorder="1"/>
    <xf numFmtId="0" fontId="6" fillId="0" borderId="67" xfId="4" applyFont="1" applyFill="1" applyBorder="1" applyAlignment="1">
      <alignment horizontal="right" wrapText="1"/>
    </xf>
    <xf numFmtId="0" fontId="6" fillId="0" borderId="68" xfId="2" applyFont="1" applyFill="1" applyBorder="1" applyAlignment="1">
      <alignment wrapText="1"/>
    </xf>
    <xf numFmtId="1" fontId="0" fillId="0" borderId="0" xfId="0" applyNumberFormat="1"/>
    <xf numFmtId="0" fontId="1" fillId="13" borderId="0" xfId="0" applyFont="1" applyFill="1"/>
    <xf numFmtId="0" fontId="0" fillId="9" borderId="0" xfId="0" applyFill="1"/>
    <xf numFmtId="166" fontId="0" fillId="0" borderId="0" xfId="0" applyNumberFormat="1"/>
    <xf numFmtId="0" fontId="6" fillId="0" borderId="68" xfId="3" applyFont="1" applyFill="1" applyBorder="1" applyAlignment="1">
      <alignment wrapText="1"/>
    </xf>
    <xf numFmtId="165" fontId="0" fillId="0" borderId="0" xfId="0" applyNumberFormat="1" applyFill="1" applyBorder="1"/>
    <xf numFmtId="2" fontId="11" fillId="0" borderId="70" xfId="0" applyNumberFormat="1" applyFont="1" applyFill="1" applyBorder="1" applyAlignment="1" applyProtection="1">
      <alignment horizontal="right" vertical="center" wrapText="1"/>
    </xf>
    <xf numFmtId="1" fontId="11" fillId="0" borderId="69" xfId="0" applyNumberFormat="1" applyFont="1" applyFill="1" applyBorder="1" applyAlignment="1" applyProtection="1">
      <alignment horizontal="right" vertical="center" wrapText="1"/>
    </xf>
    <xf numFmtId="1" fontId="0" fillId="0" borderId="0" xfId="0" applyNumberFormat="1" applyFill="1" applyBorder="1"/>
    <xf numFmtId="1" fontId="11" fillId="0" borderId="71" xfId="0" applyNumberFormat="1" applyFont="1" applyFill="1" applyBorder="1" applyAlignment="1" applyProtection="1">
      <alignment horizontal="right" vertical="center" wrapText="1"/>
    </xf>
    <xf numFmtId="1" fontId="11" fillId="0" borderId="72" xfId="0" applyNumberFormat="1" applyFont="1" applyFill="1" applyBorder="1" applyAlignment="1" applyProtection="1">
      <alignment horizontal="right" vertical="center" wrapText="1"/>
    </xf>
    <xf numFmtId="0" fontId="6" fillId="0" borderId="67" xfId="4" applyFont="1" applyFill="1" applyBorder="1" applyAlignment="1">
      <alignment horizontal="left" wrapText="1"/>
    </xf>
    <xf numFmtId="2" fontId="6" fillId="0" borderId="73" xfId="5" applyNumberFormat="1" applyFont="1" applyFill="1" applyBorder="1" applyAlignment="1">
      <alignment horizontal="right" wrapText="1"/>
    </xf>
    <xf numFmtId="2" fontId="6" fillId="0" borderId="74" xfId="5" applyNumberFormat="1" applyFont="1" applyFill="1" applyBorder="1" applyAlignment="1">
      <alignment horizontal="right" wrapText="1"/>
    </xf>
    <xf numFmtId="0" fontId="1" fillId="0" borderId="0" xfId="0" applyFont="1" applyAlignment="1">
      <alignment horizontal="left"/>
    </xf>
    <xf numFmtId="0" fontId="0" fillId="0" borderId="0" xfId="0" applyAlignment="1">
      <alignment horizontal="center"/>
    </xf>
    <xf numFmtId="0" fontId="0" fillId="0" borderId="0" xfId="0" applyFont="1" applyAlignment="1">
      <alignment horizontal="left" wrapText="1"/>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right"/>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wrapText="1"/>
    </xf>
    <xf numFmtId="0" fontId="1" fillId="10" borderId="0" xfId="0" applyFont="1" applyFill="1" applyAlignment="1">
      <alignment horizontal="left"/>
    </xf>
    <xf numFmtId="0" fontId="0" fillId="3" borderId="3"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3" borderId="16" xfId="0" applyFill="1" applyBorder="1" applyAlignment="1">
      <alignment horizontal="left" wrapText="1"/>
    </xf>
    <xf numFmtId="0" fontId="0" fillId="3" borderId="50" xfId="0" applyFill="1" applyBorder="1" applyAlignment="1">
      <alignment horizontal="left" wrapText="1"/>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3" borderId="35" xfId="0" quotePrefix="1" applyFill="1" applyBorder="1" applyAlignment="1">
      <alignment horizontal="center"/>
    </xf>
    <xf numFmtId="0" fontId="0" fillId="3" borderId="36" xfId="0" quotePrefix="1" applyFill="1" applyBorder="1" applyAlignment="1">
      <alignment horizontal="center"/>
    </xf>
    <xf numFmtId="0" fontId="0" fillId="3" borderId="28" xfId="0" quotePrefix="1" applyFill="1" applyBorder="1" applyAlignment="1">
      <alignment horizontal="center"/>
    </xf>
    <xf numFmtId="0" fontId="0" fillId="3" borderId="54" xfId="0" quotePrefix="1" applyFill="1" applyBorder="1" applyAlignment="1">
      <alignment horizontal="center"/>
    </xf>
    <xf numFmtId="0" fontId="0" fillId="3" borderId="26" xfId="0" quotePrefix="1" applyFill="1" applyBorder="1" applyAlignment="1">
      <alignment horizontal="center"/>
    </xf>
    <xf numFmtId="0" fontId="0" fillId="3" borderId="56" xfId="0" quotePrefix="1" applyFill="1" applyBorder="1" applyAlignment="1">
      <alignment horizontal="center"/>
    </xf>
    <xf numFmtId="0" fontId="0" fillId="3" borderId="10" xfId="0" quotePrefix="1" applyFill="1" applyBorder="1" applyAlignment="1">
      <alignment horizontal="center"/>
    </xf>
    <xf numFmtId="0" fontId="0" fillId="3" borderId="57" xfId="0" quotePrefix="1" applyFill="1" applyBorder="1" applyAlignment="1">
      <alignment horizontal="center"/>
    </xf>
    <xf numFmtId="0" fontId="0" fillId="3" borderId="3" xfId="0" quotePrefix="1" applyFill="1"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1" fillId="7" borderId="25" xfId="0" applyFont="1" applyFill="1" applyBorder="1" applyAlignment="1">
      <alignment horizontal="center" textRotation="90"/>
    </xf>
    <xf numFmtId="0" fontId="1" fillId="7" borderId="13" xfId="0" applyFont="1" applyFill="1" applyBorder="1" applyAlignment="1">
      <alignment horizontal="center" textRotation="90"/>
    </xf>
    <xf numFmtId="0" fontId="1" fillId="7" borderId="23" xfId="0" applyFont="1" applyFill="1" applyBorder="1" applyAlignment="1">
      <alignment horizontal="center" textRotation="90"/>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48" xfId="0" applyFill="1" applyBorder="1" applyAlignment="1">
      <alignment horizontal="center"/>
    </xf>
    <xf numFmtId="0" fontId="0" fillId="3" borderId="43" xfId="0" applyFill="1" applyBorder="1" applyAlignment="1">
      <alignment horizontal="center"/>
    </xf>
    <xf numFmtId="0" fontId="0" fillId="3" borderId="59" xfId="0" applyFill="1" applyBorder="1" applyAlignment="1">
      <alignment horizontal="center"/>
    </xf>
    <xf numFmtId="0" fontId="0" fillId="4" borderId="27" xfId="0" applyFill="1" applyBorder="1" applyAlignment="1">
      <alignment horizontal="center"/>
    </xf>
    <xf numFmtId="0" fontId="0" fillId="4" borderId="55" xfId="0" applyFill="1" applyBorder="1" applyAlignment="1">
      <alignment horizontal="center"/>
    </xf>
    <xf numFmtId="0" fontId="0" fillId="4" borderId="28" xfId="0" quotePrefix="1" applyFill="1" applyBorder="1" applyAlignment="1">
      <alignment horizontal="center"/>
    </xf>
    <xf numFmtId="0" fontId="0" fillId="4" borderId="26" xfId="0" quotePrefix="1" applyFill="1" applyBorder="1" applyAlignment="1">
      <alignment horizontal="center"/>
    </xf>
    <xf numFmtId="0" fontId="0" fillId="4" borderId="56" xfId="0" quotePrefix="1" applyFill="1" applyBorder="1" applyAlignment="1">
      <alignment horizontal="center"/>
    </xf>
    <xf numFmtId="0" fontId="0" fillId="4" borderId="57" xfId="0" quotePrefix="1" applyFill="1" applyBorder="1" applyAlignment="1">
      <alignment horizontal="center"/>
    </xf>
    <xf numFmtId="0" fontId="0" fillId="4" borderId="28" xfId="0" applyFill="1" applyBorder="1" applyAlignment="1">
      <alignment horizontal="center"/>
    </xf>
    <xf numFmtId="0" fontId="0" fillId="4" borderId="54" xfId="0" applyFill="1" applyBorder="1" applyAlignment="1">
      <alignment horizontal="center"/>
    </xf>
    <xf numFmtId="0" fontId="0" fillId="4" borderId="26" xfId="0" applyFill="1" applyBorder="1" applyAlignment="1">
      <alignment horizontal="center"/>
    </xf>
    <xf numFmtId="0" fontId="0" fillId="4" borderId="56" xfId="0" applyFill="1" applyBorder="1" applyAlignment="1">
      <alignment horizontal="center"/>
    </xf>
    <xf numFmtId="0" fontId="0" fillId="4" borderId="10" xfId="0" applyFill="1" applyBorder="1" applyAlignment="1">
      <alignment horizontal="center"/>
    </xf>
    <xf numFmtId="0" fontId="0" fillId="4" borderId="57" xfId="0" applyFill="1" applyBorder="1" applyAlignment="1">
      <alignment horizontal="center"/>
    </xf>
    <xf numFmtId="0" fontId="1" fillId="2" borderId="54" xfId="0" applyFont="1" applyFill="1" applyBorder="1" applyAlignment="1">
      <alignment horizontal="center" textRotation="90" wrapText="1"/>
    </xf>
    <xf numFmtId="0" fontId="1" fillId="2" borderId="0" xfId="0" applyFont="1" applyFill="1" applyBorder="1" applyAlignment="1">
      <alignment horizontal="center" textRotation="90" wrapText="1"/>
    </xf>
    <xf numFmtId="0" fontId="0" fillId="4" borderId="1" xfId="0" applyFill="1" applyBorder="1" applyAlignment="1">
      <alignment horizontal="center" vertical="center" wrapText="1"/>
    </xf>
    <xf numFmtId="0" fontId="0" fillId="4" borderId="11" xfId="0" applyFill="1" applyBorder="1" applyAlignment="1">
      <alignment horizontal="left"/>
    </xf>
    <xf numFmtId="0" fontId="0" fillId="0" borderId="51" xfId="0" applyBorder="1" applyAlignment="1">
      <alignment horizontal="center"/>
    </xf>
    <xf numFmtId="0" fontId="0" fillId="0" borderId="20" xfId="0" applyBorder="1" applyAlignment="1">
      <alignment horizontal="center"/>
    </xf>
    <xf numFmtId="0" fontId="0" fillId="4" borderId="41" xfId="0" applyFill="1" applyBorder="1" applyAlignment="1">
      <alignment horizontal="center"/>
    </xf>
    <xf numFmtId="0" fontId="0" fillId="4" borderId="20" xfId="0" applyFill="1" applyBorder="1" applyAlignment="1">
      <alignment horizontal="center"/>
    </xf>
    <xf numFmtId="0" fontId="0" fillId="4" borderId="39" xfId="0" applyFill="1" applyBorder="1" applyAlignment="1">
      <alignment horizontal="center"/>
    </xf>
    <xf numFmtId="0" fontId="0" fillId="4" borderId="40"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0" fontId="0" fillId="4" borderId="29" xfId="0" applyFill="1" applyBorder="1" applyAlignment="1">
      <alignment horizontal="center"/>
    </xf>
    <xf numFmtId="0" fontId="0" fillId="4" borderId="62" xfId="0" applyFill="1" applyBorder="1" applyAlignment="1">
      <alignment horizontal="center"/>
    </xf>
    <xf numFmtId="0" fontId="0" fillId="4" borderId="48" xfId="0" applyFill="1" applyBorder="1" applyAlignment="1">
      <alignment horizontal="center"/>
    </xf>
    <xf numFmtId="0" fontId="0" fillId="4" borderId="59" xfId="0" applyFill="1" applyBorder="1" applyAlignment="1">
      <alignment horizontal="center"/>
    </xf>
    <xf numFmtId="0" fontId="0" fillId="6" borderId="3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0" fillId="6" borderId="59" xfId="0" applyFill="1" applyBorder="1" applyAlignment="1">
      <alignment horizontal="center"/>
    </xf>
    <xf numFmtId="0" fontId="0" fillId="6" borderId="48" xfId="0" applyFill="1" applyBorder="1" applyAlignment="1">
      <alignment horizontal="center"/>
    </xf>
    <xf numFmtId="0" fontId="0" fillId="6" borderId="6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1" xfId="0" applyFill="1" applyBorder="1" applyAlignment="1">
      <alignment horizontal="center"/>
    </xf>
    <xf numFmtId="0" fontId="0" fillId="6" borderId="49" xfId="0" applyFill="1" applyBorder="1" applyAlignment="1">
      <alignment horizontal="center"/>
    </xf>
    <xf numFmtId="0" fontId="0" fillId="6" borderId="35" xfId="0" applyFill="1" applyBorder="1" applyAlignment="1">
      <alignment horizontal="center"/>
    </xf>
    <xf numFmtId="0" fontId="0" fillId="6" borderId="37" xfId="0" applyFill="1" applyBorder="1" applyAlignment="1">
      <alignment horizontal="center"/>
    </xf>
    <xf numFmtId="0" fontId="0" fillId="6" borderId="2" xfId="0" applyFill="1" applyBorder="1" applyAlignment="1">
      <alignment horizontal="center"/>
    </xf>
    <xf numFmtId="0" fontId="1" fillId="5" borderId="11" xfId="0" applyFont="1" applyFill="1" applyBorder="1" applyAlignment="1">
      <alignment horizontal="center" textRotation="90"/>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0" fillId="6" borderId="51" xfId="0" applyFill="1" applyBorder="1" applyAlignment="1">
      <alignment horizontal="center"/>
    </xf>
    <xf numFmtId="0" fontId="0" fillId="6" borderId="39" xfId="0" applyFill="1" applyBorder="1" applyAlignment="1">
      <alignment horizontal="center"/>
    </xf>
    <xf numFmtId="0" fontId="0" fillId="6" borderId="40" xfId="0" applyFill="1" applyBorder="1" applyAlignment="1">
      <alignment horizontal="center"/>
    </xf>
    <xf numFmtId="0" fontId="0" fillId="6" borderId="41" xfId="0" applyFill="1" applyBorder="1" applyAlignment="1">
      <alignment horizontal="center"/>
    </xf>
    <xf numFmtId="0" fontId="0" fillId="6" borderId="20" xfId="0" applyFill="1" applyBorder="1" applyAlignment="1">
      <alignment horizontal="center"/>
    </xf>
    <xf numFmtId="0" fontId="0" fillId="3" borderId="37" xfId="0" applyFill="1" applyBorder="1" applyAlignment="1">
      <alignment horizontal="center"/>
    </xf>
    <xf numFmtId="0" fontId="0" fillId="3" borderId="35" xfId="0" applyFill="1" applyBorder="1" applyAlignment="1">
      <alignment horizontal="center"/>
    </xf>
    <xf numFmtId="0" fontId="0" fillId="3" borderId="20" xfId="0" applyFill="1" applyBorder="1" applyAlignment="1">
      <alignment horizontal="center"/>
    </xf>
    <xf numFmtId="0" fontId="0" fillId="3" borderId="39" xfId="0" applyFill="1" applyBorder="1" applyAlignment="1">
      <alignment horizontal="center"/>
    </xf>
    <xf numFmtId="0" fontId="0" fillId="3" borderId="40" xfId="0" applyFill="1" applyBorder="1" applyAlignment="1">
      <alignment horizontal="center"/>
    </xf>
    <xf numFmtId="0" fontId="0" fillId="3" borderId="41" xfId="0" applyFill="1" applyBorder="1" applyAlignment="1">
      <alignment horizontal="center"/>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2" xfId="0" applyFill="1" applyBorder="1" applyAlignment="1">
      <alignment horizontal="center"/>
    </xf>
    <xf numFmtId="0" fontId="0" fillId="3" borderId="62" xfId="0"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40" xfId="0" applyFill="1" applyBorder="1" applyAlignment="1">
      <alignment horizontal="center" wrapText="1"/>
    </xf>
    <xf numFmtId="0" fontId="0" fillId="3" borderId="41" xfId="0" applyFill="1" applyBorder="1" applyAlignment="1">
      <alignment horizontal="center" wrapText="1"/>
    </xf>
    <xf numFmtId="0" fontId="0" fillId="3" borderId="39" xfId="0" applyFill="1" applyBorder="1" applyAlignment="1">
      <alignment horizontal="center" wrapText="1"/>
    </xf>
    <xf numFmtId="0" fontId="1" fillId="7" borderId="15" xfId="0" applyFont="1" applyFill="1" applyBorder="1" applyAlignment="1">
      <alignment horizontal="center" textRotation="90"/>
    </xf>
    <xf numFmtId="0" fontId="1" fillId="7" borderId="17" xfId="0" applyFont="1" applyFill="1" applyBorder="1" applyAlignment="1">
      <alignment horizontal="center" textRotation="90"/>
    </xf>
    <xf numFmtId="0" fontId="1" fillId="7" borderId="9" xfId="0" applyFont="1" applyFill="1" applyBorder="1" applyAlignment="1">
      <alignment horizontal="center" textRotation="90"/>
    </xf>
    <xf numFmtId="0" fontId="0" fillId="3" borderId="28" xfId="0" applyFill="1" applyBorder="1" applyAlignment="1">
      <alignment horizontal="center"/>
    </xf>
    <xf numFmtId="0" fontId="0" fillId="3" borderId="26" xfId="0" applyFill="1" applyBorder="1" applyAlignment="1">
      <alignment horizontal="center"/>
    </xf>
    <xf numFmtId="0" fontId="0" fillId="6" borderId="32" xfId="0" applyFill="1" applyBorder="1" applyAlignment="1">
      <alignment horizontal="center"/>
    </xf>
    <xf numFmtId="0" fontId="0" fillId="6" borderId="61" xfId="0" applyFill="1" applyBorder="1" applyAlignment="1">
      <alignment horizontal="center"/>
    </xf>
    <xf numFmtId="0" fontId="1" fillId="5" borderId="15" xfId="0" applyFont="1" applyFill="1" applyBorder="1" applyAlignment="1">
      <alignment horizontal="center" textRotation="90"/>
    </xf>
    <xf numFmtId="0" fontId="1" fillId="5" borderId="17" xfId="0" applyFont="1" applyFill="1" applyBorder="1" applyAlignment="1">
      <alignment horizontal="center" textRotation="90"/>
    </xf>
    <xf numFmtId="0" fontId="1" fillId="5" borderId="9" xfId="0" applyFont="1" applyFill="1" applyBorder="1" applyAlignment="1">
      <alignment horizontal="center" textRotation="90"/>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42" xfId="0" applyFill="1" applyBorder="1" applyAlignment="1">
      <alignment horizontal="center"/>
    </xf>
    <xf numFmtId="0" fontId="0" fillId="6" borderId="43" xfId="0" applyFill="1" applyBorder="1" applyAlignment="1">
      <alignment horizontal="center"/>
    </xf>
    <xf numFmtId="0" fontId="0" fillId="6" borderId="58" xfId="0" applyFill="1" applyBorder="1" applyAlignment="1">
      <alignment horizontal="center"/>
    </xf>
    <xf numFmtId="0" fontId="0" fillId="6" borderId="44" xfId="0" applyFill="1" applyBorder="1" applyAlignment="1">
      <alignment horizontal="center"/>
    </xf>
    <xf numFmtId="0" fontId="0" fillId="6" borderId="60" xfId="0" applyFill="1" applyBorder="1" applyAlignment="1">
      <alignment horizontal="center"/>
    </xf>
    <xf numFmtId="0" fontId="0" fillId="4" borderId="32" xfId="0" applyFill="1" applyBorder="1" applyAlignment="1">
      <alignment horizontal="center"/>
    </xf>
    <xf numFmtId="0" fontId="0" fillId="4" borderId="36" xfId="0" applyFill="1" applyBorder="1" applyAlignment="1">
      <alignment horizontal="center"/>
    </xf>
    <xf numFmtId="0" fontId="0" fillId="4" borderId="61" xfId="0" applyFill="1" applyBorder="1" applyAlignment="1">
      <alignment horizontal="center"/>
    </xf>
    <xf numFmtId="0" fontId="0" fillId="4" borderId="49" xfId="0" applyFill="1" applyBorder="1" applyAlignment="1">
      <alignment horizontal="center"/>
    </xf>
    <xf numFmtId="0" fontId="0" fillId="4" borderId="35" xfId="0" applyFill="1" applyBorder="1" applyAlignment="1">
      <alignment horizontal="center"/>
    </xf>
    <xf numFmtId="0" fontId="1" fillId="2" borderId="11" xfId="0" applyFont="1" applyFill="1" applyBorder="1" applyAlignment="1">
      <alignment horizontal="center" textRotation="90" wrapText="1"/>
    </xf>
    <xf numFmtId="0" fontId="0" fillId="4" borderId="3" xfId="0" applyFill="1" applyBorder="1" applyAlignment="1">
      <alignment horizontal="center" vertical="center" wrapText="1"/>
    </xf>
    <xf numFmtId="0" fontId="0" fillId="4" borderId="42" xfId="0" applyFill="1" applyBorder="1" applyAlignment="1">
      <alignment horizontal="center"/>
    </xf>
    <xf numFmtId="0" fontId="0" fillId="4" borderId="43" xfId="0" applyFill="1" applyBorder="1" applyAlignment="1">
      <alignment horizontal="center"/>
    </xf>
    <xf numFmtId="0" fontId="0" fillId="4" borderId="58" xfId="0" applyFill="1" applyBorder="1" applyAlignment="1">
      <alignment horizontal="center"/>
    </xf>
    <xf numFmtId="0" fontId="0" fillId="4" borderId="60"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44" xfId="0" applyFill="1" applyBorder="1" applyAlignment="1">
      <alignment horizontal="center"/>
    </xf>
    <xf numFmtId="0" fontId="0" fillId="4" borderId="1" xfId="0" applyFill="1" applyBorder="1" applyAlignment="1">
      <alignment horizontal="center"/>
    </xf>
    <xf numFmtId="0" fontId="0" fillId="9" borderId="46" xfId="0" applyFill="1" applyBorder="1" applyAlignment="1">
      <alignment horizontal="center"/>
    </xf>
    <xf numFmtId="0" fontId="0" fillId="9" borderId="27" xfId="0" applyFill="1" applyBorder="1" applyAlignment="1">
      <alignment horizontal="center"/>
    </xf>
    <xf numFmtId="0" fontId="0" fillId="9" borderId="60"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1" fillId="0" borderId="48" xfId="0" applyFont="1" applyBorder="1" applyAlignment="1">
      <alignment horizontal="center"/>
    </xf>
    <xf numFmtId="0" fontId="1" fillId="0" borderId="43" xfId="0" applyFont="1" applyBorder="1" applyAlignment="1">
      <alignment horizontal="center"/>
    </xf>
    <xf numFmtId="0" fontId="1" fillId="9" borderId="22"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23" xfId="0" applyFont="1" applyFill="1" applyBorder="1" applyAlignment="1">
      <alignment horizontal="center" vertical="center" textRotation="90"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42" xfId="0" applyFill="1" applyBorder="1" applyAlignment="1">
      <alignment horizontal="center"/>
    </xf>
    <xf numFmtId="0" fontId="0" fillId="9" borderId="43" xfId="0" applyFill="1" applyBorder="1" applyAlignment="1">
      <alignment horizontal="center"/>
    </xf>
    <xf numFmtId="0" fontId="0" fillId="9" borderId="58" xfId="0" applyFill="1" applyBorder="1" applyAlignment="1">
      <alignment horizontal="center"/>
    </xf>
    <xf numFmtId="0" fontId="0" fillId="9" borderId="59" xfId="0" applyFill="1" applyBorder="1" applyAlignment="1">
      <alignment horizontal="center"/>
    </xf>
    <xf numFmtId="0" fontId="0" fillId="9" borderId="48" xfId="0" applyFill="1" applyBorder="1" applyAlignment="1">
      <alignment horizontal="center"/>
    </xf>
    <xf numFmtId="0" fontId="0" fillId="9" borderId="37" xfId="0" applyFill="1" applyBorder="1" applyAlignment="1">
      <alignment horizontal="center" vertical="center"/>
    </xf>
    <xf numFmtId="0" fontId="0" fillId="9" borderId="49" xfId="0" applyFill="1" applyBorder="1" applyAlignment="1">
      <alignment horizontal="center" vertical="center"/>
    </xf>
    <xf numFmtId="0" fontId="0" fillId="9" borderId="35" xfId="0" applyFill="1" applyBorder="1" applyAlignment="1">
      <alignment horizontal="center" vertical="center"/>
    </xf>
    <xf numFmtId="0" fontId="0" fillId="3" borderId="63" xfId="0" applyFill="1" applyBorder="1" applyAlignment="1">
      <alignment horizontal="center"/>
    </xf>
    <xf numFmtId="0" fontId="0" fillId="3" borderId="64" xfId="0" applyFill="1" applyBorder="1" applyAlignment="1">
      <alignment horizontal="center"/>
    </xf>
  </cellXfs>
  <cellStyles count="6">
    <cellStyle name="Prozent" xfId="1" builtinId="5"/>
    <cellStyle name="Standard" xfId="0" builtinId="0"/>
    <cellStyle name="Standard_arable-legume" xfId="4"/>
    <cellStyle name="Standard_Input data crop_1" xfId="5"/>
    <cellStyle name="Standard_Tabelle1" xfId="2"/>
    <cellStyle name="Standard_Tabelle1_1" xfId="3"/>
  </cellStyles>
  <dxfs count="0"/>
  <tableStyles count="0" defaultTableStyle="TableStyleMedium2" defaultPivotStyle="PivotStyleLight16"/>
  <colors>
    <mruColors>
      <color rgb="FFCC99FF"/>
      <color rgb="FFCC9900"/>
      <color rgb="FF996600"/>
      <color rgb="FFCCCCFF"/>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 xmlns:a16="http://schemas.microsoft.com/office/drawing/2014/main" id="{00000000-0008-0000-01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baseline="0">
              <a:solidFill>
                <a:schemeClr val="dk1"/>
              </a:solidFill>
              <a:effectLst/>
              <a:latin typeface="+mn-lt"/>
              <a:ea typeface="+mn-ea"/>
              <a:cs typeface="+mn-cs"/>
            </a:rPr>
            <a:t>Zuerst möchten wir die Standorteigenschaften ihrer Region erfragen. Wenn Sie Informationen für mehrere Regionen oder verschiedene Standorte innerhalb ihrer Region haben, z.B. durch verschiedene Bodentypen, bitten wir Sie darum, die ganze Excel Datei zu kopieren und die Informationen für jeden Standort oder Region einzufüllen, indem sie jeweils eine Datei für jeweils einen Standort oder Region verwenden. </a:t>
          </a:r>
          <a:endParaRPr lang="de-DE">
            <a:effectLst/>
          </a:endParaRPr>
        </a:p>
      </xdr:txBody>
    </xdr:sp>
    <xdr:clientData/>
  </xdr:twoCellAnchor>
  <xdr:twoCellAnchor>
    <xdr:from>
      <xdr:col>5</xdr:col>
      <xdr:colOff>133350</xdr:colOff>
      <xdr:row>3</xdr:row>
      <xdr:rowOff>114300</xdr:rowOff>
    </xdr:from>
    <xdr:to>
      <xdr:col>9</xdr:col>
      <xdr:colOff>638175</xdr:colOff>
      <xdr:row>6</xdr:row>
      <xdr:rowOff>201083</xdr:rowOff>
    </xdr:to>
    <xdr:sp macro="" textlink="">
      <xdr:nvSpPr>
        <xdr:cNvPr id="3" name="Textfeld 2">
          <a:extLst>
            <a:ext uri="{FF2B5EF4-FFF2-40B4-BE49-F238E27FC236}">
              <a16:creationId xmlns="" xmlns:a16="http://schemas.microsoft.com/office/drawing/2014/main" id="{00000000-0008-0000-0100-000003000000}"/>
            </a:ext>
          </a:extLst>
        </xdr:cNvPr>
        <xdr:cNvSpPr txBox="1"/>
      </xdr:nvSpPr>
      <xdr:spPr>
        <a:xfrm>
          <a:off x="8462433" y="685800"/>
          <a:ext cx="3552825"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Ein Überblick</a:t>
          </a:r>
          <a:r>
            <a:rPr lang="de-DE" sz="1100" baseline="0"/>
            <a:t> über die Codes entsprechend der NUTS 2 Ebene findet sich unter</a:t>
          </a:r>
          <a:r>
            <a:rPr lang="de-DE" sz="1100"/>
            <a:t>: </a:t>
          </a:r>
        </a:p>
        <a:p>
          <a:r>
            <a:rPr lang="de-DE" sz="1100"/>
            <a:t>https://eur-lex.europa.eu/eli/reg/2016/2066/oj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 xmlns:a16="http://schemas.microsoft.com/office/drawing/2014/main" id="{00000000-0008-0000-04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Um die Ertragsstabilität zu berechnen</a:t>
          </a:r>
          <a:r>
            <a:rPr lang="de-DE" sz="1100" b="1" baseline="0">
              <a:solidFill>
                <a:schemeClr val="dk1"/>
              </a:solidFill>
              <a:effectLst/>
              <a:latin typeface="+mn-lt"/>
              <a:ea typeface="+mn-ea"/>
              <a:cs typeface="+mn-cs"/>
            </a:rPr>
            <a:t>, benötigen wir Daten zu Erträgen der Kulturen, die Sie in den Fruchtfolgen vorne angegeben haben. Die Ertragsdaten müssen mindestens zehn aufeinanderfolgende Jahre umfassen und müssen für alle Kulturen von einem Standort kommen. Ein Beispiel mit Winterroggen ist in der ersten Spalte dargestellt.</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
  <sheetViews>
    <sheetView tabSelected="1" workbookViewId="0">
      <selection activeCell="C31" sqref="C31"/>
    </sheetView>
  </sheetViews>
  <sheetFormatPr baseColWidth="10" defaultColWidth="11.42578125" defaultRowHeight="15" x14ac:dyDescent="0.25"/>
  <cols>
    <col min="1" max="1" width="22.28515625" style="5" bestFit="1" customWidth="1"/>
    <col min="2" max="3" width="13.140625" style="5" bestFit="1" customWidth="1"/>
    <col min="4" max="9" width="11.42578125" style="5"/>
    <col min="10" max="10" width="0" style="5" hidden="1" customWidth="1"/>
    <col min="11" max="12" width="11.42578125" style="5"/>
    <col min="13" max="13" width="0" style="5" hidden="1" customWidth="1"/>
    <col min="14" max="15" width="11.42578125" style="5"/>
    <col min="16" max="16" width="11.5703125" style="5" bestFit="1" customWidth="1"/>
    <col min="17" max="17" width="12.42578125" style="5" bestFit="1" customWidth="1"/>
    <col min="18" max="16384" width="11.42578125" style="5"/>
  </cols>
  <sheetData>
    <row r="1" spans="1:18" ht="76.5" x14ac:dyDescent="0.35">
      <c r="B1" s="5" t="s">
        <v>229</v>
      </c>
      <c r="C1" s="5" t="s">
        <v>230</v>
      </c>
      <c r="D1" s="5" t="s">
        <v>231</v>
      </c>
      <c r="E1" s="5" t="s">
        <v>232</v>
      </c>
      <c r="F1" s="143" t="s">
        <v>435</v>
      </c>
      <c r="G1" s="143" t="s">
        <v>258</v>
      </c>
      <c r="H1" s="130" t="s">
        <v>259</v>
      </c>
      <c r="I1" s="130" t="s">
        <v>260</v>
      </c>
      <c r="J1" s="114" t="s">
        <v>264</v>
      </c>
      <c r="K1" s="114" t="s">
        <v>261</v>
      </c>
      <c r="L1" s="114" t="s">
        <v>262</v>
      </c>
      <c r="M1" s="114" t="s">
        <v>263</v>
      </c>
      <c r="N1" s="114" t="s">
        <v>265</v>
      </c>
      <c r="O1" s="114" t="s">
        <v>271</v>
      </c>
      <c r="P1" s="114" t="s">
        <v>267</v>
      </c>
      <c r="Q1" s="130" t="s">
        <v>384</v>
      </c>
      <c r="R1" s="114" t="s">
        <v>266</v>
      </c>
    </row>
    <row r="2" spans="1:18" x14ac:dyDescent="0.25">
      <c r="A2" s="5" t="s">
        <v>233</v>
      </c>
      <c r="B2" s="5" t="s">
        <v>234</v>
      </c>
      <c r="C2" s="5" t="s">
        <v>269</v>
      </c>
      <c r="D2" s="5" t="s">
        <v>146</v>
      </c>
      <c r="F2" s="132">
        <f>GM!B15</f>
        <v>171.53333333333333</v>
      </c>
      <c r="G2" s="132">
        <f>GM!B15</f>
        <v>171.53333333333333</v>
      </c>
      <c r="H2" s="132">
        <f>F2-(0.15*J2)</f>
        <v>107.04383333333334</v>
      </c>
      <c r="I2" s="132">
        <f>F2-(0.05*J2)</f>
        <v>150.03683333333333</v>
      </c>
      <c r="J2" s="132">
        <f>M2*5.62</f>
        <v>429.93</v>
      </c>
      <c r="K2" s="132">
        <f>'NO3'!K6</f>
        <v>29.415545454545498</v>
      </c>
      <c r="L2" s="132">
        <f>'N fertilizer'!B27</f>
        <v>172.5</v>
      </c>
      <c r="M2" s="132">
        <f>'N fertilizer'!B29</f>
        <v>76.5</v>
      </c>
      <c r="N2" s="67">
        <f>'N2O calculations'!A31/3</f>
        <v>4.6932768394285711</v>
      </c>
      <c r="O2" s="108">
        <f>'Daten für Ertragsstabilität'!J37</f>
        <v>0.12651541911322436</v>
      </c>
      <c r="P2" s="132">
        <f>'Protein &amp; Energy Output'!C16</f>
        <v>794.0526666666666</v>
      </c>
      <c r="Q2" s="132">
        <f>'Protein &amp; Energy Output'!B21</f>
        <v>119.72519999999999</v>
      </c>
      <c r="R2" s="109">
        <f>'Crop Diversity'!E17</f>
        <v>0</v>
      </c>
    </row>
    <row r="3" spans="1:18" x14ac:dyDescent="0.25">
      <c r="A3" s="5" t="s">
        <v>235</v>
      </c>
      <c r="B3" s="5" t="s">
        <v>234</v>
      </c>
      <c r="C3" s="5" t="s">
        <v>269</v>
      </c>
      <c r="D3" s="5" t="s">
        <v>238</v>
      </c>
      <c r="E3" s="5" t="s">
        <v>146</v>
      </c>
      <c r="F3" s="132">
        <f>GM!I15</f>
        <v>135.52500000000001</v>
      </c>
      <c r="G3" s="132">
        <f>GM!I18</f>
        <v>173.48000000000002</v>
      </c>
      <c r="H3" s="132">
        <f>F3-(0.15*J3)</f>
        <v>92.44980750000002</v>
      </c>
      <c r="I3" s="132">
        <f>F3-(0.05*J3)</f>
        <v>121.16660250000001</v>
      </c>
      <c r="J3" s="132">
        <f>M3*5.62</f>
        <v>287.16794999999996</v>
      </c>
      <c r="K3" s="132">
        <f>'NO3'!K12</f>
        <v>25.813300680157599</v>
      </c>
      <c r="L3" s="132">
        <f>'N fertilizer'!I27</f>
        <v>123.0975</v>
      </c>
      <c r="M3" s="132">
        <f>'N fertilizer'!I29</f>
        <v>51.097499999999997</v>
      </c>
      <c r="N3" s="67">
        <f>'N2O calculations'!H31/4</f>
        <v>3.571821302471295</v>
      </c>
      <c r="O3" s="108">
        <f>'Daten für Ertragsstabilität'!J38</f>
        <v>0.10827740237486251</v>
      </c>
      <c r="P3" s="132">
        <f>'Protein &amp; Energy Output'!H16</f>
        <v>769.80775000000006</v>
      </c>
      <c r="Q3" s="132">
        <f>'Protein &amp; Energy Output'!G21</f>
        <v>104.65472499999998</v>
      </c>
      <c r="R3" s="109">
        <f>'Crop Diversity'!E23</f>
        <v>0.56233514461880829</v>
      </c>
    </row>
    <row r="4" spans="1:18" x14ac:dyDescent="0.25">
      <c r="F4" s="109"/>
      <c r="G4" s="109"/>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N26" sqref="N26"/>
    </sheetView>
  </sheetViews>
  <sheetFormatPr baseColWidth="10" defaultColWidth="11.42578125" defaultRowHeight="15" x14ac:dyDescent="0.25"/>
  <cols>
    <col min="1" max="16384" width="11.42578125" style="5"/>
  </cols>
  <sheetData>
    <row r="1" spans="1:6" x14ac:dyDescent="0.25">
      <c r="C1" s="5" t="s">
        <v>229</v>
      </c>
      <c r="D1" s="5" t="s">
        <v>230</v>
      </c>
      <c r="E1" s="5" t="s">
        <v>231</v>
      </c>
      <c r="F1" s="5" t="s">
        <v>232</v>
      </c>
    </row>
    <row r="2" spans="1:6" x14ac:dyDescent="0.25">
      <c r="A2" s="5" t="s">
        <v>233</v>
      </c>
      <c r="C2" s="5" t="s">
        <v>234</v>
      </c>
      <c r="D2" s="5" t="s">
        <v>269</v>
      </c>
      <c r="E2" s="5" t="s">
        <v>146</v>
      </c>
    </row>
    <row r="3" spans="1:6" x14ac:dyDescent="0.25">
      <c r="A3" s="5" t="s">
        <v>235</v>
      </c>
      <c r="C3" s="5" t="s">
        <v>234</v>
      </c>
      <c r="D3" s="5" t="s">
        <v>269</v>
      </c>
      <c r="E3" s="5" t="s">
        <v>238</v>
      </c>
      <c r="F3" s="5" t="s">
        <v>146</v>
      </c>
    </row>
    <row r="8" spans="1:6" ht="18" x14ac:dyDescent="0.35">
      <c r="A8" s="5" t="s">
        <v>245</v>
      </c>
      <c r="C8" s="5" t="s">
        <v>246</v>
      </c>
      <c r="E8" s="5" t="s">
        <v>247</v>
      </c>
      <c r="F8" s="5">
        <f>LN(3)</f>
        <v>1.0986122886681098</v>
      </c>
    </row>
    <row r="12" spans="1:6" ht="18" x14ac:dyDescent="0.35">
      <c r="A12" s="5" t="s">
        <v>248</v>
      </c>
      <c r="B12" s="5" t="s">
        <v>249</v>
      </c>
      <c r="C12" s="5" t="s">
        <v>250</v>
      </c>
      <c r="D12" s="5" t="s">
        <v>251</v>
      </c>
      <c r="E12" s="5" t="s">
        <v>252</v>
      </c>
    </row>
    <row r="13" spans="1:6" x14ac:dyDescent="0.25">
      <c r="A13" s="5" t="s">
        <v>253</v>
      </c>
    </row>
    <row r="14" spans="1:6" x14ac:dyDescent="0.25">
      <c r="A14" s="5" t="s">
        <v>254</v>
      </c>
      <c r="B14" s="108">
        <v>1</v>
      </c>
      <c r="C14" s="5">
        <v>1</v>
      </c>
      <c r="D14" s="5">
        <f>LN(C14)</f>
        <v>0</v>
      </c>
      <c r="E14" s="5">
        <f>C14*D14</f>
        <v>0</v>
      </c>
    </row>
    <row r="15" spans="1:6" x14ac:dyDescent="0.25">
      <c r="A15" s="5" t="s">
        <v>255</v>
      </c>
      <c r="B15" s="108"/>
    </row>
    <row r="16" spans="1:6" x14ac:dyDescent="0.25">
      <c r="A16" s="5" t="s">
        <v>256</v>
      </c>
    </row>
    <row r="17" spans="1:5" x14ac:dyDescent="0.25">
      <c r="E17" s="5">
        <f>-(E14+E15+E16)</f>
        <v>0</v>
      </c>
    </row>
    <row r="19" spans="1:5" x14ac:dyDescent="0.25">
      <c r="A19" s="5" t="s">
        <v>257</v>
      </c>
    </row>
    <row r="20" spans="1:5" x14ac:dyDescent="0.25">
      <c r="A20" s="5" t="s">
        <v>254</v>
      </c>
      <c r="B20" s="108">
        <f>3/4</f>
        <v>0.75</v>
      </c>
      <c r="C20" s="5">
        <v>0.75</v>
      </c>
      <c r="D20" s="5">
        <f>LN(C20)</f>
        <v>-0.2876820724517809</v>
      </c>
      <c r="E20" s="5">
        <f>C20*D20</f>
        <v>-0.21576155433883568</v>
      </c>
    </row>
    <row r="21" spans="1:5" x14ac:dyDescent="0.25">
      <c r="A21" s="5" t="s">
        <v>255</v>
      </c>
      <c r="B21" s="108"/>
    </row>
    <row r="22" spans="1:5" x14ac:dyDescent="0.25">
      <c r="A22" s="5" t="s">
        <v>256</v>
      </c>
      <c r="B22" s="108">
        <f>1/4</f>
        <v>0.25</v>
      </c>
      <c r="C22" s="5">
        <v>0.25</v>
      </c>
      <c r="D22" s="5">
        <f>LN(C22)</f>
        <v>-1.3862943611198906</v>
      </c>
      <c r="E22" s="5">
        <f>C22*D22</f>
        <v>-0.34657359027997264</v>
      </c>
    </row>
    <row r="23" spans="1:5" x14ac:dyDescent="0.25">
      <c r="E23" s="5">
        <f>-(E20+E21+E22)</f>
        <v>0.56233514461880829</v>
      </c>
    </row>
    <row r="26" spans="1:5" x14ac:dyDescent="0.25">
      <c r="B26" s="108"/>
    </row>
    <row r="27" spans="1:5" x14ac:dyDescent="0.25">
      <c r="B27" s="108"/>
    </row>
    <row r="28" spans="1:5" x14ac:dyDescent="0.25">
      <c r="B28" s="108"/>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selection activeCell="P21" sqref="P21"/>
    </sheetView>
  </sheetViews>
  <sheetFormatPr baseColWidth="10" defaultColWidth="10.85546875" defaultRowHeight="15" x14ac:dyDescent="0.25"/>
  <cols>
    <col min="1" max="1" width="16.5703125" bestFit="1" customWidth="1"/>
    <col min="3" max="3" width="19.85546875" customWidth="1"/>
    <col min="10" max="10" width="19" bestFit="1" customWidth="1"/>
    <col min="11" max="11" width="17.28515625" bestFit="1" customWidth="1"/>
    <col min="17" max="17" width="11.42578125" style="5"/>
  </cols>
  <sheetData>
    <row r="1" spans="1:11" x14ac:dyDescent="0.25">
      <c r="A1" s="6"/>
      <c r="B1" s="133" t="s">
        <v>374</v>
      </c>
      <c r="C1" s="133" t="s">
        <v>375</v>
      </c>
      <c r="D1" s="133" t="s">
        <v>376</v>
      </c>
      <c r="E1" s="133" t="s">
        <v>377</v>
      </c>
      <c r="F1" s="133" t="s">
        <v>378</v>
      </c>
      <c r="G1" s="133" t="s">
        <v>379</v>
      </c>
      <c r="H1" s="133" t="s">
        <v>380</v>
      </c>
      <c r="I1" s="133" t="s">
        <v>434</v>
      </c>
      <c r="J1" s="133" t="s">
        <v>382</v>
      </c>
      <c r="K1" s="133" t="s">
        <v>381</v>
      </c>
    </row>
    <row r="2" spans="1:11" x14ac:dyDescent="0.25">
      <c r="A2" s="6" t="s">
        <v>253</v>
      </c>
      <c r="B2" s="6"/>
      <c r="C2" s="6"/>
      <c r="D2" s="6"/>
      <c r="E2" s="6"/>
      <c r="F2" s="6"/>
      <c r="G2" s="6"/>
      <c r="H2" s="6"/>
      <c r="J2" s="6"/>
      <c r="K2" s="6"/>
    </row>
    <row r="3" spans="1:11" x14ac:dyDescent="0.25">
      <c r="A3" s="5" t="s">
        <v>234</v>
      </c>
      <c r="B3" s="5">
        <v>8.1999999999999993</v>
      </c>
      <c r="C3" s="139">
        <v>81</v>
      </c>
      <c r="D3" s="132">
        <v>96</v>
      </c>
      <c r="E3" s="139">
        <v>180.0702</v>
      </c>
      <c r="F3" s="139">
        <v>79.772727272727295</v>
      </c>
      <c r="G3" s="139">
        <v>180.892</v>
      </c>
      <c r="H3" s="139">
        <v>18.280727272727301</v>
      </c>
      <c r="I3" s="141">
        <v>0</v>
      </c>
      <c r="J3" s="138">
        <v>0.75</v>
      </c>
      <c r="K3" s="139">
        <v>13.7105454545455</v>
      </c>
    </row>
    <row r="4" spans="1:11" x14ac:dyDescent="0.25">
      <c r="A4" s="5" t="s">
        <v>269</v>
      </c>
      <c r="B4" s="5">
        <v>7.5</v>
      </c>
      <c r="C4" s="139">
        <v>67.5</v>
      </c>
      <c r="D4" s="132">
        <v>96</v>
      </c>
      <c r="E4" s="139">
        <v>165.47112000000001</v>
      </c>
      <c r="F4" s="139">
        <v>79.772727272727295</v>
      </c>
      <c r="G4" s="139">
        <v>149.44499999999999</v>
      </c>
      <c r="H4" s="139">
        <v>36.2277272727273</v>
      </c>
      <c r="I4" s="141">
        <v>0</v>
      </c>
      <c r="J4" s="138">
        <v>0.75</v>
      </c>
      <c r="K4" s="139">
        <v>27.170795454545502</v>
      </c>
    </row>
    <row r="5" spans="1:11" x14ac:dyDescent="0.25">
      <c r="A5" s="5" t="s">
        <v>146</v>
      </c>
      <c r="B5" s="5">
        <v>6.5</v>
      </c>
      <c r="C5" s="139">
        <v>81</v>
      </c>
      <c r="D5" s="132">
        <v>96</v>
      </c>
      <c r="E5" s="139">
        <v>178.97112000000001</v>
      </c>
      <c r="F5" s="139">
        <v>79.772727272727295</v>
      </c>
      <c r="G5" s="139">
        <v>136.01900000000001</v>
      </c>
      <c r="H5" s="139">
        <v>63.153727272727302</v>
      </c>
      <c r="I5" s="141">
        <v>0</v>
      </c>
      <c r="J5" s="138">
        <v>0.75</v>
      </c>
      <c r="K5" s="139">
        <v>47.365295454545503</v>
      </c>
    </row>
    <row r="6" spans="1:11" x14ac:dyDescent="0.25">
      <c r="C6" s="132"/>
      <c r="D6" s="132"/>
      <c r="E6" s="132"/>
      <c r="F6" s="132"/>
      <c r="G6" s="132"/>
      <c r="H6" s="132"/>
      <c r="I6" s="132"/>
      <c r="J6" s="138"/>
      <c r="K6" s="132">
        <f>AVERAGE(K3:K5)</f>
        <v>29.415545454545498</v>
      </c>
    </row>
    <row r="7" spans="1:11" x14ac:dyDescent="0.25">
      <c r="A7" s="6" t="s">
        <v>383</v>
      </c>
      <c r="C7" s="132"/>
      <c r="D7" s="132"/>
      <c r="E7" s="132"/>
      <c r="F7" s="132"/>
      <c r="G7" s="132"/>
      <c r="H7" s="132"/>
      <c r="I7" s="132"/>
      <c r="J7" s="138"/>
    </row>
    <row r="8" spans="1:11" x14ac:dyDescent="0.25">
      <c r="A8" s="5" t="s">
        <v>234</v>
      </c>
      <c r="B8" s="5">
        <v>8.1999999999999993</v>
      </c>
      <c r="C8" s="139">
        <v>81</v>
      </c>
      <c r="D8" s="132">
        <v>96</v>
      </c>
      <c r="E8" s="139">
        <v>180.0702</v>
      </c>
      <c r="F8" s="139">
        <v>79.772727272727295</v>
      </c>
      <c r="G8" s="139">
        <v>180.892</v>
      </c>
      <c r="H8" s="139">
        <v>18.280727272727301</v>
      </c>
      <c r="I8" s="142">
        <v>0</v>
      </c>
      <c r="J8" s="138">
        <v>0.75</v>
      </c>
      <c r="K8" s="139">
        <v>13.7105454545455</v>
      </c>
    </row>
    <row r="9" spans="1:11" x14ac:dyDescent="0.25">
      <c r="A9" s="5" t="s">
        <v>269</v>
      </c>
      <c r="B9" s="5">
        <v>7.5</v>
      </c>
      <c r="C9" s="139">
        <v>67.5</v>
      </c>
      <c r="D9" s="132">
        <v>96</v>
      </c>
      <c r="E9" s="139">
        <v>165.47112000000001</v>
      </c>
      <c r="F9" s="139">
        <v>79.772727272727295</v>
      </c>
      <c r="G9" s="139">
        <v>149.44499999999999</v>
      </c>
      <c r="H9" s="139">
        <v>36.2277272727273</v>
      </c>
      <c r="I9" s="142">
        <v>0</v>
      </c>
      <c r="J9" s="138">
        <v>0.75</v>
      </c>
      <c r="K9" s="139">
        <v>27.170795454545502</v>
      </c>
    </row>
    <row r="10" spans="1:11" x14ac:dyDescent="0.25">
      <c r="A10" s="5" t="s">
        <v>238</v>
      </c>
      <c r="B10" s="5">
        <v>2.9</v>
      </c>
      <c r="C10" s="139">
        <v>0</v>
      </c>
      <c r="D10" s="140">
        <v>0</v>
      </c>
      <c r="E10" s="139">
        <v>138.179211330351</v>
      </c>
      <c r="F10" s="139">
        <v>87.75</v>
      </c>
      <c r="G10" s="139">
        <v>40.023867493704998</v>
      </c>
      <c r="H10" s="139">
        <v>47.726132506295002</v>
      </c>
      <c r="I10" s="139">
        <v>130.97241133035101</v>
      </c>
      <c r="J10" s="138">
        <v>0.75</v>
      </c>
      <c r="K10" s="139">
        <v>35.794599379721198</v>
      </c>
    </row>
    <row r="11" spans="1:11" x14ac:dyDescent="0.25">
      <c r="A11" s="5" t="s">
        <v>146</v>
      </c>
      <c r="B11" s="5">
        <v>7.2</v>
      </c>
      <c r="C11" s="139">
        <v>55.89</v>
      </c>
      <c r="D11" s="132">
        <v>96</v>
      </c>
      <c r="E11" s="139">
        <v>153.86112</v>
      </c>
      <c r="F11" s="139">
        <v>103.704545454545</v>
      </c>
      <c r="G11" s="139">
        <v>150.66720000000001</v>
      </c>
      <c r="H11" s="139">
        <v>28.301752581818199</v>
      </c>
      <c r="I11" s="142">
        <v>0</v>
      </c>
      <c r="J11" s="138">
        <v>0.75</v>
      </c>
      <c r="K11" s="139">
        <v>26.577262431818198</v>
      </c>
    </row>
    <row r="12" spans="1:11" x14ac:dyDescent="0.25">
      <c r="E12" s="132"/>
      <c r="F12" s="132"/>
      <c r="G12" s="132"/>
      <c r="H12" s="132"/>
      <c r="I12" s="132"/>
      <c r="K12" s="132">
        <f>AVERAGE(K8:K11)</f>
        <v>25.813300680157599</v>
      </c>
    </row>
    <row r="13" spans="1:11" x14ac:dyDescent="0.25">
      <c r="E13" s="132"/>
      <c r="F13" s="132"/>
      <c r="G13" s="132"/>
      <c r="H13" s="132"/>
      <c r="I13" s="132"/>
    </row>
    <row r="14" spans="1:11" x14ac:dyDescent="0.25">
      <c r="E14" s="132"/>
      <c r="F14" s="132"/>
      <c r="G14" s="132"/>
      <c r="H14" s="132"/>
      <c r="I14" s="132"/>
    </row>
    <row r="15" spans="1:11" x14ac:dyDescent="0.25">
      <c r="A15" s="6" t="s">
        <v>436</v>
      </c>
      <c r="B15" s="5"/>
      <c r="C15" s="5"/>
      <c r="D15" s="5"/>
      <c r="E15" s="5"/>
      <c r="F15" s="5"/>
      <c r="G15" s="5"/>
      <c r="H15" s="5"/>
    </row>
    <row r="16" spans="1:11" x14ac:dyDescent="0.25">
      <c r="A16" s="5"/>
      <c r="B16" s="5"/>
      <c r="C16" s="5"/>
      <c r="D16" s="5"/>
      <c r="E16" s="5"/>
      <c r="F16" s="5"/>
      <c r="G16" s="5"/>
      <c r="H16" s="5"/>
    </row>
    <row r="17" spans="1:18" x14ac:dyDescent="0.25">
      <c r="A17" s="5" t="s">
        <v>437</v>
      </c>
      <c r="B17" s="5"/>
      <c r="C17" s="5"/>
      <c r="D17" s="5"/>
      <c r="E17" s="5"/>
      <c r="F17" s="5"/>
      <c r="G17" s="5"/>
      <c r="H17" s="5"/>
      <c r="Q17" s="6"/>
      <c r="R17" s="6"/>
    </row>
    <row r="18" spans="1:18" x14ac:dyDescent="0.25">
      <c r="A18" s="5"/>
      <c r="B18" s="5"/>
      <c r="C18" s="5"/>
      <c r="D18" s="5"/>
      <c r="E18" s="5"/>
      <c r="F18" s="5"/>
      <c r="G18" s="5"/>
      <c r="H18" s="5"/>
      <c r="J18" s="5"/>
      <c r="K18" s="5"/>
      <c r="L18" s="5"/>
      <c r="M18" s="5"/>
      <c r="N18" s="5"/>
      <c r="Q18" s="6"/>
      <c r="R18" s="6"/>
    </row>
    <row r="19" spans="1:18" x14ac:dyDescent="0.25">
      <c r="A19" s="5" t="s">
        <v>438</v>
      </c>
      <c r="B19" s="5"/>
      <c r="C19" s="5"/>
      <c r="D19" s="24" t="s">
        <v>439</v>
      </c>
      <c r="E19" s="5"/>
      <c r="F19" s="5"/>
      <c r="G19" s="5"/>
      <c r="H19" s="5"/>
      <c r="R19" s="5"/>
    </row>
    <row r="20" spans="1:18" x14ac:dyDescent="0.25">
      <c r="A20" s="5"/>
      <c r="B20" s="5"/>
      <c r="C20" s="5"/>
      <c r="D20" s="5"/>
      <c r="E20" s="5"/>
      <c r="F20" s="5"/>
      <c r="G20" s="5"/>
      <c r="H20" s="5"/>
      <c r="R20" s="5"/>
    </row>
    <row r="21" spans="1:18" x14ac:dyDescent="0.25">
      <c r="A21" s="5" t="s">
        <v>440</v>
      </c>
      <c r="B21" s="5"/>
      <c r="C21" s="5"/>
      <c r="D21" s="24" t="s">
        <v>441</v>
      </c>
      <c r="E21" s="5"/>
      <c r="F21" s="5"/>
      <c r="G21" s="5"/>
      <c r="H21" s="5"/>
      <c r="L21" s="6"/>
      <c r="M21" s="6"/>
      <c r="N21" s="6"/>
      <c r="O21" s="6"/>
      <c r="P21" s="6"/>
      <c r="Q21" s="6"/>
      <c r="R21" s="6"/>
    </row>
    <row r="22" spans="1:18" x14ac:dyDescent="0.25">
      <c r="A22" s="5"/>
      <c r="B22" s="5"/>
      <c r="C22" s="5"/>
      <c r="D22" s="5"/>
      <c r="E22" s="5"/>
      <c r="F22" s="5"/>
      <c r="G22" s="5"/>
      <c r="H22" s="5"/>
      <c r="L22" s="6"/>
      <c r="M22" s="6"/>
      <c r="N22" s="6"/>
      <c r="O22" s="6"/>
      <c r="P22" s="6"/>
      <c r="Q22" s="6"/>
      <c r="R22" s="6"/>
    </row>
    <row r="23" spans="1:18" x14ac:dyDescent="0.25">
      <c r="A23" s="5" t="s">
        <v>442</v>
      </c>
      <c r="B23" s="5"/>
      <c r="C23" s="5"/>
      <c r="D23" s="5"/>
      <c r="E23" s="5"/>
      <c r="F23" s="5"/>
      <c r="G23" s="5"/>
      <c r="H23" s="5"/>
      <c r="R23" s="5"/>
    </row>
    <row r="24" spans="1:18" x14ac:dyDescent="0.25">
      <c r="A24" s="5" t="s">
        <v>446</v>
      </c>
      <c r="B24" s="5"/>
      <c r="C24" s="5"/>
      <c r="D24" s="24" t="s">
        <v>443</v>
      </c>
      <c r="E24" s="5"/>
      <c r="F24" s="5"/>
      <c r="G24" s="5"/>
      <c r="H24" s="5"/>
      <c r="R24" s="5"/>
    </row>
    <row r="25" spans="1:18" x14ac:dyDescent="0.25">
      <c r="A25" s="144"/>
      <c r="B25" s="145"/>
      <c r="C25" s="145"/>
      <c r="D25" s="145"/>
      <c r="E25" s="145"/>
      <c r="F25" s="5"/>
      <c r="G25" s="5"/>
      <c r="H25" s="5"/>
      <c r="Q25" s="6"/>
      <c r="R25" s="6"/>
    </row>
    <row r="26" spans="1:18" x14ac:dyDescent="0.25">
      <c r="A26" s="5" t="s">
        <v>444</v>
      </c>
      <c r="B26" s="5"/>
      <c r="C26" s="5"/>
      <c r="D26" s="5"/>
      <c r="E26" s="5"/>
      <c r="F26" s="5"/>
      <c r="G26" s="5"/>
      <c r="H26" s="5"/>
    </row>
    <row r="27" spans="1:18" x14ac:dyDescent="0.25">
      <c r="A27" s="5"/>
      <c r="B27" s="5"/>
      <c r="C27" s="5"/>
      <c r="D27" s="5"/>
      <c r="E27" s="5"/>
      <c r="F27" s="5"/>
      <c r="G27" s="5"/>
      <c r="H27" s="5"/>
    </row>
    <row r="28" spans="1:18" x14ac:dyDescent="0.25">
      <c r="A28" s="5"/>
      <c r="B28" s="5"/>
      <c r="C28" s="5"/>
      <c r="D28" s="5"/>
      <c r="E28" s="5"/>
      <c r="F28" s="5"/>
      <c r="G28" s="5"/>
      <c r="H28"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I12" sqref="I12:L12"/>
    </sheetView>
  </sheetViews>
  <sheetFormatPr baseColWidth="10" defaultColWidth="9.140625" defaultRowHeight="15" x14ac:dyDescent="0.25"/>
  <cols>
    <col min="1" max="16384" width="9.140625" style="5"/>
  </cols>
  <sheetData>
    <row r="1" spans="1:20" x14ac:dyDescent="0.25">
      <c r="A1" s="5">
        <f>'N fertilizer'!A1</f>
        <v>0</v>
      </c>
      <c r="B1" s="5" t="str">
        <f>'N fertilizer'!B1</f>
        <v>Crop 1</v>
      </c>
      <c r="C1" s="5" t="str">
        <f>'N fertilizer'!C1</f>
        <v>Crop 2</v>
      </c>
      <c r="D1" s="5" t="str">
        <f>'N fertilizer'!D1</f>
        <v>Crop 3</v>
      </c>
      <c r="E1" s="5" t="str">
        <f>'N fertilizer'!E1</f>
        <v>Crop 4</v>
      </c>
    </row>
    <row r="2" spans="1:20" x14ac:dyDescent="0.25">
      <c r="A2" s="5" t="str">
        <f>'N fertilizer'!A2</f>
        <v xml:space="preserve">Without legumes: </v>
      </c>
      <c r="B2" s="5" t="str">
        <f>'N fertilizer'!B2</f>
        <v>Winter wheat</v>
      </c>
      <c r="C2" s="5" t="str">
        <f>'N fertilizer'!C2</f>
        <v>Winter barley</v>
      </c>
      <c r="D2" s="5" t="str">
        <f>'N fertilizer'!D2</f>
        <v>Triticale</v>
      </c>
      <c r="E2" s="5">
        <f>'N fertilizer'!E2</f>
        <v>0</v>
      </c>
    </row>
    <row r="3" spans="1:20" x14ac:dyDescent="0.25">
      <c r="A3" s="5" t="str">
        <f>'N fertilizer'!A3</f>
        <v xml:space="preserve">With legumes option 1: </v>
      </c>
      <c r="B3" s="5" t="str">
        <f>'N fertilizer'!B3</f>
        <v>Winter wheat</v>
      </c>
      <c r="C3" s="5" t="str">
        <f>'N fertilizer'!C3</f>
        <v>Winter barley</v>
      </c>
      <c r="D3" s="5" t="str">
        <f>'N fertilizer'!D3</f>
        <v>Pea</v>
      </c>
      <c r="E3" s="5" t="str">
        <f>'N fertilizer'!E3</f>
        <v>Triticale</v>
      </c>
    </row>
    <row r="4" spans="1:20" x14ac:dyDescent="0.25">
      <c r="A4" s="5">
        <f>'N fertilizer'!A4</f>
        <v>0</v>
      </c>
      <c r="B4" s="5">
        <f>'N fertilizer'!B4</f>
        <v>0</v>
      </c>
      <c r="C4" s="5">
        <f>'N fertilizer'!C4</f>
        <v>0</v>
      </c>
      <c r="D4" s="5">
        <f>'N fertilizer'!D4</f>
        <v>0</v>
      </c>
      <c r="E4" s="5">
        <f>'N fertilizer'!E4</f>
        <v>0</v>
      </c>
    </row>
    <row r="6" spans="1:20" x14ac:dyDescent="0.25">
      <c r="A6" s="120" t="s">
        <v>295</v>
      </c>
      <c r="B6" s="5" t="s">
        <v>296</v>
      </c>
    </row>
    <row r="7" spans="1:20" x14ac:dyDescent="0.25">
      <c r="B7" s="32" t="str">
        <f>'N fertilizer'!B7</f>
        <v>Winter wheat</v>
      </c>
      <c r="C7" s="32" t="str">
        <f>'N fertilizer'!C7</f>
        <v>Winter barley</v>
      </c>
      <c r="D7" s="32" t="str">
        <f>'N fertilizer'!D7</f>
        <v>Triticale</v>
      </c>
      <c r="E7" s="32"/>
      <c r="F7" s="32"/>
      <c r="G7" s="32"/>
      <c r="I7" s="32" t="str">
        <f>'N fertilizer'!I7</f>
        <v>Winter wheat</v>
      </c>
      <c r="J7" s="32" t="str">
        <f>'N fertilizer'!J7</f>
        <v>Winter barley</v>
      </c>
      <c r="K7" s="32" t="str">
        <f>'N fertilizer'!K7</f>
        <v>Pea</v>
      </c>
      <c r="L7" s="32" t="str">
        <f>'N fertilizer'!L7</f>
        <v>Triticale</v>
      </c>
      <c r="M7" s="32"/>
      <c r="N7" s="32"/>
      <c r="P7" s="32"/>
      <c r="Q7" s="32"/>
      <c r="R7" s="32"/>
      <c r="S7" s="32"/>
      <c r="T7" s="32"/>
    </row>
    <row r="8" spans="1:20" x14ac:dyDescent="0.25">
      <c r="A8" s="32"/>
      <c r="B8" s="121">
        <f>VLOOKUP(B7,'Mapping crops'!$A:$B,2,FALSE)</f>
        <v>3</v>
      </c>
      <c r="C8" s="121">
        <f>VLOOKUP(C7,'Mapping crops'!$A:$B,2,FALSE)</f>
        <v>5</v>
      </c>
      <c r="D8" s="121">
        <f>VLOOKUP(D7,'Mapping crops'!$A:$B,2,FALSE)</f>
        <v>2</v>
      </c>
      <c r="E8" s="121"/>
      <c r="F8" s="121"/>
      <c r="G8" s="6"/>
      <c r="H8" s="121"/>
      <c r="I8" s="121">
        <f>VLOOKUP(I7,'Mapping crops'!$A:$B,2,FALSE)</f>
        <v>3</v>
      </c>
      <c r="J8" s="121">
        <f>VLOOKUP(J7,'Mapping crops'!$A:$B,2,FALSE)</f>
        <v>5</v>
      </c>
      <c r="K8" s="121">
        <f>VLOOKUP(K7,'Mapping crops'!$A:$B,2,FALSE)</f>
        <v>12</v>
      </c>
      <c r="L8" s="121">
        <f>VLOOKUP(L7,'Mapping crops'!$A:$B,2,FALSE)</f>
        <v>2</v>
      </c>
      <c r="M8" s="121"/>
      <c r="N8" s="121"/>
      <c r="O8" s="121"/>
      <c r="P8" s="121"/>
      <c r="Q8" s="121"/>
      <c r="R8" s="121"/>
      <c r="S8" s="121"/>
      <c r="T8" s="121"/>
    </row>
    <row r="9" spans="1:20" x14ac:dyDescent="0.25">
      <c r="A9" s="122" t="s">
        <v>297</v>
      </c>
      <c r="B9" s="5">
        <f>IF(ISBLANK('N fertilizer'!B10),0,VLOOKUP('N fertilizer'!B10,'N2O default values'!$I:$J,2,FALSE)*'N fertilizer'!B13)</f>
        <v>4.05</v>
      </c>
      <c r="C9" s="5">
        <f>IF(ISBLANK('N fertilizer'!C10),0,VLOOKUP('N fertilizer'!C10,'N2O default values'!$I:$J,2,FALSE)*'N fertilizer'!C13)</f>
        <v>3.375</v>
      </c>
      <c r="D9" s="5">
        <f>IF(ISBLANK('N fertilizer'!D10),0,VLOOKUP('N fertilizer'!D10,'N2O default values'!$I:$J,2,FALSE)*'N fertilizer'!D13)</f>
        <v>4.05</v>
      </c>
      <c r="I9" s="5">
        <f>IF(ISBLANK('N fertilizer'!I10),0,VLOOKUP('N fertilizer'!I10,'N2O default values'!$I:$J,2,FALSE)*'N fertilizer'!I13)</f>
        <v>4.05</v>
      </c>
      <c r="J9" s="5">
        <f>IF(ISBLANK('N fertilizer'!J10),0,VLOOKUP('N fertilizer'!J10,'N2O default values'!$I:$J,2,FALSE)*'N fertilizer'!J13)</f>
        <v>3.375</v>
      </c>
      <c r="K9" s="5">
        <f>IF(ISBLANK('N fertilizer'!K10),0,VLOOKUP('N fertilizer'!K10,'N2O default values'!$I:$J,2,FALSE)*'N fertilizer'!K13)</f>
        <v>0</v>
      </c>
      <c r="L9" s="5">
        <f>IF(ISBLANK('N fertilizer'!L10),0,VLOOKUP('N fertilizer'!L10,'N2O default values'!$I:$J,2,FALSE)*'N fertilizer'!L13)</f>
        <v>2.7945000000000002</v>
      </c>
    </row>
    <row r="10" spans="1:20" x14ac:dyDescent="0.25">
      <c r="A10" s="122" t="s">
        <v>297</v>
      </c>
      <c r="B10" s="5">
        <f>IF(ISBLANK('N fertilizer'!B15),0,VLOOKUP('N fertilizer'!B15,'N2O default values'!$I:$J,2,FALSE)*'N fertilizer'!B18)</f>
        <v>20.16</v>
      </c>
      <c r="C10" s="5">
        <f>IF(ISBLANK('N fertilizer'!C15),0,VLOOKUP('N fertilizer'!C15,'N2O default values'!$I:$J,2,FALSE)*'N fertilizer'!C18)</f>
        <v>20.16</v>
      </c>
      <c r="D10" s="5">
        <f>IF(ISBLANK('N fertilizer'!D15),0,VLOOKUP('N fertilizer'!D15,'N2O default values'!$I:$J,2,FALSE)*'N fertilizer'!D18)</f>
        <v>20.16</v>
      </c>
      <c r="I10" s="5">
        <f>IF(ISBLANK('N fertilizer'!I15),0,VLOOKUP('N fertilizer'!I15,'N2O default values'!$I:$J,2,FALSE)*'N fertilizer'!I18)</f>
        <v>20.16</v>
      </c>
      <c r="J10" s="5">
        <f>IF(ISBLANK('N fertilizer'!J15),0,VLOOKUP('N fertilizer'!J15,'N2O default values'!$I:$J,2,FALSE)*'N fertilizer'!J18)</f>
        <v>20.16</v>
      </c>
      <c r="K10" s="5">
        <f>IF(ISBLANK('N fertilizer'!K15),0,VLOOKUP('N fertilizer'!K15,'N2O default values'!$I:$J,2,FALSE)*'N fertilizer'!K18)</f>
        <v>0</v>
      </c>
      <c r="L10" s="5">
        <f>IF(ISBLANK('N fertilizer'!L15),0,VLOOKUP('N fertilizer'!L15,'N2O default values'!$I:$J,2,FALSE)*'N fertilizer'!L18)</f>
        <v>20.16</v>
      </c>
    </row>
    <row r="11" spans="1:20" x14ac:dyDescent="0.25">
      <c r="A11" s="122" t="s">
        <v>297</v>
      </c>
      <c r="B11" s="5">
        <f>IF(ISBLANK('N fertilizer'!B20),0,VLOOKUP('N fertilizer'!B20,'N2O default values'!$I:$J,2,FALSE)*'N fertilizer'!B23)</f>
        <v>0</v>
      </c>
      <c r="C11" s="5">
        <f>IF(ISBLANK('N fertilizer'!C20),0,VLOOKUP('N fertilizer'!C20,'N2O default values'!$I:$J,2,FALSE)*'N fertilizer'!C23)</f>
        <v>0</v>
      </c>
      <c r="D11" s="5">
        <f>IF(ISBLANK('N fertilizer'!D20),0,VLOOKUP('N fertilizer'!D20,'N2O default values'!$I:$J,2,FALSE)*'N fertilizer'!D23)</f>
        <v>0</v>
      </c>
      <c r="I11" s="5">
        <f>IF(ISBLANK('N fertilizer'!I20),0,VLOOKUP('N fertilizer'!I20,'N2O default values'!$I:$J,2,FALSE)*'N fertilizer'!I23)</f>
        <v>0</v>
      </c>
      <c r="J11" s="5">
        <f>IF(ISBLANK('N fertilizer'!J20),0,VLOOKUP('N fertilizer'!J20,'N2O default values'!$I:$J,2,FALSE)*'N fertilizer'!J23)</f>
        <v>0</v>
      </c>
      <c r="K11" s="5">
        <f>IF(ISBLANK('N fertilizer'!K20),0,VLOOKUP('N fertilizer'!K20,'N2O default values'!$I:$J,2,FALSE)*'N fertilizer'!K23)</f>
        <v>0</v>
      </c>
      <c r="L11" s="5">
        <f>IF(ISBLANK('N fertilizer'!L20),0,VLOOKUP('N fertilizer'!L20,'N2O default values'!$I:$J,2,FALSE)*'N fertilizer'!L23)</f>
        <v>0</v>
      </c>
    </row>
    <row r="12" spans="1:20" x14ac:dyDescent="0.25">
      <c r="A12" s="122" t="s">
        <v>298</v>
      </c>
      <c r="B12" s="139">
        <v>13.7105454545455</v>
      </c>
      <c r="C12" s="139">
        <v>27.170795454545502</v>
      </c>
      <c r="D12" s="139">
        <v>47.365295454545503</v>
      </c>
      <c r="I12" s="139">
        <v>13.7105454545455</v>
      </c>
      <c r="J12" s="139">
        <v>27.170795454545502</v>
      </c>
      <c r="K12" s="139">
        <v>35.794599379721198</v>
      </c>
      <c r="L12" s="139">
        <v>26.577262431818198</v>
      </c>
    </row>
    <row r="13" spans="1:20" x14ac:dyDescent="0.25">
      <c r="A13" s="122" t="s">
        <v>299</v>
      </c>
    </row>
    <row r="14" spans="1:20" x14ac:dyDescent="0.25">
      <c r="A14" s="122" t="s">
        <v>244</v>
      </c>
      <c r="B14" s="5">
        <f>GM!B$8*VLOOKUP(B8,'N2O default values'!$M:$U,7)</f>
        <v>7.2979999999999992</v>
      </c>
      <c r="C14" s="5">
        <f>GM!C$8*VLOOKUP(C8,'N2O default values'!$M:$U,7)</f>
        <v>6.6749999999999998</v>
      </c>
      <c r="D14" s="5">
        <f>GM!D$8*VLOOKUP(D8,'N2O default values'!$M:$U,7)</f>
        <v>5.72</v>
      </c>
      <c r="I14" s="5">
        <f>GM!I$8*VLOOKUP(I8,'N2O default values'!$M:$U,7)</f>
        <v>7.2979999999999992</v>
      </c>
      <c r="J14" s="5">
        <f>GM!J$8*VLOOKUP(J8,'N2O default values'!$M:$U,7)</f>
        <v>6.6749999999999998</v>
      </c>
      <c r="K14" s="5">
        <f>GM!K$8*VLOOKUP(K8,'N2O default values'!$M:$U,7)</f>
        <v>2.6389999999999998</v>
      </c>
      <c r="L14" s="5">
        <f>GM!L$8*VLOOKUP(L8,'N2O default values'!$M:$U,7)</f>
        <v>6.3360000000000003</v>
      </c>
    </row>
    <row r="15" spans="1:20" x14ac:dyDescent="0.25">
      <c r="A15" s="122" t="s">
        <v>300</v>
      </c>
      <c r="B15" s="5">
        <f>B14*VLOOKUP(B$8,'N2O default values'!$M:$U,5)*VLOOKUP(B$8,'N2O default values'!$M:$U,8)</f>
        <v>9.4873999999999992</v>
      </c>
      <c r="C15" s="5">
        <f>C14*VLOOKUP(C$8,'N2O default values'!$M:$U,5)*VLOOKUP(C$8,'N2O default values'!$M:$U,8)</f>
        <v>8.01</v>
      </c>
      <c r="D15" s="5">
        <f>D14*VLOOKUP(D$8,'N2O default values'!$M:$U,5)*VLOOKUP(D$8,'N2O default values'!$M:$U,8)</f>
        <v>7.4359999999999999</v>
      </c>
      <c r="I15" s="5">
        <f>I14*VLOOKUP(I$8,'N2O default values'!$M:$U,5)*VLOOKUP(I$8,'N2O default values'!$M:$U,8)</f>
        <v>9.4873999999999992</v>
      </c>
      <c r="J15" s="5">
        <f>J14*VLOOKUP(J$8,'N2O default values'!$M:$U,5)*VLOOKUP(J$8,'N2O default values'!$M:$U,8)</f>
        <v>8.01</v>
      </c>
      <c r="K15" s="5">
        <f>K14*VLOOKUP(K$8,'N2O default values'!$M:$U,5)*VLOOKUP(K$8,'N2O default values'!$M:$U,8)</f>
        <v>5.5419</v>
      </c>
      <c r="L15" s="5">
        <f>L14*VLOOKUP(L$8,'N2O default values'!$M:$U,5)*VLOOKUP(L$8,'N2O default values'!$M:$U,8)</f>
        <v>8.2368000000000006</v>
      </c>
    </row>
    <row r="16" spans="1:20" x14ac:dyDescent="0.25">
      <c r="A16" s="122" t="s">
        <v>301</v>
      </c>
      <c r="B16" s="5">
        <f>SUM(B14:B15)*VLOOKUP(B$8,'N2O default values'!$M:$U,6)</f>
        <v>3.8606419999999999</v>
      </c>
      <c r="C16" s="5">
        <f>SUM(C14:C15)*VLOOKUP(C$8,'N2O default values'!$M:$U,6)</f>
        <v>3.2306999999999997</v>
      </c>
      <c r="D16" s="5">
        <f>SUM(D14:D15)*VLOOKUP(D$8,'N2O default values'!$M:$U,6)</f>
        <v>2.8943199999999996</v>
      </c>
      <c r="I16" s="5">
        <f>SUM(I14:I15)*VLOOKUP(I$8,'N2O default values'!$M:$U,6)</f>
        <v>3.8606419999999999</v>
      </c>
      <c r="J16" s="5">
        <f>SUM(J14:J15)*VLOOKUP(J$8,'N2O default values'!$M:$U,6)</f>
        <v>3.2306999999999997</v>
      </c>
      <c r="K16" s="5">
        <f>SUM(K14:K15)*VLOOKUP(K$8,'N2O default values'!$M:$U,6)</f>
        <v>1.5543709999999999</v>
      </c>
      <c r="L16" s="5">
        <f>SUM(L14:L15)*VLOOKUP(L$8,'N2O default values'!$M:$U,6)</f>
        <v>3.2060160000000004</v>
      </c>
    </row>
    <row r="17" spans="1:20" x14ac:dyDescent="0.25">
      <c r="A17" s="122" t="s">
        <v>302</v>
      </c>
      <c r="B17" s="5">
        <f>(B15-GM!B11*VLOOKUP('N2O calculations'!B$8,'N2O default values'!$M:$U,9))*VLOOKUP('N2O calculations'!B$8,'N2O default values'!$M:$U,3)*1000</f>
        <v>56.924399999999991</v>
      </c>
      <c r="C17" s="5">
        <f>(C15-GM!C11*VLOOKUP('N2O calculations'!C$8,'N2O default values'!$M:$U,9))*VLOOKUP('N2O calculations'!C$8,'N2O default values'!$M:$U,3)*1000</f>
        <v>56.07</v>
      </c>
      <c r="D17" s="5">
        <f>(D15-GM!D11*VLOOKUP('N2O calculations'!D$8,'N2O default values'!$M:$U,9))*VLOOKUP('N2O calculations'!D$8,'N2O default values'!$M:$U,3)*1000</f>
        <v>44.616</v>
      </c>
      <c r="I17" s="5">
        <f>(I15-GM!I11*VLOOKUP('N2O calculations'!I$8,'N2O default values'!$M:$U,9))*VLOOKUP('N2O calculations'!I$8,'N2O default values'!$M:$U,3)*1000</f>
        <v>56.924399999999991</v>
      </c>
      <c r="J17" s="5">
        <f>(J15-GM!J11*VLOOKUP('N2O calculations'!J$8,'N2O default values'!$M:$U,9))*VLOOKUP('N2O calculations'!J$8,'N2O default values'!$M:$U,3)*1000</f>
        <v>56.07</v>
      </c>
      <c r="K17" s="5">
        <f>(K15-GM!K11*VLOOKUP('N2O calculations'!K$8,'N2O default values'!$M:$U,9))*VLOOKUP('N2O calculations'!K$8,'N2O default values'!$M:$U,3)*1000</f>
        <v>44.3352</v>
      </c>
      <c r="L17" s="5">
        <f>(L15-GM!L11*VLOOKUP('N2O calculations'!L$8,'N2O default values'!$M:$U,9))*VLOOKUP('N2O calculations'!L$8,'N2O default values'!$M:$U,3)*1000</f>
        <v>49.420800000000007</v>
      </c>
    </row>
    <row r="18" spans="1:20" x14ac:dyDescent="0.25">
      <c r="A18" s="122" t="s">
        <v>303</v>
      </c>
      <c r="B18" s="5">
        <f>B16*VLOOKUP(B$8,'N2O default values'!$M:$U,4)*1000</f>
        <v>34.745778000000001</v>
      </c>
      <c r="C18" s="5">
        <f>C16*VLOOKUP(C$8,'N2O default values'!$M:$U,4)*1000</f>
        <v>45.22979999999999</v>
      </c>
      <c r="D18" s="5">
        <f>D16*VLOOKUP(D$8,'N2O default values'!$M:$U,4)*1000</f>
        <v>26.048879999999993</v>
      </c>
      <c r="I18" s="5">
        <f>I16*VLOOKUP(I$8,'N2O default values'!$M:$U,4)*1000</f>
        <v>34.745778000000001</v>
      </c>
      <c r="J18" s="5">
        <f>J16*VLOOKUP(J$8,'N2O default values'!$M:$U,4)*1000</f>
        <v>45.22979999999999</v>
      </c>
      <c r="K18" s="5">
        <f>K16*VLOOKUP(K$8,'N2O default values'!$M:$U,4)*1000</f>
        <v>12.434968</v>
      </c>
      <c r="L18" s="5">
        <f>L16*VLOOKUP(L$8,'N2O default values'!$M:$U,4)*1000</f>
        <v>28.854144000000002</v>
      </c>
    </row>
    <row r="19" spans="1:20" x14ac:dyDescent="0.25">
      <c r="A19" s="122" t="s">
        <v>304</v>
      </c>
      <c r="B19" s="5">
        <f>SUM(B17:B18)</f>
        <v>91.670177999999993</v>
      </c>
      <c r="C19" s="5">
        <f t="shared" ref="C19:D19" si="0">SUM(C17:C18)</f>
        <v>101.29979999999999</v>
      </c>
      <c r="D19" s="5">
        <f t="shared" si="0"/>
        <v>70.664879999999997</v>
      </c>
      <c r="I19" s="5">
        <f>SUM(I17:I18)</f>
        <v>91.670177999999993</v>
      </c>
      <c r="J19" s="5">
        <f t="shared" ref="J19:L19" si="1">SUM(J17:J18)</f>
        <v>101.29979999999999</v>
      </c>
      <c r="K19" s="5">
        <f t="shared" si="1"/>
        <v>56.770167999999998</v>
      </c>
      <c r="L19" s="5">
        <f t="shared" si="1"/>
        <v>78.274944000000005</v>
      </c>
    </row>
    <row r="20" spans="1:20" x14ac:dyDescent="0.25">
      <c r="A20" s="122"/>
    </row>
    <row r="23" spans="1:20" x14ac:dyDescent="0.25">
      <c r="A23" s="5" t="s">
        <v>305</v>
      </c>
    </row>
    <row r="24" spans="1:20" x14ac:dyDescent="0.25">
      <c r="B24" s="32" t="str">
        <f>B7</f>
        <v>Winter wheat</v>
      </c>
      <c r="C24" s="32" t="str">
        <f t="shared" ref="C24:D24" si="2">C7</f>
        <v>Winter barley</v>
      </c>
      <c r="D24" s="32" t="str">
        <f t="shared" si="2"/>
        <v>Triticale</v>
      </c>
      <c r="E24" s="32"/>
      <c r="F24" s="32"/>
      <c r="G24" s="32"/>
      <c r="I24" s="32" t="str">
        <f>I7</f>
        <v>Winter wheat</v>
      </c>
      <c r="J24" s="32" t="str">
        <f t="shared" ref="J24:L24" si="3">J7</f>
        <v>Winter barley</v>
      </c>
      <c r="K24" s="32" t="str">
        <f t="shared" si="3"/>
        <v>Pea</v>
      </c>
      <c r="L24" s="32" t="str">
        <f t="shared" si="3"/>
        <v>Triticale</v>
      </c>
      <c r="M24" s="32"/>
      <c r="N24" s="32"/>
      <c r="P24" s="32"/>
      <c r="Q24" s="32"/>
      <c r="R24" s="32"/>
      <c r="S24" s="32"/>
      <c r="T24" s="32"/>
    </row>
    <row r="25" spans="1:20" x14ac:dyDescent="0.25">
      <c r="A25" s="122" t="s">
        <v>306</v>
      </c>
      <c r="B25" s="5">
        <f>IF('N fertilizer'!B10 &lt;&gt;'N2O default values'!$I$35, 'N fertilizer'!B13*'N2O default values'!$E$2, 'N fertilizer'!B13* 'N2O default values'!$E$3)+IF('N fertilizer'!B15 &lt;&gt;'N2O default values'!$I$35, 'N fertilizer'!B18*'N2O default values'!$E$2, 'N fertilizer'!B18* 'N2O default values'!$E$3)+IF('N fertilizer'!B20 &lt;&gt;'N2O default values'!$I$35, 'N fertilizer'!B23*'N2O default values'!$E$2, 'N fertilizer'!B23* 'N2O default values'!$E$3)</f>
        <v>1.8720000000000001</v>
      </c>
      <c r="C25" s="5">
        <f>IF('N fertilizer'!C10 &lt;&gt;'N2O default values'!$I$35, 'N fertilizer'!C13*'N2O default values'!$E$2, 'N fertilizer'!C13* 'N2O default values'!$E$3)+IF('N fertilizer'!C15 &lt;&gt;'N2O default values'!$I$35, 'N fertilizer'!C18*'N2O default values'!$E$2, 'N fertilizer'!C18* 'N2O default values'!$E$3)+IF('N fertilizer'!C20 &lt;&gt;'N2O default values'!$I$35, 'N fertilizer'!C23*'N2O default values'!$E$2, 'N fertilizer'!C23* 'N2O default values'!$E$3)</f>
        <v>1.6560000000000001</v>
      </c>
      <c r="D25" s="5">
        <f>IF('N fertilizer'!D10 &lt;&gt;'N2O default values'!$I$35, 'N fertilizer'!D13*'N2O default values'!$E$2, 'N fertilizer'!D13* 'N2O default values'!$E$3)+IF('N fertilizer'!D15 &lt;&gt;'N2O default values'!$I$35, 'N fertilizer'!D18*'N2O default values'!$E$2, 'N fertilizer'!D18* 'N2O default values'!$E$3)+IF('N fertilizer'!D20 &lt;&gt;'N2O default values'!$I$35, 'N fertilizer'!D23*'N2O default values'!$E$2, 'N fertilizer'!D23* 'N2O default values'!$E$3)</f>
        <v>1.8720000000000001</v>
      </c>
      <c r="I25" s="5">
        <f>IF('N fertilizer'!I10 &lt;&gt;'N2O default values'!$I$35, 'N fertilizer'!I13*'N2O default values'!$E$2, 'N fertilizer'!I13* 'N2O default values'!$E$3)+IF('N fertilizer'!I15 &lt;&gt;'N2O default values'!$I$35, 'N fertilizer'!I18*'N2O default values'!$E$2, 'N fertilizer'!I18* 'N2O default values'!$E$3)+IF('N fertilizer'!I20 &lt;&gt;'N2O default values'!$I$35, 'N fertilizer'!I23*'N2O default values'!$E$2, 'N fertilizer'!I23* 'N2O default values'!$E$3)</f>
        <v>1.8720000000000001</v>
      </c>
      <c r="J25" s="5">
        <f>IF('N fertilizer'!J10 &lt;&gt;'N2O default values'!$I$35, 'N fertilizer'!J13*'N2O default values'!$E$2, 'N fertilizer'!J13* 'N2O default values'!$E$3)+IF('N fertilizer'!J15 &lt;&gt;'N2O default values'!$I$35, 'N fertilizer'!J18*'N2O default values'!$E$2, 'N fertilizer'!J18* 'N2O default values'!$E$3)+IF('N fertilizer'!J20 &lt;&gt;'N2O default values'!$I$35, 'N fertilizer'!J23*'N2O default values'!$E$2, 'N fertilizer'!J23* 'N2O default values'!$E$3)</f>
        <v>1.6560000000000001</v>
      </c>
      <c r="K25" s="5">
        <f>IF('N fertilizer'!K10 &lt;&gt;'N2O default values'!$I$35, 'N fertilizer'!K13*'N2O default values'!$E$2, 'N fertilizer'!K13* 'N2O default values'!$E$3)+IF('N fertilizer'!K15 &lt;&gt;'N2O default values'!$I$35, 'N fertilizer'!K18*'N2O default values'!$E$2, 'N fertilizer'!K18* 'N2O default values'!$E$3)+IF('N fertilizer'!K20 &lt;&gt;'N2O default values'!$I$35, 'N fertilizer'!K23*'N2O default values'!$E$2, 'N fertilizer'!K23* 'N2O default values'!$E$3)</f>
        <v>0</v>
      </c>
      <c r="L25" s="5">
        <f>IF('N fertilizer'!L10 &lt;&gt;'N2O default values'!$I$35, 'N fertilizer'!L13*'N2O default values'!$E$2, 'N fertilizer'!L13* 'N2O default values'!$E$3)+IF('N fertilizer'!L15 &lt;&gt;'N2O default values'!$I$35, 'N fertilizer'!L18*'N2O default values'!$E$2, 'N fertilizer'!L18* 'N2O default values'!$E$3)+IF('N fertilizer'!L20 &lt;&gt;'N2O default values'!$I$35, 'N fertilizer'!L23*'N2O default values'!$E$2, 'N fertilizer'!L23* 'N2O default values'!$E$3)</f>
        <v>1.47024</v>
      </c>
    </row>
    <row r="26" spans="1:20" x14ac:dyDescent="0.25">
      <c r="A26" s="5" t="s">
        <v>307</v>
      </c>
      <c r="B26" s="5">
        <f>(SUM(B9:B11)*'N2O default values'!$E$4)</f>
        <v>0.33894000000000002</v>
      </c>
      <c r="C26" s="5">
        <f>(SUM(C9:C11)*'N2O default values'!$E$4)</f>
        <v>0.32949000000000001</v>
      </c>
      <c r="D26" s="5">
        <f>(SUM(D9:D11)*'N2O default values'!$E$4)</f>
        <v>0.33894000000000002</v>
      </c>
      <c r="I26" s="5">
        <f>(SUM(I9:I11)*'N2O default values'!$E$4)</f>
        <v>0.33894000000000002</v>
      </c>
      <c r="J26" s="5">
        <f>(SUM(J9:J11)*'N2O default values'!$E$4)</f>
        <v>0.32949000000000001</v>
      </c>
      <c r="K26" s="5">
        <f>(SUM(K9:K11)*'N2O default values'!$E$4)</f>
        <v>0</v>
      </c>
      <c r="L26" s="5">
        <f>(SUM(L9:L11)*'N2O default values'!$E$4)</f>
        <v>0.32136300000000001</v>
      </c>
    </row>
    <row r="27" spans="1:20" x14ac:dyDescent="0.25">
      <c r="A27" s="5" t="s">
        <v>298</v>
      </c>
      <c r="B27" s="5">
        <f>B12*'N2O default values'!$E$5</f>
        <v>0.15081600000000048</v>
      </c>
      <c r="C27" s="5">
        <f>C12*'N2O default values'!$E$5</f>
        <v>0.29887875000000053</v>
      </c>
      <c r="D27" s="5">
        <f>D12*'N2O default values'!$E$5</f>
        <v>0.52101825000000046</v>
      </c>
      <c r="I27" s="5">
        <f>I12*'N2O default values'!$E$5</f>
        <v>0.15081600000000048</v>
      </c>
      <c r="J27" s="5">
        <f>J12*'N2O default values'!$E$5</f>
        <v>0.29887875000000053</v>
      </c>
      <c r="K27" s="5">
        <f>K12*'N2O default values'!$E$5</f>
        <v>0.39374059317693316</v>
      </c>
      <c r="L27" s="5">
        <f>L12*'N2O default values'!$E$5</f>
        <v>0.29234988675000018</v>
      </c>
    </row>
    <row r="28" spans="1:20" x14ac:dyDescent="0.25">
      <c r="A28" s="5" t="s">
        <v>308</v>
      </c>
      <c r="B28" s="5">
        <f>B19*'N2O default values'!$E$3</f>
        <v>0.55002106799999995</v>
      </c>
      <c r="C28" s="5">
        <f>C19*'N2O default values'!$E$3</f>
        <v>0.60779879999999997</v>
      </c>
      <c r="D28" s="5">
        <f>D19*'N2O default values'!$E$3</f>
        <v>0.42398927999999997</v>
      </c>
      <c r="I28" s="5">
        <f>I19*'N2O default values'!$E$3</f>
        <v>0.55002106799999995</v>
      </c>
      <c r="J28" s="5">
        <f>J19*'N2O default values'!$E$3</f>
        <v>0.60779879999999997</v>
      </c>
      <c r="K28" s="5">
        <f>K19*'N2O default values'!$E$3</f>
        <v>0.340621008</v>
      </c>
      <c r="L28" s="5">
        <f>L19*'N2O default values'!$E$3</f>
        <v>0.46964966400000002</v>
      </c>
    </row>
    <row r="30" spans="1:20" x14ac:dyDescent="0.25">
      <c r="A30" s="5" t="s">
        <v>309</v>
      </c>
    </row>
    <row r="31" spans="1:20" x14ac:dyDescent="0.25">
      <c r="A31" s="5">
        <f>SUM(B31:F31)</f>
        <v>14.079830518285714</v>
      </c>
      <c r="B31" s="5">
        <f>SUM(B25:B28)*'N2O default values'!$G$2</f>
        <v>4.5756496782857141</v>
      </c>
      <c r="C31" s="5">
        <f>SUM(C25:C28)*'N2O default values'!$G$2</f>
        <v>4.5448347214285718</v>
      </c>
      <c r="D31" s="5">
        <f>SUM(D25:D28)*'N2O default values'!$G$2</f>
        <v>4.9593461185714292</v>
      </c>
      <c r="H31" s="5">
        <f>SUM(I31:M31)</f>
        <v>14.28728520988518</v>
      </c>
      <c r="I31" s="5">
        <f>SUM(I25:I28)*'N2O default values'!$G$2</f>
        <v>4.5756496782857141</v>
      </c>
      <c r="J31" s="5">
        <f>SUM(J25:J28)*'N2O default values'!$G$2</f>
        <v>4.5448347214285718</v>
      </c>
      <c r="K31" s="5">
        <f>SUM(K25:K28)*'N2O default values'!$G$2</f>
        <v>1.1539968018494664</v>
      </c>
      <c r="L31" s="5">
        <f>SUM(L25:L28)*'N2O default values'!$G$2</f>
        <v>4.012804008321428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workbookViewId="0">
      <selection activeCell="K35" sqref="K35"/>
    </sheetView>
  </sheetViews>
  <sheetFormatPr baseColWidth="10" defaultColWidth="9.140625" defaultRowHeight="15" x14ac:dyDescent="0.25"/>
  <cols>
    <col min="1" max="1" width="9.140625" style="5"/>
    <col min="2" max="2" width="17.7109375" style="5" bestFit="1" customWidth="1"/>
    <col min="3" max="10" width="9.140625" style="5"/>
    <col min="11" max="11" width="41.7109375" style="5" customWidth="1"/>
    <col min="12" max="12" width="7" style="5" customWidth="1"/>
    <col min="13" max="13" width="14.140625" style="5" bestFit="1" customWidth="1"/>
    <col min="14" max="14" width="41.85546875" style="5" customWidth="1"/>
    <col min="15" max="19" width="30.7109375" style="5" customWidth="1"/>
    <col min="20" max="16384" width="9.140625" style="5"/>
  </cols>
  <sheetData>
    <row r="1" spans="1:21" ht="45" x14ac:dyDescent="0.25">
      <c r="A1" s="5">
        <v>1</v>
      </c>
      <c r="C1" s="5" t="s">
        <v>296</v>
      </c>
      <c r="D1" s="5" t="s">
        <v>310</v>
      </c>
      <c r="G1" s="5" t="s">
        <v>311</v>
      </c>
      <c r="I1" s="5" t="s">
        <v>312</v>
      </c>
      <c r="K1" s="6"/>
      <c r="M1" s="5" t="s">
        <v>313</v>
      </c>
      <c r="N1" s="5" t="s">
        <v>272</v>
      </c>
      <c r="O1" s="36" t="s">
        <v>314</v>
      </c>
      <c r="P1" s="36" t="s">
        <v>315</v>
      </c>
      <c r="Q1" s="36" t="s">
        <v>316</v>
      </c>
      <c r="R1" s="36" t="s">
        <v>317</v>
      </c>
      <c r="S1" s="36" t="s">
        <v>273</v>
      </c>
      <c r="T1" s="36" t="s">
        <v>318</v>
      </c>
      <c r="U1" s="36" t="s">
        <v>319</v>
      </c>
    </row>
    <row r="2" spans="1:21" x14ac:dyDescent="0.25">
      <c r="A2" s="5">
        <v>2</v>
      </c>
      <c r="B2" s="5" t="s">
        <v>320</v>
      </c>
      <c r="C2" s="5">
        <v>1.6E-2</v>
      </c>
      <c r="D2" s="5">
        <v>5.0000000000000001E-3</v>
      </c>
      <c r="E2" s="5">
        <f>HLOOKUP('N2O calculations'!$B$6,$B$1:$D$10,A2)</f>
        <v>1.6E-2</v>
      </c>
      <c r="G2" s="5">
        <f>44/28</f>
        <v>1.5714285714285714</v>
      </c>
      <c r="I2" s="5" t="s">
        <v>321</v>
      </c>
      <c r="J2" s="5">
        <v>0.15</v>
      </c>
      <c r="K2" s="123" t="s">
        <v>322</v>
      </c>
      <c r="L2" s="124">
        <v>0.15</v>
      </c>
      <c r="M2" s="5">
        <v>1</v>
      </c>
      <c r="N2" s="36" t="s">
        <v>274</v>
      </c>
      <c r="O2" s="36">
        <v>8.0000000000000002E-3</v>
      </c>
      <c r="P2" s="36">
        <v>8.9999999999999993E-3</v>
      </c>
      <c r="Q2" s="36">
        <v>1</v>
      </c>
      <c r="R2" s="36">
        <v>0.22</v>
      </c>
      <c r="S2" s="36">
        <v>0.85</v>
      </c>
      <c r="T2" s="36">
        <v>1</v>
      </c>
      <c r="U2" s="5">
        <f>S2</f>
        <v>0.85</v>
      </c>
    </row>
    <row r="3" spans="1:21" x14ac:dyDescent="0.25">
      <c r="A3" s="5">
        <v>3</v>
      </c>
      <c r="B3" s="5" t="s">
        <v>323</v>
      </c>
      <c r="C3" s="5">
        <v>6.0000000000000001E-3</v>
      </c>
      <c r="D3" s="5">
        <v>5.0000000000000001E-3</v>
      </c>
      <c r="E3" s="5">
        <f>HLOOKUP('N2O calculations'!$B$6,$B$1:$D$10,A3)</f>
        <v>6.0000000000000001E-3</v>
      </c>
      <c r="I3" s="5" t="s">
        <v>324</v>
      </c>
      <c r="J3" s="5">
        <v>0.08</v>
      </c>
      <c r="K3" s="125" t="s">
        <v>325</v>
      </c>
      <c r="L3" s="124">
        <v>0.08</v>
      </c>
      <c r="M3" s="5">
        <v>2</v>
      </c>
      <c r="N3" s="5" t="s">
        <v>275</v>
      </c>
      <c r="O3" s="5">
        <v>6.0000000000000001E-3</v>
      </c>
      <c r="P3" s="5">
        <v>8.9999999999999993E-3</v>
      </c>
      <c r="Q3" s="5">
        <v>1.3</v>
      </c>
      <c r="R3" s="5">
        <v>0.22</v>
      </c>
      <c r="S3" s="5">
        <v>0.88</v>
      </c>
      <c r="T3" s="36">
        <v>1</v>
      </c>
      <c r="U3" s="5">
        <f t="shared" ref="U3:U22" si="0">S3</f>
        <v>0.88</v>
      </c>
    </row>
    <row r="4" spans="1:21" x14ac:dyDescent="0.25">
      <c r="A4" s="5">
        <v>4</v>
      </c>
      <c r="B4" s="5" t="s">
        <v>326</v>
      </c>
      <c r="C4" s="5">
        <v>1.4E-2</v>
      </c>
      <c r="D4" s="5">
        <v>5.0000000000000001E-3</v>
      </c>
      <c r="E4" s="5">
        <f>HLOOKUP('N2O calculations'!$B$6,$B$1:$D$10,A4)</f>
        <v>1.4E-2</v>
      </c>
      <c r="I4" s="5" t="s">
        <v>327</v>
      </c>
      <c r="J4" s="5">
        <v>0.01</v>
      </c>
      <c r="K4" s="125" t="s">
        <v>328</v>
      </c>
      <c r="L4" s="124">
        <v>0.01</v>
      </c>
      <c r="M4" s="5">
        <v>3</v>
      </c>
      <c r="N4" s="5" t="s">
        <v>276</v>
      </c>
      <c r="O4" s="5">
        <v>6.0000000000000001E-3</v>
      </c>
      <c r="P4" s="5">
        <v>8.9999999999999993E-3</v>
      </c>
      <c r="Q4" s="5">
        <v>1.3</v>
      </c>
      <c r="R4" s="5">
        <v>0.23</v>
      </c>
      <c r="S4" s="5">
        <v>0.89</v>
      </c>
      <c r="T4" s="36">
        <v>1</v>
      </c>
      <c r="U4" s="5">
        <f t="shared" si="0"/>
        <v>0.89</v>
      </c>
    </row>
    <row r="5" spans="1:21" x14ac:dyDescent="0.25">
      <c r="A5" s="5">
        <v>5</v>
      </c>
      <c r="B5" s="5" t="s">
        <v>298</v>
      </c>
      <c r="E5" s="5">
        <v>1.0999999999999999E-2</v>
      </c>
      <c r="I5" s="5" t="s">
        <v>329</v>
      </c>
      <c r="J5" s="5">
        <v>0.05</v>
      </c>
      <c r="K5" s="126" t="s">
        <v>330</v>
      </c>
      <c r="L5" s="126">
        <v>0.05</v>
      </c>
      <c r="M5" s="5">
        <v>4</v>
      </c>
      <c r="N5" s="5" t="s">
        <v>277</v>
      </c>
      <c r="O5" s="5">
        <v>6.0000000000000001E-3</v>
      </c>
      <c r="P5" s="5">
        <v>8.9999999999999993E-3</v>
      </c>
      <c r="Q5" s="5">
        <v>1.3</v>
      </c>
      <c r="R5" s="5">
        <v>0.28000000000000003</v>
      </c>
      <c r="S5" s="5">
        <v>0.89</v>
      </c>
      <c r="T5" s="36">
        <v>1</v>
      </c>
      <c r="U5" s="5">
        <f t="shared" si="0"/>
        <v>0.89</v>
      </c>
    </row>
    <row r="6" spans="1:21" x14ac:dyDescent="0.25">
      <c r="A6" s="5">
        <v>6</v>
      </c>
      <c r="I6" s="5" t="s">
        <v>331</v>
      </c>
      <c r="J6" s="5">
        <v>0.05</v>
      </c>
      <c r="K6" s="126" t="s">
        <v>332</v>
      </c>
      <c r="L6" s="126">
        <v>0.11</v>
      </c>
      <c r="M6" s="5">
        <v>5</v>
      </c>
      <c r="N6" s="5" t="s">
        <v>278</v>
      </c>
      <c r="O6" s="5">
        <v>7.0000000000000001E-3</v>
      </c>
      <c r="P6" s="5">
        <v>1.4E-2</v>
      </c>
      <c r="Q6" s="5">
        <v>1.2</v>
      </c>
      <c r="R6" s="5">
        <v>0.22</v>
      </c>
      <c r="S6" s="5">
        <v>0.89</v>
      </c>
      <c r="T6" s="36">
        <v>1</v>
      </c>
      <c r="U6" s="5">
        <f t="shared" si="0"/>
        <v>0.89</v>
      </c>
    </row>
    <row r="7" spans="1:21" x14ac:dyDescent="0.25">
      <c r="A7" s="5">
        <v>7</v>
      </c>
      <c r="I7" s="5" t="s">
        <v>333</v>
      </c>
      <c r="J7" s="5">
        <v>0.21</v>
      </c>
      <c r="M7" s="5">
        <v>6</v>
      </c>
      <c r="N7" s="5" t="s">
        <v>279</v>
      </c>
      <c r="O7" s="5">
        <v>7.0000000000000001E-3</v>
      </c>
      <c r="P7" s="5">
        <v>8.0000000000000002E-3</v>
      </c>
      <c r="Q7" s="5">
        <v>1.3</v>
      </c>
      <c r="R7" s="5">
        <v>0.25</v>
      </c>
      <c r="S7" s="5">
        <v>0.89</v>
      </c>
      <c r="T7" s="36">
        <v>1</v>
      </c>
      <c r="U7" s="5">
        <f t="shared" si="0"/>
        <v>0.89</v>
      </c>
    </row>
    <row r="8" spans="1:21" x14ac:dyDescent="0.25">
      <c r="A8" s="5">
        <v>8</v>
      </c>
      <c r="I8" s="5" t="s">
        <v>334</v>
      </c>
      <c r="J8" s="5">
        <v>0.05</v>
      </c>
      <c r="M8" s="5">
        <v>7</v>
      </c>
      <c r="N8" s="5" t="s">
        <v>280</v>
      </c>
      <c r="O8" s="5">
        <v>6.0000000000000001E-3</v>
      </c>
      <c r="P8" s="5">
        <v>7.0000000000000001E-3</v>
      </c>
      <c r="Q8" s="5">
        <v>1</v>
      </c>
      <c r="R8" s="5">
        <v>0.22</v>
      </c>
      <c r="S8" s="5">
        <v>0.87</v>
      </c>
      <c r="T8" s="36">
        <v>1</v>
      </c>
      <c r="U8" s="5">
        <f t="shared" si="0"/>
        <v>0.87</v>
      </c>
    </row>
    <row r="9" spans="1:21" x14ac:dyDescent="0.25">
      <c r="A9" s="5">
        <v>9</v>
      </c>
      <c r="I9" s="5" t="s">
        <v>335</v>
      </c>
      <c r="J9" s="5">
        <v>0.05</v>
      </c>
      <c r="M9" s="5">
        <v>8</v>
      </c>
      <c r="N9" s="5" t="s">
        <v>281</v>
      </c>
      <c r="O9" s="5">
        <v>5.0000000000000001E-3</v>
      </c>
      <c r="P9" s="5">
        <v>1.0999999999999999E-2</v>
      </c>
      <c r="Q9" s="5">
        <v>1.6</v>
      </c>
      <c r="R9" s="127">
        <f>R2</f>
        <v>0.22</v>
      </c>
      <c r="S9" s="5">
        <v>0.88</v>
      </c>
      <c r="T9" s="36">
        <v>1</v>
      </c>
      <c r="U9" s="5">
        <f t="shared" si="0"/>
        <v>0.88</v>
      </c>
    </row>
    <row r="10" spans="1:21" x14ac:dyDescent="0.25">
      <c r="A10" s="5">
        <v>10</v>
      </c>
      <c r="I10" s="5" t="s">
        <v>336</v>
      </c>
      <c r="J10" s="5">
        <v>0.05</v>
      </c>
      <c r="M10" s="5">
        <v>9</v>
      </c>
      <c r="N10" s="5" t="s">
        <v>282</v>
      </c>
      <c r="O10" s="5">
        <v>7.0000000000000001E-3</v>
      </c>
      <c r="P10" s="127">
        <f>P2</f>
        <v>8.9999999999999993E-3</v>
      </c>
      <c r="Q10" s="5">
        <v>1.4</v>
      </c>
      <c r="R10" s="5">
        <v>0.16</v>
      </c>
      <c r="S10" s="5">
        <v>0.89</v>
      </c>
      <c r="T10" s="36">
        <v>1</v>
      </c>
      <c r="U10" s="5">
        <f t="shared" si="0"/>
        <v>0.89</v>
      </c>
    </row>
    <row r="11" spans="1:21" x14ac:dyDescent="0.25">
      <c r="I11" s="5" t="s">
        <v>337</v>
      </c>
      <c r="J11" s="122">
        <v>0.11</v>
      </c>
      <c r="M11" s="5">
        <v>10</v>
      </c>
      <c r="N11" s="5" t="s">
        <v>283</v>
      </c>
      <c r="O11" s="5">
        <v>7.0000000000000001E-3</v>
      </c>
      <c r="P11" s="127">
        <f>P2</f>
        <v>8.9999999999999993E-3</v>
      </c>
      <c r="Q11" s="5">
        <v>1.4</v>
      </c>
      <c r="R11" s="127">
        <f>R2</f>
        <v>0.22</v>
      </c>
      <c r="S11" s="109">
        <v>0.9</v>
      </c>
      <c r="T11" s="36">
        <v>1</v>
      </c>
      <c r="U11" s="5">
        <f t="shared" si="0"/>
        <v>0.9</v>
      </c>
    </row>
    <row r="12" spans="1:21" x14ac:dyDescent="0.25">
      <c r="I12" s="5" t="s">
        <v>338</v>
      </c>
      <c r="J12" s="122">
        <v>0.08</v>
      </c>
      <c r="M12" s="5">
        <v>11</v>
      </c>
      <c r="N12" s="5" t="s">
        <v>284</v>
      </c>
      <c r="O12" s="5">
        <v>7.0000000000000001E-3</v>
      </c>
      <c r="P12" s="5">
        <v>6.0000000000000001E-3</v>
      </c>
      <c r="Q12" s="5">
        <v>1.4</v>
      </c>
      <c r="R12" s="127">
        <f>R2</f>
        <v>0.22</v>
      </c>
      <c r="S12" s="5">
        <v>0.89</v>
      </c>
      <c r="T12" s="36">
        <v>1</v>
      </c>
      <c r="U12" s="5">
        <f t="shared" si="0"/>
        <v>0.89</v>
      </c>
    </row>
    <row r="13" spans="1:21" x14ac:dyDescent="0.25">
      <c r="I13" s="5" t="s">
        <v>339</v>
      </c>
      <c r="J13" s="5">
        <v>0.11</v>
      </c>
      <c r="M13" s="5">
        <v>12</v>
      </c>
      <c r="N13" s="5" t="s">
        <v>285</v>
      </c>
      <c r="O13" s="5">
        <v>8.0000000000000002E-3</v>
      </c>
      <c r="P13" s="5">
        <v>8.0000000000000002E-3</v>
      </c>
      <c r="Q13" s="5">
        <v>2.1</v>
      </c>
      <c r="R13" s="5">
        <v>0.19</v>
      </c>
      <c r="S13" s="5">
        <v>0.91</v>
      </c>
      <c r="T13" s="36">
        <v>1</v>
      </c>
      <c r="U13" s="5">
        <f t="shared" si="0"/>
        <v>0.91</v>
      </c>
    </row>
    <row r="14" spans="1:21" x14ac:dyDescent="0.25">
      <c r="I14" s="5" t="s">
        <v>340</v>
      </c>
      <c r="J14" s="5">
        <v>0.05</v>
      </c>
      <c r="M14" s="5">
        <v>13</v>
      </c>
      <c r="N14" s="5" t="s">
        <v>286</v>
      </c>
      <c r="O14" s="5">
        <v>8.0000000000000002E-3</v>
      </c>
      <c r="P14" s="5">
        <v>8.0000000000000002E-3</v>
      </c>
      <c r="Q14" s="5">
        <v>2.1</v>
      </c>
      <c r="R14" s="5">
        <v>0.19</v>
      </c>
      <c r="S14" s="5">
        <v>0.91</v>
      </c>
      <c r="T14" s="36">
        <v>1</v>
      </c>
      <c r="U14" s="5">
        <f t="shared" si="0"/>
        <v>0.91</v>
      </c>
    </row>
    <row r="15" spans="1:21" x14ac:dyDescent="0.25">
      <c r="I15" s="5" t="s">
        <v>341</v>
      </c>
      <c r="J15" s="5">
        <v>0.15</v>
      </c>
      <c r="M15" s="5">
        <v>14</v>
      </c>
      <c r="N15" s="5" t="s">
        <v>287</v>
      </c>
      <c r="O15" s="5">
        <v>1.9E-2</v>
      </c>
      <c r="P15" s="5">
        <v>1.4E-2</v>
      </c>
      <c r="Q15" s="5">
        <v>0.4</v>
      </c>
      <c r="R15" s="5">
        <v>0.2</v>
      </c>
      <c r="S15" s="5">
        <v>0.22</v>
      </c>
      <c r="T15" s="36">
        <v>1</v>
      </c>
      <c r="U15" s="5">
        <f t="shared" si="0"/>
        <v>0.22</v>
      </c>
    </row>
    <row r="16" spans="1:21" x14ac:dyDescent="0.25">
      <c r="I16" s="5" t="s">
        <v>342</v>
      </c>
      <c r="J16" s="5">
        <v>0.11</v>
      </c>
      <c r="M16" s="5">
        <v>15</v>
      </c>
      <c r="N16" s="5" t="s">
        <v>288</v>
      </c>
      <c r="O16" s="5">
        <v>1.6E-2</v>
      </c>
      <c r="P16" s="127">
        <f>P2</f>
        <v>8.9999999999999993E-3</v>
      </c>
      <c r="Q16" s="5">
        <v>1</v>
      </c>
      <c r="R16" s="127">
        <f>R2</f>
        <v>0.22</v>
      </c>
      <c r="S16" s="5">
        <v>0.94</v>
      </c>
      <c r="T16" s="36">
        <v>1</v>
      </c>
      <c r="U16" s="5">
        <f t="shared" si="0"/>
        <v>0.94</v>
      </c>
    </row>
    <row r="17" spans="9:21" x14ac:dyDescent="0.25">
      <c r="I17" s="5" t="s">
        <v>343</v>
      </c>
      <c r="J17" s="5">
        <v>0.08</v>
      </c>
      <c r="M17" s="5">
        <v>16</v>
      </c>
      <c r="N17" s="5" t="s">
        <v>289</v>
      </c>
      <c r="O17" s="5">
        <v>2.7E-2</v>
      </c>
      <c r="P17" s="5">
        <v>1.9E-2</v>
      </c>
      <c r="Q17" s="127">
        <f>Q$2</f>
        <v>1</v>
      </c>
      <c r="R17" s="5">
        <v>0.4</v>
      </c>
      <c r="S17" s="5">
        <v>0.9</v>
      </c>
      <c r="T17" s="36">
        <v>1</v>
      </c>
      <c r="U17" s="5">
        <f t="shared" si="0"/>
        <v>0.9</v>
      </c>
    </row>
    <row r="18" spans="9:21" x14ac:dyDescent="0.25">
      <c r="I18" s="5" t="s">
        <v>344</v>
      </c>
      <c r="J18" s="5">
        <v>0.11</v>
      </c>
      <c r="M18" s="5">
        <v>17</v>
      </c>
      <c r="N18" s="5" t="s">
        <v>290</v>
      </c>
      <c r="O18" s="5">
        <v>1.4999999999999999E-2</v>
      </c>
      <c r="P18" s="5">
        <v>1.2E-2</v>
      </c>
      <c r="Q18" s="127">
        <f>Q$2</f>
        <v>1</v>
      </c>
      <c r="R18" s="5">
        <v>0.54</v>
      </c>
      <c r="S18" s="5">
        <v>0.9</v>
      </c>
      <c r="T18" s="36"/>
      <c r="U18" s="5">
        <f t="shared" si="0"/>
        <v>0.9</v>
      </c>
    </row>
    <row r="19" spans="9:21" x14ac:dyDescent="0.25">
      <c r="I19" s="5" t="s">
        <v>345</v>
      </c>
      <c r="J19" s="5">
        <v>0.05</v>
      </c>
      <c r="M19" s="5">
        <v>18</v>
      </c>
      <c r="N19" s="5" t="s">
        <v>291</v>
      </c>
      <c r="O19" s="5">
        <v>2.7E-2</v>
      </c>
      <c r="P19" s="5">
        <v>2.1999999999999999E-2</v>
      </c>
      <c r="Q19" s="5">
        <v>0.3</v>
      </c>
      <c r="R19" s="5">
        <v>0.4</v>
      </c>
      <c r="S19" s="5">
        <v>0.9</v>
      </c>
      <c r="T19" s="36"/>
      <c r="U19" s="5">
        <f t="shared" si="0"/>
        <v>0.9</v>
      </c>
    </row>
    <row r="20" spans="9:21" x14ac:dyDescent="0.25">
      <c r="I20" s="5" t="s">
        <v>346</v>
      </c>
      <c r="J20" s="5">
        <v>0.08</v>
      </c>
      <c r="M20" s="5">
        <v>19</v>
      </c>
      <c r="N20" s="5" t="s">
        <v>292</v>
      </c>
      <c r="O20" s="5">
        <v>1.4999999999999999E-2</v>
      </c>
      <c r="P20" s="5">
        <v>1.2E-2</v>
      </c>
      <c r="Q20" s="5">
        <v>0.3</v>
      </c>
      <c r="R20" s="5">
        <v>0.54</v>
      </c>
      <c r="S20" s="5">
        <v>0.9</v>
      </c>
      <c r="T20" s="36"/>
      <c r="U20" s="5">
        <f t="shared" si="0"/>
        <v>0.9</v>
      </c>
    </row>
    <row r="21" spans="9:21" x14ac:dyDescent="0.25">
      <c r="I21" s="5" t="s">
        <v>347</v>
      </c>
      <c r="J21" s="5">
        <v>0.05</v>
      </c>
      <c r="M21" s="5">
        <v>20</v>
      </c>
      <c r="N21" s="5" t="s">
        <v>293</v>
      </c>
      <c r="O21" s="5">
        <v>1.4999999999999999E-2</v>
      </c>
      <c r="P21" s="5">
        <v>1.2E-2</v>
      </c>
      <c r="Q21" s="5">
        <v>0.3</v>
      </c>
      <c r="R21" s="5">
        <v>0.8</v>
      </c>
      <c r="S21" s="5">
        <v>0.9</v>
      </c>
      <c r="T21" s="36"/>
      <c r="U21" s="5">
        <f t="shared" si="0"/>
        <v>0.9</v>
      </c>
    </row>
    <row r="22" spans="9:21" x14ac:dyDescent="0.25">
      <c r="I22" s="5" t="s">
        <v>348</v>
      </c>
      <c r="J22" s="5">
        <v>0.11</v>
      </c>
      <c r="M22" s="5">
        <v>21</v>
      </c>
      <c r="N22" s="5" t="s">
        <v>294</v>
      </c>
      <c r="O22" s="5">
        <v>2.5000000000000001E-2</v>
      </c>
      <c r="P22" s="5">
        <v>1.6E-2</v>
      </c>
      <c r="Q22" s="5">
        <v>0.3</v>
      </c>
      <c r="R22" s="5">
        <v>0.8</v>
      </c>
      <c r="S22" s="5">
        <v>0.9</v>
      </c>
      <c r="T22" s="36"/>
      <c r="U22" s="5">
        <f t="shared" si="0"/>
        <v>0.9</v>
      </c>
    </row>
    <row r="23" spans="9:21" x14ac:dyDescent="0.25">
      <c r="I23" s="5" t="s">
        <v>349</v>
      </c>
      <c r="J23" s="5">
        <v>0.08</v>
      </c>
    </row>
    <row r="24" spans="9:21" x14ac:dyDescent="0.25">
      <c r="I24" s="5" t="s">
        <v>350</v>
      </c>
      <c r="J24" s="5">
        <v>0.01</v>
      </c>
    </row>
    <row r="25" spans="9:21" x14ac:dyDescent="0.25">
      <c r="I25" s="5" t="s">
        <v>351</v>
      </c>
      <c r="J25" s="5">
        <v>0.15</v>
      </c>
    </row>
    <row r="26" spans="9:21" x14ac:dyDescent="0.25">
      <c r="I26" s="5" t="s">
        <v>352</v>
      </c>
      <c r="J26" s="5">
        <v>0.05</v>
      </c>
    </row>
    <row r="27" spans="9:21" x14ac:dyDescent="0.25">
      <c r="I27" s="5" t="s">
        <v>353</v>
      </c>
      <c r="J27" s="5">
        <v>0.05</v>
      </c>
    </row>
    <row r="28" spans="9:21" x14ac:dyDescent="0.25">
      <c r="I28" s="134" t="s">
        <v>241</v>
      </c>
      <c r="J28" s="134">
        <v>0.05</v>
      </c>
    </row>
    <row r="29" spans="9:21" x14ac:dyDescent="0.25">
      <c r="I29" s="5" t="s">
        <v>354</v>
      </c>
      <c r="J29" s="5">
        <v>0.15</v>
      </c>
    </row>
    <row r="30" spans="9:21" x14ac:dyDescent="0.25">
      <c r="I30" s="5" t="s">
        <v>355</v>
      </c>
      <c r="J30" s="5">
        <v>0.21</v>
      </c>
    </row>
    <row r="31" spans="9:21" x14ac:dyDescent="0.25">
      <c r="I31" s="5" t="s">
        <v>356</v>
      </c>
      <c r="J31" s="5">
        <v>0.08</v>
      </c>
    </row>
    <row r="32" spans="9:21" x14ac:dyDescent="0.25">
      <c r="I32" s="5" t="s">
        <v>357</v>
      </c>
      <c r="J32" s="5">
        <v>0.05</v>
      </c>
    </row>
    <row r="33" spans="9:11" x14ac:dyDescent="0.25">
      <c r="I33" s="5" t="s">
        <v>358</v>
      </c>
      <c r="J33" s="5">
        <v>0.08</v>
      </c>
    </row>
    <row r="34" spans="9:11" x14ac:dyDescent="0.25">
      <c r="I34" s="5" t="s">
        <v>359</v>
      </c>
      <c r="J34" s="5">
        <v>0.15</v>
      </c>
    </row>
    <row r="35" spans="9:11" x14ac:dyDescent="0.25">
      <c r="I35" s="134" t="s">
        <v>243</v>
      </c>
      <c r="J35" s="134">
        <v>0.21</v>
      </c>
      <c r="K35" s="5" t="s">
        <v>445</v>
      </c>
    </row>
    <row r="36" spans="9:11" x14ac:dyDescent="0.25">
      <c r="I36" s="5" t="s">
        <v>360</v>
      </c>
      <c r="J36" s="5">
        <v>0.11</v>
      </c>
    </row>
    <row r="37" spans="9:11" x14ac:dyDescent="0.25">
      <c r="I37" s="5" t="s">
        <v>361</v>
      </c>
      <c r="J37" s="5">
        <v>0.11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M5" sqref="M5"/>
    </sheetView>
  </sheetViews>
  <sheetFormatPr baseColWidth="10" defaultColWidth="9.140625" defaultRowHeight="15" x14ac:dyDescent="0.25"/>
  <cols>
    <col min="1" max="1" width="18" style="5" customWidth="1"/>
    <col min="2" max="16384" width="9.140625" style="5"/>
  </cols>
  <sheetData>
    <row r="1" spans="1:6" x14ac:dyDescent="0.25">
      <c r="A1" s="5" t="s">
        <v>272</v>
      </c>
      <c r="B1" s="5" t="s">
        <v>362</v>
      </c>
      <c r="E1" s="6"/>
    </row>
    <row r="2" spans="1:6" x14ac:dyDescent="0.25">
      <c r="A2" s="128" t="s">
        <v>237</v>
      </c>
      <c r="B2" s="5">
        <v>12</v>
      </c>
      <c r="C2" s="110"/>
      <c r="D2" s="36"/>
      <c r="E2" s="110"/>
    </row>
    <row r="3" spans="1:6" x14ac:dyDescent="0.25">
      <c r="A3" s="121" t="s">
        <v>363</v>
      </c>
      <c r="B3" s="5">
        <v>12</v>
      </c>
      <c r="C3" s="110"/>
      <c r="E3" s="110"/>
    </row>
    <row r="4" spans="1:6" x14ac:dyDescent="0.25">
      <c r="A4" s="121" t="s">
        <v>364</v>
      </c>
      <c r="B4" s="5">
        <v>5</v>
      </c>
      <c r="E4" s="110"/>
    </row>
    <row r="5" spans="1:6" x14ac:dyDescent="0.25">
      <c r="A5" s="121" t="s">
        <v>269</v>
      </c>
      <c r="B5" s="5">
        <v>5</v>
      </c>
      <c r="E5" s="108"/>
    </row>
    <row r="6" spans="1:6" x14ac:dyDescent="0.25">
      <c r="A6" s="121" t="s">
        <v>365</v>
      </c>
      <c r="B6" s="5">
        <v>6</v>
      </c>
      <c r="E6" s="110"/>
    </row>
    <row r="7" spans="1:6" x14ac:dyDescent="0.25">
      <c r="A7" s="121" t="s">
        <v>366</v>
      </c>
      <c r="B7" s="5">
        <v>1</v>
      </c>
      <c r="E7" s="110"/>
      <c r="F7" s="112"/>
    </row>
    <row r="8" spans="1:6" x14ac:dyDescent="0.25">
      <c r="A8" s="121" t="s">
        <v>234</v>
      </c>
      <c r="B8" s="5">
        <v>3</v>
      </c>
      <c r="E8" s="110"/>
      <c r="F8" s="112"/>
    </row>
    <row r="9" spans="1:6" x14ac:dyDescent="0.25">
      <c r="A9" s="129" t="s">
        <v>367</v>
      </c>
      <c r="B9" s="5">
        <v>13</v>
      </c>
      <c r="C9" s="110"/>
      <c r="E9" s="110"/>
    </row>
    <row r="10" spans="1:6" x14ac:dyDescent="0.25">
      <c r="A10" s="6" t="s">
        <v>280</v>
      </c>
      <c r="B10" s="5">
        <v>7</v>
      </c>
      <c r="C10" s="110"/>
      <c r="E10" s="110"/>
    </row>
    <row r="11" spans="1:6" x14ac:dyDescent="0.25">
      <c r="A11" s="121" t="s">
        <v>368</v>
      </c>
      <c r="B11" s="5">
        <v>1</v>
      </c>
      <c r="E11" s="110"/>
    </row>
    <row r="12" spans="1:6" x14ac:dyDescent="0.25">
      <c r="A12" s="32" t="s">
        <v>369</v>
      </c>
      <c r="B12" s="5">
        <v>12</v>
      </c>
      <c r="E12" s="110"/>
    </row>
    <row r="13" spans="1:6" x14ac:dyDescent="0.25">
      <c r="A13" s="121" t="s">
        <v>370</v>
      </c>
      <c r="B13" s="5">
        <v>12</v>
      </c>
      <c r="E13" s="110"/>
    </row>
    <row r="14" spans="1:6" x14ac:dyDescent="0.25">
      <c r="A14" s="36" t="s">
        <v>371</v>
      </c>
      <c r="B14" s="5">
        <v>13</v>
      </c>
      <c r="E14" s="110"/>
    </row>
    <row r="15" spans="1:6" x14ac:dyDescent="0.25">
      <c r="A15" s="36" t="s">
        <v>372</v>
      </c>
      <c r="B15" s="5">
        <v>7</v>
      </c>
      <c r="E15" s="110"/>
    </row>
    <row r="16" spans="1:6" x14ac:dyDescent="0.25">
      <c r="A16" s="5" t="s">
        <v>238</v>
      </c>
      <c r="B16" s="5">
        <v>12</v>
      </c>
      <c r="E16" s="110"/>
    </row>
    <row r="17" spans="1:5" x14ac:dyDescent="0.25">
      <c r="A17" s="5" t="s">
        <v>146</v>
      </c>
      <c r="B17" s="5">
        <v>2</v>
      </c>
      <c r="E17" s="1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L28" sqref="L28"/>
    </sheetView>
  </sheetViews>
  <sheetFormatPr baseColWidth="10" defaultColWidth="11.42578125" defaultRowHeight="15" x14ac:dyDescent="0.25"/>
  <sheetData>
    <row r="1" spans="1:2" x14ac:dyDescent="0.25">
      <c r="A1" s="102" t="s">
        <v>206</v>
      </c>
    </row>
    <row r="2" spans="1:2" x14ac:dyDescent="0.25">
      <c r="A2" s="103" t="s">
        <v>217</v>
      </c>
    </row>
    <row r="4" spans="1:2" x14ac:dyDescent="0.25">
      <c r="A4" s="102" t="s">
        <v>207</v>
      </c>
    </row>
    <row r="5" spans="1:2" x14ac:dyDescent="0.25">
      <c r="A5" s="103" t="s">
        <v>216</v>
      </c>
    </row>
    <row r="7" spans="1:2" x14ac:dyDescent="0.25">
      <c r="A7" s="6" t="s">
        <v>208</v>
      </c>
    </row>
    <row r="8" spans="1:2" x14ac:dyDescent="0.25">
      <c r="A8" t="s">
        <v>209</v>
      </c>
    </row>
    <row r="9" spans="1:2" x14ac:dyDescent="0.25">
      <c r="A9" t="s">
        <v>211</v>
      </c>
      <c r="B9" t="s">
        <v>227</v>
      </c>
    </row>
    <row r="10" spans="1:2" x14ac:dyDescent="0.25">
      <c r="B10" t="s">
        <v>226</v>
      </c>
    </row>
    <row r="12" spans="1:2" x14ac:dyDescent="0.25">
      <c r="A12" t="s">
        <v>210</v>
      </c>
    </row>
    <row r="13" spans="1:2" x14ac:dyDescent="0.25">
      <c r="A13" t="s">
        <v>211</v>
      </c>
      <c r="B13" t="s">
        <v>228</v>
      </c>
    </row>
    <row r="15" spans="1:2" x14ac:dyDescent="0.25">
      <c r="A15" t="s">
        <v>212</v>
      </c>
    </row>
    <row r="16" spans="1:2" x14ac:dyDescent="0.25">
      <c r="B16" t="s">
        <v>225</v>
      </c>
    </row>
    <row r="17" spans="1:2" x14ac:dyDescent="0.25">
      <c r="B17" t="s">
        <v>213</v>
      </c>
    </row>
    <row r="19" spans="1:2" x14ac:dyDescent="0.25">
      <c r="A19" s="6" t="s">
        <v>214</v>
      </c>
    </row>
    <row r="20" spans="1:2" x14ac:dyDescent="0.25">
      <c r="A20" t="s">
        <v>211</v>
      </c>
      <c r="B20" t="s">
        <v>215</v>
      </c>
    </row>
  </sheetData>
  <pageMargins left="0.7" right="0.7" top="0.78740157499999996" bottom="0.78740157499999996"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39"/>
  <sheetViews>
    <sheetView zoomScale="90" zoomScaleNormal="90" workbookViewId="0">
      <selection activeCell="H23" sqref="H23"/>
    </sheetView>
  </sheetViews>
  <sheetFormatPr baseColWidth="10" defaultColWidth="11.42578125" defaultRowHeight="15" x14ac:dyDescent="0.25"/>
  <cols>
    <col min="1" max="1" width="22.7109375" customWidth="1"/>
    <col min="2" max="2" width="64.28515625" customWidth="1"/>
    <col min="3" max="3" width="30" bestFit="1" customWidth="1"/>
    <col min="4" max="4" width="15.85546875" customWidth="1"/>
    <col min="11" max="11" width="12.28515625" bestFit="1" customWidth="1"/>
  </cols>
  <sheetData>
    <row r="4" spans="1:9" s="5" customFormat="1" x14ac:dyDescent="0.25"/>
    <row r="5" spans="1:9" ht="15" customHeight="1" x14ac:dyDescent="0.25">
      <c r="A5" s="149" t="s">
        <v>2</v>
      </c>
      <c r="B5" s="148" t="s">
        <v>12</v>
      </c>
      <c r="C5" s="146"/>
      <c r="D5" s="147"/>
      <c r="I5" s="24"/>
    </row>
    <row r="6" spans="1:9" s="5" customFormat="1" ht="18.75" customHeight="1" x14ac:dyDescent="0.25">
      <c r="A6" s="149"/>
      <c r="B6" s="148"/>
      <c r="C6" s="146"/>
      <c r="D6" s="147"/>
      <c r="E6" s="22"/>
      <c r="F6" s="22"/>
    </row>
    <row r="7" spans="1:9" s="5" customFormat="1" ht="18.75" customHeight="1" x14ac:dyDescent="0.25">
      <c r="A7" s="149"/>
      <c r="B7" s="148"/>
      <c r="C7" s="22" t="s">
        <v>184</v>
      </c>
      <c r="D7" s="22"/>
      <c r="E7" s="22"/>
      <c r="F7" s="22"/>
    </row>
    <row r="8" spans="1:9" s="5" customFormat="1" ht="18.75" customHeight="1" x14ac:dyDescent="0.25">
      <c r="A8" s="30"/>
      <c r="B8" s="29"/>
      <c r="C8" s="23"/>
      <c r="D8" s="22"/>
      <c r="E8" s="22"/>
      <c r="F8" s="22"/>
    </row>
    <row r="9" spans="1:9" s="5" customFormat="1" ht="18.75" customHeight="1" x14ac:dyDescent="0.25">
      <c r="A9" s="30" t="s">
        <v>10</v>
      </c>
      <c r="B9" s="148" t="s">
        <v>11</v>
      </c>
      <c r="C9" s="23" t="s">
        <v>185</v>
      </c>
      <c r="D9" s="22"/>
      <c r="E9" s="22"/>
      <c r="F9" s="22"/>
    </row>
    <row r="10" spans="1:9" x14ac:dyDescent="0.25">
      <c r="A10" s="5"/>
      <c r="B10" s="148"/>
    </row>
    <row r="11" spans="1:9" s="5" customFormat="1" ht="15" customHeight="1" x14ac:dyDescent="0.25">
      <c r="A11" s="153" t="s">
        <v>13</v>
      </c>
      <c r="B11" s="148" t="s">
        <v>14</v>
      </c>
      <c r="C11" s="147" t="s">
        <v>187</v>
      </c>
    </row>
    <row r="12" spans="1:9" x14ac:dyDescent="0.25">
      <c r="A12" s="153"/>
      <c r="B12" s="148"/>
      <c r="C12" s="147"/>
    </row>
    <row r="13" spans="1:9" s="5" customFormat="1" x14ac:dyDescent="0.25">
      <c r="A13" s="6"/>
    </row>
    <row r="14" spans="1:9" x14ac:dyDescent="0.25">
      <c r="A14" s="7" t="s">
        <v>15</v>
      </c>
      <c r="B14" s="27" t="s">
        <v>16</v>
      </c>
      <c r="C14">
        <v>2.4</v>
      </c>
    </row>
    <row r="15" spans="1:9" x14ac:dyDescent="0.25">
      <c r="A15" s="6"/>
      <c r="B15" s="5"/>
    </row>
    <row r="16" spans="1:9" s="5" customFormat="1" x14ac:dyDescent="0.25">
      <c r="A16" s="35" t="s">
        <v>17</v>
      </c>
      <c r="B16" s="5" t="s">
        <v>18</v>
      </c>
      <c r="C16" s="5" t="s">
        <v>186</v>
      </c>
    </row>
    <row r="17" spans="1:14" x14ac:dyDescent="0.25">
      <c r="B17" s="1"/>
      <c r="C17" s="2"/>
      <c r="D17" s="2"/>
      <c r="E17" s="2"/>
      <c r="F17" s="2"/>
      <c r="G17" s="2"/>
      <c r="H17" s="2"/>
      <c r="I17" s="2"/>
      <c r="J17" s="2"/>
      <c r="K17" s="2"/>
      <c r="L17" s="2"/>
      <c r="M17" s="2"/>
      <c r="N17" s="2"/>
    </row>
    <row r="18" spans="1:14" x14ac:dyDescent="0.25">
      <c r="A18" s="155" t="s">
        <v>19</v>
      </c>
      <c r="B18" s="155"/>
      <c r="C18" s="155"/>
      <c r="D18" s="3"/>
      <c r="E18" s="3"/>
      <c r="F18" s="3"/>
      <c r="G18" s="3"/>
      <c r="I18" s="3"/>
      <c r="J18" s="3"/>
      <c r="L18" s="3"/>
      <c r="M18" s="3"/>
      <c r="N18" s="3"/>
    </row>
    <row r="19" spans="1:14" s="5" customFormat="1" x14ac:dyDescent="0.25">
      <c r="A19" s="154" t="s">
        <v>20</v>
      </c>
    </row>
    <row r="20" spans="1:14" ht="15" customHeight="1" x14ac:dyDescent="0.25">
      <c r="A20" s="154"/>
      <c r="B20" s="28" t="s">
        <v>21</v>
      </c>
      <c r="C20">
        <v>52</v>
      </c>
    </row>
    <row r="21" spans="1:14" x14ac:dyDescent="0.25">
      <c r="A21" s="154"/>
      <c r="B21" s="5"/>
    </row>
    <row r="23" spans="1:14" ht="45" x14ac:dyDescent="0.25">
      <c r="A23" s="25" t="s">
        <v>22</v>
      </c>
      <c r="B23" s="68" t="s">
        <v>24</v>
      </c>
      <c r="C23" s="37"/>
    </row>
    <row r="24" spans="1:14" x14ac:dyDescent="0.25">
      <c r="A24" s="6"/>
      <c r="B24" s="5"/>
    </row>
    <row r="25" spans="1:14" ht="15" customHeight="1" x14ac:dyDescent="0.25">
      <c r="A25" s="152" t="s">
        <v>23</v>
      </c>
      <c r="B25" s="150" t="s">
        <v>25</v>
      </c>
      <c r="C25" s="151"/>
    </row>
    <row r="26" spans="1:14" s="5" customFormat="1" x14ac:dyDescent="0.25">
      <c r="A26" s="152"/>
      <c r="B26" s="150"/>
      <c r="C26" s="151"/>
    </row>
    <row r="27" spans="1:14" x14ac:dyDescent="0.25">
      <c r="A27" s="152"/>
      <c r="B27" s="150"/>
      <c r="C27" s="151"/>
    </row>
    <row r="28" spans="1:14" s="5" customFormat="1" x14ac:dyDescent="0.25">
      <c r="A28" s="6"/>
      <c r="B28" s="26"/>
      <c r="C28" s="4"/>
    </row>
    <row r="29" spans="1:14" ht="32.25" x14ac:dyDescent="0.25">
      <c r="A29" s="25" t="s">
        <v>26</v>
      </c>
      <c r="B29" s="36" t="s">
        <v>27</v>
      </c>
    </row>
    <row r="30" spans="1:14" x14ac:dyDescent="0.25">
      <c r="A30" s="6"/>
      <c r="B30" s="5"/>
    </row>
    <row r="31" spans="1:14" x14ac:dyDescent="0.25">
      <c r="A31" s="7" t="s">
        <v>28</v>
      </c>
      <c r="B31" s="5" t="s">
        <v>29</v>
      </c>
    </row>
    <row r="32" spans="1:14" x14ac:dyDescent="0.25">
      <c r="A32" s="6"/>
      <c r="B32" s="5"/>
    </row>
    <row r="33" spans="1:3" ht="30" x14ac:dyDescent="0.25">
      <c r="A33" s="25" t="s">
        <v>30</v>
      </c>
      <c r="B33" s="81" t="s">
        <v>31</v>
      </c>
    </row>
    <row r="34" spans="1:3" x14ac:dyDescent="0.25">
      <c r="A34" s="25"/>
      <c r="B34" s="5"/>
    </row>
    <row r="35" spans="1:3" ht="30" x14ac:dyDescent="0.25">
      <c r="A35" s="25" t="s">
        <v>32</v>
      </c>
      <c r="B35" s="3" t="s">
        <v>33</v>
      </c>
    </row>
    <row r="36" spans="1:3" x14ac:dyDescent="0.25">
      <c r="A36" s="25"/>
      <c r="B36" s="5"/>
    </row>
    <row r="37" spans="1:3" ht="30" x14ac:dyDescent="0.25">
      <c r="A37" s="69" t="s">
        <v>34</v>
      </c>
      <c r="B37" s="81" t="s">
        <v>35</v>
      </c>
      <c r="C37">
        <v>740</v>
      </c>
    </row>
    <row r="38" spans="1:3" x14ac:dyDescent="0.25">
      <c r="A38" s="25"/>
      <c r="B38" s="5"/>
    </row>
    <row r="39" spans="1:3" ht="30" x14ac:dyDescent="0.25">
      <c r="A39" s="25" t="s">
        <v>36</v>
      </c>
      <c r="B39" s="36" t="s">
        <v>37</v>
      </c>
    </row>
  </sheetData>
  <mergeCells count="13">
    <mergeCell ref="B25:B27"/>
    <mergeCell ref="C25:C27"/>
    <mergeCell ref="A25:A27"/>
    <mergeCell ref="B11:B12"/>
    <mergeCell ref="A11:A12"/>
    <mergeCell ref="C11:C12"/>
    <mergeCell ref="A19:A21"/>
    <mergeCell ref="A18:C18"/>
    <mergeCell ref="C5:C6"/>
    <mergeCell ref="D5:D6"/>
    <mergeCell ref="B5:B7"/>
    <mergeCell ref="A5:A7"/>
    <mergeCell ref="B9:B10"/>
  </mergeCells>
  <pageMargins left="0.7" right="0.7" top="0.78740157499999996" bottom="0.78740157499999996" header="0.3" footer="0.3"/>
  <pageSetup paperSize="9"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zoomScale="60" zoomScaleNormal="60" workbookViewId="0">
      <pane xSplit="3" topLeftCell="I1" activePane="topRight" state="frozen"/>
      <selection pane="topRight" activeCell="D50" sqref="D50:I50"/>
    </sheetView>
  </sheetViews>
  <sheetFormatPr baseColWidth="10" defaultColWidth="11.42578125" defaultRowHeight="15" x14ac:dyDescent="0.25"/>
  <cols>
    <col min="1" max="1" width="11.42578125" style="5"/>
    <col min="2" max="2" width="44.140625" style="5" customWidth="1"/>
    <col min="3" max="3" width="66.42578125" style="5" customWidth="1"/>
    <col min="4" max="4" width="11.42578125" style="5"/>
    <col min="5" max="5" width="32.7109375" style="5" customWidth="1"/>
    <col min="6" max="7" width="11.42578125" style="5"/>
    <col min="8" max="8" width="30.140625" style="5" bestFit="1" customWidth="1"/>
    <col min="9" max="9" width="30.28515625" style="5" bestFit="1" customWidth="1"/>
    <col min="10" max="10" width="1.7109375" style="20" customWidth="1"/>
    <col min="11" max="11" width="12.140625" style="5" bestFit="1" customWidth="1"/>
    <col min="12" max="12" width="35" style="5" bestFit="1" customWidth="1"/>
    <col min="13" max="13" width="9.28515625" style="5" customWidth="1"/>
    <col min="14" max="14" width="13.42578125" style="5" customWidth="1"/>
    <col min="15" max="15" width="30.140625" style="5" bestFit="1" customWidth="1"/>
    <col min="16" max="16" width="30.28515625" style="5" bestFit="1" customWidth="1"/>
    <col min="17" max="17" width="1.7109375" style="20" customWidth="1"/>
    <col min="18" max="18" width="11.42578125" style="5"/>
    <col min="19" max="19" width="34.28515625" style="5" bestFit="1" customWidth="1"/>
    <col min="20" max="20" width="26.5703125" style="5" customWidth="1"/>
    <col min="21" max="21" width="11.42578125" style="5" hidden="1" customWidth="1"/>
    <col min="22" max="22" width="30.140625" style="5" bestFit="1" customWidth="1"/>
    <col min="23" max="23" width="30.28515625" style="5" bestFit="1" customWidth="1"/>
    <col min="24" max="24" width="1.7109375" style="8" customWidth="1"/>
    <col min="25" max="16384" width="11.42578125" style="5"/>
  </cols>
  <sheetData>
    <row r="1" spans="1:24" ht="15.75" thickBot="1" x14ac:dyDescent="0.3">
      <c r="A1" s="18"/>
      <c r="B1" s="19" t="s">
        <v>46</v>
      </c>
      <c r="C1" s="19" t="s">
        <v>55</v>
      </c>
      <c r="D1" s="292" t="s">
        <v>101</v>
      </c>
      <c r="E1" s="293"/>
      <c r="F1" s="293"/>
      <c r="G1" s="293"/>
      <c r="H1" s="293"/>
      <c r="I1" s="293"/>
      <c r="J1" s="60"/>
      <c r="K1" s="292" t="s">
        <v>102</v>
      </c>
      <c r="L1" s="293"/>
      <c r="M1" s="293"/>
      <c r="N1" s="293"/>
      <c r="O1" s="293"/>
      <c r="P1" s="293"/>
      <c r="Q1" s="60"/>
      <c r="R1" s="292" t="s">
        <v>104</v>
      </c>
      <c r="S1" s="293"/>
      <c r="T1" s="293"/>
      <c r="U1" s="293"/>
      <c r="V1" s="293"/>
      <c r="W1" s="293"/>
      <c r="X1" s="61"/>
    </row>
    <row r="2" spans="1:24" ht="15" customHeight="1" x14ac:dyDescent="0.25">
      <c r="A2" s="294" t="s">
        <v>38</v>
      </c>
      <c r="B2" s="297" t="s">
        <v>110</v>
      </c>
      <c r="C2" s="38" t="s">
        <v>56</v>
      </c>
      <c r="D2" s="300" t="s">
        <v>116</v>
      </c>
      <c r="E2" s="301"/>
      <c r="F2" s="301"/>
      <c r="G2" s="301"/>
      <c r="H2" s="301"/>
      <c r="I2" s="301"/>
      <c r="J2" s="21"/>
      <c r="K2" s="302" t="s">
        <v>131</v>
      </c>
      <c r="L2" s="303"/>
      <c r="M2" s="303"/>
      <c r="N2" s="303"/>
      <c r="O2" s="303"/>
      <c r="P2" s="304"/>
      <c r="Q2" s="21"/>
      <c r="R2" s="300" t="s">
        <v>146</v>
      </c>
      <c r="S2" s="301"/>
      <c r="T2" s="301"/>
      <c r="U2" s="301"/>
      <c r="V2" s="301"/>
      <c r="W2" s="301"/>
    </row>
    <row r="3" spans="1:24" x14ac:dyDescent="0.25">
      <c r="A3" s="295"/>
      <c r="B3" s="298"/>
      <c r="C3" s="39" t="s">
        <v>57</v>
      </c>
      <c r="D3" s="283" t="s">
        <v>89</v>
      </c>
      <c r="E3" s="284"/>
      <c r="F3" s="284"/>
      <c r="G3" s="284"/>
      <c r="H3" s="284"/>
      <c r="I3" s="284"/>
      <c r="J3" s="21"/>
      <c r="K3" s="285" t="s">
        <v>89</v>
      </c>
      <c r="L3" s="286"/>
      <c r="M3" s="286"/>
      <c r="N3" s="286"/>
      <c r="O3" s="286"/>
      <c r="P3" s="287"/>
      <c r="Q3" s="21"/>
      <c r="R3" s="283" t="s">
        <v>89</v>
      </c>
      <c r="S3" s="284"/>
      <c r="T3" s="284"/>
      <c r="U3" s="284"/>
      <c r="V3" s="284"/>
      <c r="W3" s="284"/>
    </row>
    <row r="4" spans="1:24" x14ac:dyDescent="0.25">
      <c r="A4" s="295"/>
      <c r="B4" s="298"/>
      <c r="C4" s="39" t="s">
        <v>58</v>
      </c>
      <c r="D4" s="288" t="s">
        <v>117</v>
      </c>
      <c r="E4" s="288"/>
      <c r="F4" s="288"/>
      <c r="G4" s="288"/>
      <c r="H4" s="288"/>
      <c r="I4" s="288"/>
      <c r="J4" s="62"/>
      <c r="K4" s="289" t="s">
        <v>117</v>
      </c>
      <c r="L4" s="290"/>
      <c r="M4" s="290"/>
      <c r="N4" s="290"/>
      <c r="O4" s="290"/>
      <c r="P4" s="291"/>
      <c r="Q4" s="62"/>
      <c r="R4" s="288" t="s">
        <v>117</v>
      </c>
      <c r="S4" s="288"/>
      <c r="T4" s="288"/>
      <c r="U4" s="288"/>
      <c r="V4" s="288"/>
      <c r="W4" s="288"/>
      <c r="X4" s="63"/>
    </row>
    <row r="5" spans="1:24" ht="15.75" thickBot="1" x14ac:dyDescent="0.3">
      <c r="A5" s="296"/>
      <c r="B5" s="299"/>
      <c r="C5" s="57" t="s">
        <v>59</v>
      </c>
      <c r="D5" s="305" t="s">
        <v>8</v>
      </c>
      <c r="E5" s="306"/>
      <c r="F5" s="306"/>
      <c r="G5" s="306"/>
      <c r="H5" s="306"/>
      <c r="I5" s="307"/>
      <c r="J5" s="64"/>
      <c r="K5" s="305" t="s">
        <v>130</v>
      </c>
      <c r="L5" s="306"/>
      <c r="M5" s="306"/>
      <c r="N5" s="306"/>
      <c r="O5" s="306"/>
      <c r="P5" s="307"/>
      <c r="Q5" s="64"/>
      <c r="R5" s="305" t="s">
        <v>130</v>
      </c>
      <c r="S5" s="306"/>
      <c r="T5" s="306"/>
      <c r="U5" s="306"/>
      <c r="V5" s="306"/>
      <c r="W5" s="307"/>
      <c r="X5" s="65"/>
    </row>
    <row r="6" spans="1:24" ht="15.75" thickBot="1" x14ac:dyDescent="0.3">
      <c r="A6" s="9"/>
      <c r="B6" s="11"/>
      <c r="C6" s="56"/>
      <c r="D6" s="172"/>
      <c r="E6" s="173"/>
      <c r="F6" s="173"/>
      <c r="G6" s="173"/>
      <c r="H6" s="173"/>
      <c r="I6" s="173"/>
      <c r="K6" s="199"/>
      <c r="L6" s="200"/>
      <c r="M6" s="200"/>
      <c r="N6" s="200"/>
      <c r="O6" s="200"/>
      <c r="P6" s="200"/>
      <c r="R6" s="172"/>
      <c r="S6" s="173"/>
      <c r="T6" s="173"/>
      <c r="U6" s="173"/>
      <c r="V6" s="173"/>
      <c r="W6" s="173"/>
    </row>
    <row r="7" spans="1:24" ht="15" customHeight="1" thickBot="1" x14ac:dyDescent="0.3">
      <c r="A7" s="273" t="s">
        <v>39</v>
      </c>
      <c r="B7" s="274" t="s">
        <v>50</v>
      </c>
      <c r="C7" s="54" t="s">
        <v>47</v>
      </c>
      <c r="D7" s="275" t="s">
        <v>155</v>
      </c>
      <c r="E7" s="276"/>
      <c r="F7" s="276"/>
      <c r="G7" s="276"/>
      <c r="H7" s="276"/>
      <c r="I7" s="276"/>
      <c r="K7" s="277" t="s">
        <v>164</v>
      </c>
      <c r="L7" s="210"/>
      <c r="M7" s="210"/>
      <c r="N7" s="210"/>
      <c r="O7" s="210"/>
      <c r="P7" s="209"/>
      <c r="R7" s="275" t="s">
        <v>173</v>
      </c>
      <c r="S7" s="276"/>
      <c r="T7" s="276"/>
      <c r="U7" s="276"/>
      <c r="V7" s="276"/>
      <c r="W7" s="276"/>
    </row>
    <row r="8" spans="1:24" x14ac:dyDescent="0.25">
      <c r="A8" s="273"/>
      <c r="B8" s="274"/>
      <c r="C8" s="12" t="s">
        <v>48</v>
      </c>
      <c r="D8" s="275" t="s">
        <v>156</v>
      </c>
      <c r="E8" s="276"/>
      <c r="F8" s="276"/>
      <c r="G8" s="276"/>
      <c r="H8" s="276"/>
      <c r="I8" s="276"/>
      <c r="K8" s="278" t="s">
        <v>165</v>
      </c>
      <c r="L8" s="279"/>
      <c r="M8" s="279"/>
      <c r="N8" s="279"/>
      <c r="O8" s="279"/>
      <c r="P8" s="280"/>
      <c r="R8" s="281" t="s">
        <v>174</v>
      </c>
      <c r="S8" s="282"/>
      <c r="T8" s="282"/>
      <c r="U8" s="282"/>
      <c r="V8" s="282"/>
      <c r="W8" s="282"/>
    </row>
    <row r="9" spans="1:24" ht="15.75" thickBot="1" x14ac:dyDescent="0.3">
      <c r="A9" s="273"/>
      <c r="B9" s="274"/>
      <c r="C9" s="55" t="s">
        <v>49</v>
      </c>
      <c r="D9" s="268" t="s">
        <v>157</v>
      </c>
      <c r="E9" s="269"/>
      <c r="F9" s="269"/>
      <c r="G9" s="269"/>
      <c r="H9" s="269"/>
      <c r="I9" s="269"/>
      <c r="K9" s="270" t="s">
        <v>166</v>
      </c>
      <c r="L9" s="271"/>
      <c r="M9" s="271"/>
      <c r="N9" s="271"/>
      <c r="O9" s="271"/>
      <c r="P9" s="272"/>
      <c r="R9" s="268" t="s">
        <v>175</v>
      </c>
      <c r="S9" s="269"/>
      <c r="T9" s="269"/>
      <c r="U9" s="269"/>
      <c r="V9" s="269"/>
      <c r="W9" s="269"/>
    </row>
    <row r="10" spans="1:24" ht="15.75" thickBot="1" x14ac:dyDescent="0.3">
      <c r="A10" s="10"/>
      <c r="B10" s="13"/>
      <c r="C10" s="13"/>
      <c r="D10" s="172"/>
      <c r="E10" s="173"/>
      <c r="F10" s="173"/>
      <c r="G10" s="173"/>
      <c r="H10" s="173"/>
      <c r="I10" s="173"/>
      <c r="K10" s="199"/>
      <c r="L10" s="200"/>
      <c r="M10" s="200"/>
      <c r="N10" s="200"/>
      <c r="O10" s="200"/>
      <c r="P10" s="200"/>
      <c r="R10" s="172"/>
      <c r="S10" s="173"/>
      <c r="T10" s="173"/>
      <c r="U10" s="173"/>
      <c r="V10" s="173"/>
      <c r="W10" s="173"/>
    </row>
    <row r="11" spans="1:24" x14ac:dyDescent="0.25">
      <c r="A11" s="257" t="s">
        <v>40</v>
      </c>
      <c r="B11" s="260" t="s">
        <v>51</v>
      </c>
      <c r="C11" s="52" t="s">
        <v>60</v>
      </c>
      <c r="D11" s="263" t="s">
        <v>119</v>
      </c>
      <c r="E11" s="264"/>
      <c r="F11" s="264"/>
      <c r="G11" s="264"/>
      <c r="H11" s="264"/>
      <c r="I11" s="264"/>
      <c r="K11" s="265" t="s">
        <v>132</v>
      </c>
      <c r="L11" s="214"/>
      <c r="M11" s="214"/>
      <c r="N11" s="214"/>
      <c r="O11" s="214"/>
      <c r="P11" s="215"/>
      <c r="R11" s="263" t="s">
        <v>147</v>
      </c>
      <c r="S11" s="264"/>
      <c r="T11" s="264"/>
      <c r="U11" s="264"/>
      <c r="V11" s="264"/>
      <c r="W11" s="264"/>
    </row>
    <row r="12" spans="1:24" x14ac:dyDescent="0.25">
      <c r="A12" s="258"/>
      <c r="B12" s="261"/>
      <c r="C12" s="14" t="s">
        <v>61</v>
      </c>
      <c r="D12" s="266" t="s">
        <v>120</v>
      </c>
      <c r="E12" s="219"/>
      <c r="F12" s="219"/>
      <c r="G12" s="219"/>
      <c r="H12" s="219"/>
      <c r="I12" s="219"/>
      <c r="K12" s="267">
        <v>195</v>
      </c>
      <c r="L12" s="217"/>
      <c r="M12" s="217"/>
      <c r="N12" s="217"/>
      <c r="O12" s="217"/>
      <c r="P12" s="218"/>
      <c r="R12" s="266">
        <v>160</v>
      </c>
      <c r="S12" s="219"/>
      <c r="T12" s="219"/>
      <c r="U12" s="219"/>
      <c r="V12" s="219"/>
      <c r="W12" s="219"/>
    </row>
    <row r="13" spans="1:24" ht="15.75" thickBot="1" x14ac:dyDescent="0.3">
      <c r="A13" s="259"/>
      <c r="B13" s="262"/>
      <c r="C13" s="53" t="s">
        <v>62</v>
      </c>
      <c r="D13" s="255" t="s">
        <v>158</v>
      </c>
      <c r="E13" s="211"/>
      <c r="F13" s="211"/>
      <c r="G13" s="211"/>
      <c r="H13" s="211"/>
      <c r="I13" s="211"/>
      <c r="K13" s="256" t="s">
        <v>167</v>
      </c>
      <c r="L13" s="220"/>
      <c r="M13" s="220"/>
      <c r="N13" s="220"/>
      <c r="O13" s="220"/>
      <c r="P13" s="221"/>
      <c r="R13" s="255" t="s">
        <v>176</v>
      </c>
      <c r="S13" s="211"/>
      <c r="T13" s="211"/>
      <c r="U13" s="211"/>
      <c r="V13" s="211"/>
      <c r="W13" s="211"/>
    </row>
    <row r="14" spans="1:24" ht="15.75" thickBot="1" x14ac:dyDescent="0.3">
      <c r="A14" s="10"/>
      <c r="B14" s="13"/>
      <c r="C14" s="13"/>
      <c r="D14" s="172"/>
      <c r="E14" s="173"/>
      <c r="F14" s="173"/>
      <c r="G14" s="173"/>
      <c r="H14" s="173"/>
      <c r="I14" s="173"/>
      <c r="K14" s="199"/>
      <c r="L14" s="200"/>
      <c r="M14" s="200"/>
      <c r="N14" s="200"/>
      <c r="O14" s="200"/>
      <c r="P14" s="200"/>
      <c r="R14" s="172"/>
      <c r="S14" s="173"/>
      <c r="T14" s="173"/>
      <c r="U14" s="173"/>
      <c r="V14" s="173"/>
      <c r="W14" s="173"/>
    </row>
    <row r="15" spans="1:24" ht="15.75" thickBot="1" x14ac:dyDescent="0.3">
      <c r="A15" s="250" t="s">
        <v>41</v>
      </c>
      <c r="B15" s="239" t="s">
        <v>52</v>
      </c>
      <c r="C15" s="46" t="s">
        <v>63</v>
      </c>
      <c r="D15" s="47" t="s">
        <v>90</v>
      </c>
      <c r="E15" s="89" t="s">
        <v>111</v>
      </c>
      <c r="F15" s="238" t="s">
        <v>92</v>
      </c>
      <c r="G15" s="236"/>
      <c r="H15" s="89" t="s">
        <v>113</v>
      </c>
      <c r="I15" s="89" t="s">
        <v>96</v>
      </c>
      <c r="K15" s="47" t="s">
        <v>90</v>
      </c>
      <c r="L15" s="89" t="s">
        <v>111</v>
      </c>
      <c r="M15" s="238" t="s">
        <v>92</v>
      </c>
      <c r="N15" s="236"/>
      <c r="O15" s="89" t="s">
        <v>113</v>
      </c>
      <c r="P15" s="89" t="s">
        <v>96</v>
      </c>
      <c r="R15" s="47" t="s">
        <v>90</v>
      </c>
      <c r="S15" s="89" t="s">
        <v>111</v>
      </c>
      <c r="T15" s="238" t="s">
        <v>92</v>
      </c>
      <c r="U15" s="236"/>
      <c r="V15" s="89" t="s">
        <v>113</v>
      </c>
      <c r="W15" s="89" t="s">
        <v>96</v>
      </c>
    </row>
    <row r="16" spans="1:24" ht="15" customHeight="1" x14ac:dyDescent="0.25">
      <c r="A16" s="251"/>
      <c r="B16" s="240"/>
      <c r="C16" s="41" t="s">
        <v>64</v>
      </c>
      <c r="D16" s="48" t="s">
        <v>7</v>
      </c>
      <c r="E16" s="66" t="s">
        <v>9</v>
      </c>
      <c r="F16" s="246" t="s">
        <v>97</v>
      </c>
      <c r="G16" s="246"/>
      <c r="H16" s="91">
        <v>300</v>
      </c>
      <c r="I16" s="87" t="s">
        <v>159</v>
      </c>
      <c r="K16" s="48" t="s">
        <v>7</v>
      </c>
      <c r="L16" s="66" t="s">
        <v>9</v>
      </c>
      <c r="M16" s="243" t="s">
        <v>97</v>
      </c>
      <c r="N16" s="180"/>
      <c r="O16" s="91">
        <v>250</v>
      </c>
      <c r="P16" s="87" t="s">
        <v>168</v>
      </c>
      <c r="R16" s="48" t="s">
        <v>7</v>
      </c>
      <c r="S16" s="66" t="s">
        <v>9</v>
      </c>
      <c r="T16" s="246" t="s">
        <v>97</v>
      </c>
      <c r="U16" s="246"/>
      <c r="V16" s="92">
        <v>300</v>
      </c>
      <c r="W16" s="92" t="s">
        <v>177</v>
      </c>
    </row>
    <row r="17" spans="1:23" x14ac:dyDescent="0.25">
      <c r="A17" s="251"/>
      <c r="B17" s="240"/>
      <c r="C17" s="15" t="s">
        <v>65</v>
      </c>
      <c r="D17" s="49"/>
      <c r="E17" s="40"/>
      <c r="F17" s="242"/>
      <c r="G17" s="157"/>
      <c r="H17" s="84"/>
      <c r="I17" s="84"/>
      <c r="K17" s="49"/>
      <c r="L17" s="40"/>
      <c r="M17" s="242"/>
      <c r="N17" s="157"/>
      <c r="O17" s="84"/>
      <c r="P17" s="84"/>
      <c r="R17" s="49"/>
      <c r="S17" s="40"/>
      <c r="T17" s="242"/>
      <c r="U17" s="157"/>
      <c r="V17" s="84"/>
      <c r="W17" s="84"/>
    </row>
    <row r="18" spans="1:23" x14ac:dyDescent="0.25">
      <c r="A18" s="251"/>
      <c r="B18" s="240"/>
      <c r="C18" s="15" t="s">
        <v>66</v>
      </c>
      <c r="D18" s="49"/>
      <c r="E18" s="84"/>
      <c r="F18" s="242"/>
      <c r="G18" s="157"/>
      <c r="H18" s="84"/>
      <c r="I18" s="84"/>
      <c r="K18" s="49"/>
      <c r="L18" s="84"/>
      <c r="M18" s="242"/>
      <c r="N18" s="157"/>
      <c r="O18" s="84"/>
      <c r="P18" s="84"/>
      <c r="R18" s="49"/>
      <c r="S18" s="84"/>
      <c r="T18" s="242"/>
      <c r="U18" s="157"/>
      <c r="V18" s="84"/>
      <c r="W18" s="84"/>
    </row>
    <row r="19" spans="1:23" x14ac:dyDescent="0.25">
      <c r="A19" s="251"/>
      <c r="B19" s="240"/>
      <c r="C19" s="15" t="s">
        <v>67</v>
      </c>
      <c r="D19" s="49"/>
      <c r="E19" s="84"/>
      <c r="F19" s="242"/>
      <c r="G19" s="157"/>
      <c r="H19" s="84"/>
      <c r="I19" s="84"/>
      <c r="K19" s="49"/>
      <c r="L19" s="84"/>
      <c r="M19" s="242"/>
      <c r="N19" s="157"/>
      <c r="O19" s="84"/>
      <c r="P19" s="84"/>
      <c r="R19" s="49"/>
      <c r="S19" s="84"/>
      <c r="T19" s="242"/>
      <c r="U19" s="157"/>
      <c r="V19" s="84"/>
      <c r="W19" s="84"/>
    </row>
    <row r="20" spans="1:23" x14ac:dyDescent="0.25">
      <c r="A20" s="251"/>
      <c r="B20" s="240"/>
      <c r="C20" s="15" t="s">
        <v>68</v>
      </c>
      <c r="D20" s="49"/>
      <c r="E20" s="84"/>
      <c r="F20" s="242"/>
      <c r="G20" s="157"/>
      <c r="H20" s="84"/>
      <c r="I20" s="84"/>
      <c r="K20" s="49"/>
      <c r="L20" s="84"/>
      <c r="M20" s="242"/>
      <c r="N20" s="157"/>
      <c r="O20" s="84"/>
      <c r="P20" s="84"/>
      <c r="R20" s="49"/>
      <c r="S20" s="84"/>
      <c r="T20" s="242"/>
      <c r="U20" s="157"/>
      <c r="V20" s="84"/>
      <c r="W20" s="84"/>
    </row>
    <row r="21" spans="1:23" x14ac:dyDescent="0.25">
      <c r="A21" s="251"/>
      <c r="B21" s="240"/>
      <c r="C21" s="15" t="s">
        <v>1</v>
      </c>
      <c r="D21" s="49"/>
      <c r="E21" s="84"/>
      <c r="F21" s="242"/>
      <c r="G21" s="157"/>
      <c r="H21" s="84"/>
      <c r="I21" s="84"/>
      <c r="K21" s="49"/>
      <c r="L21" s="84"/>
      <c r="M21" s="242"/>
      <c r="N21" s="157"/>
      <c r="O21" s="84"/>
      <c r="P21" s="84"/>
      <c r="R21" s="49"/>
      <c r="S21" s="84"/>
      <c r="T21" s="242"/>
      <c r="U21" s="157"/>
      <c r="V21" s="84"/>
      <c r="W21" s="84"/>
    </row>
    <row r="22" spans="1:23" ht="15.75" thickBot="1" x14ac:dyDescent="0.3">
      <c r="A22" s="251"/>
      <c r="B22" s="240"/>
      <c r="C22" s="31" t="s">
        <v>69</v>
      </c>
      <c r="D22" s="50"/>
      <c r="E22" s="45"/>
      <c r="F22" s="253"/>
      <c r="G22" s="254"/>
      <c r="H22" s="45"/>
      <c r="I22" s="45"/>
      <c r="K22" s="50"/>
      <c r="L22" s="45"/>
      <c r="M22" s="233"/>
      <c r="N22" s="234"/>
      <c r="O22" s="45"/>
      <c r="P22" s="45"/>
      <c r="R22" s="50"/>
      <c r="S22" s="45"/>
      <c r="T22" s="253"/>
      <c r="U22" s="254"/>
      <c r="V22" s="45"/>
      <c r="W22" s="45"/>
    </row>
    <row r="23" spans="1:23" ht="18" thickBot="1" x14ac:dyDescent="0.3">
      <c r="A23" s="251"/>
      <c r="B23" s="240"/>
      <c r="C23" s="46" t="s">
        <v>70</v>
      </c>
      <c r="D23" s="47" t="s">
        <v>90</v>
      </c>
      <c r="E23" s="89" t="s">
        <v>91</v>
      </c>
      <c r="F23" s="238" t="s">
        <v>92</v>
      </c>
      <c r="G23" s="236"/>
      <c r="H23" s="89" t="s">
        <v>114</v>
      </c>
      <c r="I23" s="89" t="s">
        <v>96</v>
      </c>
      <c r="K23" s="47" t="s">
        <v>90</v>
      </c>
      <c r="L23" s="89" t="s">
        <v>91</v>
      </c>
      <c r="M23" s="238" t="s">
        <v>92</v>
      </c>
      <c r="N23" s="236"/>
      <c r="O23" s="89" t="s">
        <v>114</v>
      </c>
      <c r="P23" s="89" t="s">
        <v>96</v>
      </c>
      <c r="R23" s="47" t="s">
        <v>90</v>
      </c>
      <c r="S23" s="89" t="s">
        <v>91</v>
      </c>
      <c r="T23" s="238" t="s">
        <v>92</v>
      </c>
      <c r="U23" s="236"/>
      <c r="V23" s="89" t="s">
        <v>114</v>
      </c>
      <c r="W23" s="89" t="s">
        <v>96</v>
      </c>
    </row>
    <row r="24" spans="1:23" x14ac:dyDescent="0.25">
      <c r="A24" s="251"/>
      <c r="B24" s="240"/>
      <c r="C24" s="41" t="s">
        <v>71</v>
      </c>
      <c r="D24" s="48"/>
      <c r="E24" s="87"/>
      <c r="F24" s="244"/>
      <c r="G24" s="245"/>
      <c r="H24" s="87"/>
      <c r="I24" s="87"/>
      <c r="K24" s="48"/>
      <c r="L24" s="87"/>
      <c r="M24" s="243"/>
      <c r="N24" s="180"/>
      <c r="O24" s="87"/>
      <c r="P24" s="87"/>
      <c r="R24" s="48"/>
      <c r="S24" s="87"/>
      <c r="T24" s="244"/>
      <c r="U24" s="245"/>
      <c r="V24" s="87"/>
      <c r="W24" s="87"/>
    </row>
    <row r="25" spans="1:23" ht="15.75" thickBot="1" x14ac:dyDescent="0.3">
      <c r="A25" s="252"/>
      <c r="B25" s="241"/>
      <c r="C25" s="43" t="s">
        <v>72</v>
      </c>
      <c r="D25" s="51"/>
      <c r="E25" s="44" t="s">
        <v>122</v>
      </c>
      <c r="F25" s="233" t="s">
        <v>121</v>
      </c>
      <c r="G25" s="234"/>
      <c r="H25" s="44">
        <v>30</v>
      </c>
      <c r="I25" s="87" t="s">
        <v>205</v>
      </c>
      <c r="K25" s="51"/>
      <c r="L25" s="44" t="s">
        <v>122</v>
      </c>
      <c r="M25" s="233" t="s">
        <v>121</v>
      </c>
      <c r="N25" s="234"/>
      <c r="O25" s="44">
        <v>30</v>
      </c>
      <c r="P25" s="87" t="s">
        <v>169</v>
      </c>
      <c r="R25" s="51"/>
      <c r="S25" s="44" t="s">
        <v>122</v>
      </c>
      <c r="T25" s="233" t="s">
        <v>121</v>
      </c>
      <c r="U25" s="234"/>
      <c r="V25" s="92">
        <v>30</v>
      </c>
      <c r="W25" s="87" t="s">
        <v>178</v>
      </c>
    </row>
    <row r="26" spans="1:23" ht="15.75" thickBot="1" x14ac:dyDescent="0.3">
      <c r="A26" s="16"/>
      <c r="B26" s="13"/>
      <c r="C26" s="13"/>
      <c r="D26" s="172"/>
      <c r="E26" s="173"/>
      <c r="F26" s="173"/>
      <c r="G26" s="173"/>
      <c r="H26" s="173"/>
      <c r="I26" s="173"/>
      <c r="K26" s="199"/>
      <c r="L26" s="200"/>
      <c r="M26" s="200"/>
      <c r="N26" s="200"/>
      <c r="O26" s="200"/>
      <c r="P26" s="200"/>
      <c r="R26" s="172"/>
      <c r="S26" s="173"/>
      <c r="T26" s="173"/>
      <c r="U26" s="173"/>
      <c r="V26" s="173"/>
      <c r="W26" s="173"/>
    </row>
    <row r="27" spans="1:23" ht="60" customHeight="1" thickBot="1" x14ac:dyDescent="0.3">
      <c r="A27" s="174" t="s">
        <v>42</v>
      </c>
      <c r="B27" s="239" t="s">
        <v>112</v>
      </c>
      <c r="C27" s="46"/>
      <c r="D27" s="88" t="s">
        <v>90</v>
      </c>
      <c r="E27" s="89" t="s">
        <v>93</v>
      </c>
      <c r="F27" s="248" t="s">
        <v>113</v>
      </c>
      <c r="G27" s="249"/>
      <c r="H27" s="247" t="s">
        <v>96</v>
      </c>
      <c r="I27" s="247"/>
      <c r="K27" s="88" t="s">
        <v>90</v>
      </c>
      <c r="L27" s="89" t="s">
        <v>93</v>
      </c>
      <c r="M27" s="248" t="s">
        <v>113</v>
      </c>
      <c r="N27" s="249"/>
      <c r="O27" s="248" t="s">
        <v>96</v>
      </c>
      <c r="P27" s="249"/>
      <c r="R27" s="88" t="s">
        <v>90</v>
      </c>
      <c r="S27" s="89" t="s">
        <v>93</v>
      </c>
      <c r="T27" s="238" t="s">
        <v>113</v>
      </c>
      <c r="U27" s="236"/>
      <c r="V27" s="247" t="s">
        <v>96</v>
      </c>
      <c r="W27" s="247"/>
    </row>
    <row r="28" spans="1:23" ht="17.25" customHeight="1" x14ac:dyDescent="0.25">
      <c r="A28" s="175"/>
      <c r="B28" s="240"/>
      <c r="C28" s="41" t="s">
        <v>73</v>
      </c>
      <c r="D28" s="91" t="s">
        <v>123</v>
      </c>
      <c r="E28" s="87" t="s">
        <v>124</v>
      </c>
      <c r="F28" s="244" t="s">
        <v>126</v>
      </c>
      <c r="G28" s="245"/>
      <c r="H28" s="246" t="s">
        <v>160</v>
      </c>
      <c r="I28" s="246"/>
      <c r="K28" s="91" t="s">
        <v>153</v>
      </c>
      <c r="L28" s="87" t="s">
        <v>149</v>
      </c>
      <c r="M28" s="243">
        <v>2.5</v>
      </c>
      <c r="N28" s="180"/>
      <c r="O28" s="243" t="s">
        <v>170</v>
      </c>
      <c r="P28" s="180"/>
      <c r="R28" s="91" t="s">
        <v>148</v>
      </c>
      <c r="S28" s="87" t="s">
        <v>149</v>
      </c>
      <c r="T28" s="244" t="s">
        <v>150</v>
      </c>
      <c r="U28" s="245"/>
      <c r="V28" s="243" t="s">
        <v>179</v>
      </c>
      <c r="W28" s="180"/>
    </row>
    <row r="29" spans="1:23" ht="17.25" customHeight="1" thickBot="1" x14ac:dyDescent="0.3">
      <c r="A29" s="175"/>
      <c r="B29" s="240"/>
      <c r="C29" s="15" t="s">
        <v>73</v>
      </c>
      <c r="D29" s="83" t="s">
        <v>125</v>
      </c>
      <c r="E29" s="87" t="s">
        <v>124</v>
      </c>
      <c r="F29" s="242" t="s">
        <v>127</v>
      </c>
      <c r="G29" s="157"/>
      <c r="H29" s="246" t="s">
        <v>160</v>
      </c>
      <c r="I29" s="246"/>
      <c r="K29" s="83"/>
      <c r="L29" s="84"/>
      <c r="M29" s="242"/>
      <c r="N29" s="157"/>
      <c r="O29" s="242"/>
      <c r="P29" s="157"/>
      <c r="R29" s="83"/>
      <c r="S29" s="84"/>
      <c r="T29" s="242"/>
      <c r="U29" s="157"/>
      <c r="V29" s="242"/>
      <c r="W29" s="157"/>
    </row>
    <row r="30" spans="1:23" x14ac:dyDescent="0.25">
      <c r="A30" s="175"/>
      <c r="B30" s="240"/>
      <c r="C30" s="15" t="s">
        <v>74</v>
      </c>
      <c r="D30" s="83"/>
      <c r="E30" s="84"/>
      <c r="F30" s="242"/>
      <c r="G30" s="157"/>
      <c r="H30" s="158"/>
      <c r="I30" s="158"/>
      <c r="K30" s="83"/>
      <c r="L30" s="84"/>
      <c r="M30" s="242"/>
      <c r="N30" s="157"/>
      <c r="O30" s="242"/>
      <c r="P30" s="157"/>
      <c r="R30" s="83" t="s">
        <v>125</v>
      </c>
      <c r="S30" s="84" t="s">
        <v>149</v>
      </c>
      <c r="T30" s="242" t="s">
        <v>151</v>
      </c>
      <c r="U30" s="157"/>
      <c r="V30" s="243" t="s">
        <v>180</v>
      </c>
      <c r="W30" s="180"/>
    </row>
    <row r="31" spans="1:23" x14ac:dyDescent="0.25">
      <c r="A31" s="175"/>
      <c r="B31" s="240"/>
      <c r="C31" s="15" t="s">
        <v>75</v>
      </c>
      <c r="D31" s="83"/>
      <c r="E31" s="84"/>
      <c r="F31" s="158"/>
      <c r="G31" s="158"/>
      <c r="H31" s="158"/>
      <c r="I31" s="158"/>
      <c r="K31" s="83"/>
      <c r="L31" s="84"/>
      <c r="M31" s="242"/>
      <c r="N31" s="157"/>
      <c r="O31" s="242"/>
      <c r="P31" s="157"/>
      <c r="R31" s="83"/>
      <c r="S31" s="84"/>
      <c r="T31" s="158"/>
      <c r="U31" s="158"/>
      <c r="V31" s="158"/>
      <c r="W31" s="158"/>
    </row>
    <row r="32" spans="1:23" x14ac:dyDescent="0.25">
      <c r="A32" s="175"/>
      <c r="B32" s="240"/>
      <c r="C32" s="15" t="s">
        <v>75</v>
      </c>
      <c r="D32" s="83"/>
      <c r="E32" s="84"/>
      <c r="F32" s="242"/>
      <c r="G32" s="157"/>
      <c r="H32" s="242"/>
      <c r="I32" s="157"/>
      <c r="K32" s="83"/>
      <c r="L32" s="84"/>
      <c r="M32" s="242"/>
      <c r="N32" s="157"/>
      <c r="O32" s="242"/>
      <c r="P32" s="157"/>
      <c r="R32" s="83"/>
      <c r="S32" s="84"/>
      <c r="T32" s="242"/>
      <c r="U32" s="157"/>
      <c r="V32" s="242"/>
      <c r="W32" s="157"/>
    </row>
    <row r="33" spans="1:24" ht="15.75" thickBot="1" x14ac:dyDescent="0.3">
      <c r="A33" s="175"/>
      <c r="B33" s="240"/>
      <c r="C33" s="43" t="s">
        <v>75</v>
      </c>
      <c r="D33" s="90"/>
      <c r="E33" s="44"/>
      <c r="F33" s="233"/>
      <c r="G33" s="234"/>
      <c r="H33" s="233"/>
      <c r="I33" s="234"/>
      <c r="K33" s="90"/>
      <c r="L33" s="44"/>
      <c r="M33" s="233"/>
      <c r="N33" s="234"/>
      <c r="O33" s="233"/>
      <c r="P33" s="234"/>
      <c r="R33" s="90"/>
      <c r="S33" s="44"/>
      <c r="T33" s="233"/>
      <c r="U33" s="234"/>
      <c r="V33" s="233"/>
      <c r="W33" s="234"/>
    </row>
    <row r="34" spans="1:24" s="32" customFormat="1" ht="15.75" thickBot="1" x14ac:dyDescent="0.3">
      <c r="A34" s="176"/>
      <c r="B34" s="241"/>
      <c r="C34" s="46" t="s">
        <v>76</v>
      </c>
      <c r="D34" s="235"/>
      <c r="E34" s="235"/>
      <c r="F34" s="235"/>
      <c r="G34" s="236"/>
      <c r="H34" s="237"/>
      <c r="I34" s="237"/>
      <c r="J34" s="33"/>
      <c r="K34" s="235"/>
      <c r="L34" s="235"/>
      <c r="M34" s="235"/>
      <c r="N34" s="236"/>
      <c r="O34" s="238"/>
      <c r="P34" s="236"/>
      <c r="Q34" s="33"/>
      <c r="R34" s="235"/>
      <c r="S34" s="235"/>
      <c r="T34" s="235"/>
      <c r="U34" s="236"/>
      <c r="V34" s="237"/>
      <c r="W34" s="237"/>
      <c r="X34" s="33"/>
    </row>
    <row r="35" spans="1:24" ht="15.75" thickBot="1" x14ac:dyDescent="0.3">
      <c r="A35" s="10"/>
      <c r="B35" s="13"/>
      <c r="C35" s="13"/>
      <c r="D35" s="172"/>
      <c r="E35" s="173"/>
      <c r="F35" s="173"/>
      <c r="G35" s="173"/>
      <c r="H35" s="173"/>
      <c r="I35" s="173"/>
      <c r="K35" s="199"/>
      <c r="L35" s="200"/>
      <c r="M35" s="200"/>
      <c r="N35" s="200"/>
      <c r="O35" s="200"/>
      <c r="P35" s="200"/>
      <c r="R35" s="172"/>
      <c r="S35" s="173"/>
      <c r="T35" s="173"/>
      <c r="U35" s="173"/>
      <c r="V35" s="173"/>
      <c r="W35" s="173"/>
    </row>
    <row r="36" spans="1:24" ht="15.75" customHeight="1" thickBot="1" x14ac:dyDescent="0.3">
      <c r="A36" s="224" t="s">
        <v>43</v>
      </c>
      <c r="B36" s="225" t="s">
        <v>115</v>
      </c>
      <c r="C36" s="52"/>
      <c r="D36" s="228" t="s">
        <v>99</v>
      </c>
      <c r="E36" s="229"/>
      <c r="F36" s="230" t="s">
        <v>62</v>
      </c>
      <c r="G36" s="230"/>
      <c r="H36" s="230"/>
      <c r="I36" s="230"/>
      <c r="J36" s="59" t="s">
        <v>0</v>
      </c>
      <c r="K36" s="228" t="s">
        <v>99</v>
      </c>
      <c r="L36" s="229"/>
      <c r="M36" s="231" t="s">
        <v>62</v>
      </c>
      <c r="N36" s="232"/>
      <c r="O36" s="232"/>
      <c r="P36" s="229"/>
      <c r="Q36" s="59"/>
      <c r="R36" s="228" t="s">
        <v>99</v>
      </c>
      <c r="S36" s="229"/>
      <c r="T36" s="230" t="s">
        <v>62</v>
      </c>
      <c r="U36" s="230"/>
      <c r="V36" s="230"/>
      <c r="W36" s="230"/>
      <c r="X36" s="59"/>
    </row>
    <row r="37" spans="1:24" ht="15" customHeight="1" x14ac:dyDescent="0.25">
      <c r="A37" s="224"/>
      <c r="B37" s="226"/>
      <c r="C37" s="14" t="s">
        <v>43</v>
      </c>
      <c r="D37" s="212"/>
      <c r="E37" s="213"/>
      <c r="F37" s="212" t="s">
        <v>98</v>
      </c>
      <c r="G37" s="213"/>
      <c r="H37" s="212" t="s">
        <v>161</v>
      </c>
      <c r="I37" s="213"/>
      <c r="K37" s="214" t="s">
        <v>143</v>
      </c>
      <c r="L37" s="215"/>
      <c r="M37" s="216" t="s">
        <v>171</v>
      </c>
      <c r="N37" s="214"/>
      <c r="O37" s="214"/>
      <c r="P37" s="215"/>
      <c r="R37" s="212" t="s">
        <v>143</v>
      </c>
      <c r="S37" s="213"/>
      <c r="T37" s="216" t="s">
        <v>181</v>
      </c>
      <c r="U37" s="214"/>
      <c r="V37" s="214"/>
      <c r="W37" s="215"/>
    </row>
    <row r="38" spans="1:24" x14ac:dyDescent="0.25">
      <c r="A38" s="224"/>
      <c r="B38" s="226"/>
      <c r="C38" s="14" t="s">
        <v>78</v>
      </c>
      <c r="D38" s="217" t="s">
        <v>100</v>
      </c>
      <c r="E38" s="218"/>
      <c r="F38" s="217" t="s">
        <v>128</v>
      </c>
      <c r="G38" s="218"/>
      <c r="H38" s="217" t="s">
        <v>162</v>
      </c>
      <c r="I38" s="218"/>
      <c r="K38" s="217"/>
      <c r="L38" s="218"/>
      <c r="M38" s="223"/>
      <c r="N38" s="217"/>
      <c r="O38" s="217"/>
      <c r="P38" s="218"/>
      <c r="R38" s="217" t="s">
        <v>118</v>
      </c>
      <c r="S38" s="218"/>
      <c r="T38" s="219" t="s">
        <v>182</v>
      </c>
      <c r="U38" s="219"/>
      <c r="V38" s="219"/>
      <c r="W38" s="219"/>
    </row>
    <row r="39" spans="1:24" ht="15.75" thickBot="1" x14ac:dyDescent="0.3">
      <c r="A39" s="224"/>
      <c r="B39" s="227"/>
      <c r="C39" s="53" t="s">
        <v>77</v>
      </c>
      <c r="D39" s="220" t="s">
        <v>163</v>
      </c>
      <c r="E39" s="221"/>
      <c r="F39" s="220" t="s">
        <v>129</v>
      </c>
      <c r="G39" s="221"/>
      <c r="H39" s="220">
        <f t="shared" ref="H39" si="0">-J37</f>
        <v>0</v>
      </c>
      <c r="I39" s="221"/>
      <c r="K39" s="220" t="s">
        <v>154</v>
      </c>
      <c r="L39" s="221"/>
      <c r="M39" s="222" t="s">
        <v>172</v>
      </c>
      <c r="N39" s="220"/>
      <c r="O39" s="220"/>
      <c r="P39" s="221"/>
      <c r="R39" s="220" t="s">
        <v>152</v>
      </c>
      <c r="S39" s="221"/>
      <c r="T39" s="211" t="s">
        <v>183</v>
      </c>
      <c r="U39" s="211"/>
      <c r="V39" s="211"/>
      <c r="W39" s="211"/>
    </row>
    <row r="40" spans="1:24" ht="15.75" thickBot="1" x14ac:dyDescent="0.3">
      <c r="A40" s="10"/>
      <c r="B40" s="13"/>
      <c r="C40" s="13"/>
      <c r="D40" s="172"/>
      <c r="E40" s="173"/>
      <c r="F40" s="173"/>
      <c r="G40" s="173"/>
      <c r="H40" s="173"/>
      <c r="I40" s="173"/>
      <c r="K40" s="199"/>
      <c r="L40" s="200"/>
      <c r="M40" s="200"/>
      <c r="N40" s="200"/>
      <c r="O40" s="200"/>
      <c r="P40" s="200"/>
      <c r="R40" s="172"/>
      <c r="S40" s="173"/>
      <c r="T40" s="173"/>
      <c r="U40" s="173"/>
      <c r="V40" s="173"/>
      <c r="W40" s="173"/>
    </row>
    <row r="41" spans="1:24" ht="15" customHeight="1" thickBot="1" x14ac:dyDescent="0.3">
      <c r="A41" s="195" t="s">
        <v>44</v>
      </c>
      <c r="B41" s="197" t="s">
        <v>53</v>
      </c>
      <c r="C41" s="79"/>
      <c r="D41" s="86" t="s">
        <v>99</v>
      </c>
      <c r="E41" s="201" t="s">
        <v>95</v>
      </c>
      <c r="F41" s="203"/>
      <c r="G41" s="204" t="s">
        <v>94</v>
      </c>
      <c r="H41" s="204"/>
      <c r="I41" s="204"/>
      <c r="K41" s="86" t="s">
        <v>99</v>
      </c>
      <c r="L41" s="201" t="s">
        <v>95</v>
      </c>
      <c r="M41" s="203"/>
      <c r="N41" s="201" t="s">
        <v>94</v>
      </c>
      <c r="O41" s="202"/>
      <c r="P41" s="203"/>
      <c r="R41" s="86" t="s">
        <v>99</v>
      </c>
      <c r="S41" s="201" t="s">
        <v>95</v>
      </c>
      <c r="T41" s="203"/>
      <c r="U41" s="204" t="s">
        <v>94</v>
      </c>
      <c r="V41" s="204"/>
      <c r="W41" s="204"/>
    </row>
    <row r="42" spans="1:24" ht="15" customHeight="1" x14ac:dyDescent="0.25">
      <c r="A42" s="196"/>
      <c r="B42" s="197"/>
      <c r="C42" s="80" t="s">
        <v>44</v>
      </c>
      <c r="D42" s="85" t="s">
        <v>89</v>
      </c>
      <c r="E42" s="205">
        <v>8.1999999999999993</v>
      </c>
      <c r="F42" s="206"/>
      <c r="G42" s="207">
        <v>984</v>
      </c>
      <c r="H42" s="207"/>
      <c r="I42" s="207"/>
      <c r="K42" s="85" t="s">
        <v>89</v>
      </c>
      <c r="L42" s="208">
        <v>7.5</v>
      </c>
      <c r="M42" s="209"/>
      <c r="N42" s="208">
        <v>1162.5</v>
      </c>
      <c r="O42" s="210"/>
      <c r="P42" s="209"/>
      <c r="R42" s="85" t="s">
        <v>89</v>
      </c>
      <c r="S42" s="185">
        <v>6.5</v>
      </c>
      <c r="T42" s="186"/>
      <c r="U42" s="207">
        <v>870</v>
      </c>
      <c r="V42" s="207"/>
      <c r="W42" s="207"/>
    </row>
    <row r="43" spans="1:24" x14ac:dyDescent="0.25">
      <c r="A43" s="196"/>
      <c r="B43" s="197"/>
      <c r="C43" s="198" t="s">
        <v>79</v>
      </c>
      <c r="D43" s="183" t="s">
        <v>130</v>
      </c>
      <c r="E43" s="185"/>
      <c r="F43" s="186"/>
      <c r="G43" s="189" t="s">
        <v>130</v>
      </c>
      <c r="H43" s="190"/>
      <c r="I43" s="191"/>
      <c r="J43" s="63"/>
      <c r="K43" s="183"/>
      <c r="L43" s="185"/>
      <c r="M43" s="186"/>
      <c r="N43" s="189"/>
      <c r="O43" s="190"/>
      <c r="P43" s="191"/>
      <c r="Q43" s="63"/>
      <c r="R43" s="183"/>
      <c r="S43" s="185"/>
      <c r="T43" s="186"/>
      <c r="U43" s="189"/>
      <c r="V43" s="190"/>
      <c r="W43" s="191"/>
      <c r="X43" s="63"/>
    </row>
    <row r="44" spans="1:24" ht="15.75" thickBot="1" x14ac:dyDescent="0.3">
      <c r="A44" s="196"/>
      <c r="B44" s="197"/>
      <c r="C44" s="198"/>
      <c r="D44" s="184"/>
      <c r="E44" s="187"/>
      <c r="F44" s="188"/>
      <c r="G44" s="192"/>
      <c r="H44" s="193"/>
      <c r="I44" s="194"/>
      <c r="J44" s="65"/>
      <c r="K44" s="184"/>
      <c r="L44" s="187"/>
      <c r="M44" s="188"/>
      <c r="N44" s="192"/>
      <c r="O44" s="193"/>
      <c r="P44" s="194"/>
      <c r="Q44" s="65"/>
      <c r="R44" s="184"/>
      <c r="S44" s="187"/>
      <c r="T44" s="188"/>
      <c r="U44" s="192"/>
      <c r="V44" s="193"/>
      <c r="W44" s="194"/>
      <c r="X44" s="65"/>
    </row>
    <row r="45" spans="1:24" ht="15.75" thickBot="1" x14ac:dyDescent="0.3">
      <c r="A45" s="10"/>
      <c r="B45" s="13"/>
      <c r="C45" s="13"/>
      <c r="D45" s="172"/>
      <c r="E45" s="173"/>
      <c r="F45" s="173"/>
      <c r="G45" s="173"/>
      <c r="H45" s="173"/>
      <c r="I45" s="173"/>
      <c r="K45" s="199"/>
      <c r="L45" s="200"/>
      <c r="M45" s="200"/>
      <c r="N45" s="200"/>
      <c r="O45" s="200"/>
      <c r="P45" s="200"/>
      <c r="R45" s="172"/>
      <c r="S45" s="173"/>
      <c r="T45" s="173"/>
      <c r="U45" s="173"/>
      <c r="V45" s="173"/>
      <c r="W45" s="173"/>
    </row>
    <row r="46" spans="1:24" ht="15" customHeight="1" x14ac:dyDescent="0.25">
      <c r="A46" s="174" t="s">
        <v>45</v>
      </c>
      <c r="B46" s="177" t="s">
        <v>54</v>
      </c>
      <c r="C46" s="58" t="s">
        <v>80</v>
      </c>
      <c r="D46" s="180">
        <v>85</v>
      </c>
      <c r="E46" s="181"/>
      <c r="F46" s="181"/>
      <c r="G46" s="181"/>
      <c r="H46" s="181"/>
      <c r="I46" s="181"/>
      <c r="K46" s="182">
        <v>105.7</v>
      </c>
      <c r="L46" s="182"/>
      <c r="M46" s="182"/>
      <c r="N46" s="182"/>
      <c r="O46" s="182"/>
      <c r="P46" s="180"/>
      <c r="R46" s="180">
        <v>75</v>
      </c>
      <c r="S46" s="181"/>
      <c r="T46" s="181"/>
      <c r="U46" s="181"/>
      <c r="V46" s="181"/>
      <c r="W46" s="181"/>
    </row>
    <row r="47" spans="1:24" x14ac:dyDescent="0.25">
      <c r="A47" s="175"/>
      <c r="B47" s="178"/>
      <c r="C47" s="17" t="s">
        <v>81</v>
      </c>
      <c r="D47" s="157">
        <v>235</v>
      </c>
      <c r="E47" s="158"/>
      <c r="F47" s="158"/>
      <c r="G47" s="158"/>
      <c r="H47" s="158"/>
      <c r="I47" s="158"/>
      <c r="K47" s="156">
        <v>211</v>
      </c>
      <c r="L47" s="156"/>
      <c r="M47" s="156"/>
      <c r="N47" s="156"/>
      <c r="O47" s="156"/>
      <c r="P47" s="157"/>
      <c r="R47" s="157">
        <v>180</v>
      </c>
      <c r="S47" s="158"/>
      <c r="T47" s="158"/>
      <c r="U47" s="158"/>
      <c r="V47" s="158"/>
      <c r="W47" s="158"/>
    </row>
    <row r="48" spans="1:24" x14ac:dyDescent="0.25">
      <c r="A48" s="175"/>
      <c r="B48" s="178"/>
      <c r="C48" s="17" t="s">
        <v>82</v>
      </c>
      <c r="D48" s="157">
        <v>183</v>
      </c>
      <c r="E48" s="158"/>
      <c r="F48" s="158"/>
      <c r="G48" s="158"/>
      <c r="H48" s="158"/>
      <c r="I48" s="158"/>
      <c r="K48" s="156">
        <v>186</v>
      </c>
      <c r="L48" s="156"/>
      <c r="M48" s="156"/>
      <c r="N48" s="156"/>
      <c r="O48" s="156"/>
      <c r="P48" s="157"/>
      <c r="R48" s="157">
        <v>149</v>
      </c>
      <c r="S48" s="158"/>
      <c r="T48" s="158"/>
      <c r="U48" s="158"/>
      <c r="V48" s="158"/>
      <c r="W48" s="158"/>
    </row>
    <row r="49" spans="1:24" x14ac:dyDescent="0.25">
      <c r="A49" s="175"/>
      <c r="B49" s="178"/>
      <c r="C49" s="17" t="s">
        <v>83</v>
      </c>
      <c r="D49" s="157">
        <v>281.39999999999998</v>
      </c>
      <c r="E49" s="158"/>
      <c r="F49" s="158"/>
      <c r="G49" s="158"/>
      <c r="H49" s="158"/>
      <c r="I49" s="158"/>
      <c r="K49" s="156">
        <v>275</v>
      </c>
      <c r="L49" s="156"/>
      <c r="M49" s="156"/>
      <c r="N49" s="156"/>
      <c r="O49" s="156"/>
      <c r="P49" s="157"/>
      <c r="R49" s="157">
        <v>271</v>
      </c>
      <c r="S49" s="158"/>
      <c r="T49" s="158"/>
      <c r="U49" s="158"/>
      <c r="V49" s="158"/>
      <c r="W49" s="158"/>
    </row>
    <row r="50" spans="1:24" x14ac:dyDescent="0.25">
      <c r="A50" s="175"/>
      <c r="B50" s="178"/>
      <c r="C50" s="15" t="s">
        <v>84</v>
      </c>
      <c r="D50" s="161"/>
      <c r="E50" s="162"/>
      <c r="F50" s="162"/>
      <c r="G50" s="162"/>
      <c r="H50" s="162"/>
      <c r="I50" s="162"/>
      <c r="K50" s="171"/>
      <c r="L50" s="171"/>
      <c r="M50" s="171"/>
      <c r="N50" s="171"/>
      <c r="O50" s="171"/>
      <c r="P50" s="161"/>
      <c r="R50" s="161"/>
      <c r="S50" s="162"/>
      <c r="T50" s="162"/>
      <c r="U50" s="162"/>
      <c r="V50" s="162"/>
      <c r="W50" s="162"/>
    </row>
    <row r="51" spans="1:24" x14ac:dyDescent="0.25">
      <c r="A51" s="175"/>
      <c r="B51" s="178"/>
      <c r="C51" s="15" t="s">
        <v>85</v>
      </c>
      <c r="D51" s="161"/>
      <c r="E51" s="162"/>
      <c r="F51" s="162"/>
      <c r="G51" s="162"/>
      <c r="H51" s="162"/>
      <c r="I51" s="162"/>
      <c r="K51" s="171"/>
      <c r="L51" s="171"/>
      <c r="M51" s="171"/>
      <c r="N51" s="171"/>
      <c r="O51" s="171"/>
      <c r="P51" s="161"/>
      <c r="R51" s="161"/>
      <c r="S51" s="162"/>
      <c r="T51" s="162"/>
      <c r="U51" s="162"/>
      <c r="V51" s="162"/>
      <c r="W51" s="162"/>
    </row>
    <row r="52" spans="1:24" x14ac:dyDescent="0.25">
      <c r="A52" s="175"/>
      <c r="B52" s="178"/>
      <c r="C52" s="17" t="s">
        <v>86</v>
      </c>
      <c r="D52" s="161"/>
      <c r="E52" s="162"/>
      <c r="F52" s="162"/>
      <c r="G52" s="162"/>
      <c r="H52" s="162"/>
      <c r="I52" s="162"/>
      <c r="K52" s="171"/>
      <c r="L52" s="171"/>
      <c r="M52" s="171"/>
      <c r="N52" s="171"/>
      <c r="O52" s="171"/>
      <c r="P52" s="161"/>
      <c r="R52" s="161">
        <v>51.3</v>
      </c>
      <c r="S52" s="162"/>
      <c r="T52" s="162"/>
      <c r="U52" s="162"/>
      <c r="V52" s="162"/>
      <c r="W52" s="162"/>
    </row>
    <row r="53" spans="1:24" x14ac:dyDescent="0.25">
      <c r="A53" s="175"/>
      <c r="B53" s="178"/>
      <c r="C53" s="15" t="s">
        <v>87</v>
      </c>
      <c r="D53" s="157">
        <v>897</v>
      </c>
      <c r="E53" s="158"/>
      <c r="F53" s="158"/>
      <c r="G53" s="158"/>
      <c r="H53" s="158"/>
      <c r="I53" s="158"/>
      <c r="K53" s="156">
        <v>861</v>
      </c>
      <c r="L53" s="156"/>
      <c r="M53" s="156"/>
      <c r="N53" s="156"/>
      <c r="O53" s="156"/>
      <c r="P53" s="157"/>
      <c r="R53" s="157">
        <v>743.9</v>
      </c>
      <c r="S53" s="158"/>
      <c r="T53" s="158"/>
      <c r="U53" s="158"/>
      <c r="V53" s="158"/>
      <c r="W53" s="158"/>
    </row>
    <row r="54" spans="1:24" ht="15" customHeight="1" x14ac:dyDescent="0.25">
      <c r="A54" s="175"/>
      <c r="B54" s="178"/>
      <c r="C54" s="159" t="s">
        <v>88</v>
      </c>
      <c r="D54" s="161">
        <v>295</v>
      </c>
      <c r="E54" s="162"/>
      <c r="F54" s="162"/>
      <c r="G54" s="162"/>
      <c r="H54" s="162"/>
      <c r="I54" s="162"/>
      <c r="J54" s="34"/>
      <c r="K54" s="165">
        <v>295</v>
      </c>
      <c r="L54" s="166"/>
      <c r="M54" s="166"/>
      <c r="N54" s="166"/>
      <c r="O54" s="166"/>
      <c r="P54" s="167"/>
      <c r="Q54" s="34"/>
      <c r="R54" s="161">
        <v>295</v>
      </c>
      <c r="S54" s="162"/>
      <c r="T54" s="162"/>
      <c r="U54" s="162"/>
      <c r="V54" s="162"/>
      <c r="W54" s="162"/>
      <c r="X54" s="34"/>
    </row>
    <row r="55" spans="1:24" ht="15.75" thickBot="1" x14ac:dyDescent="0.3">
      <c r="A55" s="176"/>
      <c r="B55" s="179"/>
      <c r="C55" s="160"/>
      <c r="D55" s="163"/>
      <c r="E55" s="164"/>
      <c r="F55" s="164"/>
      <c r="G55" s="164"/>
      <c r="H55" s="164"/>
      <c r="I55" s="164"/>
      <c r="J55" s="34"/>
      <c r="K55" s="168"/>
      <c r="L55" s="169"/>
      <c r="M55" s="169"/>
      <c r="N55" s="169"/>
      <c r="O55" s="169"/>
      <c r="P55" s="170"/>
      <c r="Q55" s="34"/>
      <c r="R55" s="163"/>
      <c r="S55" s="164"/>
      <c r="T55" s="164"/>
      <c r="U55" s="164"/>
      <c r="V55" s="164"/>
      <c r="W55" s="164"/>
      <c r="X55" s="34"/>
    </row>
  </sheetData>
  <mergeCells count="228">
    <mergeCell ref="D1:I1"/>
    <mergeCell ref="K1:P1"/>
    <mergeCell ref="R1:W1"/>
    <mergeCell ref="A2:A5"/>
    <mergeCell ref="B2:B5"/>
    <mergeCell ref="D2:I2"/>
    <mergeCell ref="K2:P2"/>
    <mergeCell ref="R2:W2"/>
    <mergeCell ref="D5:I5"/>
    <mergeCell ref="K5:P5"/>
    <mergeCell ref="R5:W5"/>
    <mergeCell ref="D6:I6"/>
    <mergeCell ref="K6:P6"/>
    <mergeCell ref="R6:W6"/>
    <mergeCell ref="D3:I3"/>
    <mergeCell ref="K3:P3"/>
    <mergeCell ref="R3:W3"/>
    <mergeCell ref="D4:I4"/>
    <mergeCell ref="K4:P4"/>
    <mergeCell ref="R4:W4"/>
    <mergeCell ref="D9:I9"/>
    <mergeCell ref="K9:P9"/>
    <mergeCell ref="R9:W9"/>
    <mergeCell ref="D10:I10"/>
    <mergeCell ref="K10:P10"/>
    <mergeCell ref="R10:W10"/>
    <mergeCell ref="A7:A9"/>
    <mergeCell ref="B7:B9"/>
    <mergeCell ref="D7:I7"/>
    <mergeCell ref="K7:P7"/>
    <mergeCell ref="R7:W7"/>
    <mergeCell ref="D8:I8"/>
    <mergeCell ref="K8:P8"/>
    <mergeCell ref="R8:W8"/>
    <mergeCell ref="D13:I13"/>
    <mergeCell ref="K13:P13"/>
    <mergeCell ref="R13:W13"/>
    <mergeCell ref="D14:I14"/>
    <mergeCell ref="K14:P14"/>
    <mergeCell ref="R14:W14"/>
    <mergeCell ref="A11:A13"/>
    <mergeCell ref="B11:B13"/>
    <mergeCell ref="D11:I11"/>
    <mergeCell ref="K11:P11"/>
    <mergeCell ref="R11:W11"/>
    <mergeCell ref="D12:I12"/>
    <mergeCell ref="K12:P12"/>
    <mergeCell ref="R12:W12"/>
    <mergeCell ref="F17:G17"/>
    <mergeCell ref="M17:N17"/>
    <mergeCell ref="T17:U17"/>
    <mergeCell ref="F18:G18"/>
    <mergeCell ref="M18:N18"/>
    <mergeCell ref="T18:U18"/>
    <mergeCell ref="A15:A25"/>
    <mergeCell ref="B15:B25"/>
    <mergeCell ref="F15:G15"/>
    <mergeCell ref="M15:N15"/>
    <mergeCell ref="T15:U15"/>
    <mergeCell ref="F16:G16"/>
    <mergeCell ref="M16:N16"/>
    <mergeCell ref="T16:U16"/>
    <mergeCell ref="F21:G21"/>
    <mergeCell ref="M21:N21"/>
    <mergeCell ref="T21:U21"/>
    <mergeCell ref="F22:G22"/>
    <mergeCell ref="M22:N22"/>
    <mergeCell ref="T22:U22"/>
    <mergeCell ref="F19:G19"/>
    <mergeCell ref="M19:N19"/>
    <mergeCell ref="T19:U19"/>
    <mergeCell ref="F20:G20"/>
    <mergeCell ref="M20:N20"/>
    <mergeCell ref="T20:U20"/>
    <mergeCell ref="F25:G25"/>
    <mergeCell ref="M25:N25"/>
    <mergeCell ref="T25:U25"/>
    <mergeCell ref="D26:I26"/>
    <mergeCell ref="K26:P26"/>
    <mergeCell ref="R26:W26"/>
    <mergeCell ref="F23:G23"/>
    <mergeCell ref="M23:N23"/>
    <mergeCell ref="T23:U23"/>
    <mergeCell ref="F24:G24"/>
    <mergeCell ref="M24:N24"/>
    <mergeCell ref="T24:U24"/>
    <mergeCell ref="T28:U28"/>
    <mergeCell ref="V28:W28"/>
    <mergeCell ref="F29:G29"/>
    <mergeCell ref="H29:I29"/>
    <mergeCell ref="M29:N29"/>
    <mergeCell ref="O29:P29"/>
    <mergeCell ref="T29:U29"/>
    <mergeCell ref="V29:W29"/>
    <mergeCell ref="T27:U27"/>
    <mergeCell ref="V27:W27"/>
    <mergeCell ref="F28:G28"/>
    <mergeCell ref="H28:I28"/>
    <mergeCell ref="M28:N28"/>
    <mergeCell ref="O28:P28"/>
    <mergeCell ref="F27:G27"/>
    <mergeCell ref="H27:I27"/>
    <mergeCell ref="M27:N27"/>
    <mergeCell ref="O27:P27"/>
    <mergeCell ref="T31:U31"/>
    <mergeCell ref="V31:W31"/>
    <mergeCell ref="F32:G32"/>
    <mergeCell ref="H32:I32"/>
    <mergeCell ref="M32:N32"/>
    <mergeCell ref="O32:P32"/>
    <mergeCell ref="T32:U32"/>
    <mergeCell ref="V32:W32"/>
    <mergeCell ref="T30:U30"/>
    <mergeCell ref="V30:W30"/>
    <mergeCell ref="F31:G31"/>
    <mergeCell ref="H31:I31"/>
    <mergeCell ref="M31:N31"/>
    <mergeCell ref="O31:P31"/>
    <mergeCell ref="F30:G30"/>
    <mergeCell ref="H30:I30"/>
    <mergeCell ref="M30:N30"/>
    <mergeCell ref="O30:P30"/>
    <mergeCell ref="A36:A39"/>
    <mergeCell ref="B36:B39"/>
    <mergeCell ref="D36:E36"/>
    <mergeCell ref="F36:I36"/>
    <mergeCell ref="K36:L36"/>
    <mergeCell ref="M36:P36"/>
    <mergeCell ref="T33:U33"/>
    <mergeCell ref="V33:W33"/>
    <mergeCell ref="D34:G34"/>
    <mergeCell ref="H34:I34"/>
    <mergeCell ref="K34:N34"/>
    <mergeCell ref="O34:P34"/>
    <mergeCell ref="R34:U34"/>
    <mergeCell ref="V34:W34"/>
    <mergeCell ref="F33:G33"/>
    <mergeCell ref="H33:I33"/>
    <mergeCell ref="M33:N33"/>
    <mergeCell ref="O33:P33"/>
    <mergeCell ref="A27:A34"/>
    <mergeCell ref="B27:B34"/>
    <mergeCell ref="R36:S36"/>
    <mergeCell ref="T36:W36"/>
    <mergeCell ref="D37:E37"/>
    <mergeCell ref="F37:G37"/>
    <mergeCell ref="H37:I37"/>
    <mergeCell ref="K37:L37"/>
    <mergeCell ref="M37:P37"/>
    <mergeCell ref="D35:I35"/>
    <mergeCell ref="K35:P35"/>
    <mergeCell ref="R35:W35"/>
    <mergeCell ref="R38:S38"/>
    <mergeCell ref="T38:W38"/>
    <mergeCell ref="D39:E39"/>
    <mergeCell ref="F39:G39"/>
    <mergeCell ref="H39:I39"/>
    <mergeCell ref="K39:L39"/>
    <mergeCell ref="M39:P39"/>
    <mergeCell ref="R39:S39"/>
    <mergeCell ref="R37:S37"/>
    <mergeCell ref="T37:W37"/>
    <mergeCell ref="D38:E38"/>
    <mergeCell ref="F38:G38"/>
    <mergeCell ref="H38:I38"/>
    <mergeCell ref="K38:L38"/>
    <mergeCell ref="M38:P38"/>
    <mergeCell ref="N41:P41"/>
    <mergeCell ref="S41:T41"/>
    <mergeCell ref="U41:W41"/>
    <mergeCell ref="E42:F42"/>
    <mergeCell ref="G42:I42"/>
    <mergeCell ref="L42:M42"/>
    <mergeCell ref="N42:P42"/>
    <mergeCell ref="T39:W39"/>
    <mergeCell ref="D40:I40"/>
    <mergeCell ref="K40:P40"/>
    <mergeCell ref="R40:W40"/>
    <mergeCell ref="E41:F41"/>
    <mergeCell ref="G41:I41"/>
    <mergeCell ref="L41:M41"/>
    <mergeCell ref="S42:T42"/>
    <mergeCell ref="U42:W42"/>
    <mergeCell ref="C43:C44"/>
    <mergeCell ref="D43:D44"/>
    <mergeCell ref="E43:F44"/>
    <mergeCell ref="G43:I44"/>
    <mergeCell ref="K43:K44"/>
    <mergeCell ref="L43:M44"/>
    <mergeCell ref="N43:P44"/>
    <mergeCell ref="D45:I45"/>
    <mergeCell ref="K45:P45"/>
    <mergeCell ref="R45:W45"/>
    <mergeCell ref="A46:A55"/>
    <mergeCell ref="B46:B55"/>
    <mergeCell ref="D46:I46"/>
    <mergeCell ref="K46:P46"/>
    <mergeCell ref="R46:W46"/>
    <mergeCell ref="R43:R44"/>
    <mergeCell ref="S43:T44"/>
    <mergeCell ref="U43:W44"/>
    <mergeCell ref="A41:A44"/>
    <mergeCell ref="B41:B44"/>
    <mergeCell ref="D49:I49"/>
    <mergeCell ref="K49:P49"/>
    <mergeCell ref="R49:W49"/>
    <mergeCell ref="D50:I50"/>
    <mergeCell ref="K50:P50"/>
    <mergeCell ref="R50:W50"/>
    <mergeCell ref="D47:I47"/>
    <mergeCell ref="K47:P47"/>
    <mergeCell ref="R47:W47"/>
    <mergeCell ref="D48:I48"/>
    <mergeCell ref="K48:P48"/>
    <mergeCell ref="R48:W48"/>
    <mergeCell ref="D53:I53"/>
    <mergeCell ref="K53:P53"/>
    <mergeCell ref="R53:W53"/>
    <mergeCell ref="C54:C55"/>
    <mergeCell ref="D54:I55"/>
    <mergeCell ref="K54:P55"/>
    <mergeCell ref="R54:W55"/>
    <mergeCell ref="D51:I51"/>
    <mergeCell ref="K51:P51"/>
    <mergeCell ref="R51:W51"/>
    <mergeCell ref="D52:I52"/>
    <mergeCell ref="K52:P52"/>
    <mergeCell ref="R52:W52"/>
  </mergeCells>
  <pageMargins left="0.7" right="0.7" top="0.78740157499999996" bottom="0.78740157499999996" header="0.3" footer="0.3"/>
  <pageSetup paperSize="9" orientation="portrait" horizontalDpi="4294967294" vertic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
  <sheetViews>
    <sheetView topLeftCell="A19" zoomScale="60" zoomScaleNormal="60" workbookViewId="0">
      <pane xSplit="3" topLeftCell="R1" activePane="topRight" state="frozen"/>
      <selection pane="topRight" activeCell="Y54" sqref="Y54:AD55"/>
    </sheetView>
  </sheetViews>
  <sheetFormatPr baseColWidth="10" defaultColWidth="11.42578125" defaultRowHeight="15" x14ac:dyDescent="0.25"/>
  <cols>
    <col min="1" max="1" width="11.42578125" style="5"/>
    <col min="2" max="2" width="44.140625" style="5" customWidth="1"/>
    <col min="3" max="3" width="66.42578125" style="5" customWidth="1"/>
    <col min="4" max="4" width="11.42578125" style="5"/>
    <col min="5" max="5" width="32.7109375" style="5" customWidth="1"/>
    <col min="6" max="7" width="11.42578125" style="5"/>
    <col min="8" max="8" width="30.140625" style="5" bestFit="1" customWidth="1"/>
    <col min="9" max="9" width="30.28515625" style="5" bestFit="1" customWidth="1"/>
    <col min="10" max="10" width="1.7109375" style="20" customWidth="1"/>
    <col min="11" max="11" width="12.140625" style="5" bestFit="1" customWidth="1"/>
    <col min="12" max="12" width="35" style="5" bestFit="1" customWidth="1"/>
    <col min="13" max="13" width="9.28515625" style="5" customWidth="1"/>
    <col min="14" max="14" width="13.42578125" style="5" customWidth="1"/>
    <col min="15" max="15" width="30.140625" style="5" bestFit="1" customWidth="1"/>
    <col min="16" max="16" width="30.28515625" style="5" bestFit="1" customWidth="1"/>
    <col min="17" max="17" width="1.7109375" style="20" customWidth="1"/>
    <col min="18" max="18" width="11.42578125" style="5"/>
    <col min="19" max="19" width="31.7109375" style="5" bestFit="1" customWidth="1"/>
    <col min="20" max="20" width="31.140625" style="5" customWidth="1"/>
    <col min="21" max="21" width="11.42578125" style="5" hidden="1" customWidth="1"/>
    <col min="22" max="22" width="30.140625" style="5" bestFit="1" customWidth="1"/>
    <col min="23" max="23" width="28.140625" style="5" bestFit="1" customWidth="1"/>
    <col min="24" max="24" width="1.7109375" style="8" customWidth="1"/>
    <col min="25" max="25" width="11.42578125" style="5"/>
    <col min="26" max="26" width="34.28515625" style="5" bestFit="1" customWidth="1"/>
    <col min="27" max="27" width="26.5703125" style="5" customWidth="1"/>
    <col min="28" max="28" width="11.42578125" style="5" hidden="1" customWidth="1"/>
    <col min="29" max="29" width="30.140625" style="5" bestFit="1" customWidth="1"/>
    <col min="30" max="30" width="30.28515625" style="5" bestFit="1" customWidth="1"/>
    <col min="31" max="31" width="1.7109375" style="8" customWidth="1"/>
    <col min="32" max="16384" width="11.42578125" style="5"/>
  </cols>
  <sheetData>
    <row r="1" spans="1:31" ht="15.75" thickBot="1" x14ac:dyDescent="0.3">
      <c r="A1" s="18"/>
      <c r="B1" s="19" t="s">
        <v>46</v>
      </c>
      <c r="C1" s="19" t="s">
        <v>55</v>
      </c>
      <c r="D1" s="292" t="s">
        <v>101</v>
      </c>
      <c r="E1" s="293"/>
      <c r="F1" s="293"/>
      <c r="G1" s="293"/>
      <c r="H1" s="293"/>
      <c r="I1" s="293"/>
      <c r="J1" s="60"/>
      <c r="K1" s="292" t="s">
        <v>102</v>
      </c>
      <c r="L1" s="293"/>
      <c r="M1" s="293"/>
      <c r="N1" s="293"/>
      <c r="O1" s="293"/>
      <c r="P1" s="293"/>
      <c r="Q1" s="60"/>
      <c r="R1" s="292" t="s">
        <v>103</v>
      </c>
      <c r="S1" s="293"/>
      <c r="T1" s="293"/>
      <c r="U1" s="293"/>
      <c r="V1" s="293"/>
      <c r="W1" s="293"/>
      <c r="X1" s="61"/>
      <c r="Y1" s="292" t="s">
        <v>104</v>
      </c>
      <c r="Z1" s="293"/>
      <c r="AA1" s="293"/>
      <c r="AB1" s="293"/>
      <c r="AC1" s="293"/>
      <c r="AD1" s="293"/>
      <c r="AE1" s="61"/>
    </row>
    <row r="2" spans="1:31" ht="15" customHeight="1" x14ac:dyDescent="0.25">
      <c r="A2" s="294" t="s">
        <v>38</v>
      </c>
      <c r="B2" s="297" t="s">
        <v>110</v>
      </c>
      <c r="C2" s="38" t="s">
        <v>56</v>
      </c>
      <c r="D2" s="300" t="s">
        <v>116</v>
      </c>
      <c r="E2" s="301"/>
      <c r="F2" s="301"/>
      <c r="G2" s="301"/>
      <c r="H2" s="301"/>
      <c r="I2" s="301"/>
      <c r="J2" s="21"/>
      <c r="K2" s="302" t="s">
        <v>131</v>
      </c>
      <c r="L2" s="303"/>
      <c r="M2" s="303"/>
      <c r="N2" s="303"/>
      <c r="O2" s="303"/>
      <c r="P2" s="304"/>
      <c r="Q2" s="21"/>
      <c r="R2" s="300" t="s">
        <v>133</v>
      </c>
      <c r="S2" s="301"/>
      <c r="T2" s="301"/>
      <c r="U2" s="301"/>
      <c r="V2" s="301"/>
      <c r="W2" s="301"/>
      <c r="Y2" s="300" t="s">
        <v>146</v>
      </c>
      <c r="Z2" s="301"/>
      <c r="AA2" s="301"/>
      <c r="AB2" s="301"/>
      <c r="AC2" s="301"/>
      <c r="AD2" s="301"/>
    </row>
    <row r="3" spans="1:31" x14ac:dyDescent="0.25">
      <c r="A3" s="295"/>
      <c r="B3" s="298"/>
      <c r="C3" s="39" t="s">
        <v>57</v>
      </c>
      <c r="D3" s="283" t="s">
        <v>89</v>
      </c>
      <c r="E3" s="284"/>
      <c r="F3" s="284"/>
      <c r="G3" s="284"/>
      <c r="H3" s="284"/>
      <c r="I3" s="284"/>
      <c r="J3" s="21"/>
      <c r="K3" s="285" t="s">
        <v>89</v>
      </c>
      <c r="L3" s="286"/>
      <c r="M3" s="286"/>
      <c r="N3" s="286"/>
      <c r="O3" s="286"/>
      <c r="P3" s="287"/>
      <c r="Q3" s="21"/>
      <c r="R3" s="283" t="s">
        <v>89</v>
      </c>
      <c r="S3" s="284"/>
      <c r="T3" s="284"/>
      <c r="U3" s="284"/>
      <c r="V3" s="284"/>
      <c r="W3" s="284"/>
      <c r="Y3" s="283" t="s">
        <v>89</v>
      </c>
      <c r="Z3" s="284"/>
      <c r="AA3" s="284"/>
      <c r="AB3" s="284"/>
      <c r="AC3" s="284"/>
      <c r="AD3" s="284"/>
    </row>
    <row r="4" spans="1:31" x14ac:dyDescent="0.25">
      <c r="A4" s="295"/>
      <c r="B4" s="298"/>
      <c r="C4" s="39" t="s">
        <v>58</v>
      </c>
      <c r="D4" s="288" t="s">
        <v>117</v>
      </c>
      <c r="E4" s="288"/>
      <c r="F4" s="288"/>
      <c r="G4" s="288"/>
      <c r="H4" s="288"/>
      <c r="I4" s="288"/>
      <c r="J4" s="62"/>
      <c r="K4" s="289" t="s">
        <v>117</v>
      </c>
      <c r="L4" s="290"/>
      <c r="M4" s="290"/>
      <c r="N4" s="290"/>
      <c r="O4" s="290"/>
      <c r="P4" s="291"/>
      <c r="Q4" s="62"/>
      <c r="R4" s="288" t="s">
        <v>117</v>
      </c>
      <c r="S4" s="288"/>
      <c r="T4" s="288"/>
      <c r="U4" s="288"/>
      <c r="V4" s="288"/>
      <c r="W4" s="288"/>
      <c r="X4" s="63"/>
      <c r="Y4" s="288" t="s">
        <v>117</v>
      </c>
      <c r="Z4" s="288"/>
      <c r="AA4" s="288"/>
      <c r="AB4" s="288"/>
      <c r="AC4" s="288"/>
      <c r="AD4" s="288"/>
      <c r="AE4" s="63"/>
    </row>
    <row r="5" spans="1:31" ht="15.75" thickBot="1" x14ac:dyDescent="0.3">
      <c r="A5" s="296"/>
      <c r="B5" s="299"/>
      <c r="C5" s="57" t="s">
        <v>59</v>
      </c>
      <c r="D5" s="305" t="s">
        <v>8</v>
      </c>
      <c r="E5" s="306"/>
      <c r="F5" s="306"/>
      <c r="G5" s="306"/>
      <c r="H5" s="306"/>
      <c r="I5" s="307"/>
      <c r="J5" s="64"/>
      <c r="K5" s="305" t="s">
        <v>130</v>
      </c>
      <c r="L5" s="306"/>
      <c r="M5" s="306"/>
      <c r="N5" s="306"/>
      <c r="O5" s="306"/>
      <c r="P5" s="307"/>
      <c r="Q5" s="64"/>
      <c r="R5" s="305" t="s">
        <v>134</v>
      </c>
      <c r="S5" s="306"/>
      <c r="T5" s="306"/>
      <c r="U5" s="306"/>
      <c r="V5" s="306"/>
      <c r="W5" s="307"/>
      <c r="X5" s="65"/>
      <c r="Y5" s="305" t="s">
        <v>130</v>
      </c>
      <c r="Z5" s="306"/>
      <c r="AA5" s="306"/>
      <c r="AB5" s="306"/>
      <c r="AC5" s="306"/>
      <c r="AD5" s="307"/>
      <c r="AE5" s="65"/>
    </row>
    <row r="6" spans="1:31" ht="15.75" thickBot="1" x14ac:dyDescent="0.3">
      <c r="A6" s="9"/>
      <c r="B6" s="11"/>
      <c r="C6" s="56"/>
      <c r="D6" s="172"/>
      <c r="E6" s="173"/>
      <c r="F6" s="173"/>
      <c r="G6" s="173"/>
      <c r="H6" s="173"/>
      <c r="I6" s="173"/>
      <c r="K6" s="199"/>
      <c r="L6" s="200"/>
      <c r="M6" s="200"/>
      <c r="N6" s="200"/>
      <c r="O6" s="200"/>
      <c r="P6" s="200"/>
      <c r="R6" s="172"/>
      <c r="S6" s="173"/>
      <c r="T6" s="173"/>
      <c r="U6" s="173"/>
      <c r="V6" s="173"/>
      <c r="W6" s="173"/>
      <c r="Y6" s="172"/>
      <c r="Z6" s="173"/>
      <c r="AA6" s="173"/>
      <c r="AB6" s="173"/>
      <c r="AC6" s="173"/>
      <c r="AD6" s="173"/>
    </row>
    <row r="7" spans="1:31" ht="15" customHeight="1" thickBot="1" x14ac:dyDescent="0.3">
      <c r="A7" s="273" t="s">
        <v>39</v>
      </c>
      <c r="B7" s="274" t="s">
        <v>50</v>
      </c>
      <c r="C7" s="54" t="s">
        <v>47</v>
      </c>
      <c r="D7" s="275" t="s">
        <v>155</v>
      </c>
      <c r="E7" s="276"/>
      <c r="F7" s="276"/>
      <c r="G7" s="276"/>
      <c r="H7" s="276"/>
      <c r="I7" s="276"/>
      <c r="K7" s="277" t="s">
        <v>164</v>
      </c>
      <c r="L7" s="210"/>
      <c r="M7" s="210"/>
      <c r="N7" s="210"/>
      <c r="O7" s="210"/>
      <c r="P7" s="209"/>
      <c r="R7" s="275" t="s">
        <v>188</v>
      </c>
      <c r="S7" s="276"/>
      <c r="T7" s="276"/>
      <c r="U7" s="276"/>
      <c r="V7" s="276"/>
      <c r="W7" s="276"/>
      <c r="Y7" s="275" t="s">
        <v>173</v>
      </c>
      <c r="Z7" s="276"/>
      <c r="AA7" s="276"/>
      <c r="AB7" s="276"/>
      <c r="AC7" s="276"/>
      <c r="AD7" s="276"/>
    </row>
    <row r="8" spans="1:31" x14ac:dyDescent="0.25">
      <c r="A8" s="273"/>
      <c r="B8" s="274"/>
      <c r="C8" s="12" t="s">
        <v>48</v>
      </c>
      <c r="D8" s="275" t="s">
        <v>156</v>
      </c>
      <c r="E8" s="276"/>
      <c r="F8" s="276"/>
      <c r="G8" s="276"/>
      <c r="H8" s="276"/>
      <c r="I8" s="276"/>
      <c r="K8" s="278" t="s">
        <v>165</v>
      </c>
      <c r="L8" s="279"/>
      <c r="M8" s="279"/>
      <c r="N8" s="279"/>
      <c r="O8" s="279"/>
      <c r="P8" s="280"/>
      <c r="R8" s="281" t="s">
        <v>189</v>
      </c>
      <c r="S8" s="282"/>
      <c r="T8" s="282"/>
      <c r="U8" s="282"/>
      <c r="V8" s="282"/>
      <c r="W8" s="282"/>
      <c r="Y8" s="281" t="s">
        <v>174</v>
      </c>
      <c r="Z8" s="282"/>
      <c r="AA8" s="282"/>
      <c r="AB8" s="282"/>
      <c r="AC8" s="282"/>
      <c r="AD8" s="282"/>
    </row>
    <row r="9" spans="1:31" ht="15.75" thickBot="1" x14ac:dyDescent="0.3">
      <c r="A9" s="273"/>
      <c r="B9" s="274"/>
      <c r="C9" s="55" t="s">
        <v>49</v>
      </c>
      <c r="D9" s="268" t="s">
        <v>157</v>
      </c>
      <c r="E9" s="269"/>
      <c r="F9" s="269"/>
      <c r="G9" s="269"/>
      <c r="H9" s="269"/>
      <c r="I9" s="269"/>
      <c r="K9" s="270" t="s">
        <v>166</v>
      </c>
      <c r="L9" s="271"/>
      <c r="M9" s="271"/>
      <c r="N9" s="271"/>
      <c r="O9" s="271"/>
      <c r="P9" s="272"/>
      <c r="R9" s="268" t="s">
        <v>190</v>
      </c>
      <c r="S9" s="269"/>
      <c r="T9" s="269"/>
      <c r="U9" s="269"/>
      <c r="V9" s="269"/>
      <c r="W9" s="269"/>
      <c r="Y9" s="268" t="s">
        <v>196</v>
      </c>
      <c r="Z9" s="269"/>
      <c r="AA9" s="269"/>
      <c r="AB9" s="269"/>
      <c r="AC9" s="269"/>
      <c r="AD9" s="269"/>
    </row>
    <row r="10" spans="1:31" ht="15.75" thickBot="1" x14ac:dyDescent="0.3">
      <c r="A10" s="10"/>
      <c r="B10" s="13"/>
      <c r="C10" s="13"/>
      <c r="D10" s="172"/>
      <c r="E10" s="173"/>
      <c r="F10" s="173"/>
      <c r="G10" s="173"/>
      <c r="H10" s="173"/>
      <c r="I10" s="173"/>
      <c r="K10" s="199"/>
      <c r="L10" s="200"/>
      <c r="M10" s="200"/>
      <c r="N10" s="200"/>
      <c r="O10" s="200"/>
      <c r="P10" s="200"/>
      <c r="R10" s="172"/>
      <c r="S10" s="173"/>
      <c r="T10" s="173"/>
      <c r="U10" s="173"/>
      <c r="V10" s="173"/>
      <c r="W10" s="173"/>
      <c r="Y10" s="172"/>
      <c r="Z10" s="173"/>
      <c r="AA10" s="173"/>
      <c r="AB10" s="173"/>
      <c r="AC10" s="173"/>
      <c r="AD10" s="173"/>
    </row>
    <row r="11" spans="1:31" x14ac:dyDescent="0.25">
      <c r="A11" s="257" t="s">
        <v>40</v>
      </c>
      <c r="B11" s="260" t="s">
        <v>51</v>
      </c>
      <c r="C11" s="52" t="s">
        <v>60</v>
      </c>
      <c r="D11" s="263" t="s">
        <v>119</v>
      </c>
      <c r="E11" s="264"/>
      <c r="F11" s="264"/>
      <c r="G11" s="264"/>
      <c r="H11" s="264"/>
      <c r="I11" s="264"/>
      <c r="K11" s="265" t="s">
        <v>132</v>
      </c>
      <c r="L11" s="214"/>
      <c r="M11" s="214"/>
      <c r="N11" s="214"/>
      <c r="O11" s="214"/>
      <c r="P11" s="215"/>
      <c r="R11" s="263" t="s">
        <v>135</v>
      </c>
      <c r="S11" s="264"/>
      <c r="T11" s="264"/>
      <c r="U11" s="264"/>
      <c r="V11" s="264"/>
      <c r="W11" s="264"/>
      <c r="Y11" s="263" t="s">
        <v>147</v>
      </c>
      <c r="Z11" s="264"/>
      <c r="AA11" s="264"/>
      <c r="AB11" s="264"/>
      <c r="AC11" s="264"/>
      <c r="AD11" s="264"/>
    </row>
    <row r="12" spans="1:31" x14ac:dyDescent="0.25">
      <c r="A12" s="258"/>
      <c r="B12" s="261"/>
      <c r="C12" s="14" t="s">
        <v>61</v>
      </c>
      <c r="D12" s="266" t="s">
        <v>120</v>
      </c>
      <c r="E12" s="219"/>
      <c r="F12" s="219"/>
      <c r="G12" s="219"/>
      <c r="H12" s="219"/>
      <c r="I12" s="219"/>
      <c r="K12" s="267">
        <v>195</v>
      </c>
      <c r="L12" s="217"/>
      <c r="M12" s="217"/>
      <c r="N12" s="217"/>
      <c r="O12" s="217"/>
      <c r="P12" s="218"/>
      <c r="R12" s="266" t="s">
        <v>136</v>
      </c>
      <c r="S12" s="219"/>
      <c r="T12" s="219"/>
      <c r="U12" s="219"/>
      <c r="V12" s="219"/>
      <c r="W12" s="219"/>
      <c r="Y12" s="266">
        <v>160</v>
      </c>
      <c r="Z12" s="219"/>
      <c r="AA12" s="219"/>
      <c r="AB12" s="219"/>
      <c r="AC12" s="219"/>
      <c r="AD12" s="219"/>
    </row>
    <row r="13" spans="1:31" ht="15.75" thickBot="1" x14ac:dyDescent="0.3">
      <c r="A13" s="259"/>
      <c r="B13" s="262"/>
      <c r="C13" s="53" t="s">
        <v>62</v>
      </c>
      <c r="D13" s="255" t="s">
        <v>158</v>
      </c>
      <c r="E13" s="211"/>
      <c r="F13" s="211"/>
      <c r="G13" s="211"/>
      <c r="H13" s="211"/>
      <c r="I13" s="211"/>
      <c r="K13" s="256" t="s">
        <v>167</v>
      </c>
      <c r="L13" s="220"/>
      <c r="M13" s="220"/>
      <c r="N13" s="220"/>
      <c r="O13" s="220"/>
      <c r="P13" s="221"/>
      <c r="R13" s="255" t="s">
        <v>191</v>
      </c>
      <c r="S13" s="211"/>
      <c r="T13" s="211"/>
      <c r="U13" s="211"/>
      <c r="V13" s="211"/>
      <c r="W13" s="211"/>
      <c r="Y13" s="255" t="s">
        <v>197</v>
      </c>
      <c r="Z13" s="211"/>
      <c r="AA13" s="211"/>
      <c r="AB13" s="211"/>
      <c r="AC13" s="211"/>
      <c r="AD13" s="211"/>
    </row>
    <row r="14" spans="1:31" ht="15.75" thickBot="1" x14ac:dyDescent="0.3">
      <c r="A14" s="10"/>
      <c r="B14" s="13"/>
      <c r="C14" s="13"/>
      <c r="D14" s="172"/>
      <c r="E14" s="173"/>
      <c r="F14" s="173"/>
      <c r="G14" s="173"/>
      <c r="H14" s="173"/>
      <c r="I14" s="173"/>
      <c r="K14" s="199"/>
      <c r="L14" s="200"/>
      <c r="M14" s="200"/>
      <c r="N14" s="200"/>
      <c r="O14" s="200"/>
      <c r="P14" s="200"/>
      <c r="R14" s="172"/>
      <c r="S14" s="173"/>
      <c r="T14" s="173"/>
      <c r="U14" s="173"/>
      <c r="V14" s="173"/>
      <c r="W14" s="173"/>
      <c r="Y14" s="172"/>
      <c r="Z14" s="173"/>
      <c r="AA14" s="173"/>
      <c r="AB14" s="173"/>
      <c r="AC14" s="173"/>
      <c r="AD14" s="173"/>
    </row>
    <row r="15" spans="1:31" ht="15.75" thickBot="1" x14ac:dyDescent="0.3">
      <c r="A15" s="250" t="s">
        <v>41</v>
      </c>
      <c r="B15" s="239" t="s">
        <v>52</v>
      </c>
      <c r="C15" s="46" t="s">
        <v>63</v>
      </c>
      <c r="D15" s="47" t="s">
        <v>90</v>
      </c>
      <c r="E15" s="99" t="s">
        <v>111</v>
      </c>
      <c r="F15" s="238" t="s">
        <v>92</v>
      </c>
      <c r="G15" s="236"/>
      <c r="H15" s="99" t="s">
        <v>113</v>
      </c>
      <c r="I15" s="99" t="s">
        <v>96</v>
      </c>
      <c r="K15" s="47" t="s">
        <v>90</v>
      </c>
      <c r="L15" s="99" t="s">
        <v>111</v>
      </c>
      <c r="M15" s="238" t="s">
        <v>92</v>
      </c>
      <c r="N15" s="236"/>
      <c r="O15" s="99" t="s">
        <v>113</v>
      </c>
      <c r="P15" s="99" t="s">
        <v>96</v>
      </c>
      <c r="R15" s="47" t="s">
        <v>90</v>
      </c>
      <c r="S15" s="73" t="s">
        <v>111</v>
      </c>
      <c r="T15" s="238" t="s">
        <v>92</v>
      </c>
      <c r="U15" s="236"/>
      <c r="V15" s="73" t="s">
        <v>113</v>
      </c>
      <c r="W15" s="73" t="s">
        <v>96</v>
      </c>
      <c r="Y15" s="47" t="s">
        <v>90</v>
      </c>
      <c r="Z15" s="73" t="s">
        <v>111</v>
      </c>
      <c r="AA15" s="308" t="s">
        <v>92</v>
      </c>
      <c r="AB15" s="309"/>
      <c r="AC15" s="106" t="s">
        <v>113</v>
      </c>
      <c r="AD15" s="73" t="s">
        <v>96</v>
      </c>
    </row>
    <row r="16" spans="1:31" ht="15" customHeight="1" x14ac:dyDescent="0.25">
      <c r="A16" s="251"/>
      <c r="B16" s="240"/>
      <c r="C16" s="41" t="s">
        <v>64</v>
      </c>
      <c r="D16" s="48" t="s">
        <v>7</v>
      </c>
      <c r="E16" s="66" t="s">
        <v>9</v>
      </c>
      <c r="F16" s="246" t="s">
        <v>97</v>
      </c>
      <c r="G16" s="246"/>
      <c r="H16" s="100">
        <v>300</v>
      </c>
      <c r="I16" s="101" t="s">
        <v>159</v>
      </c>
      <c r="K16" s="48" t="s">
        <v>7</v>
      </c>
      <c r="L16" s="66" t="s">
        <v>9</v>
      </c>
      <c r="M16" s="243" t="s">
        <v>97</v>
      </c>
      <c r="N16" s="180"/>
      <c r="O16" s="100">
        <v>250</v>
      </c>
      <c r="P16" s="101" t="s">
        <v>168</v>
      </c>
      <c r="R16" s="48"/>
      <c r="S16" s="42"/>
      <c r="T16" s="244"/>
      <c r="U16" s="245"/>
      <c r="V16" s="76"/>
      <c r="W16" s="76"/>
      <c r="Y16" s="48" t="s">
        <v>7</v>
      </c>
      <c r="Z16" s="66" t="s">
        <v>9</v>
      </c>
      <c r="AA16" s="158" t="s">
        <v>97</v>
      </c>
      <c r="AB16" s="158"/>
      <c r="AC16" s="105">
        <v>207</v>
      </c>
      <c r="AD16" s="82" t="s">
        <v>199</v>
      </c>
    </row>
    <row r="17" spans="1:30" x14ac:dyDescent="0.25">
      <c r="A17" s="251"/>
      <c r="B17" s="240"/>
      <c r="C17" s="15" t="s">
        <v>65</v>
      </c>
      <c r="D17" s="49"/>
      <c r="E17" s="40"/>
      <c r="F17" s="242"/>
      <c r="G17" s="157"/>
      <c r="H17" s="94"/>
      <c r="I17" s="94"/>
      <c r="K17" s="49"/>
      <c r="L17" s="40"/>
      <c r="M17" s="242"/>
      <c r="N17" s="157"/>
      <c r="O17" s="94"/>
      <c r="P17" s="94"/>
      <c r="R17" s="49"/>
      <c r="S17" s="40"/>
      <c r="T17" s="242"/>
      <c r="U17" s="157"/>
      <c r="V17" s="77"/>
      <c r="W17" s="77"/>
      <c r="Y17" s="49"/>
      <c r="Z17" s="40"/>
      <c r="AA17" s="242"/>
      <c r="AB17" s="157"/>
      <c r="AC17" s="77"/>
      <c r="AD17" s="77"/>
    </row>
    <row r="18" spans="1:30" x14ac:dyDescent="0.25">
      <c r="A18" s="251"/>
      <c r="B18" s="240"/>
      <c r="C18" s="15" t="s">
        <v>66</v>
      </c>
      <c r="D18" s="49"/>
      <c r="E18" s="94"/>
      <c r="F18" s="242"/>
      <c r="G18" s="157"/>
      <c r="H18" s="94"/>
      <c r="I18" s="94"/>
      <c r="K18" s="49"/>
      <c r="L18" s="94"/>
      <c r="M18" s="242"/>
      <c r="N18" s="157"/>
      <c r="O18" s="94"/>
      <c r="P18" s="94"/>
      <c r="R18" s="49"/>
      <c r="S18" s="77"/>
      <c r="T18" s="242"/>
      <c r="U18" s="157"/>
      <c r="V18" s="77"/>
      <c r="W18" s="77"/>
      <c r="Y18" s="49"/>
      <c r="Z18" s="77"/>
      <c r="AA18" s="242"/>
      <c r="AB18" s="157"/>
      <c r="AC18" s="77"/>
      <c r="AD18" s="77"/>
    </row>
    <row r="19" spans="1:30" x14ac:dyDescent="0.25">
      <c r="A19" s="251"/>
      <c r="B19" s="240"/>
      <c r="C19" s="15" t="s">
        <v>67</v>
      </c>
      <c r="D19" s="49"/>
      <c r="E19" s="94"/>
      <c r="F19" s="242"/>
      <c r="G19" s="157"/>
      <c r="H19" s="94"/>
      <c r="I19" s="94"/>
      <c r="K19" s="49"/>
      <c r="L19" s="94"/>
      <c r="M19" s="242"/>
      <c r="N19" s="157"/>
      <c r="O19" s="94"/>
      <c r="P19" s="94"/>
      <c r="R19" s="49"/>
      <c r="S19" s="77"/>
      <c r="T19" s="242"/>
      <c r="U19" s="157"/>
      <c r="V19" s="77"/>
      <c r="W19" s="77"/>
      <c r="Y19" s="49"/>
      <c r="Z19" s="77"/>
      <c r="AA19" s="242"/>
      <c r="AB19" s="157"/>
      <c r="AC19" s="77"/>
      <c r="AD19" s="77"/>
    </row>
    <row r="20" spans="1:30" x14ac:dyDescent="0.25">
      <c r="A20" s="251"/>
      <c r="B20" s="240"/>
      <c r="C20" s="15" t="s">
        <v>68</v>
      </c>
      <c r="D20" s="49"/>
      <c r="E20" s="94"/>
      <c r="F20" s="242"/>
      <c r="G20" s="157"/>
      <c r="H20" s="94"/>
      <c r="I20" s="94"/>
      <c r="K20" s="49"/>
      <c r="L20" s="94"/>
      <c r="M20" s="242"/>
      <c r="N20" s="157"/>
      <c r="O20" s="94"/>
      <c r="P20" s="94"/>
      <c r="R20" s="49"/>
      <c r="S20" s="77"/>
      <c r="T20" s="242"/>
      <c r="U20" s="157"/>
      <c r="V20" s="77"/>
      <c r="W20" s="77"/>
      <c r="Y20" s="49"/>
      <c r="Z20" s="77"/>
      <c r="AA20" s="242"/>
      <c r="AB20" s="157"/>
      <c r="AC20" s="77"/>
      <c r="AD20" s="77"/>
    </row>
    <row r="21" spans="1:30" x14ac:dyDescent="0.25">
      <c r="A21" s="251"/>
      <c r="B21" s="240"/>
      <c r="C21" s="15" t="s">
        <v>1</v>
      </c>
      <c r="D21" s="49"/>
      <c r="E21" s="94"/>
      <c r="F21" s="242"/>
      <c r="G21" s="157"/>
      <c r="H21" s="94"/>
      <c r="I21" s="94"/>
      <c r="K21" s="49"/>
      <c r="L21" s="94"/>
      <c r="M21" s="242"/>
      <c r="N21" s="157"/>
      <c r="O21" s="94"/>
      <c r="P21" s="94"/>
      <c r="R21" s="49"/>
      <c r="S21" s="77"/>
      <c r="T21" s="242"/>
      <c r="U21" s="157"/>
      <c r="V21" s="77"/>
      <c r="W21" s="77"/>
      <c r="Y21" s="49"/>
      <c r="Z21" s="77"/>
      <c r="AA21" s="242"/>
      <c r="AB21" s="157"/>
      <c r="AC21" s="77"/>
      <c r="AD21" s="77"/>
    </row>
    <row r="22" spans="1:30" ht="15.75" thickBot="1" x14ac:dyDescent="0.3">
      <c r="A22" s="251"/>
      <c r="B22" s="240"/>
      <c r="C22" s="31" t="s">
        <v>69</v>
      </c>
      <c r="D22" s="50"/>
      <c r="E22" s="45"/>
      <c r="F22" s="253"/>
      <c r="G22" s="254"/>
      <c r="H22" s="45"/>
      <c r="I22" s="45"/>
      <c r="K22" s="50"/>
      <c r="L22" s="45"/>
      <c r="M22" s="233"/>
      <c r="N22" s="234"/>
      <c r="O22" s="45"/>
      <c r="P22" s="45"/>
      <c r="R22" s="50"/>
      <c r="S22" s="45"/>
      <c r="T22" s="253"/>
      <c r="U22" s="254"/>
      <c r="V22" s="45"/>
      <c r="W22" s="45"/>
      <c r="Y22" s="50"/>
      <c r="Z22" s="45"/>
      <c r="AA22" s="253"/>
      <c r="AB22" s="254"/>
      <c r="AC22" s="45"/>
      <c r="AD22" s="45"/>
    </row>
    <row r="23" spans="1:30" ht="18" thickBot="1" x14ac:dyDescent="0.3">
      <c r="A23" s="251"/>
      <c r="B23" s="240"/>
      <c r="C23" s="46" t="s">
        <v>70</v>
      </c>
      <c r="D23" s="47" t="s">
        <v>90</v>
      </c>
      <c r="E23" s="99" t="s">
        <v>91</v>
      </c>
      <c r="F23" s="238" t="s">
        <v>92</v>
      </c>
      <c r="G23" s="236"/>
      <c r="H23" s="99" t="s">
        <v>114</v>
      </c>
      <c r="I23" s="99" t="s">
        <v>96</v>
      </c>
      <c r="K23" s="47" t="s">
        <v>90</v>
      </c>
      <c r="L23" s="99" t="s">
        <v>91</v>
      </c>
      <c r="M23" s="238" t="s">
        <v>92</v>
      </c>
      <c r="N23" s="236"/>
      <c r="O23" s="99" t="s">
        <v>114</v>
      </c>
      <c r="P23" s="99" t="s">
        <v>96</v>
      </c>
      <c r="R23" s="47" t="s">
        <v>90</v>
      </c>
      <c r="S23" s="73" t="s">
        <v>91</v>
      </c>
      <c r="T23" s="238" t="s">
        <v>92</v>
      </c>
      <c r="U23" s="236"/>
      <c r="V23" s="73" t="s">
        <v>114</v>
      </c>
      <c r="W23" s="73" t="s">
        <v>96</v>
      </c>
      <c r="Y23" s="47" t="s">
        <v>90</v>
      </c>
      <c r="Z23" s="73" t="s">
        <v>91</v>
      </c>
      <c r="AA23" s="238" t="s">
        <v>92</v>
      </c>
      <c r="AB23" s="236"/>
      <c r="AC23" s="73" t="s">
        <v>114</v>
      </c>
      <c r="AD23" s="73" t="s">
        <v>96</v>
      </c>
    </row>
    <row r="24" spans="1:30" x14ac:dyDescent="0.25">
      <c r="A24" s="251"/>
      <c r="B24" s="240"/>
      <c r="C24" s="41" t="s">
        <v>71</v>
      </c>
      <c r="D24" s="48"/>
      <c r="E24" s="101"/>
      <c r="F24" s="244"/>
      <c r="G24" s="245"/>
      <c r="H24" s="101"/>
      <c r="I24" s="101"/>
      <c r="K24" s="48"/>
      <c r="L24" s="101"/>
      <c r="M24" s="243"/>
      <c r="N24" s="180"/>
      <c r="O24" s="101"/>
      <c r="P24" s="101"/>
      <c r="R24" s="48"/>
      <c r="S24" s="76"/>
      <c r="T24" s="244"/>
      <c r="U24" s="245"/>
      <c r="V24" s="76"/>
      <c r="W24" s="76"/>
      <c r="Y24" s="48"/>
      <c r="Z24" s="76"/>
      <c r="AA24" s="244"/>
      <c r="AB24" s="245"/>
      <c r="AC24" s="76"/>
      <c r="AD24" s="76"/>
    </row>
    <row r="25" spans="1:30" ht="15.75" thickBot="1" x14ac:dyDescent="0.3">
      <c r="A25" s="252"/>
      <c r="B25" s="241"/>
      <c r="C25" s="43" t="s">
        <v>72</v>
      </c>
      <c r="D25" s="51"/>
      <c r="E25" s="44" t="s">
        <v>122</v>
      </c>
      <c r="F25" s="233" t="s">
        <v>121</v>
      </c>
      <c r="G25" s="234"/>
      <c r="H25" s="44">
        <v>30</v>
      </c>
      <c r="I25" s="101" t="s">
        <v>205</v>
      </c>
      <c r="K25" s="51"/>
      <c r="L25" s="44" t="s">
        <v>122</v>
      </c>
      <c r="M25" s="233" t="s">
        <v>121</v>
      </c>
      <c r="N25" s="234"/>
      <c r="O25" s="44">
        <v>30</v>
      </c>
      <c r="P25" s="101" t="s">
        <v>169</v>
      </c>
      <c r="R25" s="51"/>
      <c r="S25" s="44"/>
      <c r="T25" s="233"/>
      <c r="U25" s="234"/>
      <c r="V25" s="44"/>
      <c r="W25" s="44"/>
      <c r="Y25" s="51"/>
      <c r="Z25" s="44" t="s">
        <v>122</v>
      </c>
      <c r="AA25" s="233" t="s">
        <v>121</v>
      </c>
      <c r="AB25" s="234"/>
      <c r="AC25" s="44">
        <v>30</v>
      </c>
      <c r="AD25" s="82" t="s">
        <v>198</v>
      </c>
    </row>
    <row r="26" spans="1:30" ht="15.75" thickBot="1" x14ac:dyDescent="0.3">
      <c r="A26" s="16"/>
      <c r="B26" s="13"/>
      <c r="C26" s="13"/>
      <c r="D26" s="172"/>
      <c r="E26" s="173"/>
      <c r="F26" s="173"/>
      <c r="G26" s="173"/>
      <c r="H26" s="173"/>
      <c r="I26" s="173"/>
      <c r="K26" s="199"/>
      <c r="L26" s="200"/>
      <c r="M26" s="200"/>
      <c r="N26" s="200"/>
      <c r="O26" s="200"/>
      <c r="P26" s="200"/>
      <c r="R26" s="172"/>
      <c r="S26" s="173"/>
      <c r="T26" s="173"/>
      <c r="U26" s="173"/>
      <c r="V26" s="173"/>
      <c r="W26" s="173"/>
      <c r="Y26" s="172"/>
      <c r="Z26" s="173"/>
      <c r="AA26" s="173"/>
      <c r="AB26" s="173"/>
      <c r="AC26" s="173"/>
      <c r="AD26" s="173"/>
    </row>
    <row r="27" spans="1:30" ht="60" customHeight="1" thickBot="1" x14ac:dyDescent="0.3">
      <c r="A27" s="174" t="s">
        <v>42</v>
      </c>
      <c r="B27" s="239" t="s">
        <v>112</v>
      </c>
      <c r="C27" s="46"/>
      <c r="D27" s="98" t="s">
        <v>90</v>
      </c>
      <c r="E27" s="99" t="s">
        <v>93</v>
      </c>
      <c r="F27" s="248" t="s">
        <v>113</v>
      </c>
      <c r="G27" s="249"/>
      <c r="H27" s="247" t="s">
        <v>96</v>
      </c>
      <c r="I27" s="247"/>
      <c r="K27" s="98" t="s">
        <v>90</v>
      </c>
      <c r="L27" s="99" t="s">
        <v>93</v>
      </c>
      <c r="M27" s="248" t="s">
        <v>113</v>
      </c>
      <c r="N27" s="249"/>
      <c r="O27" s="248" t="s">
        <v>96</v>
      </c>
      <c r="P27" s="249"/>
      <c r="R27" s="74" t="s">
        <v>90</v>
      </c>
      <c r="S27" s="73" t="s">
        <v>93</v>
      </c>
      <c r="T27" s="238" t="s">
        <v>113</v>
      </c>
      <c r="U27" s="236"/>
      <c r="V27" s="247" t="s">
        <v>96</v>
      </c>
      <c r="W27" s="247"/>
      <c r="Y27" s="74" t="s">
        <v>90</v>
      </c>
      <c r="Z27" s="73" t="s">
        <v>93</v>
      </c>
      <c r="AA27" s="238" t="s">
        <v>113</v>
      </c>
      <c r="AB27" s="236"/>
      <c r="AC27" s="247" t="s">
        <v>96</v>
      </c>
      <c r="AD27" s="247"/>
    </row>
    <row r="28" spans="1:30" ht="17.25" customHeight="1" thickBot="1" x14ac:dyDescent="0.3">
      <c r="A28" s="175"/>
      <c r="B28" s="240"/>
      <c r="C28" s="41" t="s">
        <v>73</v>
      </c>
      <c r="D28" s="100" t="s">
        <v>123</v>
      </c>
      <c r="E28" s="101" t="s">
        <v>124</v>
      </c>
      <c r="F28" s="244" t="s">
        <v>126</v>
      </c>
      <c r="G28" s="245"/>
      <c r="H28" s="246" t="s">
        <v>160</v>
      </c>
      <c r="I28" s="246"/>
      <c r="K28" s="100" t="s">
        <v>153</v>
      </c>
      <c r="L28" s="101" t="s">
        <v>149</v>
      </c>
      <c r="M28" s="243">
        <v>2.5</v>
      </c>
      <c r="N28" s="180"/>
      <c r="O28" s="243" t="s">
        <v>170</v>
      </c>
      <c r="P28" s="180"/>
      <c r="R28" s="75" t="s">
        <v>137</v>
      </c>
      <c r="S28" s="76" t="s">
        <v>124</v>
      </c>
      <c r="T28" s="244" t="s">
        <v>138</v>
      </c>
      <c r="U28" s="245"/>
      <c r="V28" s="243" t="s">
        <v>192</v>
      </c>
      <c r="W28" s="180"/>
      <c r="Y28" s="75" t="s">
        <v>148</v>
      </c>
      <c r="Z28" s="76" t="s">
        <v>149</v>
      </c>
      <c r="AA28" s="244" t="s">
        <v>150</v>
      </c>
      <c r="AB28" s="245"/>
      <c r="AC28" s="243" t="s">
        <v>200</v>
      </c>
      <c r="AD28" s="180"/>
    </row>
    <row r="29" spans="1:30" ht="17.25" customHeight="1" thickBot="1" x14ac:dyDescent="0.3">
      <c r="A29" s="175"/>
      <c r="B29" s="240"/>
      <c r="C29" s="15" t="s">
        <v>73</v>
      </c>
      <c r="D29" s="93" t="s">
        <v>125</v>
      </c>
      <c r="E29" s="101" t="s">
        <v>124</v>
      </c>
      <c r="F29" s="242" t="s">
        <v>127</v>
      </c>
      <c r="G29" s="157"/>
      <c r="H29" s="246" t="s">
        <v>160</v>
      </c>
      <c r="I29" s="246"/>
      <c r="K29" s="93"/>
      <c r="L29" s="94"/>
      <c r="M29" s="242"/>
      <c r="N29" s="157"/>
      <c r="O29" s="242"/>
      <c r="P29" s="157"/>
      <c r="R29" s="71" t="s">
        <v>140</v>
      </c>
      <c r="S29" s="77" t="s">
        <v>124</v>
      </c>
      <c r="T29" s="242" t="s">
        <v>139</v>
      </c>
      <c r="U29" s="157"/>
      <c r="V29" s="243" t="s">
        <v>192</v>
      </c>
      <c r="W29" s="180"/>
      <c r="Y29" s="71"/>
      <c r="Z29" s="77"/>
      <c r="AA29" s="242"/>
      <c r="AB29" s="157"/>
      <c r="AC29" s="242"/>
      <c r="AD29" s="157"/>
    </row>
    <row r="30" spans="1:30" x14ac:dyDescent="0.25">
      <c r="A30" s="175"/>
      <c r="B30" s="240"/>
      <c r="C30" s="15" t="s">
        <v>74</v>
      </c>
      <c r="D30" s="93"/>
      <c r="E30" s="94"/>
      <c r="F30" s="242"/>
      <c r="G30" s="157"/>
      <c r="H30" s="158"/>
      <c r="I30" s="158"/>
      <c r="K30" s="93"/>
      <c r="L30" s="94"/>
      <c r="M30" s="242"/>
      <c r="N30" s="157"/>
      <c r="O30" s="242"/>
      <c r="P30" s="157"/>
      <c r="R30" s="71" t="s">
        <v>141</v>
      </c>
      <c r="S30" s="77" t="s">
        <v>124</v>
      </c>
      <c r="T30" s="242" t="s">
        <v>142</v>
      </c>
      <c r="U30" s="157"/>
      <c r="V30" s="243" t="s">
        <v>193</v>
      </c>
      <c r="W30" s="180"/>
      <c r="Y30" s="71" t="s">
        <v>125</v>
      </c>
      <c r="Z30" s="77" t="s">
        <v>149</v>
      </c>
      <c r="AA30" s="242" t="s">
        <v>151</v>
      </c>
      <c r="AB30" s="157"/>
      <c r="AC30" s="243" t="s">
        <v>201</v>
      </c>
      <c r="AD30" s="180"/>
    </row>
    <row r="31" spans="1:30" x14ac:dyDescent="0.25">
      <c r="A31" s="175"/>
      <c r="B31" s="240"/>
      <c r="C31" s="15" t="s">
        <v>75</v>
      </c>
      <c r="D31" s="93"/>
      <c r="E31" s="94"/>
      <c r="F31" s="158"/>
      <c r="G31" s="158"/>
      <c r="H31" s="158"/>
      <c r="I31" s="158"/>
      <c r="K31" s="93"/>
      <c r="L31" s="94"/>
      <c r="M31" s="242"/>
      <c r="N31" s="157"/>
      <c r="O31" s="242"/>
      <c r="P31" s="157"/>
      <c r="R31" s="71"/>
      <c r="S31" s="77"/>
      <c r="T31" s="158"/>
      <c r="U31" s="158"/>
      <c r="V31" s="158"/>
      <c r="W31" s="158"/>
      <c r="Y31" s="71"/>
      <c r="Z31" s="77"/>
      <c r="AA31" s="158"/>
      <c r="AB31" s="158"/>
      <c r="AC31" s="158"/>
      <c r="AD31" s="158"/>
    </row>
    <row r="32" spans="1:30" x14ac:dyDescent="0.25">
      <c r="A32" s="175"/>
      <c r="B32" s="240"/>
      <c r="C32" s="15" t="s">
        <v>75</v>
      </c>
      <c r="D32" s="93"/>
      <c r="E32" s="94"/>
      <c r="F32" s="242"/>
      <c r="G32" s="157"/>
      <c r="H32" s="242"/>
      <c r="I32" s="157"/>
      <c r="K32" s="93"/>
      <c r="L32" s="94"/>
      <c r="M32" s="242"/>
      <c r="N32" s="157"/>
      <c r="O32" s="242"/>
      <c r="P32" s="157"/>
      <c r="R32" s="71"/>
      <c r="S32" s="77"/>
      <c r="T32" s="242"/>
      <c r="U32" s="157"/>
      <c r="V32" s="242"/>
      <c r="W32" s="157"/>
      <c r="Y32" s="71"/>
      <c r="Z32" s="77"/>
      <c r="AA32" s="242"/>
      <c r="AB32" s="157"/>
      <c r="AC32" s="242"/>
      <c r="AD32" s="157"/>
    </row>
    <row r="33" spans="1:31" ht="15.75" thickBot="1" x14ac:dyDescent="0.3">
      <c r="A33" s="175"/>
      <c r="B33" s="240"/>
      <c r="C33" s="43" t="s">
        <v>75</v>
      </c>
      <c r="D33" s="97"/>
      <c r="E33" s="44"/>
      <c r="F33" s="233"/>
      <c r="G33" s="234"/>
      <c r="H33" s="233"/>
      <c r="I33" s="234"/>
      <c r="K33" s="97"/>
      <c r="L33" s="44"/>
      <c r="M33" s="233"/>
      <c r="N33" s="234"/>
      <c r="O33" s="233"/>
      <c r="P33" s="234"/>
      <c r="R33" s="72"/>
      <c r="S33" s="44"/>
      <c r="T33" s="233"/>
      <c r="U33" s="234"/>
      <c r="V33" s="233"/>
      <c r="W33" s="234"/>
      <c r="Y33" s="72"/>
      <c r="Z33" s="44"/>
      <c r="AA33" s="233"/>
      <c r="AB33" s="234"/>
      <c r="AC33" s="233"/>
      <c r="AD33" s="234"/>
    </row>
    <row r="34" spans="1:31" s="32" customFormat="1" ht="15.75" thickBot="1" x14ac:dyDescent="0.3">
      <c r="A34" s="176"/>
      <c r="B34" s="241"/>
      <c r="C34" s="46" t="s">
        <v>76</v>
      </c>
      <c r="D34" s="235"/>
      <c r="E34" s="235"/>
      <c r="F34" s="235"/>
      <c r="G34" s="236"/>
      <c r="H34" s="237"/>
      <c r="I34" s="237"/>
      <c r="J34" s="33"/>
      <c r="K34" s="235"/>
      <c r="L34" s="235"/>
      <c r="M34" s="235"/>
      <c r="N34" s="236"/>
      <c r="O34" s="238"/>
      <c r="P34" s="236"/>
      <c r="Q34" s="33"/>
      <c r="R34" s="235"/>
      <c r="S34" s="235"/>
      <c r="T34" s="235"/>
      <c r="U34" s="236"/>
      <c r="V34" s="237"/>
      <c r="W34" s="237"/>
      <c r="X34" s="33"/>
      <c r="Y34" s="235"/>
      <c r="Z34" s="235"/>
      <c r="AA34" s="235"/>
      <c r="AB34" s="236"/>
      <c r="AC34" s="237"/>
      <c r="AD34" s="237"/>
      <c r="AE34" s="33"/>
    </row>
    <row r="35" spans="1:31" ht="15.75" thickBot="1" x14ac:dyDescent="0.3">
      <c r="A35" s="10"/>
      <c r="B35" s="13"/>
      <c r="C35" s="13"/>
      <c r="D35" s="172"/>
      <c r="E35" s="173"/>
      <c r="F35" s="173"/>
      <c r="G35" s="173"/>
      <c r="H35" s="173"/>
      <c r="I35" s="173"/>
      <c r="K35" s="199"/>
      <c r="L35" s="200"/>
      <c r="M35" s="200"/>
      <c r="N35" s="200"/>
      <c r="O35" s="200"/>
      <c r="P35" s="200"/>
      <c r="R35" s="172"/>
      <c r="S35" s="173"/>
      <c r="T35" s="173"/>
      <c r="U35" s="173"/>
      <c r="V35" s="173"/>
      <c r="W35" s="173"/>
      <c r="Y35" s="172"/>
      <c r="Z35" s="173"/>
      <c r="AA35" s="173"/>
      <c r="AB35" s="173"/>
      <c r="AC35" s="173"/>
      <c r="AD35" s="173"/>
    </row>
    <row r="36" spans="1:31" ht="15.75" customHeight="1" thickBot="1" x14ac:dyDescent="0.3">
      <c r="A36" s="224" t="s">
        <v>43</v>
      </c>
      <c r="B36" s="225" t="s">
        <v>115</v>
      </c>
      <c r="C36" s="52"/>
      <c r="D36" s="228" t="s">
        <v>99</v>
      </c>
      <c r="E36" s="229"/>
      <c r="F36" s="230" t="s">
        <v>62</v>
      </c>
      <c r="G36" s="230"/>
      <c r="H36" s="230"/>
      <c r="I36" s="230"/>
      <c r="J36" s="59" t="s">
        <v>0</v>
      </c>
      <c r="K36" s="228" t="s">
        <v>99</v>
      </c>
      <c r="L36" s="229"/>
      <c r="M36" s="231" t="s">
        <v>62</v>
      </c>
      <c r="N36" s="232"/>
      <c r="O36" s="232"/>
      <c r="P36" s="229"/>
      <c r="Q36" s="59"/>
      <c r="R36" s="228" t="s">
        <v>99</v>
      </c>
      <c r="S36" s="229"/>
      <c r="T36" s="230" t="s">
        <v>62</v>
      </c>
      <c r="U36" s="230"/>
      <c r="V36" s="230"/>
      <c r="W36" s="230"/>
      <c r="X36" s="59"/>
      <c r="Y36" s="228" t="s">
        <v>99</v>
      </c>
      <c r="Z36" s="229"/>
      <c r="AA36" s="230" t="s">
        <v>62</v>
      </c>
      <c r="AB36" s="230"/>
      <c r="AC36" s="230"/>
      <c r="AD36" s="230"/>
      <c r="AE36" s="59"/>
    </row>
    <row r="37" spans="1:31" ht="15" customHeight="1" x14ac:dyDescent="0.25">
      <c r="A37" s="224"/>
      <c r="B37" s="226"/>
      <c r="C37" s="14" t="s">
        <v>43</v>
      </c>
      <c r="D37" s="212"/>
      <c r="E37" s="213"/>
      <c r="F37" s="212" t="s">
        <v>98</v>
      </c>
      <c r="G37" s="213"/>
      <c r="H37" s="212" t="s">
        <v>161</v>
      </c>
      <c r="I37" s="213"/>
      <c r="K37" s="214" t="s">
        <v>143</v>
      </c>
      <c r="L37" s="215"/>
      <c r="M37" s="216" t="s">
        <v>171</v>
      </c>
      <c r="N37" s="214"/>
      <c r="O37" s="214"/>
      <c r="P37" s="215"/>
      <c r="R37" s="212" t="s">
        <v>143</v>
      </c>
      <c r="S37" s="213"/>
      <c r="T37" s="216" t="s">
        <v>194</v>
      </c>
      <c r="U37" s="214"/>
      <c r="V37" s="214"/>
      <c r="W37" s="215"/>
      <c r="Y37" s="212" t="s">
        <v>143</v>
      </c>
      <c r="Z37" s="213"/>
      <c r="AA37" s="216" t="s">
        <v>202</v>
      </c>
      <c r="AB37" s="214"/>
      <c r="AC37" s="214"/>
      <c r="AD37" s="215"/>
    </row>
    <row r="38" spans="1:31" x14ac:dyDescent="0.25">
      <c r="A38" s="224"/>
      <c r="B38" s="226"/>
      <c r="C38" s="14" t="s">
        <v>78</v>
      </c>
      <c r="D38" s="217" t="s">
        <v>100</v>
      </c>
      <c r="E38" s="218"/>
      <c r="F38" s="217" t="s">
        <v>128</v>
      </c>
      <c r="G38" s="218"/>
      <c r="H38" s="217" t="s">
        <v>162</v>
      </c>
      <c r="I38" s="218"/>
      <c r="K38" s="217"/>
      <c r="L38" s="218"/>
      <c r="M38" s="223"/>
      <c r="N38" s="217"/>
      <c r="O38" s="217"/>
      <c r="P38" s="218"/>
      <c r="R38" s="217" t="s">
        <v>144</v>
      </c>
      <c r="S38" s="218"/>
      <c r="T38" s="219"/>
      <c r="U38" s="219"/>
      <c r="V38" s="219"/>
      <c r="W38" s="219"/>
      <c r="Y38" s="217" t="s">
        <v>118</v>
      </c>
      <c r="Z38" s="218"/>
      <c r="AA38" s="219" t="s">
        <v>203</v>
      </c>
      <c r="AB38" s="219"/>
      <c r="AC38" s="219"/>
      <c r="AD38" s="219"/>
    </row>
    <row r="39" spans="1:31" ht="15.75" thickBot="1" x14ac:dyDescent="0.3">
      <c r="A39" s="224"/>
      <c r="B39" s="227"/>
      <c r="C39" s="53" t="s">
        <v>77</v>
      </c>
      <c r="D39" s="220" t="s">
        <v>163</v>
      </c>
      <c r="E39" s="221"/>
      <c r="F39" s="220" t="s">
        <v>129</v>
      </c>
      <c r="G39" s="221"/>
      <c r="H39" s="220">
        <f t="shared" ref="H39" si="0">-J37</f>
        <v>0</v>
      </c>
      <c r="I39" s="221"/>
      <c r="K39" s="220" t="s">
        <v>154</v>
      </c>
      <c r="L39" s="221"/>
      <c r="M39" s="222" t="s">
        <v>172</v>
      </c>
      <c r="N39" s="220"/>
      <c r="O39" s="220"/>
      <c r="P39" s="221"/>
      <c r="R39" s="220" t="s">
        <v>145</v>
      </c>
      <c r="S39" s="221"/>
      <c r="T39" s="211" t="s">
        <v>195</v>
      </c>
      <c r="U39" s="211"/>
      <c r="V39" s="211"/>
      <c r="W39" s="211"/>
      <c r="Y39" s="220" t="s">
        <v>152</v>
      </c>
      <c r="Z39" s="221"/>
      <c r="AA39" s="211" t="s">
        <v>204</v>
      </c>
      <c r="AB39" s="211"/>
      <c r="AC39" s="211"/>
      <c r="AD39" s="211"/>
    </row>
    <row r="40" spans="1:31" ht="15.75" thickBot="1" x14ac:dyDescent="0.3">
      <c r="A40" s="10"/>
      <c r="B40" s="13"/>
      <c r="C40" s="13"/>
      <c r="D40" s="172"/>
      <c r="E40" s="173"/>
      <c r="F40" s="173"/>
      <c r="G40" s="173"/>
      <c r="H40" s="173"/>
      <c r="I40" s="173"/>
      <c r="K40" s="199"/>
      <c r="L40" s="200"/>
      <c r="M40" s="200"/>
      <c r="N40" s="200"/>
      <c r="O40" s="200"/>
      <c r="P40" s="200"/>
      <c r="R40" s="172"/>
      <c r="S40" s="173"/>
      <c r="T40" s="173"/>
      <c r="U40" s="173"/>
      <c r="V40" s="173"/>
      <c r="W40" s="173"/>
      <c r="Y40" s="172"/>
      <c r="Z40" s="173"/>
      <c r="AA40" s="173"/>
      <c r="AB40" s="173"/>
      <c r="AC40" s="173"/>
      <c r="AD40" s="173"/>
    </row>
    <row r="41" spans="1:31" ht="15" customHeight="1" thickBot="1" x14ac:dyDescent="0.3">
      <c r="A41" s="195" t="s">
        <v>44</v>
      </c>
      <c r="B41" s="197" t="s">
        <v>53</v>
      </c>
      <c r="C41" s="79"/>
      <c r="D41" s="95" t="s">
        <v>99</v>
      </c>
      <c r="E41" s="201" t="s">
        <v>95</v>
      </c>
      <c r="F41" s="203"/>
      <c r="G41" s="204" t="s">
        <v>94</v>
      </c>
      <c r="H41" s="204"/>
      <c r="I41" s="204"/>
      <c r="K41" s="95" t="s">
        <v>99</v>
      </c>
      <c r="L41" s="201" t="s">
        <v>95</v>
      </c>
      <c r="M41" s="203"/>
      <c r="N41" s="201" t="s">
        <v>94</v>
      </c>
      <c r="O41" s="202"/>
      <c r="P41" s="203"/>
      <c r="R41" s="70" t="s">
        <v>99</v>
      </c>
      <c r="S41" s="201" t="s">
        <v>95</v>
      </c>
      <c r="T41" s="203"/>
      <c r="U41" s="204" t="s">
        <v>94</v>
      </c>
      <c r="V41" s="204"/>
      <c r="W41" s="204"/>
      <c r="Y41" s="70" t="s">
        <v>99</v>
      </c>
      <c r="Z41" s="201" t="s">
        <v>95</v>
      </c>
      <c r="AA41" s="203"/>
      <c r="AB41" s="204" t="s">
        <v>94</v>
      </c>
      <c r="AC41" s="204"/>
      <c r="AD41" s="204"/>
    </row>
    <row r="42" spans="1:31" ht="15" customHeight="1" x14ac:dyDescent="0.25">
      <c r="A42" s="196"/>
      <c r="B42" s="197"/>
      <c r="C42" s="80" t="s">
        <v>44</v>
      </c>
      <c r="D42" s="96" t="s">
        <v>89</v>
      </c>
      <c r="E42" s="205">
        <v>8.1999999999999993</v>
      </c>
      <c r="F42" s="206"/>
      <c r="G42" s="207">
        <v>984</v>
      </c>
      <c r="H42" s="207"/>
      <c r="I42" s="207"/>
      <c r="K42" s="96" t="s">
        <v>89</v>
      </c>
      <c r="L42" s="208">
        <v>7.5</v>
      </c>
      <c r="M42" s="209"/>
      <c r="N42" s="208">
        <v>1162.5</v>
      </c>
      <c r="O42" s="210"/>
      <c r="P42" s="209"/>
      <c r="R42" s="78" t="s">
        <v>89</v>
      </c>
      <c r="S42" s="205">
        <v>2.9</v>
      </c>
      <c r="T42" s="206"/>
      <c r="U42" s="207">
        <v>590</v>
      </c>
      <c r="V42" s="207"/>
      <c r="W42" s="207"/>
      <c r="Y42" s="78" t="s">
        <v>89</v>
      </c>
      <c r="Z42" s="205">
        <v>7.2</v>
      </c>
      <c r="AA42" s="206"/>
      <c r="AB42" s="207">
        <v>964</v>
      </c>
      <c r="AC42" s="207"/>
      <c r="AD42" s="207"/>
    </row>
    <row r="43" spans="1:31" x14ac:dyDescent="0.25">
      <c r="A43" s="196"/>
      <c r="B43" s="197"/>
      <c r="C43" s="198" t="s">
        <v>79</v>
      </c>
      <c r="D43" s="183" t="s">
        <v>130</v>
      </c>
      <c r="E43" s="185"/>
      <c r="F43" s="186"/>
      <c r="G43" s="189" t="s">
        <v>130</v>
      </c>
      <c r="H43" s="190"/>
      <c r="I43" s="191"/>
      <c r="J43" s="63"/>
      <c r="K43" s="183"/>
      <c r="L43" s="185"/>
      <c r="M43" s="186"/>
      <c r="N43" s="189"/>
      <c r="O43" s="190"/>
      <c r="P43" s="191"/>
      <c r="Q43" s="63"/>
      <c r="R43" s="183"/>
      <c r="S43" s="185"/>
      <c r="T43" s="186"/>
      <c r="U43" s="189"/>
      <c r="V43" s="190"/>
      <c r="W43" s="191"/>
      <c r="X43" s="63"/>
      <c r="Y43" s="183"/>
      <c r="Z43" s="185"/>
      <c r="AA43" s="186"/>
      <c r="AB43" s="189"/>
      <c r="AC43" s="190"/>
      <c r="AD43" s="191"/>
      <c r="AE43" s="63"/>
    </row>
    <row r="44" spans="1:31" ht="15.75" thickBot="1" x14ac:dyDescent="0.3">
      <c r="A44" s="196"/>
      <c r="B44" s="197"/>
      <c r="C44" s="198"/>
      <c r="D44" s="184"/>
      <c r="E44" s="187"/>
      <c r="F44" s="188"/>
      <c r="G44" s="192"/>
      <c r="H44" s="193"/>
      <c r="I44" s="194"/>
      <c r="J44" s="65"/>
      <c r="K44" s="184"/>
      <c r="L44" s="187"/>
      <c r="M44" s="188"/>
      <c r="N44" s="192"/>
      <c r="O44" s="193"/>
      <c r="P44" s="194"/>
      <c r="Q44" s="65"/>
      <c r="R44" s="184"/>
      <c r="S44" s="187"/>
      <c r="T44" s="188"/>
      <c r="U44" s="192"/>
      <c r="V44" s="193"/>
      <c r="W44" s="194"/>
      <c r="X44" s="65"/>
      <c r="Y44" s="184"/>
      <c r="Z44" s="187"/>
      <c r="AA44" s="188"/>
      <c r="AB44" s="192"/>
      <c r="AC44" s="193"/>
      <c r="AD44" s="194"/>
      <c r="AE44" s="65"/>
    </row>
    <row r="45" spans="1:31" ht="15.75" thickBot="1" x14ac:dyDescent="0.3">
      <c r="A45" s="10"/>
      <c r="B45" s="13"/>
      <c r="C45" s="13"/>
      <c r="D45" s="172"/>
      <c r="E45" s="173"/>
      <c r="F45" s="173"/>
      <c r="G45" s="173"/>
      <c r="H45" s="173"/>
      <c r="I45" s="173"/>
      <c r="K45" s="199"/>
      <c r="L45" s="200"/>
      <c r="M45" s="200"/>
      <c r="N45" s="200"/>
      <c r="O45" s="200"/>
      <c r="P45" s="200"/>
      <c r="R45" s="172"/>
      <c r="S45" s="173"/>
      <c r="T45" s="173"/>
      <c r="U45" s="173"/>
      <c r="V45" s="173"/>
      <c r="W45" s="173"/>
      <c r="Y45" s="172"/>
      <c r="Z45" s="173"/>
      <c r="AA45" s="173"/>
      <c r="AB45" s="173"/>
      <c r="AC45" s="173"/>
      <c r="AD45" s="173"/>
    </row>
    <row r="46" spans="1:31" ht="15" customHeight="1" x14ac:dyDescent="0.25">
      <c r="A46" s="174" t="s">
        <v>45</v>
      </c>
      <c r="B46" s="177" t="s">
        <v>54</v>
      </c>
      <c r="C46" s="58" t="s">
        <v>80</v>
      </c>
      <c r="D46" s="180">
        <v>85</v>
      </c>
      <c r="E46" s="181"/>
      <c r="F46" s="181"/>
      <c r="G46" s="181"/>
      <c r="H46" s="181"/>
      <c r="I46" s="181"/>
      <c r="K46" s="182">
        <v>105.7</v>
      </c>
      <c r="L46" s="182"/>
      <c r="M46" s="182"/>
      <c r="N46" s="182"/>
      <c r="O46" s="182"/>
      <c r="P46" s="180"/>
      <c r="R46" s="180">
        <v>105</v>
      </c>
      <c r="S46" s="181"/>
      <c r="T46" s="181"/>
      <c r="U46" s="181"/>
      <c r="V46" s="181"/>
      <c r="W46" s="181"/>
      <c r="Y46" s="180">
        <v>75</v>
      </c>
      <c r="Z46" s="181"/>
      <c r="AA46" s="181"/>
      <c r="AB46" s="181"/>
      <c r="AC46" s="181"/>
      <c r="AD46" s="181"/>
    </row>
    <row r="47" spans="1:31" x14ac:dyDescent="0.25">
      <c r="A47" s="175"/>
      <c r="B47" s="178"/>
      <c r="C47" s="17" t="s">
        <v>81</v>
      </c>
      <c r="D47" s="157">
        <v>235</v>
      </c>
      <c r="E47" s="158"/>
      <c r="F47" s="158"/>
      <c r="G47" s="158"/>
      <c r="H47" s="158"/>
      <c r="I47" s="158"/>
      <c r="K47" s="156">
        <v>211</v>
      </c>
      <c r="L47" s="156"/>
      <c r="M47" s="156"/>
      <c r="N47" s="156"/>
      <c r="O47" s="156"/>
      <c r="P47" s="157"/>
      <c r="R47" s="157">
        <v>65</v>
      </c>
      <c r="S47" s="158"/>
      <c r="T47" s="158"/>
      <c r="U47" s="158"/>
      <c r="V47" s="158"/>
      <c r="W47" s="158"/>
      <c r="Y47" s="157">
        <v>155</v>
      </c>
      <c r="Z47" s="158"/>
      <c r="AA47" s="158"/>
      <c r="AB47" s="158"/>
      <c r="AC47" s="158"/>
      <c r="AD47" s="158"/>
    </row>
    <row r="48" spans="1:31" x14ac:dyDescent="0.25">
      <c r="A48" s="175"/>
      <c r="B48" s="178"/>
      <c r="C48" s="17" t="s">
        <v>82</v>
      </c>
      <c r="D48" s="157">
        <v>183</v>
      </c>
      <c r="E48" s="158"/>
      <c r="F48" s="158"/>
      <c r="G48" s="158"/>
      <c r="H48" s="158"/>
      <c r="I48" s="158"/>
      <c r="K48" s="156">
        <v>186</v>
      </c>
      <c r="L48" s="156"/>
      <c r="M48" s="156"/>
      <c r="N48" s="156"/>
      <c r="O48" s="156"/>
      <c r="P48" s="157"/>
      <c r="R48" s="157">
        <v>137.5</v>
      </c>
      <c r="S48" s="158"/>
      <c r="T48" s="158"/>
      <c r="U48" s="158"/>
      <c r="V48" s="158"/>
      <c r="W48" s="158"/>
      <c r="Y48" s="157">
        <v>149</v>
      </c>
      <c r="Z48" s="158"/>
      <c r="AA48" s="158"/>
      <c r="AB48" s="158"/>
      <c r="AC48" s="158"/>
      <c r="AD48" s="158"/>
    </row>
    <row r="49" spans="1:31" x14ac:dyDescent="0.25">
      <c r="A49" s="175"/>
      <c r="B49" s="178"/>
      <c r="C49" s="17" t="s">
        <v>83</v>
      </c>
      <c r="D49" s="157">
        <v>281.39999999999998</v>
      </c>
      <c r="E49" s="158"/>
      <c r="F49" s="158"/>
      <c r="G49" s="158"/>
      <c r="H49" s="158"/>
      <c r="I49" s="158"/>
      <c r="K49" s="156">
        <v>275</v>
      </c>
      <c r="L49" s="156"/>
      <c r="M49" s="156"/>
      <c r="N49" s="156"/>
      <c r="O49" s="156"/>
      <c r="P49" s="157"/>
      <c r="R49" s="157">
        <v>272.60000000000002</v>
      </c>
      <c r="S49" s="158"/>
      <c r="T49" s="158"/>
      <c r="U49" s="158"/>
      <c r="V49" s="158"/>
      <c r="W49" s="158"/>
      <c r="Y49" s="157">
        <v>271</v>
      </c>
      <c r="Z49" s="158"/>
      <c r="AA49" s="158"/>
      <c r="AB49" s="158"/>
      <c r="AC49" s="158"/>
      <c r="AD49" s="158"/>
    </row>
    <row r="50" spans="1:31" x14ac:dyDescent="0.25">
      <c r="A50" s="175"/>
      <c r="B50" s="178"/>
      <c r="C50" s="15" t="s">
        <v>84</v>
      </c>
      <c r="D50" s="161"/>
      <c r="E50" s="162"/>
      <c r="F50" s="162"/>
      <c r="G50" s="162"/>
      <c r="H50" s="162"/>
      <c r="I50" s="162"/>
      <c r="K50" s="171"/>
      <c r="L50" s="171"/>
      <c r="M50" s="171"/>
      <c r="N50" s="171"/>
      <c r="O50" s="171"/>
      <c r="P50" s="161"/>
      <c r="R50" s="161" t="s">
        <v>130</v>
      </c>
      <c r="S50" s="162"/>
      <c r="T50" s="162"/>
      <c r="U50" s="162"/>
      <c r="V50" s="162"/>
      <c r="W50" s="162"/>
      <c r="Y50" s="161"/>
      <c r="Z50" s="162"/>
      <c r="AA50" s="162"/>
      <c r="AB50" s="162"/>
      <c r="AC50" s="162"/>
      <c r="AD50" s="162"/>
    </row>
    <row r="51" spans="1:31" x14ac:dyDescent="0.25">
      <c r="A51" s="175"/>
      <c r="B51" s="178"/>
      <c r="C51" s="15" t="s">
        <v>85</v>
      </c>
      <c r="D51" s="161"/>
      <c r="E51" s="162"/>
      <c r="F51" s="162"/>
      <c r="G51" s="162"/>
      <c r="H51" s="162"/>
      <c r="I51" s="162"/>
      <c r="K51" s="171"/>
      <c r="L51" s="171"/>
      <c r="M51" s="171"/>
      <c r="N51" s="171"/>
      <c r="O51" s="171"/>
      <c r="P51" s="161"/>
      <c r="R51" s="161" t="s">
        <v>130</v>
      </c>
      <c r="S51" s="162"/>
      <c r="T51" s="162"/>
      <c r="U51" s="162"/>
      <c r="V51" s="162"/>
      <c r="W51" s="162"/>
      <c r="Y51" s="161"/>
      <c r="Z51" s="162"/>
      <c r="AA51" s="162"/>
      <c r="AB51" s="162"/>
      <c r="AC51" s="162"/>
      <c r="AD51" s="162"/>
    </row>
    <row r="52" spans="1:31" x14ac:dyDescent="0.25">
      <c r="A52" s="175"/>
      <c r="B52" s="178"/>
      <c r="C52" s="17" t="s">
        <v>86</v>
      </c>
      <c r="D52" s="161"/>
      <c r="E52" s="162"/>
      <c r="F52" s="162"/>
      <c r="G52" s="162"/>
      <c r="H52" s="162"/>
      <c r="I52" s="162"/>
      <c r="K52" s="171"/>
      <c r="L52" s="171"/>
      <c r="M52" s="171"/>
      <c r="N52" s="171"/>
      <c r="O52" s="171"/>
      <c r="P52" s="161"/>
      <c r="R52" s="161"/>
      <c r="S52" s="162"/>
      <c r="T52" s="162"/>
      <c r="U52" s="162"/>
      <c r="V52" s="162"/>
      <c r="W52" s="162"/>
      <c r="Y52" s="161">
        <v>51.3</v>
      </c>
      <c r="Z52" s="162"/>
      <c r="AA52" s="162"/>
      <c r="AB52" s="162"/>
      <c r="AC52" s="162"/>
      <c r="AD52" s="162"/>
    </row>
    <row r="53" spans="1:31" x14ac:dyDescent="0.25">
      <c r="A53" s="175"/>
      <c r="B53" s="178"/>
      <c r="C53" s="15" t="s">
        <v>87</v>
      </c>
      <c r="D53" s="157">
        <v>897</v>
      </c>
      <c r="E53" s="158"/>
      <c r="F53" s="158"/>
      <c r="G53" s="158"/>
      <c r="H53" s="158"/>
      <c r="I53" s="158"/>
      <c r="K53" s="156">
        <v>861</v>
      </c>
      <c r="L53" s="156"/>
      <c r="M53" s="156"/>
      <c r="N53" s="156"/>
      <c r="O53" s="156"/>
      <c r="P53" s="157"/>
      <c r="R53" s="157">
        <v>681.5</v>
      </c>
      <c r="S53" s="158"/>
      <c r="T53" s="158"/>
      <c r="U53" s="158"/>
      <c r="V53" s="158"/>
      <c r="W53" s="158"/>
      <c r="Y53" s="157">
        <v>718.9</v>
      </c>
      <c r="Z53" s="158"/>
      <c r="AA53" s="158"/>
      <c r="AB53" s="158"/>
      <c r="AC53" s="158"/>
      <c r="AD53" s="158"/>
    </row>
    <row r="54" spans="1:31" ht="15" customHeight="1" x14ac:dyDescent="0.25">
      <c r="A54" s="175"/>
      <c r="B54" s="178"/>
      <c r="C54" s="159" t="s">
        <v>88</v>
      </c>
      <c r="D54" s="161">
        <v>295</v>
      </c>
      <c r="E54" s="162"/>
      <c r="F54" s="162"/>
      <c r="G54" s="162"/>
      <c r="H54" s="162"/>
      <c r="I54" s="162"/>
      <c r="J54" s="34"/>
      <c r="K54" s="165">
        <v>295</v>
      </c>
      <c r="L54" s="166"/>
      <c r="M54" s="166"/>
      <c r="N54" s="166"/>
      <c r="O54" s="166"/>
      <c r="P54" s="167"/>
      <c r="Q54" s="34"/>
      <c r="R54" s="161">
        <v>295</v>
      </c>
      <c r="S54" s="162"/>
      <c r="T54" s="162"/>
      <c r="U54" s="162"/>
      <c r="V54" s="162"/>
      <c r="W54" s="162"/>
      <c r="X54" s="34"/>
      <c r="Y54" s="161">
        <v>295</v>
      </c>
      <c r="Z54" s="162"/>
      <c r="AA54" s="162"/>
      <c r="AB54" s="162"/>
      <c r="AC54" s="162"/>
      <c r="AD54" s="162"/>
      <c r="AE54" s="34"/>
    </row>
    <row r="55" spans="1:31" ht="15.75" thickBot="1" x14ac:dyDescent="0.3">
      <c r="A55" s="176"/>
      <c r="B55" s="179"/>
      <c r="C55" s="160"/>
      <c r="D55" s="163"/>
      <c r="E55" s="164"/>
      <c r="F55" s="164"/>
      <c r="G55" s="164"/>
      <c r="H55" s="164"/>
      <c r="I55" s="164"/>
      <c r="J55" s="34"/>
      <c r="K55" s="168"/>
      <c r="L55" s="169"/>
      <c r="M55" s="169"/>
      <c r="N55" s="169"/>
      <c r="O55" s="169"/>
      <c r="P55" s="170"/>
      <c r="Q55" s="34"/>
      <c r="R55" s="163"/>
      <c r="S55" s="164"/>
      <c r="T55" s="164"/>
      <c r="U55" s="164"/>
      <c r="V55" s="164"/>
      <c r="W55" s="164"/>
      <c r="X55" s="34"/>
      <c r="Y55" s="163"/>
      <c r="Z55" s="164"/>
      <c r="AA55" s="164"/>
      <c r="AB55" s="164"/>
      <c r="AC55" s="164"/>
      <c r="AD55" s="164"/>
      <c r="AE55" s="34"/>
    </row>
  </sheetData>
  <mergeCells count="297">
    <mergeCell ref="D1:I1"/>
    <mergeCell ref="K1:P1"/>
    <mergeCell ref="R1:W1"/>
    <mergeCell ref="Y1:AD1"/>
    <mergeCell ref="D3:I3"/>
    <mergeCell ref="K3:P3"/>
    <mergeCell ref="R3:W3"/>
    <mergeCell ref="Y3:AD3"/>
    <mergeCell ref="A2:A5"/>
    <mergeCell ref="B2:B5"/>
    <mergeCell ref="D2:I2"/>
    <mergeCell ref="K2:P2"/>
    <mergeCell ref="R2:W2"/>
    <mergeCell ref="Y2:AD2"/>
    <mergeCell ref="D4:I4"/>
    <mergeCell ref="K4:P4"/>
    <mergeCell ref="R4:W4"/>
    <mergeCell ref="Y4:AD4"/>
    <mergeCell ref="D6:I6"/>
    <mergeCell ref="K6:P6"/>
    <mergeCell ref="R6:W6"/>
    <mergeCell ref="Y6:AD6"/>
    <mergeCell ref="D5:I5"/>
    <mergeCell ref="K5:P5"/>
    <mergeCell ref="R5:W5"/>
    <mergeCell ref="Y5:AD5"/>
    <mergeCell ref="A7:A9"/>
    <mergeCell ref="B7:B9"/>
    <mergeCell ref="D7:I7"/>
    <mergeCell ref="K7:P7"/>
    <mergeCell ref="R7:W7"/>
    <mergeCell ref="Y7:AD7"/>
    <mergeCell ref="D9:I9"/>
    <mergeCell ref="K9:P9"/>
    <mergeCell ref="R9:W9"/>
    <mergeCell ref="Y9:AD9"/>
    <mergeCell ref="D10:I10"/>
    <mergeCell ref="K10:P10"/>
    <mergeCell ref="R10:W10"/>
    <mergeCell ref="Y10:AD10"/>
    <mergeCell ref="D8:I8"/>
    <mergeCell ref="K8:P8"/>
    <mergeCell ref="R8:W8"/>
    <mergeCell ref="Y8:AD8"/>
    <mergeCell ref="A11:A13"/>
    <mergeCell ref="B11:B13"/>
    <mergeCell ref="D11:I11"/>
    <mergeCell ref="K11:P11"/>
    <mergeCell ref="R11:W11"/>
    <mergeCell ref="Y11:AD11"/>
    <mergeCell ref="D13:I13"/>
    <mergeCell ref="K13:P13"/>
    <mergeCell ref="R13:W13"/>
    <mergeCell ref="Y13:AD13"/>
    <mergeCell ref="D14:I14"/>
    <mergeCell ref="K14:P14"/>
    <mergeCell ref="R14:W14"/>
    <mergeCell ref="Y14:AD14"/>
    <mergeCell ref="D12:I12"/>
    <mergeCell ref="K12:P12"/>
    <mergeCell ref="R12:W12"/>
    <mergeCell ref="Y12:AD12"/>
    <mergeCell ref="A15:A25"/>
    <mergeCell ref="B15:B25"/>
    <mergeCell ref="F15:G15"/>
    <mergeCell ref="M15:N15"/>
    <mergeCell ref="T15:U15"/>
    <mergeCell ref="AA15:AB15"/>
    <mergeCell ref="F17:G17"/>
    <mergeCell ref="M17:N17"/>
    <mergeCell ref="T17:U17"/>
    <mergeCell ref="AA17:AB17"/>
    <mergeCell ref="F20:G20"/>
    <mergeCell ref="M20:N20"/>
    <mergeCell ref="T20:U20"/>
    <mergeCell ref="AA20:AB20"/>
    <mergeCell ref="F24:G24"/>
    <mergeCell ref="M24:N24"/>
    <mergeCell ref="F22:G22"/>
    <mergeCell ref="M22:N22"/>
    <mergeCell ref="T22:U22"/>
    <mergeCell ref="AA22:AB22"/>
    <mergeCell ref="F21:G21"/>
    <mergeCell ref="M21:N21"/>
    <mergeCell ref="T21:U21"/>
    <mergeCell ref="AA21:AB21"/>
    <mergeCell ref="F23:G23"/>
    <mergeCell ref="M23:N23"/>
    <mergeCell ref="T23:U23"/>
    <mergeCell ref="AA23:AB23"/>
    <mergeCell ref="F18:G18"/>
    <mergeCell ref="M18:N18"/>
    <mergeCell ref="T18:U18"/>
    <mergeCell ref="AA18:AB18"/>
    <mergeCell ref="F16:G16"/>
    <mergeCell ref="M16:N16"/>
    <mergeCell ref="T16:U16"/>
    <mergeCell ref="AA16:AB16"/>
    <mergeCell ref="F19:G19"/>
    <mergeCell ref="M19:N19"/>
    <mergeCell ref="T19:U19"/>
    <mergeCell ref="AA19:AB19"/>
    <mergeCell ref="D26:I26"/>
    <mergeCell ref="K26:P26"/>
    <mergeCell ref="R26:W26"/>
    <mergeCell ref="Y26:AD26"/>
    <mergeCell ref="F25:G25"/>
    <mergeCell ref="M25:N25"/>
    <mergeCell ref="T25:U25"/>
    <mergeCell ref="AA25:AB25"/>
    <mergeCell ref="T24:U24"/>
    <mergeCell ref="AA24:AB24"/>
    <mergeCell ref="A27:A34"/>
    <mergeCell ref="B27:B34"/>
    <mergeCell ref="F27:G27"/>
    <mergeCell ref="H27:I27"/>
    <mergeCell ref="M27:N27"/>
    <mergeCell ref="O27:P27"/>
    <mergeCell ref="F30:G30"/>
    <mergeCell ref="H30:I30"/>
    <mergeCell ref="M30:N30"/>
    <mergeCell ref="O30:P30"/>
    <mergeCell ref="F29:G29"/>
    <mergeCell ref="H29:I29"/>
    <mergeCell ref="M29:N29"/>
    <mergeCell ref="O29:P29"/>
    <mergeCell ref="T29:U29"/>
    <mergeCell ref="V29:W29"/>
    <mergeCell ref="F28:G28"/>
    <mergeCell ref="H28:I28"/>
    <mergeCell ref="M28:N28"/>
    <mergeCell ref="O28:P28"/>
    <mergeCell ref="T28:U28"/>
    <mergeCell ref="V28:W28"/>
    <mergeCell ref="AA28:AB28"/>
    <mergeCell ref="AC28:AD28"/>
    <mergeCell ref="T27:U27"/>
    <mergeCell ref="V27:W27"/>
    <mergeCell ref="AA27:AB27"/>
    <mergeCell ref="AC27:AD27"/>
    <mergeCell ref="AA29:AB29"/>
    <mergeCell ref="AC29:AD29"/>
    <mergeCell ref="F32:G32"/>
    <mergeCell ref="H32:I32"/>
    <mergeCell ref="M32:N32"/>
    <mergeCell ref="O32:P32"/>
    <mergeCell ref="T32:U32"/>
    <mergeCell ref="V32:W32"/>
    <mergeCell ref="F31:G31"/>
    <mergeCell ref="H31:I31"/>
    <mergeCell ref="M31:N31"/>
    <mergeCell ref="O31:P31"/>
    <mergeCell ref="T31:U31"/>
    <mergeCell ref="V31:W31"/>
    <mergeCell ref="AA31:AB31"/>
    <mergeCell ref="AC31:AD31"/>
    <mergeCell ref="T30:U30"/>
    <mergeCell ref="V30:W30"/>
    <mergeCell ref="AA30:AB30"/>
    <mergeCell ref="AC30:AD30"/>
    <mergeCell ref="AA32:AB32"/>
    <mergeCell ref="AC32:AD32"/>
    <mergeCell ref="AA33:AB33"/>
    <mergeCell ref="AC33:AD33"/>
    <mergeCell ref="F33:G33"/>
    <mergeCell ref="H33:I33"/>
    <mergeCell ref="M33:N33"/>
    <mergeCell ref="O33:P33"/>
    <mergeCell ref="T33:U33"/>
    <mergeCell ref="V33:W33"/>
    <mergeCell ref="Y34:AB34"/>
    <mergeCell ref="AC34:AD34"/>
    <mergeCell ref="D34:G34"/>
    <mergeCell ref="H34:I34"/>
    <mergeCell ref="K34:N34"/>
    <mergeCell ref="O34:P34"/>
    <mergeCell ref="R34:U34"/>
    <mergeCell ref="V34:W34"/>
    <mergeCell ref="D39:E39"/>
    <mergeCell ref="K39:L39"/>
    <mergeCell ref="M39:P39"/>
    <mergeCell ref="D35:I35"/>
    <mergeCell ref="K35:P35"/>
    <mergeCell ref="R35:W35"/>
    <mergeCell ref="Y35:AD35"/>
    <mergeCell ref="D38:E38"/>
    <mergeCell ref="K38:L38"/>
    <mergeCell ref="M38:P38"/>
    <mergeCell ref="R38:S38"/>
    <mergeCell ref="T38:W38"/>
    <mergeCell ref="Y38:Z38"/>
    <mergeCell ref="AA38:AD38"/>
    <mergeCell ref="T39:W39"/>
    <mergeCell ref="Y39:Z39"/>
    <mergeCell ref="Y36:Z36"/>
    <mergeCell ref="AA36:AD36"/>
    <mergeCell ref="D36:E36"/>
    <mergeCell ref="F36:I36"/>
    <mergeCell ref="F37:G37"/>
    <mergeCell ref="H37:I37"/>
    <mergeCell ref="M36:P36"/>
    <mergeCell ref="AA39:AD39"/>
    <mergeCell ref="F38:G38"/>
    <mergeCell ref="H38:I38"/>
    <mergeCell ref="F39:G39"/>
    <mergeCell ref="H39:I39"/>
    <mergeCell ref="D37:E37"/>
    <mergeCell ref="K37:L37"/>
    <mergeCell ref="M37:P37"/>
    <mergeCell ref="R37:S37"/>
    <mergeCell ref="T37:W37"/>
    <mergeCell ref="Y37:Z37"/>
    <mergeCell ref="AA37:AD37"/>
    <mergeCell ref="K40:P40"/>
    <mergeCell ref="C43:C44"/>
    <mergeCell ref="D43:D44"/>
    <mergeCell ref="E43:F44"/>
    <mergeCell ref="G43:I44"/>
    <mergeCell ref="K43:K44"/>
    <mergeCell ref="L43:M44"/>
    <mergeCell ref="R36:S36"/>
    <mergeCell ref="R40:W40"/>
    <mergeCell ref="T36:W36"/>
    <mergeCell ref="Y40:AD40"/>
    <mergeCell ref="R39:S39"/>
    <mergeCell ref="A36:A39"/>
    <mergeCell ref="B36:B39"/>
    <mergeCell ref="K36:L36"/>
    <mergeCell ref="E42:F42"/>
    <mergeCell ref="G42:I42"/>
    <mergeCell ref="L42:M42"/>
    <mergeCell ref="N42:P42"/>
    <mergeCell ref="S42:T42"/>
    <mergeCell ref="U42:W42"/>
    <mergeCell ref="Z42:AA42"/>
    <mergeCell ref="AB42:AD42"/>
    <mergeCell ref="S41:T41"/>
    <mergeCell ref="U41:W41"/>
    <mergeCell ref="Z41:AA41"/>
    <mergeCell ref="AB41:AD41"/>
    <mergeCell ref="A41:A44"/>
    <mergeCell ref="B41:B44"/>
    <mergeCell ref="E41:F41"/>
    <mergeCell ref="G41:I41"/>
    <mergeCell ref="L41:M41"/>
    <mergeCell ref="N41:P41"/>
    <mergeCell ref="D40:I40"/>
    <mergeCell ref="D45:I45"/>
    <mergeCell ref="K45:P45"/>
    <mergeCell ref="R45:W45"/>
    <mergeCell ref="Y45:AD45"/>
    <mergeCell ref="R43:R44"/>
    <mergeCell ref="S43:T44"/>
    <mergeCell ref="U43:W44"/>
    <mergeCell ref="Z43:AA44"/>
    <mergeCell ref="AB43:AD44"/>
    <mergeCell ref="Y43:Y44"/>
    <mergeCell ref="N43:P44"/>
    <mergeCell ref="A46:A55"/>
    <mergeCell ref="B46:B55"/>
    <mergeCell ref="D46:I46"/>
    <mergeCell ref="K46:P46"/>
    <mergeCell ref="R46:W46"/>
    <mergeCell ref="Y46:AD46"/>
    <mergeCell ref="D47:I47"/>
    <mergeCell ref="K47:P47"/>
    <mergeCell ref="R47:W47"/>
    <mergeCell ref="Y47:AD47"/>
    <mergeCell ref="D48:I48"/>
    <mergeCell ref="K48:P48"/>
    <mergeCell ref="R48:W48"/>
    <mergeCell ref="Y48:AD48"/>
    <mergeCell ref="D50:I50"/>
    <mergeCell ref="K50:P50"/>
    <mergeCell ref="R50:W50"/>
    <mergeCell ref="Y50:AD50"/>
    <mergeCell ref="D49:I49"/>
    <mergeCell ref="K49:P49"/>
    <mergeCell ref="R49:W49"/>
    <mergeCell ref="Y49:AD49"/>
    <mergeCell ref="C54:C55"/>
    <mergeCell ref="D54:I55"/>
    <mergeCell ref="D51:I51"/>
    <mergeCell ref="K51:P51"/>
    <mergeCell ref="R51:W51"/>
    <mergeCell ref="Y51:AD51"/>
    <mergeCell ref="K54:P55"/>
    <mergeCell ref="R54:W55"/>
    <mergeCell ref="Y54:AD55"/>
    <mergeCell ref="D53:I53"/>
    <mergeCell ref="K53:P53"/>
    <mergeCell ref="R53:W53"/>
    <mergeCell ref="Y53:AD53"/>
    <mergeCell ref="D52:I52"/>
    <mergeCell ref="K52:P52"/>
    <mergeCell ref="R52:W52"/>
    <mergeCell ref="Y52:AD52"/>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61"/>
  <sheetViews>
    <sheetView workbookViewId="0">
      <selection activeCell="C33" sqref="C33"/>
    </sheetView>
  </sheetViews>
  <sheetFormatPr baseColWidth="10" defaultColWidth="11.42578125" defaultRowHeight="15" x14ac:dyDescent="0.25"/>
  <cols>
    <col min="1" max="1" width="16.42578125" bestFit="1" customWidth="1"/>
    <col min="5" max="5" width="14.85546875" bestFit="1" customWidth="1"/>
    <col min="9" max="9" width="14.85546875" bestFit="1" customWidth="1"/>
    <col min="13" max="13" width="14.85546875" bestFit="1" customWidth="1"/>
    <col min="17" max="17" width="14.85546875" bestFit="1" customWidth="1"/>
    <col min="21" max="21" width="14.85546875" bestFit="1" customWidth="1"/>
  </cols>
  <sheetData>
    <row r="4" spans="1:23" x14ac:dyDescent="0.25">
      <c r="E4" s="5" t="s">
        <v>373</v>
      </c>
    </row>
    <row r="5" spans="1:23" x14ac:dyDescent="0.25">
      <c r="A5" s="147" t="s">
        <v>108</v>
      </c>
      <c r="B5" s="147"/>
      <c r="C5" s="147"/>
      <c r="E5" s="147" t="s">
        <v>223</v>
      </c>
      <c r="F5" s="147"/>
      <c r="G5" s="147"/>
      <c r="I5" s="147" t="s">
        <v>224</v>
      </c>
      <c r="J5" s="147"/>
      <c r="K5" s="147"/>
      <c r="M5" s="147" t="s">
        <v>218</v>
      </c>
      <c r="N5" s="147"/>
      <c r="O5" s="147"/>
      <c r="Q5" s="147" t="s">
        <v>219</v>
      </c>
      <c r="R5" s="147"/>
      <c r="S5" s="147"/>
      <c r="U5" s="147"/>
      <c r="V5" s="147"/>
      <c r="W5" s="147"/>
    </row>
    <row r="6" spans="1:23" x14ac:dyDescent="0.25">
      <c r="A6" s="5" t="s">
        <v>105</v>
      </c>
      <c r="B6" s="5" t="s">
        <v>106</v>
      </c>
      <c r="C6" s="5" t="s">
        <v>107</v>
      </c>
      <c r="E6" s="5" t="s">
        <v>105</v>
      </c>
      <c r="F6" s="5" t="s">
        <v>106</v>
      </c>
      <c r="G6" s="5" t="s">
        <v>107</v>
      </c>
      <c r="I6" s="5" t="s">
        <v>105</v>
      </c>
      <c r="J6" s="5" t="s">
        <v>106</v>
      </c>
      <c r="K6" s="5" t="s">
        <v>107</v>
      </c>
      <c r="M6" s="5" t="s">
        <v>105</v>
      </c>
      <c r="N6" s="5" t="s">
        <v>106</v>
      </c>
      <c r="O6" s="5" t="s">
        <v>107</v>
      </c>
      <c r="Q6" s="5" t="s">
        <v>105</v>
      </c>
      <c r="R6" s="5" t="s">
        <v>106</v>
      </c>
      <c r="S6" s="5" t="s">
        <v>107</v>
      </c>
      <c r="U6" s="5"/>
      <c r="V6" s="5"/>
      <c r="W6" s="5"/>
    </row>
    <row r="7" spans="1:23" x14ac:dyDescent="0.25">
      <c r="A7" s="5">
        <v>1</v>
      </c>
      <c r="B7" s="5">
        <v>2009</v>
      </c>
      <c r="C7" s="67">
        <v>2.7800000000000002</v>
      </c>
      <c r="E7" s="5">
        <v>1</v>
      </c>
      <c r="F7" s="5">
        <v>2009</v>
      </c>
      <c r="G7" s="104">
        <v>80.5</v>
      </c>
      <c r="I7" s="5">
        <v>1</v>
      </c>
      <c r="J7" s="5">
        <v>2009</v>
      </c>
      <c r="K7" s="104">
        <v>72.599999999999994</v>
      </c>
      <c r="M7" s="5">
        <v>1</v>
      </c>
      <c r="N7" s="5">
        <v>2009</v>
      </c>
      <c r="O7" s="104">
        <v>79.5</v>
      </c>
      <c r="Q7" s="5">
        <v>1</v>
      </c>
      <c r="R7" s="5">
        <v>2009</v>
      </c>
      <c r="S7" s="5"/>
      <c r="U7" s="5"/>
      <c r="V7" s="5"/>
      <c r="W7" s="5"/>
    </row>
    <row r="8" spans="1:23" x14ac:dyDescent="0.25">
      <c r="A8" s="5">
        <v>2</v>
      </c>
      <c r="B8" s="5">
        <v>2010</v>
      </c>
      <c r="C8" s="67">
        <v>2.52</v>
      </c>
      <c r="E8" s="5">
        <v>2</v>
      </c>
      <c r="F8" s="5">
        <v>2010</v>
      </c>
      <c r="G8" s="104">
        <v>69.2</v>
      </c>
      <c r="I8" s="5">
        <v>2</v>
      </c>
      <c r="J8" s="5">
        <v>2010</v>
      </c>
      <c r="K8" s="104">
        <v>66</v>
      </c>
      <c r="M8" s="5">
        <v>2</v>
      </c>
      <c r="N8" s="5">
        <v>2010</v>
      </c>
      <c r="O8" s="104">
        <v>66</v>
      </c>
      <c r="Q8" s="5">
        <v>2</v>
      </c>
      <c r="R8" s="5">
        <v>2010</v>
      </c>
      <c r="S8" s="5"/>
      <c r="U8" s="5"/>
      <c r="V8" s="5"/>
      <c r="W8" s="5"/>
    </row>
    <row r="9" spans="1:23" x14ac:dyDescent="0.25">
      <c r="A9" s="5">
        <v>3</v>
      </c>
      <c r="B9" s="5">
        <v>2011</v>
      </c>
      <c r="C9" s="67">
        <v>2.27</v>
      </c>
      <c r="E9" s="5">
        <v>3</v>
      </c>
      <c r="F9" s="5">
        <v>2011</v>
      </c>
      <c r="G9" s="104">
        <v>60.7</v>
      </c>
      <c r="I9" s="5">
        <v>3</v>
      </c>
      <c r="J9" s="5">
        <v>2011</v>
      </c>
      <c r="K9" s="104">
        <v>58.4</v>
      </c>
      <c r="M9" s="5">
        <v>3</v>
      </c>
      <c r="N9" s="5">
        <v>2011</v>
      </c>
      <c r="O9" s="104"/>
      <c r="Q9" s="5">
        <v>3</v>
      </c>
      <c r="R9" s="5">
        <v>2011</v>
      </c>
      <c r="S9" s="5"/>
      <c r="U9" s="5"/>
      <c r="V9" s="5"/>
      <c r="W9" s="5"/>
    </row>
    <row r="10" spans="1:23" x14ac:dyDescent="0.25">
      <c r="A10" s="5">
        <v>4</v>
      </c>
      <c r="B10" s="5">
        <v>2012</v>
      </c>
      <c r="C10" s="67">
        <v>3.79</v>
      </c>
      <c r="E10" s="5">
        <v>4</v>
      </c>
      <c r="F10" s="5">
        <v>2012</v>
      </c>
      <c r="G10" s="104">
        <v>57.6</v>
      </c>
      <c r="I10" s="5">
        <v>4</v>
      </c>
      <c r="J10" s="5">
        <v>2012</v>
      </c>
      <c r="K10" s="104">
        <v>52.3</v>
      </c>
      <c r="M10" s="5">
        <v>4</v>
      </c>
      <c r="N10" s="5">
        <v>2012</v>
      </c>
      <c r="O10" s="104">
        <v>55.9</v>
      </c>
      <c r="Q10" s="5">
        <v>4</v>
      </c>
      <c r="R10" s="5">
        <v>2012</v>
      </c>
      <c r="S10" s="5"/>
      <c r="U10" s="5"/>
      <c r="V10" s="5"/>
      <c r="W10" s="5"/>
    </row>
    <row r="11" spans="1:23" x14ac:dyDescent="0.25">
      <c r="A11" s="5">
        <v>5</v>
      </c>
      <c r="B11" s="5">
        <v>2013</v>
      </c>
      <c r="C11" s="67">
        <v>2.95</v>
      </c>
      <c r="E11" s="5">
        <v>5</v>
      </c>
      <c r="F11" s="5">
        <v>2013</v>
      </c>
      <c r="G11" s="104">
        <v>80.400000000000006</v>
      </c>
      <c r="I11" s="5">
        <v>5</v>
      </c>
      <c r="J11" s="5">
        <v>2013</v>
      </c>
      <c r="K11" s="104">
        <v>71.099999999999994</v>
      </c>
      <c r="M11" s="5">
        <v>5</v>
      </c>
      <c r="N11" s="5">
        <v>2013</v>
      </c>
      <c r="O11" s="104">
        <v>75.3</v>
      </c>
      <c r="Q11" s="5">
        <v>5</v>
      </c>
      <c r="R11" s="5">
        <v>2013</v>
      </c>
      <c r="S11" s="5">
        <v>38.18</v>
      </c>
      <c r="U11" s="5"/>
      <c r="V11" s="5"/>
      <c r="W11" s="5"/>
    </row>
    <row r="12" spans="1:23" x14ac:dyDescent="0.25">
      <c r="A12" s="5">
        <v>6</v>
      </c>
      <c r="B12" s="5">
        <v>2014</v>
      </c>
      <c r="C12" s="67">
        <v>3.0950000000000002</v>
      </c>
      <c r="E12" s="5">
        <v>6</v>
      </c>
      <c r="F12" s="5">
        <v>2014</v>
      </c>
      <c r="G12" s="104">
        <v>88.8</v>
      </c>
      <c r="I12" s="5">
        <v>6</v>
      </c>
      <c r="J12" s="5">
        <v>2014</v>
      </c>
      <c r="K12" s="104">
        <v>78.5</v>
      </c>
      <c r="M12" s="5">
        <v>6</v>
      </c>
      <c r="N12" s="5">
        <v>2014</v>
      </c>
      <c r="O12" s="104">
        <v>78.5</v>
      </c>
      <c r="Q12" s="5">
        <v>6</v>
      </c>
      <c r="R12" s="5">
        <v>2014</v>
      </c>
      <c r="S12" s="5">
        <v>36.1</v>
      </c>
      <c r="U12" s="5"/>
      <c r="V12" s="5"/>
      <c r="W12" s="5"/>
    </row>
    <row r="13" spans="1:23" x14ac:dyDescent="0.25">
      <c r="A13" s="5">
        <v>7</v>
      </c>
      <c r="B13" s="5">
        <v>2015</v>
      </c>
      <c r="C13" s="67">
        <v>2.4</v>
      </c>
      <c r="E13" s="5">
        <v>7</v>
      </c>
      <c r="F13" s="5">
        <v>2015</v>
      </c>
      <c r="G13" s="104">
        <v>81.2</v>
      </c>
      <c r="I13" s="5">
        <v>7</v>
      </c>
      <c r="J13" s="5">
        <v>2015</v>
      </c>
      <c r="K13" s="104">
        <v>67.7</v>
      </c>
      <c r="M13" s="5">
        <v>7</v>
      </c>
      <c r="N13" s="5">
        <v>2015</v>
      </c>
      <c r="O13" s="104">
        <v>72.400000000000006</v>
      </c>
      <c r="Q13" s="5">
        <v>7</v>
      </c>
      <c r="R13" s="5">
        <v>2015</v>
      </c>
      <c r="S13" s="5">
        <v>39.1</v>
      </c>
      <c r="U13" s="5"/>
      <c r="V13" s="5"/>
      <c r="W13" s="5"/>
    </row>
    <row r="14" spans="1:23" x14ac:dyDescent="0.25">
      <c r="A14" s="5">
        <v>8</v>
      </c>
      <c r="B14" s="5">
        <v>2016</v>
      </c>
      <c r="C14" s="67">
        <v>4.4799999999999995</v>
      </c>
      <c r="E14" s="5">
        <v>8</v>
      </c>
      <c r="F14" s="5">
        <v>2016</v>
      </c>
      <c r="G14" s="104">
        <v>68.5</v>
      </c>
      <c r="I14" s="5">
        <v>8</v>
      </c>
      <c r="J14" s="5">
        <v>2016</v>
      </c>
      <c r="K14" s="104">
        <v>70.2</v>
      </c>
      <c r="M14" s="5">
        <v>8</v>
      </c>
      <c r="N14" s="5">
        <v>2016</v>
      </c>
      <c r="O14" s="104">
        <v>57.3</v>
      </c>
      <c r="Q14" s="5">
        <v>8</v>
      </c>
      <c r="R14" s="5">
        <v>2016</v>
      </c>
      <c r="S14" s="5">
        <v>33</v>
      </c>
      <c r="U14" s="5"/>
      <c r="V14" s="5"/>
      <c r="W14" s="5"/>
    </row>
    <row r="15" spans="1:23" x14ac:dyDescent="0.25">
      <c r="A15" s="5">
        <v>9</v>
      </c>
      <c r="B15" s="5">
        <v>2017</v>
      </c>
      <c r="C15" s="67">
        <v>2.17</v>
      </c>
      <c r="E15" s="5">
        <v>9</v>
      </c>
      <c r="F15" s="5">
        <v>2017</v>
      </c>
      <c r="G15" s="104">
        <v>78.599999999999994</v>
      </c>
      <c r="I15" s="5">
        <v>9</v>
      </c>
      <c r="J15" s="5">
        <v>2017</v>
      </c>
      <c r="K15" s="104">
        <v>74.099999999999994</v>
      </c>
      <c r="M15" s="5">
        <v>9</v>
      </c>
      <c r="N15" s="5">
        <v>2017</v>
      </c>
      <c r="O15" s="104">
        <v>56.4</v>
      </c>
      <c r="Q15" s="5">
        <v>9</v>
      </c>
      <c r="R15" s="5">
        <v>2017</v>
      </c>
      <c r="S15">
        <v>35.700000000000003</v>
      </c>
      <c r="U15" s="5"/>
      <c r="V15" s="5"/>
      <c r="W15" s="5"/>
    </row>
    <row r="16" spans="1:23" x14ac:dyDescent="0.25">
      <c r="A16" s="5">
        <v>10</v>
      </c>
      <c r="B16" s="5">
        <v>2018</v>
      </c>
      <c r="C16" s="67">
        <v>3.0100000000000002</v>
      </c>
      <c r="E16" s="5">
        <v>10</v>
      </c>
      <c r="F16" s="5">
        <v>2018</v>
      </c>
      <c r="G16" s="5">
        <v>68.7</v>
      </c>
      <c r="I16" s="5">
        <v>10</v>
      </c>
      <c r="J16" s="5">
        <v>2018</v>
      </c>
      <c r="K16" s="5">
        <v>65.599999999999994</v>
      </c>
      <c r="M16" s="5">
        <v>10</v>
      </c>
      <c r="N16" s="5">
        <v>2018</v>
      </c>
      <c r="O16" s="5">
        <v>57.2</v>
      </c>
      <c r="Q16" s="5">
        <v>10</v>
      </c>
      <c r="R16" s="5">
        <v>2018</v>
      </c>
      <c r="S16" s="5">
        <v>36</v>
      </c>
      <c r="U16" s="5"/>
      <c r="V16" s="5"/>
      <c r="W16" s="5"/>
    </row>
    <row r="17" spans="1:23" x14ac:dyDescent="0.25">
      <c r="C17" s="107">
        <f>_xlfn.STDEV.P(C7:C16)/AVERAGE(C7:C16)</f>
        <v>0.23163174288024402</v>
      </c>
      <c r="G17" s="107">
        <f>_xlfn.STDEV.P(G7:G16)/AVERAGE(G7:G16)</f>
        <v>0.12914972414589698</v>
      </c>
      <c r="K17" s="107">
        <f>_xlfn.STDEV.P(K7:K16)/AVERAGE(K7:K16)</f>
        <v>0.10764935659329465</v>
      </c>
      <c r="O17" s="107">
        <f>_xlfn.STDEV.P(O7:O16)/AVERAGE(O7:O16)</f>
        <v>0.14274717660048147</v>
      </c>
      <c r="S17" s="107">
        <f>_xlfn.STDEV.P(S11:S16)/AVERAGE(S11:S16)</f>
        <v>5.3563352159776909E-2</v>
      </c>
    </row>
    <row r="20" spans="1:23" x14ac:dyDescent="0.25">
      <c r="A20" s="147" t="s">
        <v>220</v>
      </c>
      <c r="B20" s="147"/>
      <c r="C20" s="147"/>
      <c r="D20" s="5"/>
      <c r="E20" s="147" t="s">
        <v>221</v>
      </c>
      <c r="F20" s="147"/>
      <c r="G20" s="147"/>
      <c r="H20" s="5"/>
      <c r="I20" s="147" t="s">
        <v>222</v>
      </c>
      <c r="J20" s="147"/>
      <c r="K20" s="147"/>
      <c r="L20" s="5"/>
      <c r="M20" s="147" t="s">
        <v>109</v>
      </c>
      <c r="N20" s="147"/>
      <c r="O20" s="147"/>
      <c r="P20" s="5"/>
      <c r="Q20" s="147" t="s">
        <v>109</v>
      </c>
      <c r="R20" s="147"/>
      <c r="S20" s="147"/>
      <c r="T20" s="5"/>
      <c r="U20" s="147"/>
      <c r="V20" s="147"/>
      <c r="W20" s="147"/>
    </row>
    <row r="21" spans="1:23" x14ac:dyDescent="0.25">
      <c r="A21" s="5" t="s">
        <v>105</v>
      </c>
      <c r="B21" s="5" t="s">
        <v>106</v>
      </c>
      <c r="C21" s="5" t="s">
        <v>107</v>
      </c>
      <c r="D21" s="5"/>
      <c r="E21" s="5" t="s">
        <v>105</v>
      </c>
      <c r="F21" s="5" t="s">
        <v>106</v>
      </c>
      <c r="G21" s="5" t="s">
        <v>107</v>
      </c>
      <c r="H21" s="5"/>
      <c r="I21" s="5" t="s">
        <v>105</v>
      </c>
      <c r="J21" s="5" t="s">
        <v>106</v>
      </c>
      <c r="K21" s="5" t="s">
        <v>107</v>
      </c>
      <c r="L21" s="5"/>
      <c r="M21" s="5" t="s">
        <v>105</v>
      </c>
      <c r="N21" s="5" t="s">
        <v>106</v>
      </c>
      <c r="O21" s="5" t="s">
        <v>107</v>
      </c>
      <c r="P21" s="5"/>
      <c r="Q21" s="5" t="s">
        <v>105</v>
      </c>
      <c r="R21" s="5" t="s">
        <v>106</v>
      </c>
      <c r="S21" s="5" t="s">
        <v>107</v>
      </c>
      <c r="T21" s="5"/>
      <c r="U21" s="5"/>
      <c r="V21" s="5"/>
      <c r="W21" s="5"/>
    </row>
    <row r="22" spans="1:23" x14ac:dyDescent="0.25">
      <c r="A22" s="5">
        <v>1</v>
      </c>
      <c r="B22" s="5">
        <v>2009</v>
      </c>
      <c r="C22" s="104">
        <v>738</v>
      </c>
      <c r="D22" s="5"/>
      <c r="E22" s="5">
        <v>1</v>
      </c>
      <c r="F22" s="5">
        <v>2009</v>
      </c>
      <c r="G22" s="104">
        <v>98.8</v>
      </c>
      <c r="H22" s="5"/>
      <c r="I22" s="5">
        <v>1</v>
      </c>
      <c r="J22" s="5">
        <v>2009</v>
      </c>
      <c r="K22" s="5"/>
      <c r="L22" s="5"/>
      <c r="M22" s="5">
        <v>1</v>
      </c>
      <c r="N22" s="5"/>
      <c r="O22" s="5"/>
      <c r="P22" s="5"/>
      <c r="Q22" s="5">
        <v>1</v>
      </c>
      <c r="R22" s="5"/>
      <c r="S22" s="5"/>
      <c r="T22" s="5"/>
      <c r="U22" s="5"/>
      <c r="V22" s="5"/>
      <c r="W22" s="5"/>
    </row>
    <row r="23" spans="1:23" x14ac:dyDescent="0.25">
      <c r="A23" s="5">
        <v>2</v>
      </c>
      <c r="B23" s="5">
        <v>2010</v>
      </c>
      <c r="C23" s="104">
        <v>658.3</v>
      </c>
      <c r="D23" s="5"/>
      <c r="E23" s="5">
        <v>2</v>
      </c>
      <c r="F23" s="5">
        <v>2010</v>
      </c>
      <c r="G23" s="104">
        <v>95.8</v>
      </c>
      <c r="H23" s="5"/>
      <c r="I23" s="5">
        <v>2</v>
      </c>
      <c r="J23" s="5">
        <v>2010</v>
      </c>
      <c r="K23" s="5"/>
      <c r="L23" s="5"/>
      <c r="M23" s="5">
        <v>2</v>
      </c>
      <c r="N23" s="5"/>
      <c r="O23" s="5"/>
      <c r="P23" s="5"/>
      <c r="Q23" s="5">
        <v>2</v>
      </c>
      <c r="R23" s="5"/>
      <c r="S23" s="5"/>
      <c r="T23" s="5"/>
      <c r="U23" s="5"/>
      <c r="V23" s="5"/>
      <c r="W23" s="5"/>
    </row>
    <row r="24" spans="1:23" x14ac:dyDescent="0.25">
      <c r="A24" s="5">
        <v>3</v>
      </c>
      <c r="B24" s="5">
        <v>2011</v>
      </c>
      <c r="C24" s="104">
        <v>844.7</v>
      </c>
      <c r="D24" s="5"/>
      <c r="E24" s="5">
        <v>3</v>
      </c>
      <c r="F24" s="5">
        <v>2011</v>
      </c>
      <c r="G24" s="104">
        <v>123.2</v>
      </c>
      <c r="H24" s="5"/>
      <c r="I24" s="5">
        <v>3</v>
      </c>
      <c r="J24" s="5">
        <v>2011</v>
      </c>
      <c r="K24" s="5"/>
      <c r="L24" s="5"/>
      <c r="M24" s="5">
        <v>3</v>
      </c>
      <c r="N24" s="5"/>
      <c r="O24" s="5"/>
      <c r="P24" s="5"/>
      <c r="Q24" s="5">
        <v>3</v>
      </c>
      <c r="R24" s="5"/>
      <c r="S24" s="5"/>
      <c r="T24" s="5"/>
      <c r="U24" s="5"/>
      <c r="V24" s="5"/>
      <c r="W24" s="5"/>
    </row>
    <row r="25" spans="1:23" x14ac:dyDescent="0.25">
      <c r="A25" s="5">
        <v>4</v>
      </c>
      <c r="B25" s="5">
        <v>2012</v>
      </c>
      <c r="C25" s="104">
        <v>708.6</v>
      </c>
      <c r="D25" s="5"/>
      <c r="E25" s="5">
        <v>4</v>
      </c>
      <c r="F25" s="5">
        <v>2012</v>
      </c>
      <c r="G25" s="104">
        <v>119.7</v>
      </c>
      <c r="H25" s="5"/>
      <c r="I25" s="5">
        <v>4</v>
      </c>
      <c r="J25" s="5">
        <v>2012</v>
      </c>
      <c r="K25" s="5"/>
      <c r="L25" s="5"/>
      <c r="M25" s="5">
        <v>4</v>
      </c>
      <c r="N25" s="5"/>
      <c r="O25" s="5"/>
      <c r="P25" s="5"/>
      <c r="Q25" s="5">
        <v>4</v>
      </c>
      <c r="R25" s="5"/>
      <c r="S25" s="5"/>
      <c r="T25" s="5"/>
      <c r="U25" s="5"/>
      <c r="V25" s="5"/>
      <c r="W25" s="5"/>
    </row>
    <row r="26" spans="1:23" x14ac:dyDescent="0.25">
      <c r="A26" s="5">
        <v>5</v>
      </c>
      <c r="B26" s="5">
        <v>2013</v>
      </c>
      <c r="C26" s="104">
        <v>737.2</v>
      </c>
      <c r="D26" s="5"/>
      <c r="E26" s="5">
        <v>5</v>
      </c>
      <c r="F26" s="5">
        <v>2013</v>
      </c>
      <c r="G26" s="104">
        <v>99.9</v>
      </c>
      <c r="H26" s="5"/>
      <c r="I26" s="5">
        <v>5</v>
      </c>
      <c r="J26" s="5">
        <v>2013</v>
      </c>
      <c r="K26" s="5">
        <v>36.6</v>
      </c>
      <c r="L26" s="5"/>
      <c r="M26" s="5">
        <v>5</v>
      </c>
      <c r="N26" s="5"/>
      <c r="O26" s="5"/>
      <c r="P26" s="5"/>
      <c r="Q26" s="5">
        <v>5</v>
      </c>
      <c r="R26" s="5"/>
      <c r="S26" s="5"/>
      <c r="T26" s="5"/>
      <c r="U26" s="5"/>
      <c r="V26" s="5"/>
      <c r="W26" s="5"/>
    </row>
    <row r="27" spans="1:23" x14ac:dyDescent="0.25">
      <c r="A27" s="5">
        <v>6</v>
      </c>
      <c r="B27" s="5">
        <v>2014</v>
      </c>
      <c r="C27" s="104">
        <v>909.2</v>
      </c>
      <c r="D27" s="5"/>
      <c r="E27" s="5">
        <v>6</v>
      </c>
      <c r="F27" s="5">
        <v>2014</v>
      </c>
      <c r="G27" s="104">
        <v>115.6</v>
      </c>
      <c r="H27" s="5"/>
      <c r="I27" s="5">
        <v>6</v>
      </c>
      <c r="J27" s="5">
        <v>2014</v>
      </c>
      <c r="K27" s="5">
        <v>38.6</v>
      </c>
      <c r="L27" s="5"/>
      <c r="M27" s="5">
        <v>6</v>
      </c>
      <c r="N27" s="5"/>
      <c r="O27" s="5"/>
      <c r="P27" s="5"/>
      <c r="Q27" s="5">
        <v>6</v>
      </c>
      <c r="R27" s="5"/>
      <c r="S27" s="5"/>
      <c r="T27" s="5"/>
      <c r="U27" s="5"/>
      <c r="V27" s="5"/>
      <c r="W27" s="5"/>
    </row>
    <row r="28" spans="1:23" x14ac:dyDescent="0.25">
      <c r="A28" s="5">
        <v>7</v>
      </c>
      <c r="B28" s="5">
        <v>2015</v>
      </c>
      <c r="C28" s="104">
        <v>629.6</v>
      </c>
      <c r="D28" s="5"/>
      <c r="E28" s="5">
        <v>7</v>
      </c>
      <c r="F28" s="5">
        <v>2015</v>
      </c>
      <c r="G28" s="104">
        <v>83.5</v>
      </c>
      <c r="H28" s="5"/>
      <c r="I28" s="5">
        <v>7</v>
      </c>
      <c r="J28" s="5">
        <v>2015</v>
      </c>
      <c r="K28" s="5">
        <v>33.4</v>
      </c>
      <c r="L28" s="5"/>
      <c r="M28" s="5">
        <v>7</v>
      </c>
      <c r="N28" s="5"/>
      <c r="O28" s="5"/>
      <c r="P28" s="5"/>
      <c r="Q28" s="5">
        <v>7</v>
      </c>
      <c r="R28" s="5"/>
      <c r="S28" s="5"/>
      <c r="T28" s="5"/>
      <c r="U28" s="5"/>
      <c r="V28" s="5"/>
      <c r="W28" s="5"/>
    </row>
    <row r="29" spans="1:23" x14ac:dyDescent="0.25">
      <c r="A29" s="5">
        <v>8</v>
      </c>
      <c r="B29" s="5">
        <v>2016</v>
      </c>
      <c r="C29" s="104">
        <v>754.7</v>
      </c>
      <c r="D29" s="5"/>
      <c r="E29" s="5">
        <v>8</v>
      </c>
      <c r="F29" s="5">
        <v>2016</v>
      </c>
      <c r="G29" s="104">
        <v>93.4</v>
      </c>
      <c r="H29" s="5"/>
      <c r="I29" s="5">
        <v>8</v>
      </c>
      <c r="J29" s="5">
        <v>2016</v>
      </c>
      <c r="K29" s="5">
        <v>42.1</v>
      </c>
      <c r="L29" s="5"/>
      <c r="M29" s="5">
        <v>8</v>
      </c>
      <c r="N29" s="5"/>
      <c r="O29" s="5"/>
      <c r="P29" s="5"/>
      <c r="Q29" s="5">
        <v>8</v>
      </c>
      <c r="R29" s="5"/>
      <c r="S29" s="5"/>
      <c r="T29" s="5"/>
      <c r="U29" s="5"/>
      <c r="V29" s="5"/>
      <c r="W29" s="5"/>
    </row>
    <row r="30" spans="1:23" x14ac:dyDescent="0.25">
      <c r="A30" s="5">
        <v>9</v>
      </c>
      <c r="B30" s="5">
        <v>2017</v>
      </c>
      <c r="C30" s="104">
        <v>915.5</v>
      </c>
      <c r="D30" s="5"/>
      <c r="E30" s="5">
        <v>9</v>
      </c>
      <c r="F30" s="5">
        <v>2017</v>
      </c>
      <c r="G30" s="104">
        <v>107.3</v>
      </c>
      <c r="H30" s="5"/>
      <c r="I30" s="5">
        <v>9</v>
      </c>
      <c r="J30" s="5">
        <v>2017</v>
      </c>
      <c r="K30" s="5">
        <v>31.4</v>
      </c>
      <c r="L30" s="5"/>
      <c r="M30" s="5">
        <v>9</v>
      </c>
      <c r="N30" s="5"/>
      <c r="O30" s="5"/>
      <c r="P30" s="5"/>
      <c r="Q30" s="5">
        <v>9</v>
      </c>
      <c r="R30" s="5"/>
      <c r="S30" s="5"/>
      <c r="T30" s="5"/>
      <c r="U30" s="5"/>
      <c r="V30" s="5"/>
      <c r="W30" s="5"/>
    </row>
    <row r="31" spans="1:23" x14ac:dyDescent="0.25">
      <c r="A31" s="5">
        <v>10</v>
      </c>
      <c r="B31" s="5">
        <v>2018</v>
      </c>
      <c r="C31" s="5">
        <v>628.1</v>
      </c>
      <c r="D31" s="5"/>
      <c r="E31" s="5">
        <v>10</v>
      </c>
      <c r="F31" s="5">
        <v>2018</v>
      </c>
      <c r="G31" s="5">
        <v>71</v>
      </c>
      <c r="H31" s="5"/>
      <c r="I31" s="5">
        <v>10</v>
      </c>
      <c r="J31" s="5">
        <v>2018</v>
      </c>
      <c r="K31" s="5">
        <v>32.4</v>
      </c>
      <c r="L31" s="5"/>
      <c r="M31" s="5">
        <v>10</v>
      </c>
      <c r="N31" s="5"/>
      <c r="O31" s="5"/>
      <c r="P31" s="5"/>
      <c r="Q31" s="5">
        <v>10</v>
      </c>
      <c r="R31" s="5"/>
      <c r="S31" s="5"/>
      <c r="T31" s="5"/>
      <c r="U31" s="5"/>
      <c r="V31" s="5"/>
      <c r="W31" s="5"/>
    </row>
    <row r="32" spans="1:23" x14ac:dyDescent="0.25">
      <c r="C32" s="107">
        <f>_xlfn.STDEV.P(C22:C31)/AVERAGE(C22:C31)</f>
        <v>0.13387283114248841</v>
      </c>
      <c r="G32" s="107">
        <f>_xlfn.STDEV.P(G22:G31)/AVERAGE(G22:G31)</f>
        <v>0.15340801690346761</v>
      </c>
      <c r="K32" s="107">
        <f>_xlfn.STDEV.P(K26:K31)/AVERAGE(K26:K31)</f>
        <v>0.10518065251921795</v>
      </c>
    </row>
    <row r="35" spans="1:23" x14ac:dyDescent="0.25">
      <c r="A35" s="147"/>
      <c r="B35" s="147"/>
      <c r="C35" s="147"/>
      <c r="D35" s="102" t="s">
        <v>268</v>
      </c>
      <c r="E35" s="103"/>
      <c r="F35" s="103"/>
      <c r="G35" s="103"/>
      <c r="H35" s="5"/>
      <c r="I35" s="147"/>
      <c r="J35" s="147"/>
      <c r="K35" s="147"/>
      <c r="L35" s="5"/>
      <c r="M35" s="147"/>
      <c r="N35" s="147"/>
      <c r="O35" s="147"/>
      <c r="P35" s="5"/>
      <c r="Q35" s="147"/>
      <c r="R35" s="147"/>
      <c r="S35" s="147"/>
      <c r="T35" s="5"/>
      <c r="U35" s="147"/>
      <c r="V35" s="147"/>
      <c r="W35" s="147"/>
    </row>
    <row r="36" spans="1:23" x14ac:dyDescent="0.25">
      <c r="A36" s="5"/>
      <c r="B36" s="5"/>
      <c r="C36" s="5"/>
      <c r="D36" s="5"/>
      <c r="E36" s="5"/>
      <c r="F36" s="5" t="s">
        <v>229</v>
      </c>
      <c r="G36" s="5" t="s">
        <v>230</v>
      </c>
      <c r="H36" s="5" t="s">
        <v>231</v>
      </c>
      <c r="I36" s="5" t="s">
        <v>232</v>
      </c>
      <c r="J36" s="104"/>
      <c r="K36" s="104"/>
      <c r="L36" s="104"/>
      <c r="M36" s="104"/>
      <c r="N36" s="104"/>
      <c r="O36" s="5"/>
      <c r="P36" s="5"/>
      <c r="Q36" s="5"/>
      <c r="R36" s="5"/>
      <c r="S36" s="5"/>
      <c r="T36" s="5"/>
      <c r="U36" s="5"/>
      <c r="V36" s="5"/>
      <c r="W36" s="5"/>
    </row>
    <row r="37" spans="1:23" x14ac:dyDescent="0.25">
      <c r="A37" s="5"/>
      <c r="B37" s="5"/>
      <c r="C37" s="5"/>
      <c r="D37" s="5" t="s">
        <v>233</v>
      </c>
      <c r="E37" s="5"/>
      <c r="F37" s="5" t="s">
        <v>234</v>
      </c>
      <c r="G37" s="5" t="s">
        <v>269</v>
      </c>
      <c r="H37" s="5" t="s">
        <v>146</v>
      </c>
      <c r="I37" s="5"/>
      <c r="J37" s="108">
        <f>AVERAGE(G17,K17,O17)</f>
        <v>0.12651541911322436</v>
      </c>
      <c r="K37" s="104"/>
      <c r="L37" s="104"/>
      <c r="M37" s="104"/>
      <c r="N37" s="104"/>
      <c r="O37" s="104"/>
      <c r="P37" s="5"/>
      <c r="Q37" s="5"/>
      <c r="R37" s="5"/>
      <c r="S37" s="5"/>
      <c r="T37" s="5"/>
      <c r="U37" s="5"/>
      <c r="V37" s="5"/>
      <c r="W37" s="5"/>
    </row>
    <row r="38" spans="1:23" x14ac:dyDescent="0.25">
      <c r="A38" s="5"/>
      <c r="B38" s="5"/>
      <c r="C38" s="5"/>
      <c r="D38" s="5" t="s">
        <v>235</v>
      </c>
      <c r="E38" s="5"/>
      <c r="F38" s="5" t="s">
        <v>234</v>
      </c>
      <c r="G38" s="5" t="s">
        <v>269</v>
      </c>
      <c r="H38" s="5" t="s">
        <v>238</v>
      </c>
      <c r="I38" s="5" t="s">
        <v>146</v>
      </c>
      <c r="J38" s="108">
        <f>AVERAGE(G17,K17,O17,S17)</f>
        <v>0.10827740237486251</v>
      </c>
      <c r="K38" s="104"/>
      <c r="L38" s="104"/>
      <c r="M38" s="104"/>
      <c r="N38" s="104"/>
      <c r="O38" s="5"/>
      <c r="P38" s="5"/>
      <c r="Q38" s="5"/>
      <c r="R38" s="5"/>
      <c r="S38" s="5"/>
      <c r="T38" s="5"/>
      <c r="U38" s="5"/>
      <c r="V38" s="5"/>
      <c r="W38" s="5"/>
    </row>
    <row r="39" spans="1:23" x14ac:dyDescent="0.25">
      <c r="A39" s="5"/>
      <c r="B39" s="5"/>
      <c r="C39" s="5"/>
      <c r="D39" s="5"/>
      <c r="E39" s="5"/>
      <c r="F39" s="5"/>
      <c r="G39" s="5"/>
      <c r="H39" s="5"/>
      <c r="I39" s="5"/>
      <c r="J39" s="5"/>
      <c r="K39" s="104"/>
      <c r="L39" s="104"/>
      <c r="M39" s="104"/>
      <c r="N39" s="104"/>
      <c r="O39" s="5"/>
      <c r="P39" s="5"/>
      <c r="Q39" s="5"/>
      <c r="R39" s="5"/>
      <c r="S39" s="5"/>
      <c r="T39" s="5"/>
      <c r="U39" s="5"/>
      <c r="V39" s="5"/>
      <c r="W39" s="5"/>
    </row>
    <row r="40" spans="1:23" x14ac:dyDescent="0.25">
      <c r="A40" s="5"/>
      <c r="B40" s="5"/>
      <c r="C40" s="5"/>
      <c r="D40" s="5"/>
      <c r="E40" s="5"/>
      <c r="F40" s="5"/>
      <c r="G40" s="5"/>
      <c r="H40" s="5"/>
      <c r="I40" s="5"/>
      <c r="J40" s="5"/>
      <c r="K40" s="104"/>
      <c r="L40" s="104"/>
      <c r="M40" s="104"/>
      <c r="N40" s="104"/>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50" spans="1:23" x14ac:dyDescent="0.25">
      <c r="A50" s="147" t="s">
        <v>6</v>
      </c>
      <c r="B50" s="147"/>
      <c r="C50" s="147"/>
      <c r="D50" s="5"/>
      <c r="E50" s="147" t="s">
        <v>6</v>
      </c>
      <c r="F50" s="147"/>
      <c r="G50" s="147"/>
      <c r="H50" s="5"/>
      <c r="I50" s="147" t="s">
        <v>6</v>
      </c>
      <c r="J50" s="147"/>
      <c r="K50" s="147"/>
      <c r="L50" s="5"/>
      <c r="M50" s="147" t="s">
        <v>6</v>
      </c>
      <c r="N50" s="147"/>
      <c r="O50" s="147"/>
      <c r="P50" s="5"/>
      <c r="Q50" s="147" t="s">
        <v>6</v>
      </c>
      <c r="R50" s="147"/>
      <c r="S50" s="147"/>
      <c r="T50" s="5"/>
      <c r="U50" s="147" t="s">
        <v>6</v>
      </c>
      <c r="V50" s="147"/>
      <c r="W50" s="147"/>
    </row>
    <row r="51" spans="1:23" x14ac:dyDescent="0.25">
      <c r="A51" s="5" t="s">
        <v>5</v>
      </c>
      <c r="B51" s="5" t="s">
        <v>3</v>
      </c>
      <c r="C51" s="5" t="s">
        <v>4</v>
      </c>
      <c r="D51" s="5"/>
      <c r="E51" s="5" t="s">
        <v>5</v>
      </c>
      <c r="F51" s="5" t="s">
        <v>3</v>
      </c>
      <c r="G51" s="5" t="s">
        <v>4</v>
      </c>
      <c r="H51" s="5"/>
      <c r="I51" s="5" t="s">
        <v>5</v>
      </c>
      <c r="J51" s="5" t="s">
        <v>3</v>
      </c>
      <c r="K51" s="5" t="s">
        <v>4</v>
      </c>
      <c r="L51" s="5"/>
      <c r="M51" s="5" t="s">
        <v>5</v>
      </c>
      <c r="N51" s="5" t="s">
        <v>3</v>
      </c>
      <c r="O51" s="5" t="s">
        <v>4</v>
      </c>
      <c r="P51" s="5"/>
      <c r="Q51" s="5" t="s">
        <v>5</v>
      </c>
      <c r="R51" s="5" t="s">
        <v>3</v>
      </c>
      <c r="S51" s="5" t="s">
        <v>4</v>
      </c>
      <c r="T51" s="5"/>
      <c r="U51" s="5" t="s">
        <v>5</v>
      </c>
      <c r="V51" s="5" t="s">
        <v>3</v>
      </c>
      <c r="W51" s="5" t="s">
        <v>4</v>
      </c>
    </row>
    <row r="52" spans="1:23" x14ac:dyDescent="0.25">
      <c r="A52" s="5">
        <v>1</v>
      </c>
      <c r="B52" s="5"/>
      <c r="C52" s="5"/>
      <c r="D52" s="5"/>
      <c r="E52" s="5">
        <v>1</v>
      </c>
      <c r="F52" s="5"/>
      <c r="G52" s="5"/>
      <c r="H52" s="5"/>
      <c r="I52" s="5">
        <v>1</v>
      </c>
      <c r="J52" s="5"/>
      <c r="K52" s="5"/>
      <c r="L52" s="5"/>
      <c r="M52" s="5">
        <v>1</v>
      </c>
      <c r="N52" s="5"/>
      <c r="O52" s="5"/>
      <c r="P52" s="5"/>
      <c r="Q52" s="5">
        <v>1</v>
      </c>
      <c r="R52" s="5"/>
      <c r="S52" s="5"/>
      <c r="T52" s="5"/>
      <c r="U52" s="5">
        <v>1</v>
      </c>
      <c r="V52" s="5"/>
      <c r="W52" s="5"/>
    </row>
    <row r="53" spans="1:23" x14ac:dyDescent="0.25">
      <c r="A53" s="5">
        <v>2</v>
      </c>
      <c r="B53" s="5"/>
      <c r="C53" s="5"/>
      <c r="D53" s="5"/>
      <c r="E53" s="5">
        <v>2</v>
      </c>
      <c r="F53" s="5"/>
      <c r="G53" s="5"/>
      <c r="H53" s="5"/>
      <c r="I53" s="5">
        <v>2</v>
      </c>
      <c r="J53" s="5"/>
      <c r="K53" s="5"/>
      <c r="L53" s="5"/>
      <c r="M53" s="5">
        <v>2</v>
      </c>
      <c r="N53" s="5"/>
      <c r="O53" s="5"/>
      <c r="P53" s="5"/>
      <c r="Q53" s="5">
        <v>2</v>
      </c>
      <c r="R53" s="5"/>
      <c r="S53" s="5"/>
      <c r="T53" s="5"/>
      <c r="U53" s="5">
        <v>2</v>
      </c>
      <c r="V53" s="5"/>
      <c r="W53" s="5"/>
    </row>
    <row r="54" spans="1:23" x14ac:dyDescent="0.25">
      <c r="A54" s="5">
        <v>3</v>
      </c>
      <c r="B54" s="5"/>
      <c r="C54" s="5"/>
      <c r="D54" s="5"/>
      <c r="E54" s="5">
        <v>3</v>
      </c>
      <c r="F54" s="5"/>
      <c r="G54" s="5"/>
      <c r="H54" s="5"/>
      <c r="I54" s="5">
        <v>3</v>
      </c>
      <c r="J54" s="5"/>
      <c r="K54" s="5"/>
      <c r="L54" s="5"/>
      <c r="M54" s="5">
        <v>3</v>
      </c>
      <c r="N54" s="5"/>
      <c r="O54" s="5"/>
      <c r="P54" s="5"/>
      <c r="Q54" s="5">
        <v>3</v>
      </c>
      <c r="R54" s="5"/>
      <c r="S54" s="5"/>
      <c r="T54" s="5"/>
      <c r="U54" s="5">
        <v>3</v>
      </c>
      <c r="V54" s="5"/>
      <c r="W54" s="5"/>
    </row>
    <row r="55" spans="1:23" x14ac:dyDescent="0.25">
      <c r="A55" s="5">
        <v>4</v>
      </c>
      <c r="B55" s="5"/>
      <c r="C55" s="5"/>
      <c r="D55" s="5"/>
      <c r="E55" s="5">
        <v>4</v>
      </c>
      <c r="F55" s="5"/>
      <c r="G55" s="5"/>
      <c r="H55" s="5"/>
      <c r="I55" s="5">
        <v>4</v>
      </c>
      <c r="J55" s="5"/>
      <c r="K55" s="5"/>
      <c r="L55" s="5"/>
      <c r="M55" s="5">
        <v>4</v>
      </c>
      <c r="N55" s="5"/>
      <c r="O55" s="5"/>
      <c r="P55" s="5"/>
      <c r="Q55" s="5">
        <v>4</v>
      </c>
      <c r="R55" s="5"/>
      <c r="S55" s="5"/>
      <c r="T55" s="5"/>
      <c r="U55" s="5">
        <v>4</v>
      </c>
      <c r="V55" s="5"/>
      <c r="W55" s="5"/>
    </row>
    <row r="56" spans="1:23" x14ac:dyDescent="0.25">
      <c r="A56" s="5">
        <v>5</v>
      </c>
      <c r="B56" s="5"/>
      <c r="C56" s="5"/>
      <c r="D56" s="5"/>
      <c r="E56" s="5">
        <v>5</v>
      </c>
      <c r="F56" s="5"/>
      <c r="G56" s="5"/>
      <c r="H56" s="5"/>
      <c r="I56" s="5">
        <v>5</v>
      </c>
      <c r="J56" s="5"/>
      <c r="K56" s="5"/>
      <c r="L56" s="5"/>
      <c r="M56" s="5">
        <v>5</v>
      </c>
      <c r="N56" s="5"/>
      <c r="O56" s="5"/>
      <c r="P56" s="5"/>
      <c r="Q56" s="5">
        <v>5</v>
      </c>
      <c r="R56" s="5"/>
      <c r="S56" s="5"/>
      <c r="T56" s="5"/>
      <c r="U56" s="5">
        <v>5</v>
      </c>
      <c r="V56" s="5"/>
      <c r="W56" s="5"/>
    </row>
    <row r="57" spans="1:23" x14ac:dyDescent="0.25">
      <c r="A57" s="5">
        <v>6</v>
      </c>
      <c r="B57" s="5"/>
      <c r="C57" s="5"/>
      <c r="D57" s="5"/>
      <c r="E57" s="5">
        <v>6</v>
      </c>
      <c r="F57" s="5"/>
      <c r="G57" s="5"/>
      <c r="H57" s="5"/>
      <c r="I57" s="5">
        <v>6</v>
      </c>
      <c r="J57" s="5"/>
      <c r="K57" s="5"/>
      <c r="L57" s="5"/>
      <c r="M57" s="5">
        <v>6</v>
      </c>
      <c r="N57" s="5"/>
      <c r="O57" s="5"/>
      <c r="P57" s="5"/>
      <c r="Q57" s="5">
        <v>6</v>
      </c>
      <c r="R57" s="5"/>
      <c r="S57" s="5"/>
      <c r="T57" s="5"/>
      <c r="U57" s="5">
        <v>6</v>
      </c>
      <c r="V57" s="5"/>
      <c r="W57" s="5"/>
    </row>
    <row r="58" spans="1:23" x14ac:dyDescent="0.25">
      <c r="A58" s="5">
        <v>7</v>
      </c>
      <c r="B58" s="5"/>
      <c r="C58" s="5"/>
      <c r="D58" s="5"/>
      <c r="E58" s="5">
        <v>7</v>
      </c>
      <c r="F58" s="5"/>
      <c r="G58" s="5"/>
      <c r="H58" s="5"/>
      <c r="I58" s="5">
        <v>7</v>
      </c>
      <c r="J58" s="5"/>
      <c r="K58" s="5"/>
      <c r="L58" s="5"/>
      <c r="M58" s="5">
        <v>7</v>
      </c>
      <c r="N58" s="5"/>
      <c r="O58" s="5"/>
      <c r="P58" s="5"/>
      <c r="Q58" s="5">
        <v>7</v>
      </c>
      <c r="R58" s="5"/>
      <c r="S58" s="5"/>
      <c r="T58" s="5"/>
      <c r="U58" s="5">
        <v>7</v>
      </c>
      <c r="V58" s="5"/>
      <c r="W58" s="5"/>
    </row>
    <row r="59" spans="1:23" x14ac:dyDescent="0.25">
      <c r="A59" s="5">
        <v>8</v>
      </c>
      <c r="B59" s="5"/>
      <c r="C59" s="5"/>
      <c r="D59" s="5"/>
      <c r="E59" s="5">
        <v>8</v>
      </c>
      <c r="F59" s="5"/>
      <c r="G59" s="5"/>
      <c r="H59" s="5"/>
      <c r="I59" s="5">
        <v>8</v>
      </c>
      <c r="J59" s="5"/>
      <c r="K59" s="5"/>
      <c r="L59" s="5"/>
      <c r="M59" s="5">
        <v>8</v>
      </c>
      <c r="N59" s="5"/>
      <c r="O59" s="5"/>
      <c r="P59" s="5"/>
      <c r="Q59" s="5">
        <v>8</v>
      </c>
      <c r="R59" s="5"/>
      <c r="S59" s="5"/>
      <c r="T59" s="5"/>
      <c r="U59" s="5">
        <v>8</v>
      </c>
      <c r="V59" s="5"/>
      <c r="W59" s="5"/>
    </row>
    <row r="60" spans="1:23" x14ac:dyDescent="0.25">
      <c r="A60" s="5">
        <v>9</v>
      </c>
      <c r="B60" s="5"/>
      <c r="C60" s="5"/>
      <c r="D60" s="5"/>
      <c r="E60" s="5">
        <v>9</v>
      </c>
      <c r="F60" s="5"/>
      <c r="G60" s="5"/>
      <c r="H60" s="5"/>
      <c r="I60" s="5">
        <v>9</v>
      </c>
      <c r="J60" s="5"/>
      <c r="K60" s="5"/>
      <c r="L60" s="5"/>
      <c r="M60" s="5">
        <v>9</v>
      </c>
      <c r="N60" s="5"/>
      <c r="O60" s="5"/>
      <c r="P60" s="5"/>
      <c r="Q60" s="5">
        <v>9</v>
      </c>
      <c r="R60" s="5"/>
      <c r="S60" s="5"/>
      <c r="T60" s="5"/>
      <c r="U60" s="5">
        <v>9</v>
      </c>
      <c r="V60" s="5"/>
      <c r="W60" s="5"/>
    </row>
    <row r="61" spans="1:23" x14ac:dyDescent="0.25">
      <c r="A61" s="5">
        <v>10</v>
      </c>
      <c r="B61" s="5"/>
      <c r="C61" s="5"/>
      <c r="D61" s="5"/>
      <c r="E61" s="5">
        <v>10</v>
      </c>
      <c r="F61" s="5"/>
      <c r="G61" s="5"/>
      <c r="H61" s="5"/>
      <c r="I61" s="5">
        <v>10</v>
      </c>
      <c r="J61" s="5"/>
      <c r="K61" s="5"/>
      <c r="L61" s="5"/>
      <c r="M61" s="5">
        <v>10</v>
      </c>
      <c r="N61" s="5"/>
      <c r="O61" s="5"/>
      <c r="P61" s="5"/>
      <c r="Q61" s="5">
        <v>10</v>
      </c>
      <c r="R61" s="5"/>
      <c r="S61" s="5"/>
      <c r="T61" s="5"/>
      <c r="U61" s="5">
        <v>10</v>
      </c>
      <c r="V61" s="5"/>
      <c r="W61" s="5"/>
    </row>
  </sheetData>
  <mergeCells count="23">
    <mergeCell ref="U35:W35"/>
    <mergeCell ref="A50:C50"/>
    <mergeCell ref="E50:G50"/>
    <mergeCell ref="I50:K50"/>
    <mergeCell ref="M50:O50"/>
    <mergeCell ref="Q50:S50"/>
    <mergeCell ref="U50:W50"/>
    <mergeCell ref="A35:C35"/>
    <mergeCell ref="I35:K35"/>
    <mergeCell ref="M35:O35"/>
    <mergeCell ref="Q35:S35"/>
    <mergeCell ref="U5:W5"/>
    <mergeCell ref="A20:C20"/>
    <mergeCell ref="E20:G20"/>
    <mergeCell ref="I20:K20"/>
    <mergeCell ref="M20:O20"/>
    <mergeCell ref="Q20:S20"/>
    <mergeCell ref="U20:W20"/>
    <mergeCell ref="A5:C5"/>
    <mergeCell ref="I5:K5"/>
    <mergeCell ref="M5:O5"/>
    <mergeCell ref="Q5:S5"/>
    <mergeCell ref="E5:G5"/>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M32" sqref="M32"/>
    </sheetView>
  </sheetViews>
  <sheetFormatPr baseColWidth="10" defaultColWidth="11.42578125" defaultRowHeight="15" x14ac:dyDescent="0.25"/>
  <cols>
    <col min="1" max="1" width="26.140625" style="5" bestFit="1" customWidth="1"/>
    <col min="2" max="3" width="13.140625" style="5" bestFit="1" customWidth="1"/>
    <col min="4" max="4" width="12.5703125" style="5" bestFit="1" customWidth="1"/>
    <col min="5" max="8" width="11.42578125" style="5"/>
    <col min="9" max="9" width="13.28515625" style="5" bestFit="1" customWidth="1"/>
    <col min="10" max="12" width="12.5703125" style="5" bestFit="1" customWidth="1"/>
    <col min="13" max="16384" width="11.42578125" style="5"/>
  </cols>
  <sheetData>
    <row r="1" spans="1:25" x14ac:dyDescent="0.25">
      <c r="B1" s="5" t="s">
        <v>229</v>
      </c>
      <c r="C1" s="5" t="s">
        <v>230</v>
      </c>
      <c r="D1" s="5" t="s">
        <v>231</v>
      </c>
      <c r="E1" s="5" t="s">
        <v>232</v>
      </c>
      <c r="I1" s="104"/>
    </row>
    <row r="2" spans="1:25" x14ac:dyDescent="0.25">
      <c r="A2" s="5" t="s">
        <v>233</v>
      </c>
      <c r="B2" s="5" t="s">
        <v>234</v>
      </c>
      <c r="C2" s="5" t="s">
        <v>269</v>
      </c>
      <c r="D2" s="5" t="s">
        <v>146</v>
      </c>
      <c r="I2" s="108"/>
    </row>
    <row r="3" spans="1:25" x14ac:dyDescent="0.25">
      <c r="A3" s="5" t="s">
        <v>235</v>
      </c>
      <c r="B3" s="5" t="s">
        <v>234</v>
      </c>
      <c r="C3" s="5" t="s">
        <v>269</v>
      </c>
      <c r="D3" s="5" t="s">
        <v>238</v>
      </c>
      <c r="E3" s="5" t="s">
        <v>146</v>
      </c>
      <c r="I3" s="108"/>
    </row>
    <row r="7" spans="1:25" x14ac:dyDescent="0.25">
      <c r="B7" s="5" t="s">
        <v>234</v>
      </c>
      <c r="C7" s="5" t="s">
        <v>269</v>
      </c>
      <c r="D7" s="5" t="s">
        <v>146</v>
      </c>
      <c r="I7" s="5" t="s">
        <v>234</v>
      </c>
      <c r="J7" s="5" t="s">
        <v>269</v>
      </c>
      <c r="K7" s="5" t="s">
        <v>238</v>
      </c>
      <c r="L7" s="5" t="s">
        <v>146</v>
      </c>
    </row>
    <row r="8" spans="1:25" x14ac:dyDescent="0.25">
      <c r="A8" s="5" t="s">
        <v>374</v>
      </c>
      <c r="B8" s="5">
        <v>8.1999999999999993</v>
      </c>
      <c r="C8" s="5">
        <v>7.5</v>
      </c>
      <c r="D8" s="5">
        <v>6.5</v>
      </c>
      <c r="I8" s="5">
        <v>8.1999999999999993</v>
      </c>
      <c r="J8" s="5">
        <v>7.5</v>
      </c>
      <c r="K8" s="5">
        <v>2.9</v>
      </c>
      <c r="L8" s="5">
        <v>7.2</v>
      </c>
    </row>
    <row r="9" spans="1:25" x14ac:dyDescent="0.25">
      <c r="A9" s="5" t="s">
        <v>415</v>
      </c>
      <c r="B9" s="5">
        <f>B10/B8</f>
        <v>120.00000000000001</v>
      </c>
      <c r="C9" s="5">
        <v>155</v>
      </c>
      <c r="D9" s="132">
        <f>D10/D8</f>
        <v>133.84615384615384</v>
      </c>
      <c r="E9" s="132"/>
      <c r="F9" s="132"/>
      <c r="G9" s="132"/>
      <c r="H9" s="132"/>
      <c r="I9" s="132">
        <f>I10/I8</f>
        <v>120.00000000000001</v>
      </c>
      <c r="J9" s="132">
        <v>155</v>
      </c>
      <c r="K9" s="132">
        <f>K10/K8</f>
        <v>203.44827586206898</v>
      </c>
      <c r="L9" s="132">
        <f>L10/L8</f>
        <v>133.88888888888889</v>
      </c>
    </row>
    <row r="10" spans="1:25" x14ac:dyDescent="0.25">
      <c r="A10" s="5" t="s">
        <v>416</v>
      </c>
      <c r="B10" s="5">
        <v>984</v>
      </c>
      <c r="C10" s="5">
        <f>C8*C9</f>
        <v>1162.5</v>
      </c>
      <c r="D10" s="5">
        <v>870</v>
      </c>
      <c r="I10" s="5">
        <v>984</v>
      </c>
      <c r="J10" s="5">
        <f>J8*J9</f>
        <v>1162.5</v>
      </c>
      <c r="K10" s="5">
        <v>590</v>
      </c>
      <c r="L10" s="5">
        <v>964</v>
      </c>
    </row>
    <row r="11" spans="1:25" x14ac:dyDescent="0.25">
      <c r="A11" s="122" t="s">
        <v>417</v>
      </c>
    </row>
    <row r="12" spans="1:25" x14ac:dyDescent="0.25">
      <c r="A12" s="5" t="s">
        <v>418</v>
      </c>
      <c r="B12" s="5">
        <v>897</v>
      </c>
      <c r="C12" s="5">
        <v>861</v>
      </c>
      <c r="D12" s="5">
        <v>743.9</v>
      </c>
      <c r="I12" s="5">
        <v>897</v>
      </c>
      <c r="J12" s="5">
        <v>861</v>
      </c>
      <c r="K12" s="5">
        <v>681.5</v>
      </c>
      <c r="L12" s="5">
        <v>718.9</v>
      </c>
    </row>
    <row r="13" spans="1:25" x14ac:dyDescent="0.25">
      <c r="A13" s="5" t="s">
        <v>419</v>
      </c>
      <c r="B13" s="5">
        <f>B10-B12</f>
        <v>87</v>
      </c>
      <c r="C13" s="5">
        <f>C10-C12</f>
        <v>301.5</v>
      </c>
      <c r="D13" s="5">
        <f>D10-D12</f>
        <v>126.10000000000002</v>
      </c>
      <c r="I13" s="5">
        <f>I10-I12</f>
        <v>87</v>
      </c>
      <c r="J13" s="5">
        <f>J10-J12</f>
        <v>301.5</v>
      </c>
      <c r="K13" s="5">
        <f>K10-K12</f>
        <v>-91.5</v>
      </c>
      <c r="L13" s="5">
        <f>L10-L12</f>
        <v>245.10000000000002</v>
      </c>
    </row>
    <row r="15" spans="1:25" x14ac:dyDescent="0.25">
      <c r="A15" s="5" t="s">
        <v>420</v>
      </c>
      <c r="B15" s="109">
        <f>(B13+C13+D13)/3</f>
        <v>171.53333333333333</v>
      </c>
      <c r="I15" s="109">
        <f>(I13+J13+K13+L13)/4</f>
        <v>135.52500000000001</v>
      </c>
      <c r="T15" s="109"/>
      <c r="Y15" s="109"/>
    </row>
    <row r="17" spans="1:25" x14ac:dyDescent="0.25">
      <c r="A17" s="5" t="s">
        <v>421</v>
      </c>
      <c r="K17" s="5">
        <f>K8*B27-K12</f>
        <v>60.32000000000005</v>
      </c>
    </row>
    <row r="18" spans="1:25" x14ac:dyDescent="0.25">
      <c r="A18" s="5" t="s">
        <v>422</v>
      </c>
      <c r="B18" s="109"/>
      <c r="I18" s="109">
        <f>(I13+J13+K17+L13)/4</f>
        <v>173.48000000000002</v>
      </c>
      <c r="T18" s="109"/>
      <c r="Y18" s="109"/>
    </row>
    <row r="21" spans="1:25" x14ac:dyDescent="0.25">
      <c r="A21" s="5" t="s">
        <v>423</v>
      </c>
    </row>
    <row r="22" spans="1:25" x14ac:dyDescent="0.25">
      <c r="A22" s="5" t="s">
        <v>424</v>
      </c>
    </row>
    <row r="23" spans="1:25" x14ac:dyDescent="0.25">
      <c r="A23" s="5" t="s">
        <v>239</v>
      </c>
      <c r="B23" s="5">
        <v>355.3</v>
      </c>
    </row>
    <row r="24" spans="1:25" x14ac:dyDescent="0.25">
      <c r="A24" s="5" t="s">
        <v>236</v>
      </c>
      <c r="B24" s="119">
        <v>166.6</v>
      </c>
    </row>
    <row r="26" spans="1:25" x14ac:dyDescent="0.25">
      <c r="A26" s="5" t="s">
        <v>428</v>
      </c>
    </row>
    <row r="27" spans="1:25" x14ac:dyDescent="0.25">
      <c r="A27" s="5" t="s">
        <v>238</v>
      </c>
      <c r="B27" s="5">
        <v>255.8</v>
      </c>
    </row>
    <row r="28" spans="1:25" x14ac:dyDescent="0.25">
      <c r="A28" s="5" t="s">
        <v>237</v>
      </c>
      <c r="B28" s="5">
        <v>257.5</v>
      </c>
    </row>
    <row r="31" spans="1:25" x14ac:dyDescent="0.25">
      <c r="A31" s="5" t="s">
        <v>425</v>
      </c>
    </row>
    <row r="32" spans="1:25" x14ac:dyDescent="0.25">
      <c r="A32" s="5" t="s">
        <v>426</v>
      </c>
    </row>
    <row r="33" spans="1:1" x14ac:dyDescent="0.25">
      <c r="A33" s="5" t="s">
        <v>427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I25" sqref="I25:L25"/>
    </sheetView>
  </sheetViews>
  <sheetFormatPr baseColWidth="10" defaultColWidth="11.42578125" defaultRowHeight="15" x14ac:dyDescent="0.25"/>
  <cols>
    <col min="1" max="1" width="23.5703125" style="5" customWidth="1"/>
    <col min="2" max="7" width="11.42578125" style="5"/>
    <col min="8" max="8" width="23.140625" style="5" customWidth="1"/>
    <col min="9" max="16384" width="11.42578125" style="5"/>
  </cols>
  <sheetData>
    <row r="1" spans="1:12" x14ac:dyDescent="0.25">
      <c r="B1" s="5" t="s">
        <v>229</v>
      </c>
      <c r="C1" s="5" t="s">
        <v>230</v>
      </c>
      <c r="D1" s="5" t="s">
        <v>231</v>
      </c>
      <c r="E1" s="5" t="s">
        <v>232</v>
      </c>
    </row>
    <row r="2" spans="1:12" x14ac:dyDescent="0.25">
      <c r="A2" s="5" t="s">
        <v>233</v>
      </c>
      <c r="B2" s="5" t="s">
        <v>234</v>
      </c>
      <c r="C2" s="5" t="s">
        <v>269</v>
      </c>
      <c r="D2" s="5" t="s">
        <v>146</v>
      </c>
    </row>
    <row r="3" spans="1:12" x14ac:dyDescent="0.25">
      <c r="A3" s="5" t="s">
        <v>235</v>
      </c>
      <c r="B3" s="5" t="s">
        <v>234</v>
      </c>
      <c r="C3" s="5" t="s">
        <v>269</v>
      </c>
      <c r="D3" s="5" t="s">
        <v>238</v>
      </c>
      <c r="E3" s="5" t="s">
        <v>146</v>
      </c>
    </row>
    <row r="7" spans="1:12" x14ac:dyDescent="0.25">
      <c r="A7" s="116"/>
      <c r="B7" s="6" t="s">
        <v>234</v>
      </c>
      <c r="C7" s="6" t="s">
        <v>269</v>
      </c>
      <c r="D7" s="6" t="s">
        <v>146</v>
      </c>
      <c r="E7" s="6"/>
      <c r="F7" s="6"/>
      <c r="G7" s="6"/>
      <c r="H7" s="118"/>
      <c r="I7" s="6" t="s">
        <v>234</v>
      </c>
      <c r="J7" s="6" t="s">
        <v>269</v>
      </c>
      <c r="K7" s="6" t="s">
        <v>238</v>
      </c>
      <c r="L7" s="6" t="s">
        <v>146</v>
      </c>
    </row>
    <row r="8" spans="1:12" x14ac:dyDescent="0.25">
      <c r="A8" s="117" t="s">
        <v>374</v>
      </c>
      <c r="B8" s="115">
        <v>8.1999999999999993</v>
      </c>
      <c r="C8" s="115">
        <v>7.5</v>
      </c>
      <c r="D8" s="115">
        <v>6.5</v>
      </c>
      <c r="E8" s="115"/>
      <c r="F8" s="115"/>
      <c r="G8" s="115"/>
      <c r="H8" s="117" t="s">
        <v>374</v>
      </c>
      <c r="I8" s="115">
        <v>8.1999999999999993</v>
      </c>
      <c r="J8" s="115">
        <v>7.5</v>
      </c>
      <c r="K8" s="115">
        <v>2.9</v>
      </c>
      <c r="L8" s="115">
        <v>7.2</v>
      </c>
    </row>
    <row r="9" spans="1:12" x14ac:dyDescent="0.25">
      <c r="A9" s="118" t="s">
        <v>270</v>
      </c>
      <c r="H9" s="118" t="s">
        <v>270</v>
      </c>
    </row>
    <row r="10" spans="1:12" x14ac:dyDescent="0.25">
      <c r="A10" s="116" t="s">
        <v>240</v>
      </c>
      <c r="B10" s="5" t="s">
        <v>241</v>
      </c>
      <c r="C10" s="5" t="s">
        <v>241</v>
      </c>
      <c r="D10" s="5" t="s">
        <v>241</v>
      </c>
      <c r="H10" s="116" t="s">
        <v>240</v>
      </c>
      <c r="I10" s="5" t="s">
        <v>241</v>
      </c>
      <c r="J10" s="5" t="s">
        <v>241</v>
      </c>
      <c r="L10" s="5" t="s">
        <v>241</v>
      </c>
    </row>
    <row r="11" spans="1:12" x14ac:dyDescent="0.25">
      <c r="A11" s="116" t="s">
        <v>242</v>
      </c>
      <c r="B11" s="108">
        <v>0.27</v>
      </c>
      <c r="C11" s="108">
        <v>0.27</v>
      </c>
      <c r="D11" s="108">
        <v>0.27</v>
      </c>
      <c r="H11" s="116" t="s">
        <v>242</v>
      </c>
      <c r="I11" s="108">
        <v>0.27</v>
      </c>
      <c r="J11" s="108">
        <v>0.27</v>
      </c>
      <c r="K11" s="108"/>
      <c r="L11" s="108">
        <v>0.27</v>
      </c>
    </row>
    <row r="12" spans="1:12" x14ac:dyDescent="0.25">
      <c r="A12" s="116" t="s">
        <v>429</v>
      </c>
      <c r="B12" s="5">
        <v>300</v>
      </c>
      <c r="C12" s="5">
        <v>250</v>
      </c>
      <c r="D12" s="5">
        <v>300</v>
      </c>
      <c r="H12" s="116" t="s">
        <v>429</v>
      </c>
      <c r="I12" s="5">
        <v>300</v>
      </c>
      <c r="J12" s="5">
        <v>250</v>
      </c>
      <c r="L12" s="5">
        <v>207</v>
      </c>
    </row>
    <row r="13" spans="1:12" x14ac:dyDescent="0.25">
      <c r="A13" s="116" t="s">
        <v>430</v>
      </c>
      <c r="B13" s="5">
        <f>B11*B12</f>
        <v>81</v>
      </c>
      <c r="C13" s="5">
        <f>C11*C12</f>
        <v>67.5</v>
      </c>
      <c r="D13" s="5">
        <f>D11*D12</f>
        <v>81</v>
      </c>
      <c r="H13" s="116" t="s">
        <v>430</v>
      </c>
      <c r="I13" s="5">
        <f>I11*I12</f>
        <v>81</v>
      </c>
      <c r="J13" s="5">
        <f>J11*J12</f>
        <v>67.5</v>
      </c>
      <c r="L13" s="5">
        <f>L11*L12</f>
        <v>55.89</v>
      </c>
    </row>
    <row r="14" spans="1:12" x14ac:dyDescent="0.25">
      <c r="A14" s="116"/>
      <c r="H14" s="116"/>
    </row>
    <row r="15" spans="1:12" x14ac:dyDescent="0.25">
      <c r="A15" s="116" t="s">
        <v>240</v>
      </c>
      <c r="B15" s="5" t="s">
        <v>243</v>
      </c>
      <c r="C15" s="5" t="s">
        <v>243</v>
      </c>
      <c r="D15" s="5" t="s">
        <v>243</v>
      </c>
      <c r="H15" s="116" t="s">
        <v>240</v>
      </c>
      <c r="I15" s="5" t="s">
        <v>243</v>
      </c>
      <c r="J15" s="5" t="s">
        <v>243</v>
      </c>
      <c r="L15" s="5" t="s">
        <v>243</v>
      </c>
    </row>
    <row r="16" spans="1:12" x14ac:dyDescent="0.25">
      <c r="A16" s="116" t="s">
        <v>242</v>
      </c>
      <c r="B16" s="110">
        <v>3.2000000000000002E-3</v>
      </c>
      <c r="C16" s="110">
        <v>3.2000000000000002E-3</v>
      </c>
      <c r="D16" s="110">
        <v>3.2000000000000002E-3</v>
      </c>
      <c r="H16" s="116" t="s">
        <v>242</v>
      </c>
      <c r="I16" s="110">
        <v>3.2000000000000002E-3</v>
      </c>
      <c r="J16" s="110">
        <v>3.2000000000000002E-3</v>
      </c>
      <c r="L16" s="110">
        <v>3.2000000000000002E-3</v>
      </c>
    </row>
    <row r="17" spans="1:12" x14ac:dyDescent="0.25">
      <c r="A17" s="116" t="s">
        <v>429</v>
      </c>
      <c r="B17" s="5">
        <v>30000</v>
      </c>
      <c r="C17" s="5">
        <v>30000</v>
      </c>
      <c r="D17" s="5">
        <v>30000</v>
      </c>
      <c r="H17" s="116" t="s">
        <v>429</v>
      </c>
      <c r="I17" s="5">
        <v>30000</v>
      </c>
      <c r="J17" s="5">
        <v>30000</v>
      </c>
      <c r="L17" s="5">
        <v>30000</v>
      </c>
    </row>
    <row r="18" spans="1:12" x14ac:dyDescent="0.25">
      <c r="A18" s="116" t="s">
        <v>430</v>
      </c>
      <c r="B18" s="5">
        <f>B16*B17</f>
        <v>96</v>
      </c>
      <c r="C18" s="5">
        <f t="shared" ref="C18" si="0">C16*C17</f>
        <v>96</v>
      </c>
      <c r="D18" s="5">
        <f>D16*D17</f>
        <v>96</v>
      </c>
      <c r="H18" s="116" t="s">
        <v>430</v>
      </c>
      <c r="I18" s="5">
        <f>I16*I17</f>
        <v>96</v>
      </c>
      <c r="J18" s="5">
        <f t="shared" ref="J18" si="1">J16*J17</f>
        <v>96</v>
      </c>
      <c r="L18" s="5">
        <f>L16*L17</f>
        <v>96</v>
      </c>
    </row>
    <row r="19" spans="1:12" x14ac:dyDescent="0.25">
      <c r="A19" s="116"/>
      <c r="H19" s="116"/>
    </row>
    <row r="20" spans="1:12" x14ac:dyDescent="0.25">
      <c r="A20" s="116" t="s">
        <v>240</v>
      </c>
      <c r="H20" s="116"/>
    </row>
    <row r="21" spans="1:12" x14ac:dyDescent="0.25">
      <c r="A21" s="116" t="s">
        <v>242</v>
      </c>
      <c r="H21" s="116"/>
    </row>
    <row r="22" spans="1:12" x14ac:dyDescent="0.25">
      <c r="A22" s="116" t="s">
        <v>429</v>
      </c>
      <c r="H22" s="116"/>
    </row>
    <row r="23" spans="1:12" x14ac:dyDescent="0.25">
      <c r="A23" s="116" t="s">
        <v>430</v>
      </c>
      <c r="H23" s="116"/>
    </row>
    <row r="24" spans="1:12" x14ac:dyDescent="0.25">
      <c r="A24" s="116"/>
      <c r="H24" s="116"/>
    </row>
    <row r="25" spans="1:12" x14ac:dyDescent="0.25">
      <c r="A25" s="116" t="s">
        <v>431</v>
      </c>
      <c r="B25" s="5">
        <f>B13+B18+B23</f>
        <v>177</v>
      </c>
      <c r="C25" s="5">
        <f>C13+C18+C23</f>
        <v>163.5</v>
      </c>
      <c r="D25" s="5">
        <f>D13+D18</f>
        <v>177</v>
      </c>
      <c r="H25" s="116" t="s">
        <v>431</v>
      </c>
      <c r="I25" s="5">
        <f>I13+I18</f>
        <v>177</v>
      </c>
      <c r="J25" s="5">
        <f>J13+J18</f>
        <v>163.5</v>
      </c>
      <c r="L25" s="5">
        <f>L13+L18</f>
        <v>151.88999999999999</v>
      </c>
    </row>
    <row r="26" spans="1:12" x14ac:dyDescent="0.25">
      <c r="A26" s="116"/>
      <c r="H26" s="116"/>
    </row>
    <row r="27" spans="1:12" x14ac:dyDescent="0.25">
      <c r="A27" s="116" t="s">
        <v>432</v>
      </c>
      <c r="B27" s="5">
        <f>(B25+C25+D25)/3</f>
        <v>172.5</v>
      </c>
      <c r="H27" s="116" t="s">
        <v>432</v>
      </c>
      <c r="I27" s="5">
        <f>(I25+J25+K25+L25)/4</f>
        <v>123.0975</v>
      </c>
    </row>
    <row r="28" spans="1:12" x14ac:dyDescent="0.25">
      <c r="A28" s="116"/>
      <c r="H28" s="116"/>
    </row>
    <row r="29" spans="1:12" x14ac:dyDescent="0.25">
      <c r="A29" s="116" t="s">
        <v>433</v>
      </c>
      <c r="B29" s="5">
        <f>(B13+C13+D13)/3</f>
        <v>76.5</v>
      </c>
      <c r="H29" s="116" t="s">
        <v>433</v>
      </c>
      <c r="I29" s="5">
        <f>(I13+J13+L13)/4</f>
        <v>51.097499999999997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G10" sqref="G10:J10"/>
    </sheetView>
  </sheetViews>
  <sheetFormatPr baseColWidth="10" defaultColWidth="11.42578125" defaultRowHeight="15" x14ac:dyDescent="0.25"/>
  <cols>
    <col min="1" max="1" width="29.7109375" style="5" bestFit="1" customWidth="1"/>
    <col min="2" max="12" width="11.42578125" style="5"/>
    <col min="13" max="13" width="20.140625" style="5" customWidth="1"/>
    <col min="14" max="14" width="19.85546875" style="5" customWidth="1"/>
    <col min="15" max="15" width="22" style="5" bestFit="1" customWidth="1"/>
    <col min="16" max="16" width="11.42578125" style="5"/>
    <col min="17" max="17" width="19.85546875" style="5" customWidth="1"/>
    <col min="18" max="16384" width="11.42578125" style="5"/>
  </cols>
  <sheetData>
    <row r="1" spans="1:18" x14ac:dyDescent="0.25">
      <c r="B1" s="5" t="s">
        <v>229</v>
      </c>
      <c r="C1" s="5" t="s">
        <v>230</v>
      </c>
      <c r="D1" s="5" t="s">
        <v>231</v>
      </c>
      <c r="E1" s="5" t="s">
        <v>232</v>
      </c>
      <c r="M1" s="6" t="s">
        <v>272</v>
      </c>
      <c r="N1" s="6" t="s">
        <v>385</v>
      </c>
      <c r="O1" s="6" t="s">
        <v>386</v>
      </c>
      <c r="P1" s="6"/>
      <c r="Q1" s="6" t="s">
        <v>272</v>
      </c>
      <c r="R1" s="102" t="s">
        <v>273</v>
      </c>
    </row>
    <row r="2" spans="1:18" x14ac:dyDescent="0.25">
      <c r="A2" s="5" t="s">
        <v>233</v>
      </c>
      <c r="B2" s="5" t="s">
        <v>234</v>
      </c>
      <c r="C2" s="5" t="s">
        <v>269</v>
      </c>
      <c r="D2" s="5" t="s">
        <v>146</v>
      </c>
      <c r="M2" s="131" t="s">
        <v>387</v>
      </c>
      <c r="N2" s="135">
        <v>0.10299999999999999</v>
      </c>
      <c r="O2" s="122">
        <v>18</v>
      </c>
      <c r="P2" s="122"/>
      <c r="Q2" s="103" t="s">
        <v>274</v>
      </c>
      <c r="R2" s="36">
        <v>0.85</v>
      </c>
    </row>
    <row r="3" spans="1:18" x14ac:dyDescent="0.25">
      <c r="A3" s="5" t="s">
        <v>235</v>
      </c>
      <c r="B3" s="5" t="s">
        <v>234</v>
      </c>
      <c r="C3" s="5" t="s">
        <v>269</v>
      </c>
      <c r="D3" s="5" t="s">
        <v>238</v>
      </c>
      <c r="E3" s="5" t="s">
        <v>146</v>
      </c>
      <c r="M3" s="136" t="s">
        <v>388</v>
      </c>
      <c r="N3" s="135">
        <v>0.11700000000000001</v>
      </c>
      <c r="O3" s="5">
        <v>18.100000000000001</v>
      </c>
      <c r="Q3" s="5" t="s">
        <v>275</v>
      </c>
      <c r="R3" s="5">
        <v>0.88</v>
      </c>
    </row>
    <row r="4" spans="1:18" x14ac:dyDescent="0.25">
      <c r="M4" s="111" t="s">
        <v>236</v>
      </c>
      <c r="N4" s="135">
        <v>0.126</v>
      </c>
      <c r="O4" s="5">
        <v>18.2</v>
      </c>
      <c r="Q4" s="5" t="s">
        <v>276</v>
      </c>
      <c r="R4" s="5">
        <v>0.89</v>
      </c>
    </row>
    <row r="5" spans="1:18" x14ac:dyDescent="0.25">
      <c r="M5" s="111" t="s">
        <v>278</v>
      </c>
      <c r="N5" s="135">
        <v>0.11799999999999999</v>
      </c>
      <c r="O5" s="122">
        <v>18.399999999999999</v>
      </c>
      <c r="Q5" s="5" t="s">
        <v>277</v>
      </c>
      <c r="R5" s="5">
        <v>0.89</v>
      </c>
    </row>
    <row r="6" spans="1:18" x14ac:dyDescent="0.25">
      <c r="M6" s="131" t="s">
        <v>237</v>
      </c>
      <c r="N6" s="135">
        <v>0.28999999999999998</v>
      </c>
      <c r="O6" s="122">
        <v>18.7</v>
      </c>
      <c r="P6" s="122"/>
      <c r="Q6" s="5" t="s">
        <v>278</v>
      </c>
      <c r="R6" s="5">
        <v>0.89</v>
      </c>
    </row>
    <row r="7" spans="1:18" x14ac:dyDescent="0.25">
      <c r="M7" s="5" t="s">
        <v>389</v>
      </c>
      <c r="N7" s="135">
        <v>0.20899999999999999</v>
      </c>
      <c r="O7" s="5">
        <v>28.8</v>
      </c>
      <c r="Q7" s="5" t="s">
        <v>279</v>
      </c>
      <c r="R7" s="5">
        <v>0.89</v>
      </c>
    </row>
    <row r="8" spans="1:18" x14ac:dyDescent="0.25">
      <c r="M8" s="5" t="s">
        <v>390</v>
      </c>
      <c r="N8" s="135">
        <v>0.33700000000000002</v>
      </c>
      <c r="O8" s="122">
        <v>20.3</v>
      </c>
      <c r="P8" s="122"/>
      <c r="Q8" s="5" t="s">
        <v>280</v>
      </c>
      <c r="R8" s="5">
        <v>0.87</v>
      </c>
    </row>
    <row r="9" spans="1:18" x14ac:dyDescent="0.25">
      <c r="B9" s="5" t="s">
        <v>234</v>
      </c>
      <c r="C9" s="5" t="s">
        <v>269</v>
      </c>
      <c r="D9" s="5" t="s">
        <v>146</v>
      </c>
      <c r="G9" s="5" t="s">
        <v>234</v>
      </c>
      <c r="H9" s="5" t="s">
        <v>269</v>
      </c>
      <c r="I9" s="5" t="s">
        <v>238</v>
      </c>
      <c r="J9" s="5" t="s">
        <v>146</v>
      </c>
      <c r="M9" s="5" t="s">
        <v>391</v>
      </c>
      <c r="N9" s="135">
        <v>0.23899999999999999</v>
      </c>
      <c r="O9" s="122">
        <v>18.3</v>
      </c>
      <c r="Q9" s="5" t="s">
        <v>281</v>
      </c>
      <c r="R9" s="5">
        <v>0.88</v>
      </c>
    </row>
    <row r="10" spans="1:18" x14ac:dyDescent="0.25">
      <c r="A10" s="5" t="s">
        <v>409</v>
      </c>
      <c r="B10" s="5">
        <v>8.1999999999999993</v>
      </c>
      <c r="C10" s="5">
        <v>7.5</v>
      </c>
      <c r="D10" s="5">
        <v>6.5</v>
      </c>
      <c r="G10" s="5">
        <v>8.1999999999999993</v>
      </c>
      <c r="H10" s="5">
        <v>7.5</v>
      </c>
      <c r="I10" s="5">
        <v>2.9</v>
      </c>
      <c r="J10" s="5">
        <v>7.2</v>
      </c>
      <c r="M10" s="5" t="s">
        <v>392</v>
      </c>
      <c r="N10" s="135">
        <v>0.11</v>
      </c>
      <c r="O10" s="122">
        <v>19.5</v>
      </c>
      <c r="P10" s="122"/>
      <c r="Q10" s="5" t="s">
        <v>282</v>
      </c>
      <c r="R10" s="5">
        <v>0.89</v>
      </c>
    </row>
    <row r="11" spans="1:18" x14ac:dyDescent="0.25">
      <c r="A11" s="5" t="s">
        <v>410</v>
      </c>
      <c r="B11" s="108">
        <v>0.89</v>
      </c>
      <c r="C11" s="108">
        <v>0.89</v>
      </c>
      <c r="D11" s="108">
        <v>0.88</v>
      </c>
      <c r="E11" s="108"/>
      <c r="F11" s="108"/>
      <c r="G11" s="108">
        <v>0.89</v>
      </c>
      <c r="H11" s="108">
        <v>0.89</v>
      </c>
      <c r="I11" s="108">
        <v>0.91</v>
      </c>
      <c r="J11" s="108">
        <v>0.88</v>
      </c>
      <c r="L11" s="110"/>
      <c r="M11" s="131" t="s">
        <v>393</v>
      </c>
      <c r="N11" s="135">
        <v>0.08</v>
      </c>
      <c r="O11" s="67">
        <v>18.899999999999999</v>
      </c>
      <c r="P11" s="122"/>
      <c r="Q11" s="5" t="s">
        <v>283</v>
      </c>
      <c r="R11" s="109">
        <v>0.9</v>
      </c>
    </row>
    <row r="12" spans="1:18" x14ac:dyDescent="0.25">
      <c r="A12" s="5" t="s">
        <v>411</v>
      </c>
      <c r="B12" s="5">
        <f>B10*B11</f>
        <v>7.2979999999999992</v>
      </c>
      <c r="C12" s="5">
        <f>C10*C11</f>
        <v>6.6749999999999998</v>
      </c>
      <c r="D12" s="5">
        <f>D10*D11</f>
        <v>5.72</v>
      </c>
      <c r="G12" s="5">
        <f>G10*G11</f>
        <v>7.2979999999999992</v>
      </c>
      <c r="H12" s="5">
        <f t="shared" ref="H12:I12" si="0">H10*H11</f>
        <v>6.6749999999999998</v>
      </c>
      <c r="I12" s="5">
        <f t="shared" si="0"/>
        <v>2.6389999999999998</v>
      </c>
      <c r="J12" s="5">
        <f>J10*J11</f>
        <v>6.3360000000000003</v>
      </c>
      <c r="M12" s="131" t="s">
        <v>394</v>
      </c>
      <c r="N12" s="135">
        <v>0.191</v>
      </c>
      <c r="O12" s="5">
        <v>18.2</v>
      </c>
      <c r="Q12" s="5" t="s">
        <v>284</v>
      </c>
      <c r="R12" s="5">
        <v>0.89</v>
      </c>
    </row>
    <row r="13" spans="1:18" x14ac:dyDescent="0.25">
      <c r="A13" s="5" t="s">
        <v>385</v>
      </c>
      <c r="B13" s="110">
        <v>0.126</v>
      </c>
      <c r="C13" s="110">
        <v>0.11799999999999999</v>
      </c>
      <c r="D13" s="110">
        <v>0.11799999999999999</v>
      </c>
      <c r="E13" s="110"/>
      <c r="G13" s="110">
        <v>0.126</v>
      </c>
      <c r="H13" s="110">
        <v>0.11799999999999999</v>
      </c>
      <c r="I13" s="110">
        <v>0.23899999999999999</v>
      </c>
      <c r="J13" s="110">
        <v>0.11700000000000001</v>
      </c>
      <c r="L13" s="110"/>
      <c r="M13" s="113" t="s">
        <v>371</v>
      </c>
      <c r="N13" s="135">
        <v>0.39600000000000002</v>
      </c>
      <c r="O13" s="122">
        <v>23.6</v>
      </c>
      <c r="Q13" s="5" t="s">
        <v>285</v>
      </c>
      <c r="R13" s="5">
        <v>0.91</v>
      </c>
    </row>
    <row r="14" spans="1:18" x14ac:dyDescent="0.25">
      <c r="A14" s="5" t="s">
        <v>412</v>
      </c>
      <c r="B14" s="5">
        <f>B12*B13</f>
        <v>0.91954799999999992</v>
      </c>
      <c r="C14" s="5">
        <f>C12*C13</f>
        <v>0.78764999999999996</v>
      </c>
      <c r="D14" s="5">
        <f>D12*D13</f>
        <v>0.67495999999999989</v>
      </c>
      <c r="G14" s="5">
        <f t="shared" ref="G14:J14" si="1">G12*G13</f>
        <v>0.91954799999999992</v>
      </c>
      <c r="H14" s="5">
        <f t="shared" si="1"/>
        <v>0.78764999999999996</v>
      </c>
      <c r="I14" s="5">
        <f t="shared" si="1"/>
        <v>0.63072099999999998</v>
      </c>
      <c r="J14" s="5">
        <f t="shared" si="1"/>
        <v>0.74131200000000008</v>
      </c>
      <c r="M14" s="5" t="s">
        <v>395</v>
      </c>
      <c r="N14" s="135">
        <v>9.4E-2</v>
      </c>
      <c r="O14" s="5">
        <v>18.7</v>
      </c>
      <c r="P14" s="122"/>
      <c r="Q14" s="5" t="s">
        <v>286</v>
      </c>
      <c r="R14" s="5">
        <v>0.91</v>
      </c>
    </row>
    <row r="15" spans="1:18" x14ac:dyDescent="0.25">
      <c r="M15" s="113" t="s">
        <v>368</v>
      </c>
      <c r="N15" s="135">
        <v>0.16600000000000001</v>
      </c>
      <c r="O15" s="5">
        <v>28.7</v>
      </c>
      <c r="Q15" s="5" t="s">
        <v>287</v>
      </c>
      <c r="R15" s="5">
        <v>0.22</v>
      </c>
    </row>
    <row r="16" spans="1:18" x14ac:dyDescent="0.25">
      <c r="A16" s="5" t="s">
        <v>413</v>
      </c>
      <c r="C16" s="132">
        <f>((B14+C14+D14)/3)*1000</f>
        <v>794.0526666666666</v>
      </c>
      <c r="D16" s="132"/>
      <c r="E16" s="132"/>
      <c r="F16" s="132"/>
      <c r="G16" s="132"/>
      <c r="H16" s="132">
        <f>((G14+H14+I14+J14)/4)*1000</f>
        <v>769.80775000000006</v>
      </c>
      <c r="M16" s="112" t="s">
        <v>396</v>
      </c>
      <c r="N16" s="135">
        <v>0.248</v>
      </c>
      <c r="O16" s="5">
        <v>18.600000000000001</v>
      </c>
      <c r="Q16" s="5" t="s">
        <v>288</v>
      </c>
      <c r="R16" s="5">
        <v>0.94</v>
      </c>
    </row>
    <row r="17" spans="1:18" x14ac:dyDescent="0.25">
      <c r="M17" s="5" t="s">
        <v>397</v>
      </c>
      <c r="N17" s="135">
        <v>0.17699999999999999</v>
      </c>
      <c r="O17" s="5">
        <v>18.5</v>
      </c>
      <c r="P17" s="122"/>
      <c r="Q17" s="5" t="s">
        <v>289</v>
      </c>
      <c r="R17" s="5">
        <v>0.9</v>
      </c>
    </row>
    <row r="18" spans="1:18" x14ac:dyDescent="0.25">
      <c r="A18" s="5" t="s">
        <v>386</v>
      </c>
      <c r="B18" s="5">
        <v>18.2</v>
      </c>
      <c r="C18" s="122">
        <v>18.399999999999999</v>
      </c>
      <c r="D18" s="5">
        <v>18.100000000000001</v>
      </c>
      <c r="G18" s="5">
        <v>18.2</v>
      </c>
      <c r="H18" s="122">
        <v>18.399999999999999</v>
      </c>
      <c r="I18" s="122">
        <v>18.3</v>
      </c>
      <c r="J18" s="5">
        <v>18.100000000000001</v>
      </c>
      <c r="M18" s="5" t="s">
        <v>398</v>
      </c>
      <c r="N18" s="135">
        <v>7.8E-2</v>
      </c>
      <c r="O18" s="5">
        <v>16.899999999999999</v>
      </c>
      <c r="Q18" s="5" t="s">
        <v>290</v>
      </c>
      <c r="R18" s="5">
        <v>0.9</v>
      </c>
    </row>
    <row r="19" spans="1:18" x14ac:dyDescent="0.25">
      <c r="A19" s="5" t="s">
        <v>384</v>
      </c>
      <c r="B19" s="109">
        <f>B18*B12</f>
        <v>132.82359999999997</v>
      </c>
      <c r="C19" s="109">
        <f t="shared" ref="C19:J19" si="2">C18*C12</f>
        <v>122.82</v>
      </c>
      <c r="D19" s="109">
        <f t="shared" si="2"/>
        <v>103.53200000000001</v>
      </c>
      <c r="E19" s="109"/>
      <c r="F19" s="109"/>
      <c r="G19" s="109">
        <f t="shared" si="2"/>
        <v>132.82359999999997</v>
      </c>
      <c r="H19" s="109">
        <f t="shared" si="2"/>
        <v>122.82</v>
      </c>
      <c r="I19" s="109">
        <f t="shared" si="2"/>
        <v>48.293700000000001</v>
      </c>
      <c r="J19" s="109">
        <f t="shared" si="2"/>
        <v>114.68160000000002</v>
      </c>
      <c r="M19" s="5" t="s">
        <v>399</v>
      </c>
      <c r="N19" s="135">
        <v>0.189</v>
      </c>
      <c r="O19" s="5">
        <v>18.899999999999999</v>
      </c>
      <c r="Q19" s="5" t="s">
        <v>291</v>
      </c>
      <c r="R19" s="5">
        <v>0.9</v>
      </c>
    </row>
    <row r="20" spans="1:18" x14ac:dyDescent="0.25">
      <c r="B20" s="109"/>
      <c r="C20" s="109"/>
      <c r="D20" s="109"/>
      <c r="E20" s="109"/>
      <c r="F20" s="109"/>
      <c r="G20" s="109"/>
      <c r="H20" s="109"/>
      <c r="I20" s="109"/>
      <c r="J20" s="109"/>
      <c r="M20" s="5" t="s">
        <v>400</v>
      </c>
      <c r="N20" s="135">
        <v>0.16200000000000001</v>
      </c>
      <c r="O20" s="5">
        <v>18.7</v>
      </c>
      <c r="Q20" s="5" t="s">
        <v>292</v>
      </c>
      <c r="R20" s="5">
        <v>0.9</v>
      </c>
    </row>
    <row r="21" spans="1:18" x14ac:dyDescent="0.25">
      <c r="A21" s="5" t="s">
        <v>414</v>
      </c>
      <c r="B21" s="109">
        <f>AVERAGE(B19:D19)</f>
        <v>119.72519999999999</v>
      </c>
      <c r="C21" s="109"/>
      <c r="D21" s="109"/>
      <c r="E21" s="109"/>
      <c r="F21" s="109"/>
      <c r="G21" s="109">
        <f>AVERAGE(G19:J19)</f>
        <v>104.65472499999998</v>
      </c>
      <c r="H21" s="109"/>
      <c r="I21" s="109"/>
      <c r="J21" s="109"/>
      <c r="M21" s="5" t="s">
        <v>401</v>
      </c>
      <c r="N21" s="135">
        <v>0.10199999999999999</v>
      </c>
      <c r="O21" s="5">
        <v>17.7</v>
      </c>
      <c r="Q21" s="5" t="s">
        <v>293</v>
      </c>
      <c r="R21" s="5">
        <v>0.9</v>
      </c>
    </row>
    <row r="22" spans="1:18" x14ac:dyDescent="0.25">
      <c r="B22" s="109"/>
      <c r="C22" s="109"/>
      <c r="D22" s="109"/>
      <c r="E22" s="109"/>
      <c r="F22" s="109"/>
      <c r="G22" s="109"/>
      <c r="H22" s="109"/>
      <c r="I22" s="109"/>
      <c r="J22" s="109"/>
      <c r="M22" s="5" t="s">
        <v>402</v>
      </c>
      <c r="N22" s="135">
        <v>0.14699999999999999</v>
      </c>
      <c r="O22" s="67">
        <v>18.18</v>
      </c>
      <c r="Q22" s="5" t="s">
        <v>294</v>
      </c>
      <c r="R22" s="5">
        <v>0.9</v>
      </c>
    </row>
    <row r="23" spans="1:18" x14ac:dyDescent="0.25">
      <c r="B23" s="109"/>
      <c r="C23" s="109"/>
      <c r="D23" s="109"/>
      <c r="E23" s="109"/>
      <c r="F23" s="109"/>
      <c r="G23" s="109"/>
      <c r="H23" s="109"/>
      <c r="I23" s="109"/>
      <c r="J23" s="109"/>
      <c r="M23" s="5" t="s">
        <v>403</v>
      </c>
      <c r="N23" s="135">
        <v>0.11</v>
      </c>
      <c r="O23" s="5">
        <v>17.899999999999999</v>
      </c>
    </row>
    <row r="24" spans="1:18" x14ac:dyDescent="0.25">
      <c r="M24" s="136" t="s">
        <v>404</v>
      </c>
      <c r="N24" s="135">
        <v>0.17280000000000001</v>
      </c>
      <c r="O24" s="137">
        <v>18.78</v>
      </c>
      <c r="Q24" s="5" t="s">
        <v>405</v>
      </c>
    </row>
    <row r="26" spans="1:18" x14ac:dyDescent="0.25">
      <c r="M26" s="122" t="s">
        <v>406</v>
      </c>
      <c r="N26" s="5" t="s">
        <v>407</v>
      </c>
    </row>
    <row r="27" spans="1:18" x14ac:dyDescent="0.25">
      <c r="N27" s="5" t="s">
        <v>408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Standorteigenschaften</vt:lpstr>
      <vt:lpstr>Ohne Leguminosen</vt:lpstr>
      <vt:lpstr>Leguminosen Alternative</vt:lpstr>
      <vt:lpstr>Daten für Ertragsstabilität</vt:lpstr>
      <vt:lpstr>GM</vt:lpstr>
      <vt:lpstr>N fertilizer</vt:lpstr>
      <vt:lpstr>Protein &amp; Energy Output</vt:lpstr>
      <vt:lpstr>Crop Diversity</vt:lpstr>
      <vt:lpstr>NO3</vt:lpstr>
      <vt:lpstr>N2O calculations</vt:lpstr>
      <vt:lpstr>N2O default values</vt:lpstr>
      <vt:lpstr>Mapping crops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2020-12-07T14:45:13Z</dcterms:modified>
</cp:coreProperties>
</file>