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21" r:id="rId1"/>
    <sheet name="Data source" sheetId="16" r:id="rId2"/>
    <sheet name="Site characteristics" sheetId="1" r:id="rId3"/>
    <sheet name="Without legumes" sheetId="9" r:id="rId4"/>
    <sheet name="With legumes option 1 " sheetId="15" r:id="rId5"/>
    <sheet name="With legumes option 2" sheetId="14" r:id="rId6"/>
    <sheet name="Data for yield stability" sheetId="12" r:id="rId7"/>
    <sheet name="GM" sheetId="17" r:id="rId8"/>
    <sheet name="N fertilizer" sheetId="18" r:id="rId9"/>
    <sheet name="Protein &amp; Energy Output" sheetId="19" r:id="rId10"/>
    <sheet name="Crop Diversity" sheetId="20" r:id="rId11"/>
    <sheet name="NO3" sheetId="25" r:id="rId12"/>
    <sheet name="N2O calculations" sheetId="22" r:id="rId13"/>
    <sheet name="N2O default values" sheetId="23" r:id="rId14"/>
    <sheet name="Mapping crops" sheetId="24" r:id="rId1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" i="22" l="1"/>
  <c r="S28" i="22"/>
  <c r="R28" i="22"/>
  <c r="Q28" i="22"/>
  <c r="P28" i="22"/>
  <c r="L28" i="22"/>
  <c r="M28" i="22"/>
  <c r="K28" i="22"/>
  <c r="J28" i="22"/>
  <c r="I28" i="22"/>
  <c r="C28" i="22"/>
  <c r="D28" i="22"/>
  <c r="B28" i="22"/>
  <c r="G20" i="19"/>
  <c r="K20" i="25"/>
  <c r="L4" i="21"/>
  <c r="K13" i="25"/>
  <c r="L3" i="21"/>
  <c r="K6" i="25"/>
  <c r="L2" i="21"/>
  <c r="C32" i="12"/>
  <c r="L39" i="12"/>
  <c r="P4" i="21"/>
  <c r="S17" i="12"/>
  <c r="L38" i="12"/>
  <c r="P3" i="21"/>
  <c r="O17" i="12"/>
  <c r="K17" i="12"/>
  <c r="G17" i="12"/>
  <c r="C17" i="12"/>
  <c r="B27" i="22"/>
  <c r="C27" i="22"/>
  <c r="D27" i="22"/>
  <c r="L12" i="19"/>
  <c r="L20" i="19"/>
  <c r="M23" i="19"/>
  <c r="R4" i="21"/>
  <c r="M12" i="19"/>
  <c r="M20" i="19"/>
  <c r="N12" i="19"/>
  <c r="N20" i="19"/>
  <c r="O12" i="19"/>
  <c r="O20" i="19"/>
  <c r="P12" i="19"/>
  <c r="P20" i="19"/>
  <c r="F12" i="19"/>
  <c r="F20" i="19"/>
  <c r="G23" i="19"/>
  <c r="R3" i="21"/>
  <c r="G12" i="19"/>
  <c r="H12" i="19"/>
  <c r="H20" i="19"/>
  <c r="I12" i="19"/>
  <c r="I20" i="19"/>
  <c r="J12" i="19"/>
  <c r="J20" i="19"/>
  <c r="B12" i="19"/>
  <c r="B20" i="19"/>
  <c r="C12" i="19"/>
  <c r="C20" i="19"/>
  <c r="D12" i="19"/>
  <c r="D20" i="19"/>
  <c r="C23" i="19"/>
  <c r="R2" i="21"/>
  <c r="Q8" i="22"/>
  <c r="Q14" i="22"/>
  <c r="Q15" i="22"/>
  <c r="Q17" i="22"/>
  <c r="I8" i="22"/>
  <c r="I16" i="22"/>
  <c r="I18" i="22"/>
  <c r="I14" i="22"/>
  <c r="I15" i="22"/>
  <c r="I17" i="22"/>
  <c r="I19" i="22"/>
  <c r="J8" i="22"/>
  <c r="J16" i="22"/>
  <c r="J18" i="22"/>
  <c r="J14" i="22"/>
  <c r="J15" i="22"/>
  <c r="J17" i="22"/>
  <c r="K8" i="22"/>
  <c r="K16" i="22"/>
  <c r="K18" i="22"/>
  <c r="K14" i="22"/>
  <c r="K15" i="22"/>
  <c r="K17" i="22"/>
  <c r="K19" i="22"/>
  <c r="L8" i="22"/>
  <c r="L16" i="22"/>
  <c r="L18" i="22"/>
  <c r="L14" i="22"/>
  <c r="L15" i="22"/>
  <c r="L17" i="22"/>
  <c r="L19" i="22"/>
  <c r="M8" i="22"/>
  <c r="M16" i="22"/>
  <c r="M18" i="22"/>
  <c r="M14" i="22"/>
  <c r="M15" i="22"/>
  <c r="M17" i="22"/>
  <c r="B8" i="22"/>
  <c r="B16" i="22"/>
  <c r="B18" i="22"/>
  <c r="B14" i="22"/>
  <c r="B15" i="22"/>
  <c r="B17" i="22"/>
  <c r="T25" i="22"/>
  <c r="S25" i="22"/>
  <c r="R25" i="22"/>
  <c r="J25" i="22"/>
  <c r="D25" i="22"/>
  <c r="T11" i="22"/>
  <c r="S11" i="22"/>
  <c r="R11" i="22"/>
  <c r="Q11" i="22"/>
  <c r="P11" i="22"/>
  <c r="M11" i="22"/>
  <c r="L11" i="22"/>
  <c r="K11" i="22"/>
  <c r="J11" i="22"/>
  <c r="I11" i="22"/>
  <c r="D11" i="22"/>
  <c r="C11" i="22"/>
  <c r="B11" i="22"/>
  <c r="T10" i="22"/>
  <c r="S10" i="22"/>
  <c r="R10" i="22"/>
  <c r="Q10" i="22"/>
  <c r="P10" i="22"/>
  <c r="M10" i="22"/>
  <c r="L10" i="22"/>
  <c r="K10" i="22"/>
  <c r="J10" i="22"/>
  <c r="I10" i="22"/>
  <c r="D10" i="22"/>
  <c r="C10" i="22"/>
  <c r="B10" i="22"/>
  <c r="S9" i="22"/>
  <c r="R9" i="22"/>
  <c r="Q9" i="22"/>
  <c r="J9" i="22"/>
  <c r="I9" i="22"/>
  <c r="D9" i="22"/>
  <c r="C9" i="22"/>
  <c r="C26" i="22"/>
  <c r="T7" i="22"/>
  <c r="S7" i="22"/>
  <c r="S8" i="22"/>
  <c r="R7" i="22"/>
  <c r="R24" i="22"/>
  <c r="Q7" i="22"/>
  <c r="Q24" i="22"/>
  <c r="P7" i="22"/>
  <c r="P8" i="22"/>
  <c r="M7" i="22"/>
  <c r="L7" i="22"/>
  <c r="K7" i="22"/>
  <c r="K24" i="22"/>
  <c r="J7" i="22"/>
  <c r="I7" i="22"/>
  <c r="D7" i="22"/>
  <c r="D24" i="22"/>
  <c r="C7" i="22"/>
  <c r="C8" i="22"/>
  <c r="C24" i="22"/>
  <c r="B7" i="22"/>
  <c r="F4" i="22"/>
  <c r="E4" i="22"/>
  <c r="D4" i="22"/>
  <c r="C4" i="22"/>
  <c r="B4" i="22"/>
  <c r="A4" i="22"/>
  <c r="F3" i="22"/>
  <c r="E3" i="22"/>
  <c r="D3" i="22"/>
  <c r="C3" i="22"/>
  <c r="B3" i="22"/>
  <c r="A3" i="22"/>
  <c r="F2" i="22"/>
  <c r="E2" i="22"/>
  <c r="D2" i="22"/>
  <c r="C2" i="22"/>
  <c r="B2" i="22"/>
  <c r="A2" i="22"/>
  <c r="F1" i="22"/>
  <c r="E1" i="22"/>
  <c r="D1" i="22"/>
  <c r="C1" i="22"/>
  <c r="B1" i="22"/>
  <c r="A1" i="22"/>
  <c r="U22" i="23"/>
  <c r="U21" i="23"/>
  <c r="U20" i="23"/>
  <c r="U19" i="23"/>
  <c r="U18" i="23"/>
  <c r="Q18" i="23"/>
  <c r="U17" i="23"/>
  <c r="Q17" i="23"/>
  <c r="U16" i="23"/>
  <c r="R16" i="23"/>
  <c r="P16" i="23"/>
  <c r="U15" i="23"/>
  <c r="U14" i="23"/>
  <c r="U13" i="23"/>
  <c r="U12" i="23"/>
  <c r="R12" i="23"/>
  <c r="U11" i="23"/>
  <c r="R11" i="23"/>
  <c r="P11" i="23"/>
  <c r="U10" i="23"/>
  <c r="P10" i="23"/>
  <c r="U9" i="23"/>
  <c r="R9" i="23"/>
  <c r="U8" i="23"/>
  <c r="U7" i="23"/>
  <c r="U6" i="23"/>
  <c r="U5" i="23"/>
  <c r="U4" i="23"/>
  <c r="E4" i="23"/>
  <c r="U3" i="23"/>
  <c r="E3" i="23"/>
  <c r="U2" i="23"/>
  <c r="G2" i="23"/>
  <c r="E2" i="23"/>
  <c r="Q25" i="22"/>
  <c r="T27" i="22"/>
  <c r="S27" i="22"/>
  <c r="R27" i="22"/>
  <c r="R31" i="22" s="1"/>
  <c r="Q27" i="22"/>
  <c r="Q31" i="22" s="1"/>
  <c r="P27" i="22"/>
  <c r="P31" i="22" s="1"/>
  <c r="M27" i="22"/>
  <c r="L27" i="22"/>
  <c r="K27" i="22"/>
  <c r="K31" i="22" s="1"/>
  <c r="H31" i="22" s="1"/>
  <c r="O3" i="21" s="1"/>
  <c r="J27" i="22"/>
  <c r="I27" i="22"/>
  <c r="T24" i="22"/>
  <c r="M24" i="22"/>
  <c r="J24" i="22"/>
  <c r="I24" i="22"/>
  <c r="T8" i="22"/>
  <c r="B24" i="22"/>
  <c r="L24" i="22"/>
  <c r="K4" i="21"/>
  <c r="D29" i="20"/>
  <c r="E29" i="20"/>
  <c r="B29" i="20"/>
  <c r="D28" i="20"/>
  <c r="E28" i="20"/>
  <c r="B28" i="20"/>
  <c r="D27" i="20"/>
  <c r="E27" i="20"/>
  <c r="B27" i="20"/>
  <c r="N14" i="19"/>
  <c r="M14" i="19"/>
  <c r="B14" i="19"/>
  <c r="P14" i="19"/>
  <c r="O14" i="19"/>
  <c r="Q16" i="18"/>
  <c r="T13" i="18"/>
  <c r="T16" i="18"/>
  <c r="S13" i="18"/>
  <c r="S16" i="18"/>
  <c r="R13" i="18"/>
  <c r="R16" i="18"/>
  <c r="P18" i="18"/>
  <c r="M4" i="21"/>
  <c r="P13" i="18"/>
  <c r="P9" i="22"/>
  <c r="P16" i="18"/>
  <c r="I13" i="18"/>
  <c r="M13" i="18"/>
  <c r="M9" i="22"/>
  <c r="L13" i="18"/>
  <c r="L9" i="22"/>
  <c r="K13" i="18"/>
  <c r="K9" i="22"/>
  <c r="C13" i="18"/>
  <c r="C25" i="22"/>
  <c r="C16" i="18"/>
  <c r="J17" i="17"/>
  <c r="Q10" i="17"/>
  <c r="Q13" i="17"/>
  <c r="R10" i="17"/>
  <c r="R13" i="17"/>
  <c r="S10" i="17"/>
  <c r="S13" i="17"/>
  <c r="T10" i="17"/>
  <c r="T13" i="17"/>
  <c r="P10" i="17"/>
  <c r="P13" i="17"/>
  <c r="P15" i="17"/>
  <c r="L10" i="17"/>
  <c r="L13" i="17"/>
  <c r="M10" i="17"/>
  <c r="M13" i="17"/>
  <c r="K10" i="17"/>
  <c r="K13" i="17"/>
  <c r="J10" i="17"/>
  <c r="J13" i="17"/>
  <c r="I10" i="17"/>
  <c r="I13" i="17"/>
  <c r="I15" i="17"/>
  <c r="G3" i="21"/>
  <c r="J3" i="21" s="1"/>
  <c r="B10" i="17"/>
  <c r="B13" i="17"/>
  <c r="K3" i="21"/>
  <c r="K2" i="21"/>
  <c r="D22" i="20"/>
  <c r="E22" i="20"/>
  <c r="B22" i="20"/>
  <c r="D21" i="20"/>
  <c r="E21" i="20"/>
  <c r="E23" i="20"/>
  <c r="S3" i="21"/>
  <c r="B21" i="20"/>
  <c r="D20" i="20"/>
  <c r="E20" i="20"/>
  <c r="B20" i="20"/>
  <c r="D15" i="20"/>
  <c r="E15" i="20"/>
  <c r="B15" i="20"/>
  <c r="D14" i="20"/>
  <c r="E14" i="20"/>
  <c r="E17" i="20"/>
  <c r="S2" i="21"/>
  <c r="B14" i="20"/>
  <c r="F8" i="20"/>
  <c r="J14" i="19"/>
  <c r="I14" i="19"/>
  <c r="G14" i="19"/>
  <c r="C14" i="19"/>
  <c r="J16" i="18"/>
  <c r="I16" i="18"/>
  <c r="D13" i="18"/>
  <c r="D16" i="18"/>
  <c r="B13" i="18"/>
  <c r="B9" i="22"/>
  <c r="D10" i="17"/>
  <c r="D13" i="17"/>
  <c r="C10" i="17"/>
  <c r="C13" i="17"/>
  <c r="L37" i="12"/>
  <c r="P2" i="21"/>
  <c r="C14" i="22"/>
  <c r="C15" i="22"/>
  <c r="C17" i="22"/>
  <c r="S14" i="22"/>
  <c r="S15" i="22"/>
  <c r="S17" i="22"/>
  <c r="B19" i="22"/>
  <c r="C16" i="19"/>
  <c r="Q2" i="21"/>
  <c r="P14" i="22"/>
  <c r="P15" i="22"/>
  <c r="P17" i="22"/>
  <c r="H4" i="21"/>
  <c r="G4" i="21"/>
  <c r="I4" i="21" s="1"/>
  <c r="M19" i="22"/>
  <c r="B15" i="17"/>
  <c r="E30" i="20"/>
  <c r="S4" i="21"/>
  <c r="J19" i="22"/>
  <c r="H14" i="19"/>
  <c r="P24" i="22"/>
  <c r="K16" i="18"/>
  <c r="T14" i="22"/>
  <c r="T15" i="22"/>
  <c r="T17" i="22"/>
  <c r="R8" i="22"/>
  <c r="I18" i="17"/>
  <c r="H3" i="21"/>
  <c r="L16" i="18"/>
  <c r="T9" i="22"/>
  <c r="T26" i="22"/>
  <c r="K25" i="22"/>
  <c r="B16" i="18"/>
  <c r="B18" i="18"/>
  <c r="M2" i="21"/>
  <c r="M16" i="18"/>
  <c r="S24" i="22"/>
  <c r="L25" i="22"/>
  <c r="D8" i="22"/>
  <c r="M25" i="22"/>
  <c r="Q16" i="22"/>
  <c r="Q18" i="22"/>
  <c r="Q19" i="22"/>
  <c r="D14" i="19"/>
  <c r="P25" i="22"/>
  <c r="F14" i="19"/>
  <c r="G16" i="19"/>
  <c r="Q3" i="21"/>
  <c r="L14" i="19"/>
  <c r="M16" i="19"/>
  <c r="Q4" i="21"/>
  <c r="B26" i="22"/>
  <c r="P26" i="22"/>
  <c r="K26" i="22"/>
  <c r="L26" i="22"/>
  <c r="S26" i="22"/>
  <c r="J26" i="22"/>
  <c r="J31" i="22"/>
  <c r="M26" i="22"/>
  <c r="M31" i="22"/>
  <c r="D26" i="22"/>
  <c r="Q26" i="22"/>
  <c r="I26" i="22"/>
  <c r="R26" i="22"/>
  <c r="R14" i="22"/>
  <c r="R15" i="22"/>
  <c r="R17" i="22"/>
  <c r="L31" i="22"/>
  <c r="B25" i="22"/>
  <c r="B31" i="22"/>
  <c r="A31" i="22" s="1"/>
  <c r="O2" i="21" s="1"/>
  <c r="I18" i="18"/>
  <c r="S16" i="22"/>
  <c r="S18" i="22"/>
  <c r="S19" i="22"/>
  <c r="S31" i="22"/>
  <c r="D14" i="22"/>
  <c r="D15" i="22"/>
  <c r="D17" i="22"/>
  <c r="C16" i="22"/>
  <c r="C18" i="22"/>
  <c r="C19" i="22"/>
  <c r="C31" i="22"/>
  <c r="H2" i="21"/>
  <c r="G2" i="21"/>
  <c r="J2" i="21" s="1"/>
  <c r="T16" i="22"/>
  <c r="T18" i="22"/>
  <c r="T19" i="22"/>
  <c r="T31" i="22"/>
  <c r="P16" i="22"/>
  <c r="P18" i="22"/>
  <c r="P19" i="22"/>
  <c r="M3" i="21"/>
  <c r="I25" i="22"/>
  <c r="I31" i="22"/>
  <c r="R16" i="22"/>
  <c r="R18" i="22"/>
  <c r="R19" i="22"/>
  <c r="D16" i="22"/>
  <c r="D18" i="22"/>
  <c r="D19" i="22"/>
  <c r="D31" i="22"/>
  <c r="J4" i="21" l="1"/>
  <c r="I2" i="21"/>
  <c r="I3" i="21"/>
  <c r="O31" i="22"/>
  <c r="O4" i="21" s="1"/>
</calcChain>
</file>

<file path=xl/comments1.xml><?xml version="1.0" encoding="utf-8"?>
<comments xmlns="http://schemas.openxmlformats.org/spreadsheetml/2006/main">
  <authors>
    <author>notz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comments2.xml><?xml version="1.0" encoding="utf-8"?>
<comments xmlns="http://schemas.openxmlformats.org/spreadsheetml/2006/main">
  <authors>
    <author>notz</author>
  </authors>
  <commentList>
    <comment ref="E2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L2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S24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TSP</t>
        </r>
      </text>
    </comment>
    <comment ref="L36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Amix Mangan</t>
        </r>
      </text>
    </comment>
    <comment ref="S3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Caramba</t>
        </r>
      </text>
    </comment>
    <comment ref="L39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Camposan and STARANE XL</t>
        </r>
      </text>
    </comment>
    <comment ref="S39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S42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E4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Primor Granulat together with Taspa
</t>
        </r>
      </text>
    </comment>
  </commentList>
</comments>
</file>

<file path=xl/comments3.xml><?xml version="1.0" encoding="utf-8"?>
<comments xmlns="http://schemas.openxmlformats.org/spreadsheetml/2006/main">
  <authors>
    <author>notz</author>
  </authors>
  <commentList>
    <comment ref="D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K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R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Y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AF19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TSP</t>
        </r>
      </text>
    </comment>
    <comment ref="Y3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Amix Mangan</t>
        </r>
      </text>
    </comment>
    <comment ref="AF32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Caramba</t>
        </r>
      </text>
    </comment>
    <comment ref="Y34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Camposan and STARANE XL</t>
        </r>
      </text>
    </comment>
    <comment ref="AF34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AF3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D3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Primor Granulat together with Taspa
</t>
        </r>
      </text>
    </comment>
    <comment ref="R3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Primor Granulat together with Taspa
</t>
        </r>
      </text>
    </comment>
  </commentList>
</comments>
</file>

<file path=xl/comments4.xml><?xml version="1.0" encoding="utf-8"?>
<comments xmlns="http://schemas.openxmlformats.org/spreadsheetml/2006/main">
  <authors>
    <author>notz</author>
  </authors>
  <commentList>
    <comment ref="D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R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Y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AF19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TSP</t>
        </r>
      </text>
    </comment>
    <comment ref="Y3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Amix Mangan</t>
        </r>
      </text>
    </comment>
    <comment ref="AF32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Caramba</t>
        </r>
      </text>
    </comment>
    <comment ref="Y34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Camposan and STARANE XL</t>
        </r>
      </text>
    </comment>
    <comment ref="AF34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AF3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D3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Primor Granulat together with Taspa
</t>
        </r>
      </text>
    </comment>
    <comment ref="R3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Primor Granulat together with Taspa
</t>
        </r>
      </text>
    </comment>
  </commentList>
</comments>
</file>

<file path=xl/sharedStrings.xml><?xml version="1.0" encoding="utf-8"?>
<sst xmlns="http://schemas.openxmlformats.org/spreadsheetml/2006/main" count="1862" uniqueCount="509">
  <si>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</si>
  <si>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</si>
  <si>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</si>
  <si>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</si>
  <si>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</si>
  <si>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</si>
  <si>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</si>
  <si>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</si>
  <si>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</si>
  <si>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</si>
  <si>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</si>
  <si>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</si>
  <si>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</si>
  <si>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</si>
  <si>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</si>
  <si>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</si>
  <si>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</si>
  <si>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</si>
  <si>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</si>
  <si>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</si>
  <si>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</si>
  <si>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</si>
  <si>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</si>
  <si>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</si>
  <si>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</si>
  <si>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</si>
  <si>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</si>
  <si>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</si>
  <si>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</si>
  <si>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</si>
  <si>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</si>
  <si>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</si>
  <si>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</si>
  <si>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</si>
  <si>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</si>
  <si>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</si>
  <si>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</si>
  <si>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</si>
  <si>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</si>
  <si>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</si>
  <si>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</si>
  <si>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</si>
  <si>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</si>
  <si>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</si>
  <si>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</si>
  <si>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</si>
  <si>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</si>
  <si>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</si>
  <si>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</si>
  <si>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>CROP 3</t>
  </si>
  <si>
    <t>CROP 4</t>
  </si>
  <si>
    <t>CROP 5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</si>
  <si>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</si>
  <si>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</si>
  <si>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</si>
  <si>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</si>
  <si>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</si>
  <si>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</si>
  <si>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</si>
  <si>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</si>
  <si>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</si>
  <si>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</si>
  <si>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</si>
  <si>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</si>
  <si>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</si>
  <si>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</si>
  <si>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</si>
  <si>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</si>
  <si>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</si>
  <si>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</si>
  <si>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</si>
  <si>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</si>
  <si>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</si>
  <si>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</si>
  <si>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</si>
  <si>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</si>
  <si>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t>Grain</t>
  </si>
  <si>
    <t>Lime</t>
  </si>
  <si>
    <t>Kornkali</t>
  </si>
  <si>
    <t>TSP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</si>
  <si>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</si>
  <si>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</si>
  <si>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</si>
  <si>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</si>
  <si>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</si>
  <si>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</si>
  <si>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</si>
  <si>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</si>
  <si>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</si>
  <si>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 xml:space="preserve">Amount [t/ha] </t>
  </si>
  <si>
    <t xml:space="preserve">Yield [t/ha] </t>
  </si>
  <si>
    <t>Number of year</t>
  </si>
  <si>
    <t>Crop [name of crop]:</t>
  </si>
  <si>
    <t>Organic fertilizers</t>
  </si>
  <si>
    <t>Composition</t>
  </si>
  <si>
    <t>Mineral fertilizers</t>
  </si>
  <si>
    <r>
      <t>Total amount [kg or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/ha]</t>
    </r>
  </si>
  <si>
    <t>Amount [kg or l/ha]</t>
  </si>
  <si>
    <t>Karate Zeon</t>
  </si>
  <si>
    <t>0,5l</t>
  </si>
  <si>
    <t>1l</t>
  </si>
  <si>
    <t>Trafo WG</t>
  </si>
  <si>
    <t>Total amount [kg or l/ha]</t>
  </si>
  <si>
    <t>Combine harvester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</si>
  <si>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</si>
  <si>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</si>
  <si>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</si>
  <si>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</si>
  <si>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</si>
  <si>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</si>
  <si>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</si>
  <si>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>Solid</t>
  </si>
  <si>
    <t>liquid</t>
  </si>
  <si>
    <t>EXAMPLE - Crop [name of crop]: Winter rye</t>
  </si>
  <si>
    <t xml:space="preserve">Please indicate the specific costs of production, the total variable costs and subsidies. </t>
  </si>
  <si>
    <t>Date:</t>
  </si>
  <si>
    <t>Date</t>
  </si>
  <si>
    <t>Date/ Period</t>
  </si>
  <si>
    <t>Winter wheat</t>
  </si>
  <si>
    <t>KAS</t>
  </si>
  <si>
    <t>27%N</t>
  </si>
  <si>
    <t>March+May+June</t>
  </si>
  <si>
    <t>33% K</t>
  </si>
  <si>
    <t>20% P</t>
  </si>
  <si>
    <t>185+196+52</t>
  </si>
  <si>
    <t>Pea</t>
  </si>
  <si>
    <t>Soybean</t>
  </si>
  <si>
    <t>Basagran</t>
  </si>
  <si>
    <t>2l</t>
  </si>
  <si>
    <t>0,075l</t>
  </si>
  <si>
    <t>Stomp Aqua</t>
  </si>
  <si>
    <t>3l</t>
  </si>
  <si>
    <t xml:space="preserve">Aufsattelbeetpflug </t>
  </si>
  <si>
    <t>Scheibenegge</t>
  </si>
  <si>
    <t>Anhängerspritze</t>
  </si>
  <si>
    <t>Price [EUR/t]</t>
  </si>
  <si>
    <t/>
  </si>
  <si>
    <t>Kurzgrubber</t>
  </si>
  <si>
    <t>SBB+Pneumatikdrillmaschine</t>
  </si>
  <si>
    <t>0,4l</t>
  </si>
  <si>
    <t>STARANE XL</t>
  </si>
  <si>
    <t>Other fertiliser used/ growth regulator</t>
  </si>
  <si>
    <t>Camposan extra</t>
  </si>
  <si>
    <t>Aufsattelbeetplug</t>
  </si>
  <si>
    <t>Schleuderstreuer direkt Verfahren</t>
  </si>
  <si>
    <t>Anhängerspritze direkt Verfahren</t>
  </si>
  <si>
    <t>PK mit Großbehälter, angehängt, dir. Verf.</t>
  </si>
  <si>
    <t>N mit Schleuderstreuer dir. Verf.</t>
  </si>
  <si>
    <t>U 46 M-Fluid</t>
  </si>
  <si>
    <t>Anhängespritze, dir. Verfahren</t>
  </si>
  <si>
    <t>CCC 720</t>
  </si>
  <si>
    <t>0,8l</t>
  </si>
  <si>
    <t>Champion+Diamant</t>
  </si>
  <si>
    <t>Moddus</t>
  </si>
  <si>
    <t>0,3l</t>
  </si>
  <si>
    <t>Pirimor Granulat</t>
  </si>
  <si>
    <t>Taspa</t>
  </si>
  <si>
    <t>0,1kg</t>
  </si>
  <si>
    <t>0,75l+0,75l</t>
  </si>
  <si>
    <t>0,075kg</t>
  </si>
  <si>
    <t>Malibu</t>
  </si>
  <si>
    <t>3,5l</t>
  </si>
  <si>
    <t>21.03-10.04</t>
  </si>
  <si>
    <t>21.5. - 20.6.</t>
  </si>
  <si>
    <t>21.3. - 31.3</t>
  </si>
  <si>
    <t>Date: 11.3. - 20.3.</t>
  </si>
  <si>
    <t>Date: 11.8. - 31.8./ 21.8. - 10.9.</t>
  </si>
  <si>
    <t>Date: 21.10. - 10.11</t>
  </si>
  <si>
    <t>21.7. - 31.7.</t>
  </si>
  <si>
    <t>Date: 21.8. - 31.8</t>
  </si>
  <si>
    <t>Date: 11.8. - 20.8.</t>
  </si>
  <si>
    <t>21.8. - 31.8.</t>
  </si>
  <si>
    <t>11.4. - 20.4</t>
  </si>
  <si>
    <t>1.8. - 20.8</t>
  </si>
  <si>
    <t>Date: 11.8. - 20.8</t>
  </si>
  <si>
    <t>Date: 1.9. - 30.9</t>
  </si>
  <si>
    <t>21.8. - 31.8</t>
  </si>
  <si>
    <t>Date: 11.9. - 20.9</t>
  </si>
  <si>
    <t>11.4. - 20.4.</t>
  </si>
  <si>
    <t>1.4. - 20.4.</t>
  </si>
  <si>
    <t>21.3. - 31.3.</t>
  </si>
  <si>
    <t>11.10. - 20.10.</t>
  </si>
  <si>
    <t>11.10. - 31.10.</t>
  </si>
  <si>
    <t>1.6. - 20.6</t>
  </si>
  <si>
    <t>1.5. - 10.5</t>
  </si>
  <si>
    <t>1.5. - 20.5</t>
  </si>
  <si>
    <t>1.8. - 10.8.</t>
  </si>
  <si>
    <t>16 (Zinsansatz)+592</t>
  </si>
  <si>
    <t>Winter barley</t>
  </si>
  <si>
    <t>Winter rape</t>
  </si>
  <si>
    <t>130+304</t>
  </si>
  <si>
    <t>267+267+148</t>
  </si>
  <si>
    <t>18 (Zinsansatz) + 681</t>
  </si>
  <si>
    <t>1.4. - 10.4., 1.5. - 10.5.</t>
  </si>
  <si>
    <t>Kalkstreuen</t>
  </si>
  <si>
    <t>11.7. - 31.7.</t>
  </si>
  <si>
    <t>Date: 21.8. - 31.8.</t>
  </si>
  <si>
    <t>11.7. - 20.7.</t>
  </si>
  <si>
    <t>Date: 11.9. - 20.9.</t>
  </si>
  <si>
    <t>1.5. - 10.5.</t>
  </si>
  <si>
    <t>Amix Mangan</t>
  </si>
  <si>
    <t>1.10. - 10.10.</t>
  </si>
  <si>
    <t>10,8%Mn, 6,4% S</t>
  </si>
  <si>
    <t>0,15l</t>
  </si>
  <si>
    <t>11.10. - 31.10</t>
  </si>
  <si>
    <t>Harvesan</t>
  </si>
  <si>
    <t>1,2l</t>
  </si>
  <si>
    <t>21.7. - 10.8.</t>
  </si>
  <si>
    <t>Date: 1.8. - 10.8.</t>
  </si>
  <si>
    <t>Date: 1.8. - 20.8.</t>
  </si>
  <si>
    <t>March+April+August</t>
  </si>
  <si>
    <t>Nutribor</t>
  </si>
  <si>
    <t>8% B, 01%Mn, 0,04% Mo, 0,1 %Zn, 0,6% N, 0,6% S</t>
  </si>
  <si>
    <t xml:space="preserve">1.4. - 10.4., 1.5. - 10.5., 11.9. - 20.9, </t>
  </si>
  <si>
    <t>Nimbus CS</t>
  </si>
  <si>
    <t xml:space="preserve">2l </t>
  </si>
  <si>
    <t>11.8. - 20.8.</t>
  </si>
  <si>
    <t>Caramba</t>
  </si>
  <si>
    <t>1.4. - 10.4.</t>
  </si>
  <si>
    <t>Folicur</t>
  </si>
  <si>
    <t>11.9. - 20.9., 1.10. - 20.10.</t>
  </si>
  <si>
    <t>0,5l+0,5l</t>
  </si>
  <si>
    <t>2kg+2kg+2kg</t>
  </si>
  <si>
    <t>0,05l</t>
  </si>
  <si>
    <t>Biscaya</t>
  </si>
  <si>
    <t>0,3l+0,3l</t>
  </si>
  <si>
    <t>21.4. - 30.4., 1.5. - 10.5.</t>
  </si>
  <si>
    <t>11.4. - 30.4</t>
  </si>
  <si>
    <t>EFFIGO</t>
  </si>
  <si>
    <t>Kerb 50W</t>
  </si>
  <si>
    <t>1kg</t>
  </si>
  <si>
    <t>1.11. - 20.11.</t>
  </si>
  <si>
    <t>Cantus Gold</t>
  </si>
  <si>
    <t>25 % MgO, 50 % SO3</t>
  </si>
  <si>
    <t>100 % CaO</t>
  </si>
  <si>
    <t>Date: 11.1</t>
  </si>
  <si>
    <t>Schwergrubber</t>
  </si>
  <si>
    <t>Flügelscharrgrubber</t>
  </si>
  <si>
    <t>Date: 25.2</t>
  </si>
  <si>
    <t>Anbau- Volldrehpflug</t>
  </si>
  <si>
    <t>Date: 28.3</t>
  </si>
  <si>
    <t>375 kg ha</t>
  </si>
  <si>
    <t>Pneumatic Düngerstreuer</t>
  </si>
  <si>
    <t>Aufbaudrillmaschine mit Kreiselgrubber</t>
  </si>
  <si>
    <t>Date: 2.5</t>
  </si>
  <si>
    <t>P/K/Mg/S</t>
  </si>
  <si>
    <t xml:space="preserve">P- 16kg/ha, K-78kg/ha, Mg-5kg/ha, S-19kg/ha </t>
  </si>
  <si>
    <t>1.8. - 10.8</t>
  </si>
  <si>
    <t>447+11 (Zinsansatz)</t>
  </si>
  <si>
    <t xml:space="preserve">Contact person:
</t>
  </si>
  <si>
    <t xml:space="preserve">Acknowledgement to:
</t>
  </si>
  <si>
    <t>How representative are the data?</t>
  </si>
  <si>
    <t>Data representing practical farming?</t>
  </si>
  <si>
    <t>Yes</t>
  </si>
  <si>
    <t>Data coming from averages over several years?</t>
  </si>
  <si>
    <t xml:space="preserve">Therefore they are expert-derived crop rotations displaying typical management and yield data for this region. 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</si>
  <si>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</si>
  <si>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</si>
  <si>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</si>
  <si>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>There are no differences in the management and yield of the other crops.</t>
  </si>
  <si>
    <t xml:space="preserve">1. Inka Notz, ZALF. Contact: inka.notz@zalf.de </t>
  </si>
  <si>
    <t>2. Moritz Reckling, ZALF. Contact: moritz.reckling@zalf.de</t>
  </si>
  <si>
    <t>Moritz Reckling, Johannes Hufnagel, Renate Wille, Gunhild Rosner, Inka Notz (ZALF)</t>
  </si>
  <si>
    <t>Therefore the data are typical in terms of crop choice and management for the region and also display interesting new crops for the region (soybean).</t>
  </si>
  <si>
    <t>Brandenburg</t>
  </si>
  <si>
    <t>DE 40</t>
  </si>
  <si>
    <t>Sandy loam</t>
  </si>
  <si>
    <t>36-45</t>
  </si>
  <si>
    <t>LBG2</t>
  </si>
  <si>
    <t xml:space="preserve">The rotations were based on expert knowledge informed by IACS  and incorporating  the interests of the regional actor group "Brandenburg Farmers' Network". </t>
  </si>
  <si>
    <t>Management and yield data were compiled mainly on basis of the "Datensammlung für die betriebswirtschaftliche Bewertung landwirtschaftlicher Produktionsverfahren im Land Brandenburg". Pre-crop effects were incorporated.</t>
  </si>
  <si>
    <t>Crop [name of crop]: Winter wheat</t>
  </si>
  <si>
    <t>Crop [name of crop]: Winter barley</t>
  </si>
  <si>
    <t>Crop [name of crop]: Winter rape</t>
  </si>
  <si>
    <t>Crop [name of crop]: Pea</t>
  </si>
  <si>
    <t>Crop [name of crop]: Soybean</t>
  </si>
  <si>
    <t>Date: 1.10</t>
  </si>
  <si>
    <t>Artist</t>
  </si>
  <si>
    <t>Pflanzenschutzspritze 21m; 1500 l</t>
  </si>
  <si>
    <t>Centium CS</t>
  </si>
  <si>
    <t>April</t>
  </si>
  <si>
    <t>186,4 kg/ha</t>
  </si>
  <si>
    <t>Date: 2.10</t>
  </si>
  <si>
    <t>1.8. - 20.8.</t>
  </si>
  <si>
    <t>Data are coming from regional statistics and in terms of soybean from field trials.</t>
  </si>
  <si>
    <t>Crop prices were based on averages of 2016-2018 from the MIO Marktinformation Ost, in terms of soybean "LfL Deckungsbeiträge und Kalkulationsdaten" was taken as data source.</t>
  </si>
  <si>
    <t>Sep</t>
  </si>
  <si>
    <t>11(Zinssatz)+650</t>
  </si>
  <si>
    <t>16 (Zinsansatz)+562</t>
  </si>
  <si>
    <t>Crop 1</t>
  </si>
  <si>
    <t>Crop 2</t>
  </si>
  <si>
    <t>Crop 3</t>
  </si>
  <si>
    <t>Crop 4</t>
  </si>
  <si>
    <t>Crop 5</t>
  </si>
  <si>
    <t xml:space="preserve">Without legumes: </t>
  </si>
  <si>
    <t>Winter rapeseed</t>
  </si>
  <si>
    <t>Spring barley</t>
  </si>
  <si>
    <t xml:space="preserve">With legumes option 1: </t>
  </si>
  <si>
    <t>Without legumes</t>
  </si>
  <si>
    <t>wwheat</t>
  </si>
  <si>
    <t>wbarley</t>
  </si>
  <si>
    <t>wrape</t>
  </si>
  <si>
    <t>With legumes option 1</t>
  </si>
  <si>
    <t>pea</t>
  </si>
  <si>
    <t>With legumes option 2</t>
  </si>
  <si>
    <t>soybean</t>
  </si>
  <si>
    <t>Soy</t>
  </si>
  <si>
    <t>Wheat</t>
  </si>
  <si>
    <t>Faba bean</t>
  </si>
  <si>
    <t>Content N</t>
  </si>
  <si>
    <t>Yield DM</t>
  </si>
  <si>
    <t>Triticale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</si>
  <si>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</si>
  <si>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</si>
  <si>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</si>
  <si>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</si>
  <si>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</si>
  <si>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</si>
  <si>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</si>
  <si>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</si>
  <si>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Cereal crop</t>
  </si>
  <si>
    <t>Leaf crop</t>
  </si>
  <si>
    <t>Legume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</si>
  <si>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</si>
  <si>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</si>
  <si>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</si>
  <si>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</si>
  <si>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</si>
  <si>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Crop diversity</t>
  </si>
  <si>
    <t xml:space="preserve">With legumes option 2: </t>
  </si>
  <si>
    <t>Protein yield [kg/ha]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</si>
  <si>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</si>
  <si>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</si>
  <si>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</si>
  <si>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</si>
  <si>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</si>
  <si>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</si>
  <si>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</si>
  <si>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</si>
  <si>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</si>
  <si>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</si>
  <si>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</si>
  <si>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</si>
  <si>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</si>
  <si>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</si>
  <si>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</si>
  <si>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</si>
  <si>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</si>
  <si>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</si>
  <si>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</si>
  <si>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</si>
  <si>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</si>
  <si>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</si>
  <si>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</si>
  <si>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</si>
  <si>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</si>
  <si>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</si>
  <si>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</si>
  <si>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</si>
  <si>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</si>
  <si>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</si>
  <si>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</si>
  <si>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</si>
  <si>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</si>
  <si>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</si>
  <si>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</si>
  <si>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</si>
  <si>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</si>
  <si>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</si>
  <si>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</si>
  <si>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</si>
  <si>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</si>
  <si>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</si>
  <si>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</si>
  <si>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</si>
  <si>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</si>
  <si>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</si>
  <si>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</si>
  <si>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</si>
  <si>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</si>
  <si>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</si>
  <si>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</si>
  <si>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</si>
  <si>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</si>
  <si>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</si>
  <si>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</si>
  <si>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</si>
  <si>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</si>
  <si>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</si>
  <si>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</si>
  <si>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</si>
  <si>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</si>
  <si>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Default</t>
  </si>
  <si>
    <t>FYM</t>
  </si>
  <si>
    <t>NPK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</si>
  <si>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</si>
  <si>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</si>
  <si>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</si>
  <si>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</si>
  <si>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</si>
  <si>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</si>
  <si>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</si>
  <si>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</si>
  <si>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</si>
  <si>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Other</t>
  </si>
  <si>
    <t>NP</t>
  </si>
  <si>
    <t>Anhydrous ammonia</t>
  </si>
  <si>
    <t>ammonium nitrate</t>
  </si>
  <si>
    <t>Diammofoska</t>
  </si>
  <si>
    <t>Ammonium sulfate</t>
  </si>
  <si>
    <t>Nitroamofoska</t>
  </si>
  <si>
    <t>Urea (carbamide)</t>
  </si>
  <si>
    <t>VK gelb</t>
  </si>
  <si>
    <t>NAC</t>
  </si>
  <si>
    <t>Alzon</t>
  </si>
  <si>
    <t>Diammonium phosphate</t>
  </si>
  <si>
    <t>Yara tris</t>
  </si>
  <si>
    <t>UMOSTART G MAXI</t>
  </si>
  <si>
    <t>Harnstoff</t>
  </si>
  <si>
    <t>Gülle</t>
  </si>
  <si>
    <t>Entec</t>
  </si>
  <si>
    <t>Mischdünger</t>
  </si>
  <si>
    <t>N</t>
  </si>
  <si>
    <t>IPCCID</t>
  </si>
  <si>
    <t>Field pea</t>
  </si>
  <si>
    <t>Winter oat</t>
  </si>
  <si>
    <t>Soya</t>
  </si>
  <si>
    <t>Sunflower</t>
  </si>
  <si>
    <t>Dry bean</t>
  </si>
  <si>
    <t>Forage pea</t>
  </si>
  <si>
    <t>Corn</t>
  </si>
  <si>
    <t>Sugar beet</t>
  </si>
  <si>
    <t>14 (Zinsansatz) + 492</t>
  </si>
  <si>
    <t>Merlin (Saatgut gemischt mit 400 g/ 100 kg)
Saatgut Hi-Stic-Impfpräparat)</t>
  </si>
  <si>
    <t>DM content</t>
  </si>
  <si>
    <t>Yield DM [t/ha]</t>
  </si>
  <si>
    <t>Yield [t/ha]</t>
  </si>
  <si>
    <t>Crude protein [% DM]</t>
  </si>
  <si>
    <t>Protein output [t/ha]</t>
  </si>
  <si>
    <t>Protein output rotations [kg/ha]</t>
  </si>
  <si>
    <t>Yield FM [t/ha]</t>
  </si>
  <si>
    <t>Coefficient of variation (CV) per rotation</t>
  </si>
  <si>
    <t>Straw [t/ha]</t>
  </si>
  <si>
    <t>Price [€/t]</t>
  </si>
  <si>
    <t>Revenue [€/ha]</t>
  </si>
  <si>
    <t>Variable costs [€/ha]</t>
  </si>
  <si>
    <t>Gross margin [€/ha]</t>
  </si>
  <si>
    <t>Gross margin rotation [€/ha]</t>
  </si>
  <si>
    <t>GM 'feed calculator' per crop [€/ha]</t>
  </si>
  <si>
    <t>GM 'feed calculator' per rotation [€/ha]</t>
  </si>
  <si>
    <t>Prices feed calculator*</t>
  </si>
  <si>
    <t>Einzelfuttermitteln für Schweine nach der Austauschmethode Löhr. Excel-based calculation tool. Landesbetrieb</t>
  </si>
  <si>
    <t>Landwirtschaft Hessen. Available at: https://www.proteinmarkt.de/aktuelles/schweine/rationsberechnung</t>
  </si>
  <si>
    <t>*Landesbetrieb Landwirtschaft Hessen (LLH) (2018) Berechnung der Preiswürdigkeit von</t>
  </si>
  <si>
    <t>Input prices [€/t] (Eurostat: https://ec.europa.eu/eurostat/databrowser/view/APRI_AP_INA__custom_152018/default/table?lang=en)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</si>
  <si>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</si>
  <si>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</si>
  <si>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</si>
  <si>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</si>
  <si>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>GM 'feed calculator' [€/ha]</t>
  </si>
  <si>
    <t>Leaching probability</t>
  </si>
  <si>
    <t>Calculations</t>
  </si>
  <si>
    <t>-&gt; valid for legumes and non-legumes</t>
  </si>
  <si>
    <t>-&gt; valid for non-legumes</t>
  </si>
  <si>
    <t>(N input encloses additional N from seed)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</si>
  <si>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</si>
  <si>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</si>
  <si>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</si>
  <si>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</si>
  <si>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</si>
  <si>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</si>
  <si>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</si>
  <si>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Gross energy [GJ/t DM]</t>
  </si>
  <si>
    <t>Energy output [GJ/ha]</t>
  </si>
  <si>
    <t xml:space="preserve">Energy output rotations [GJ/ha] </t>
  </si>
  <si>
    <t xml:space="preserve">Rye </t>
  </si>
  <si>
    <t>Tritcale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</si>
  <si>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</si>
  <si>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</si>
  <si>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</si>
  <si>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</si>
  <si>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</si>
  <si>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</si>
  <si>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</si>
  <si>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</si>
  <si>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</si>
  <si>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</si>
  <si>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</si>
  <si>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</si>
  <si>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</si>
  <si>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</si>
  <si>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</si>
  <si>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</si>
  <si>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</si>
  <si>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</si>
  <si>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</si>
  <si>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</si>
  <si>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Output prices  [€/t]</t>
  </si>
  <si>
    <t>Kieserit</t>
  </si>
  <si>
    <t>N fix [kg/ha]</t>
  </si>
  <si>
    <t>Gross margin (standard) [€/ha]</t>
  </si>
  <si>
    <t>GM with CO2 tax I</t>
  </si>
  <si>
    <t>GM with CO2 tax II</t>
  </si>
  <si>
    <t xml:space="preserve"> N leaching= N surplus * Leaching probability * N leach_corr</t>
  </si>
  <si>
    <t>N surplus = N input + Nminpa - N dfs</t>
  </si>
  <si>
    <t>N surplus = N minfert + N manure P + Nminpa - N dfs</t>
  </si>
  <si>
    <t xml:space="preserve">N dfs is the nitrogen derived from soil </t>
  </si>
  <si>
    <t>-&gt; N uptake is the N accumulated by the crop and N fix is BNF of grain and forage legumes</t>
  </si>
  <si>
    <t>N dfs = N uptake - 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</si>
</sst>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rgb="FFD0D7E5"/>
      </right>
      <top/>
      <bottom/>
      <diagonal/>
    </border>
  </borders>
  <cellStyleXfs count="8">
    <xf numFmtId="0" fontId="0" fillId="0" borderId="0"/>
    <xf numFmtId="0" fontId="7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5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/>
    <xf numFmtId="0" fontId="0" fillId="0" borderId="10" xfId="0" applyBorder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1" fillId="8" borderId="7" xfId="0" applyFont="1" applyFill="1" applyBorder="1" applyAlignment="1"/>
    <xf numFmtId="0" fontId="0" fillId="0" borderId="21" xfId="0" applyBorder="1"/>
    <xf numFmtId="0" fontId="1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/>
    <xf numFmtId="0" fontId="0" fillId="8" borderId="7" xfId="0" applyFill="1" applyBorder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7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9" borderId="19" xfId="0" applyFont="1" applyFill="1" applyBorder="1"/>
    <xf numFmtId="0" fontId="3" fillId="9" borderId="14" xfId="0" applyFont="1" applyFill="1" applyBorder="1"/>
    <xf numFmtId="0" fontId="0" fillId="8" borderId="28" xfId="0" applyFill="1" applyBorder="1"/>
    <xf numFmtId="0" fontId="0" fillId="3" borderId="19" xfId="0" applyFill="1" applyBorder="1"/>
    <xf numFmtId="9" fontId="0" fillId="3" borderId="5" xfId="0" applyNumberFormat="1" applyFill="1" applyBorder="1" applyAlignment="1">
      <alignment horizontal="center"/>
    </xf>
    <xf numFmtId="0" fontId="0" fillId="3" borderId="32" xfId="0" applyFill="1" applyBorder="1"/>
    <xf numFmtId="0" fontId="0" fillId="3" borderId="3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8" xfId="0" applyFill="1" applyBorder="1"/>
    <xf numFmtId="0" fontId="0" fillId="3" borderId="37" xfId="0" applyFill="1" applyBorder="1" applyAlignment="1"/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6" borderId="44" xfId="0" applyFill="1" applyBorder="1"/>
    <xf numFmtId="0" fontId="0" fillId="6" borderId="32" xfId="0" applyFill="1" applyBorder="1"/>
    <xf numFmtId="0" fontId="3" fillId="4" borderId="44" xfId="0" applyFont="1" applyFill="1" applyBorder="1"/>
    <xf numFmtId="0" fontId="0" fillId="4" borderId="32" xfId="0" applyFill="1" applyBorder="1" applyAlignment="1">
      <alignment wrapText="1"/>
    </xf>
    <xf numFmtId="0" fontId="0" fillId="0" borderId="18" xfId="0" applyBorder="1" applyAlignment="1"/>
    <xf numFmtId="0" fontId="0" fillId="9" borderId="32" xfId="0" applyFill="1" applyBorder="1"/>
    <xf numFmtId="0" fontId="0" fillId="3" borderId="44" xfId="0" applyFill="1" applyBorder="1"/>
    <xf numFmtId="0" fontId="0" fillId="4" borderId="32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1" fillId="8" borderId="50" xfId="0" applyFont="1" applyFill="1" applyBorder="1" applyAlignment="1"/>
    <xf numFmtId="0" fontId="0" fillId="8" borderId="50" xfId="0" applyFill="1" applyBorder="1"/>
    <xf numFmtId="0" fontId="3" fillId="9" borderId="52" xfId="0" applyFont="1" applyFill="1" applyBorder="1"/>
    <xf numFmtId="0" fontId="0" fillId="9" borderId="51" xfId="0" applyFill="1" applyBorder="1"/>
    <xf numFmtId="0" fontId="0" fillId="8" borderId="1" xfId="0" applyFill="1" applyBorder="1" applyAlignment="1"/>
    <xf numFmtId="0" fontId="0" fillId="8" borderId="1" xfId="0" applyFill="1" applyBorder="1"/>
    <xf numFmtId="0" fontId="0" fillId="8" borderId="10" xfId="0" applyFill="1" applyBorder="1" applyAlignment="1"/>
    <xf numFmtId="0" fontId="0" fillId="8" borderId="34" xfId="0" applyFill="1" applyBorder="1" applyAlignment="1"/>
    <xf numFmtId="0" fontId="0" fillId="8" borderId="34" xfId="0" applyFill="1" applyBorder="1"/>
    <xf numFmtId="165" fontId="0" fillId="0" borderId="0" xfId="0" applyNumberFormat="1"/>
    <xf numFmtId="0" fontId="0" fillId="3" borderId="4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7" xfId="0" applyFill="1" applyBorder="1" applyAlignment="1">
      <alignment horizontal="center" wrapText="1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1" xfId="0" applyFill="1" applyBorder="1" applyAlignment="1"/>
    <xf numFmtId="0" fontId="0" fillId="6" borderId="34" xfId="0" applyFill="1" applyBorder="1" applyAlignment="1"/>
    <xf numFmtId="0" fontId="0" fillId="3" borderId="5" xfId="0" applyFill="1" applyBorder="1" applyAlignment="1"/>
    <xf numFmtId="0" fontId="0" fillId="3" borderId="1" xfId="0" applyFill="1" applyBorder="1" applyAlignment="1"/>
    <xf numFmtId="0" fontId="0" fillId="3" borderId="33" xfId="0" applyFill="1" applyBorder="1" applyAlignment="1"/>
    <xf numFmtId="0" fontId="0" fillId="3" borderId="34" xfId="0" applyFill="1" applyBorder="1" applyAlignment="1"/>
    <xf numFmtId="0" fontId="0" fillId="3" borderId="37" xfId="0" applyFill="1" applyBorder="1" applyAlignment="1">
      <alignment wrapText="1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6" borderId="5" xfId="0" applyFill="1" applyBorder="1" applyAlignment="1"/>
    <xf numFmtId="0" fontId="0" fillId="6" borderId="1" xfId="0" applyFill="1" applyBorder="1" applyAlignment="1"/>
    <xf numFmtId="0" fontId="0" fillId="4" borderId="5" xfId="0" applyFill="1" applyBorder="1" applyAlignment="1"/>
    <xf numFmtId="0" fontId="0" fillId="4" borderId="45" xfId="0" applyFill="1" applyBorder="1" applyAlignment="1"/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/>
    <xf numFmtId="0" fontId="0" fillId="3" borderId="5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4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9" fontId="0" fillId="3" borderId="1" xfId="0" applyNumberFormat="1" applyFill="1" applyBorder="1" applyAlignment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26" xfId="0" applyFill="1" applyBorder="1" applyAlignment="1"/>
    <xf numFmtId="0" fontId="0" fillId="3" borderId="43" xfId="0" applyFill="1" applyBorder="1" applyAlignment="1">
      <alignment horizontal="left"/>
    </xf>
    <xf numFmtId="0" fontId="0" fillId="3" borderId="5" xfId="0" applyFill="1" applyBorder="1"/>
    <xf numFmtId="0" fontId="0" fillId="3" borderId="1" xfId="0" applyFill="1" applyBorder="1"/>
    <xf numFmtId="0" fontId="0" fillId="3" borderId="3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3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3" borderId="5" xfId="0" applyFont="1" applyFill="1" applyBorder="1" applyAlignment="1"/>
    <xf numFmtId="0" fontId="0" fillId="4" borderId="3" xfId="0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31" xfId="0" applyFill="1" applyBorder="1" applyAlignment="1"/>
    <xf numFmtId="0" fontId="3" fillId="3" borderId="31" xfId="0" applyFont="1" applyFill="1" applyBorder="1" applyAlignment="1">
      <alignment horizontal="center"/>
    </xf>
    <xf numFmtId="0" fontId="3" fillId="3" borderId="31" xfId="0" applyFont="1" applyFill="1" applyBorder="1" applyAlignment="1"/>
    <xf numFmtId="0" fontId="0" fillId="3" borderId="58" xfId="0" applyFill="1" applyBorder="1" applyAlignment="1">
      <alignment horizontal="center"/>
    </xf>
    <xf numFmtId="0" fontId="0" fillId="3" borderId="58" xfId="0" applyFill="1" applyBorder="1" applyAlignment="1"/>
    <xf numFmtId="0" fontId="3" fillId="3" borderId="1" xfId="0" applyFont="1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4" borderId="16" xfId="0" applyFill="1" applyBorder="1"/>
    <xf numFmtId="0" fontId="0" fillId="4" borderId="60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4" borderId="3" xfId="0" applyFill="1" applyBorder="1"/>
    <xf numFmtId="16" fontId="0" fillId="3" borderId="5" xfId="0" applyNumberFormat="1" applyFill="1" applyBorder="1" applyAlignment="1"/>
    <xf numFmtId="0" fontId="0" fillId="3" borderId="26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6" borderId="19" xfId="0" applyFill="1" applyBorder="1"/>
    <xf numFmtId="0" fontId="0" fillId="0" borderId="1" xfId="0" applyBorder="1"/>
    <xf numFmtId="0" fontId="0" fillId="3" borderId="4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6" fillId="0" borderId="0" xfId="0" applyFont="1"/>
    <xf numFmtId="0" fontId="3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" fontId="0" fillId="6" borderId="5" xfId="0" applyNumberFormat="1" applyFill="1" applyBorder="1" applyAlignment="1"/>
    <xf numFmtId="0" fontId="0" fillId="3" borderId="1" xfId="0" applyFill="1" applyBorder="1" applyAlignment="1">
      <alignment horizontal="center"/>
    </xf>
    <xf numFmtId="0" fontId="0" fillId="0" borderId="0" xfId="0" applyNumberFormat="1" applyAlignment="1">
      <alignment horizontal="right" vertical="center" wrapText="1"/>
    </xf>
    <xf numFmtId="9" fontId="0" fillId="0" borderId="0" xfId="2" applyFon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0" fontId="10" fillId="0" borderId="0" xfId="4" applyFont="1" applyFill="1" applyBorder="1" applyAlignment="1">
      <alignment wrapText="1"/>
    </xf>
    <xf numFmtId="0" fontId="10" fillId="0" borderId="0" xfId="3" applyFont="1" applyFill="1" applyBorder="1" applyAlignment="1"/>
    <xf numFmtId="0" fontId="10" fillId="0" borderId="0" xfId="3" applyFont="1" applyFill="1" applyBorder="1" applyAlignment="1">
      <alignment wrapText="1"/>
    </xf>
    <xf numFmtId="0" fontId="10" fillId="0" borderId="3" xfId="5" applyFont="1" applyFill="1" applyBorder="1" applyAlignment="1">
      <alignment horizontal="left" wrapText="1"/>
    </xf>
    <xf numFmtId="0" fontId="10" fillId="0" borderId="3" xfId="5" applyFont="1" applyFill="1" applyBorder="1" applyAlignment="1">
      <alignment horizontal="right" wrapText="1"/>
    </xf>
    <xf numFmtId="2" fontId="10" fillId="0" borderId="63" xfId="6" applyNumberFormat="1" applyFont="1" applyFill="1" applyBorder="1" applyAlignment="1">
      <alignment horizontal="right" wrapText="1"/>
    </xf>
    <xf numFmtId="0" fontId="10" fillId="0" borderId="63" xfId="7" applyFont="1" applyFill="1" applyBorder="1" applyAlignment="1">
      <alignment wrapText="1"/>
    </xf>
    <xf numFmtId="0" fontId="14" fillId="0" borderId="63" xfId="7" applyFont="1" applyFill="1" applyBorder="1" applyAlignment="1">
      <alignment wrapText="1"/>
    </xf>
    <xf numFmtId="0" fontId="0" fillId="0" borderId="0" xfId="0" applyNumberFormat="1"/>
    <xf numFmtId="2" fontId="10" fillId="0" borderId="0" xfId="6" applyNumberFormat="1" applyFont="1" applyFill="1" applyBorder="1" applyAlignment="1">
      <alignment horizontal="right" wrapText="1"/>
    </xf>
    <xf numFmtId="2" fontId="10" fillId="0" borderId="64" xfId="6" applyNumberFormat="1" applyFont="1" applyFill="1" applyBorder="1" applyAlignment="1">
      <alignment horizontal="right" wrapText="1"/>
    </xf>
    <xf numFmtId="0" fontId="1" fillId="0" borderId="7" xfId="0" applyFont="1" applyBorder="1"/>
    <xf numFmtId="2" fontId="10" fillId="0" borderId="65" xfId="6" applyNumberFormat="1" applyFont="1" applyFill="1" applyBorder="1" applyAlignment="1">
      <alignment horizontal="right" wrapText="1"/>
    </xf>
    <xf numFmtId="0" fontId="0" fillId="0" borderId="6" xfId="0" applyBorder="1"/>
    <xf numFmtId="0" fontId="1" fillId="0" borderId="28" xfId="0" applyFont="1" applyBorder="1"/>
    <xf numFmtId="0" fontId="0" fillId="0" borderId="28" xfId="0" applyBorder="1"/>
    <xf numFmtId="0" fontId="1" fillId="0" borderId="6" xfId="0" applyFont="1" applyBorder="1"/>
    <xf numFmtId="0" fontId="0" fillId="0" borderId="0" xfId="0" applyFill="1" applyBorder="1"/>
    <xf numFmtId="0" fontId="0" fillId="11" borderId="0" xfId="0" applyFill="1"/>
    <xf numFmtId="0" fontId="1" fillId="0" borderId="0" xfId="0" applyFont="1" applyBorder="1"/>
    <xf numFmtId="0" fontId="0" fillId="0" borderId="27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 wrapText="1"/>
    </xf>
    <xf numFmtId="164" fontId="0" fillId="0" borderId="66" xfId="0" applyNumberFormat="1" applyFill="1" applyBorder="1" applyAlignment="1">
      <alignment horizontal="center" vertical="center" wrapText="1"/>
    </xf>
    <xf numFmtId="0" fontId="0" fillId="12" borderId="0" xfId="0" applyFill="1"/>
    <xf numFmtId="0" fontId="15" fillId="0" borderId="0" xfId="0" applyFont="1" applyBorder="1"/>
    <xf numFmtId="0" fontId="1" fillId="0" borderId="0" xfId="0" applyFont="1" applyFill="1" applyBorder="1"/>
    <xf numFmtId="0" fontId="10" fillId="0" borderId="67" xfId="5" applyFont="1" applyFill="1" applyBorder="1" applyAlignment="1">
      <alignment horizontal="right" wrapText="1"/>
    </xf>
    <xf numFmtId="1" fontId="0" fillId="0" borderId="0" xfId="0" applyNumberFormat="1"/>
    <xf numFmtId="20" fontId="0" fillId="0" borderId="0" xfId="0" applyNumberFormat="1"/>
    <xf numFmtId="2" fontId="16" fillId="0" borderId="69" xfId="0" applyNumberFormat="1" applyFont="1" applyFill="1" applyBorder="1" applyAlignment="1" applyProtection="1">
      <alignment horizontal="right" vertical="center" wrapText="1"/>
    </xf>
    <xf numFmtId="1" fontId="16" fillId="0" borderId="69" xfId="0" applyNumberFormat="1" applyFont="1" applyFill="1" applyBorder="1" applyAlignment="1" applyProtection="1">
      <alignment horizontal="right" vertical="center" wrapText="1"/>
    </xf>
    <xf numFmtId="0" fontId="1" fillId="13" borderId="0" xfId="0" applyFont="1" applyFill="1"/>
    <xf numFmtId="0" fontId="10" fillId="0" borderId="68" xfId="3" applyFont="1" applyFill="1" applyBorder="1" applyAlignment="1">
      <alignment wrapText="1"/>
    </xf>
    <xf numFmtId="166" fontId="0" fillId="0" borderId="0" xfId="0" applyNumberFormat="1"/>
    <xf numFmtId="0" fontId="10" fillId="0" borderId="68" xfId="4" applyFont="1" applyFill="1" applyBorder="1" applyAlignment="1">
      <alignment wrapText="1"/>
    </xf>
    <xf numFmtId="165" fontId="0" fillId="0" borderId="0" xfId="0" applyNumberFormat="1" applyFill="1" applyBorder="1"/>
    <xf numFmtId="0" fontId="0" fillId="9" borderId="0" xfId="0" applyFill="1"/>
    <xf numFmtId="1" fontId="16" fillId="0" borderId="70" xfId="0" applyNumberFormat="1" applyFont="1" applyFill="1" applyBorder="1" applyAlignment="1" applyProtection="1">
      <alignment horizontal="right" vertical="center" wrapText="1"/>
    </xf>
    <xf numFmtId="1" fontId="16" fillId="0" borderId="0" xfId="0" applyNumberFormat="1" applyFont="1" applyFill="1" applyBorder="1" applyAlignment="1" applyProtection="1">
      <alignment horizontal="right" vertical="center" wrapText="1"/>
    </xf>
    <xf numFmtId="1" fontId="16" fillId="0" borderId="71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6" borderId="3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" fillId="7" borderId="25" xfId="0" applyFont="1" applyFill="1" applyBorder="1" applyAlignment="1">
      <alignment horizontal="center" textRotation="90"/>
    </xf>
    <xf numFmtId="0" fontId="1" fillId="7" borderId="13" xfId="0" applyFont="1" applyFill="1" applyBorder="1" applyAlignment="1">
      <alignment horizontal="center" textRotation="90"/>
    </xf>
    <xf numFmtId="0" fontId="1" fillId="7" borderId="23" xfId="0" applyFont="1" applyFill="1" applyBorder="1" applyAlignment="1">
      <alignment horizontal="center" textRotation="90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33" xfId="0" quotePrefix="1" applyFill="1" applyBorder="1" applyAlignment="1">
      <alignment horizontal="center"/>
    </xf>
    <xf numFmtId="0" fontId="0" fillId="3" borderId="34" xfId="0" quotePrefix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48" xfId="0" applyFill="1" applyBorder="1" applyAlignment="1">
      <alignment horizontal="left" wrapText="1"/>
    </xf>
    <xf numFmtId="0" fontId="1" fillId="2" borderId="15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5" xfId="0" quotePrefix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1" fillId="7" borderId="15" xfId="0" applyFont="1" applyFill="1" applyBorder="1" applyAlignment="1">
      <alignment horizontal="center" textRotation="90"/>
    </xf>
    <xf numFmtId="0" fontId="1" fillId="7" borderId="17" xfId="0" applyFont="1" applyFill="1" applyBorder="1" applyAlignment="1">
      <alignment horizontal="center" textRotation="90"/>
    </xf>
    <xf numFmtId="0" fontId="1" fillId="7" borderId="9" xfId="0" applyFont="1" applyFill="1" applyBorder="1" applyAlignment="1">
      <alignment horizontal="center" textRotation="90"/>
    </xf>
    <xf numFmtId="0" fontId="1" fillId="5" borderId="15" xfId="0" applyFont="1" applyFill="1" applyBorder="1" applyAlignment="1">
      <alignment horizontal="center" textRotation="90"/>
    </xf>
    <xf numFmtId="0" fontId="1" fillId="5" borderId="17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1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39" xfId="0" applyFont="1" applyBorder="1" applyAlignment="1">
      <alignment horizontal="center"/>
    </xf>
  </cellXfs>
  <cellStyles count="8">
    <cellStyle name="Prozent" xfId="2" builtinId="5"/>
    <cellStyle name="Standard" xfId="0" builtinId="0"/>
    <cellStyle name="Standard 2" xfId="1"/>
    <cellStyle name="Standard_arable-legume" xfId="5"/>
    <cellStyle name="Standard_Input data crop_1" xfId="6"/>
    <cellStyle name="Standard_Input rotations" xfId="7"/>
    <cellStyle name="Standard_Tabelle1" xfId="3"/>
    <cellStyle name="Standard_Tabelle1_1" xfId="4"/>
  </cellStyles>
  <dxfs count="0"/>
  <tableStyles count="0" defaultTableStyle="TableStyleMedium2" defaultPivotStyle="PivotStyleLight16"/>
  <colors>
    <mruColors>
      <color rgb="FFCC99FF"/>
      <color rgb="FFCC9900"/>
      <color rgb="FF996600"/>
      <color rgb="FFCCCC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0" y="0"/>
          <a:ext cx="24831524" cy="925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O17" sqref="O17"/>
    </sheetView>
  </sheetViews>
  <sheetFormatPr baseColWidth="10" defaultColWidth="11.42578125" defaultRowHeight="15" x14ac:dyDescent="0.25"/>
  <cols>
    <col min="1" max="1" width="22.28515625" style="175" bestFit="1" customWidth="1"/>
    <col min="2" max="10" width="11.42578125" style="175"/>
    <col min="11" max="11" width="0" style="175" hidden="1" customWidth="1"/>
    <col min="12" max="13" width="11.42578125" style="175"/>
    <col min="14" max="14" width="0" style="175" hidden="1" customWidth="1"/>
    <col min="15" max="17" width="11.42578125" style="175"/>
    <col min="18" max="18" width="15.5703125" style="175" bestFit="1" customWidth="1"/>
    <col min="19" max="19" width="11.5703125" style="175" bestFit="1" customWidth="1"/>
    <col min="20" max="16384" width="11.42578125" style="175"/>
  </cols>
  <sheetData>
    <row r="1" spans="1:19" ht="61.5" x14ac:dyDescent="0.35">
      <c r="B1" s="175" t="s">
        <v>289</v>
      </c>
      <c r="C1" s="175" t="s">
        <v>290</v>
      </c>
      <c r="D1" s="175" t="s">
        <v>291</v>
      </c>
      <c r="E1" s="175" t="s">
        <v>292</v>
      </c>
      <c r="F1" s="175" t="s">
        <v>293</v>
      </c>
      <c r="G1" s="191" t="s">
        <v>500</v>
      </c>
      <c r="H1" s="191" t="s">
        <v>459</v>
      </c>
      <c r="I1" s="192" t="s">
        <v>501</v>
      </c>
      <c r="J1" s="192" t="s">
        <v>502</v>
      </c>
      <c r="K1" s="192" t="s">
        <v>326</v>
      </c>
      <c r="L1" s="192" t="s">
        <v>323</v>
      </c>
      <c r="M1" s="192" t="s">
        <v>324</v>
      </c>
      <c r="N1" s="192" t="s">
        <v>325</v>
      </c>
      <c r="O1" s="192" t="s">
        <v>327</v>
      </c>
      <c r="P1" s="192" t="s">
        <v>332</v>
      </c>
      <c r="Q1" s="192" t="s">
        <v>330</v>
      </c>
      <c r="R1" s="215" t="s">
        <v>473</v>
      </c>
      <c r="S1" s="192" t="s">
        <v>328</v>
      </c>
    </row>
    <row r="2" spans="1:19" x14ac:dyDescent="0.25">
      <c r="A2" s="175" t="s">
        <v>294</v>
      </c>
      <c r="B2" s="175" t="s">
        <v>299</v>
      </c>
      <c r="C2" s="175" t="s">
        <v>300</v>
      </c>
      <c r="D2" s="175" t="s">
        <v>301</v>
      </c>
      <c r="G2" s="216">
        <f>GM!B15</f>
        <v>448.4666666666667</v>
      </c>
      <c r="H2" s="216">
        <f>GM!B15</f>
        <v>448.4666666666667</v>
      </c>
      <c r="I2" s="216">
        <f>G2-(0.15*K2)</f>
        <v>330.9440366666667</v>
      </c>
      <c r="J2" s="216">
        <f>G2-(0.05*K2)</f>
        <v>409.29245666666668</v>
      </c>
      <c r="K2" s="216">
        <f>N2*5.62</f>
        <v>783.48419999999999</v>
      </c>
      <c r="L2" s="216">
        <f>'NO3'!K6</f>
        <v>42.627052619743331</v>
      </c>
      <c r="M2" s="216">
        <f>'N fertilizer'!B18</f>
        <v>139.41</v>
      </c>
      <c r="N2" s="216">
        <v>139.41</v>
      </c>
      <c r="O2" s="74">
        <f>'N2O calculations'!A31/3</f>
        <v>6.1553996284269923</v>
      </c>
      <c r="P2" s="185">
        <f>'Data for yield stability'!L37</f>
        <v>0.20111995774370514</v>
      </c>
      <c r="Q2" s="216">
        <f>'Protein &amp; Energy Output'!C16</f>
        <v>663.40133333333335</v>
      </c>
      <c r="R2" s="216">
        <f>'Protein &amp; Energy Output'!C23</f>
        <v>96.659999999999982</v>
      </c>
      <c r="S2" s="186">
        <f>'Crop Diversity'!E17</f>
        <v>0.56233514461880829</v>
      </c>
    </row>
    <row r="3" spans="1:19" x14ac:dyDescent="0.25">
      <c r="A3" s="175" t="s">
        <v>297</v>
      </c>
      <c r="B3" s="175" t="s">
        <v>299</v>
      </c>
      <c r="C3" s="175" t="s">
        <v>303</v>
      </c>
      <c r="D3" s="175" t="s">
        <v>299</v>
      </c>
      <c r="E3" s="175" t="s">
        <v>300</v>
      </c>
      <c r="F3" s="175" t="s">
        <v>301</v>
      </c>
      <c r="G3" s="216">
        <f>GM!I15</f>
        <v>387.91999999999996</v>
      </c>
      <c r="H3" s="216">
        <f>GM!I18</f>
        <v>517.20000000000005</v>
      </c>
      <c r="I3" s="216">
        <f>G3-(0.15*K3)</f>
        <v>297.69539599999996</v>
      </c>
      <c r="J3" s="216">
        <f>G3-(0.05*K3)</f>
        <v>357.84513199999998</v>
      </c>
      <c r="K3" s="216">
        <f>N3*5.62</f>
        <v>601.49735999999996</v>
      </c>
      <c r="L3" s="216">
        <f>'NO3'!K13</f>
        <v>35.006983268556858</v>
      </c>
      <c r="M3" s="216">
        <f>'N fertilizer'!I18</f>
        <v>107.02799999999999</v>
      </c>
      <c r="N3" s="216">
        <v>107.02799999999999</v>
      </c>
      <c r="O3" s="74">
        <f>'N2O calculations'!H31/5</f>
        <v>4.5611265567279116</v>
      </c>
      <c r="P3" s="185">
        <f>'Data for yield stability'!L38</f>
        <v>0.18933073193249161</v>
      </c>
      <c r="Q3" s="216">
        <f>'Protein &amp; Energy Output'!G16</f>
        <v>681.04520000000002</v>
      </c>
      <c r="R3" s="216">
        <f>'Protein &amp; Energy Output'!G23</f>
        <v>83.685279999999992</v>
      </c>
      <c r="S3" s="186">
        <f>'Crop Diversity'!E23</f>
        <v>0.95027053923323468</v>
      </c>
    </row>
    <row r="4" spans="1:19" x14ac:dyDescent="0.25">
      <c r="A4" s="175" t="s">
        <v>329</v>
      </c>
      <c r="B4" s="175" t="s">
        <v>299</v>
      </c>
      <c r="C4" s="175" t="s">
        <v>305</v>
      </c>
      <c r="D4" s="175" t="s">
        <v>299</v>
      </c>
      <c r="E4" s="175" t="s">
        <v>300</v>
      </c>
      <c r="F4" s="175" t="s">
        <v>301</v>
      </c>
      <c r="G4" s="216">
        <f>GM!P15</f>
        <v>431.488</v>
      </c>
      <c r="H4" s="216">
        <f>GM!P15</f>
        <v>431.488</v>
      </c>
      <c r="I4" s="216">
        <f>G4-(0.15*K4)</f>
        <v>341.263396</v>
      </c>
      <c r="J4" s="216">
        <f>G4-(0.05*K4)</f>
        <v>401.41313200000002</v>
      </c>
      <c r="K4" s="216">
        <f>N4*5.62</f>
        <v>601.49735999999996</v>
      </c>
      <c r="L4" s="216">
        <f>'NO3'!K20</f>
        <v>36.470336335325655</v>
      </c>
      <c r="M4" s="216">
        <f>'N fertilizer'!P18</f>
        <v>107.02799999999999</v>
      </c>
      <c r="N4" s="216">
        <v>107.02799999999999</v>
      </c>
      <c r="O4" s="74">
        <f>'N2O calculations'!O31/5</f>
        <v>4.5753472821392007</v>
      </c>
      <c r="P4" s="185">
        <f>'Data for yield stability'!L39</f>
        <v>0.22060321366901334</v>
      </c>
      <c r="Q4" s="216">
        <f>'Protein &amp; Energy Output'!M16</f>
        <v>745.14560000000006</v>
      </c>
      <c r="R4" s="216">
        <f>'Protein &amp; Energy Output'!M23</f>
        <v>91.622319999999988</v>
      </c>
      <c r="S4" s="186">
        <f>'Crop Diversity'!E30</f>
        <v>0.95027053923323468</v>
      </c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R33" sqref="R33"/>
    </sheetView>
  </sheetViews>
  <sheetFormatPr baseColWidth="10" defaultColWidth="11.42578125" defaultRowHeight="15" x14ac:dyDescent="0.25"/>
  <cols>
    <col min="1" max="1" width="23.7109375" style="175" bestFit="1" customWidth="1"/>
    <col min="2" max="17" width="11.42578125" style="175"/>
    <col min="18" max="18" width="17.5703125" style="175" customWidth="1"/>
    <col min="19" max="19" width="21" style="175" customWidth="1"/>
    <col min="20" max="20" width="22" style="175" bestFit="1" customWidth="1"/>
    <col min="21" max="16384" width="11.42578125" style="175"/>
  </cols>
  <sheetData>
    <row r="1" spans="1:23" x14ac:dyDescent="0.25">
      <c r="B1" s="175" t="s">
        <v>289</v>
      </c>
      <c r="C1" s="175" t="s">
        <v>290</v>
      </c>
      <c r="D1" s="175" t="s">
        <v>291</v>
      </c>
      <c r="E1" s="175" t="s">
        <v>292</v>
      </c>
      <c r="F1" s="175" t="s">
        <v>293</v>
      </c>
      <c r="R1" s="5" t="s">
        <v>333</v>
      </c>
      <c r="S1" s="5" t="s">
        <v>437</v>
      </c>
      <c r="T1" s="5" t="s">
        <v>472</v>
      </c>
      <c r="U1" s="5"/>
      <c r="V1" s="5" t="s">
        <v>333</v>
      </c>
      <c r="W1" s="171" t="s">
        <v>334</v>
      </c>
    </row>
    <row r="2" spans="1:23" x14ac:dyDescent="0.25">
      <c r="A2" s="175" t="s">
        <v>294</v>
      </c>
      <c r="B2" s="175" t="s">
        <v>299</v>
      </c>
      <c r="C2" s="175" t="s">
        <v>300</v>
      </c>
      <c r="D2" s="175" t="s">
        <v>301</v>
      </c>
      <c r="R2" s="221" t="s">
        <v>475</v>
      </c>
      <c r="S2" s="222">
        <v>0.10299999999999999</v>
      </c>
      <c r="T2" s="205">
        <v>18</v>
      </c>
      <c r="U2" s="205"/>
      <c r="V2" s="172" t="s">
        <v>335</v>
      </c>
      <c r="W2" s="40">
        <v>0.85</v>
      </c>
    </row>
    <row r="3" spans="1:23" x14ac:dyDescent="0.25">
      <c r="A3" s="175" t="s">
        <v>297</v>
      </c>
      <c r="B3" s="175" t="s">
        <v>299</v>
      </c>
      <c r="C3" s="175" t="s">
        <v>303</v>
      </c>
      <c r="D3" s="175" t="s">
        <v>299</v>
      </c>
      <c r="E3" s="175" t="s">
        <v>300</v>
      </c>
      <c r="F3" s="175" t="s">
        <v>301</v>
      </c>
      <c r="R3" s="223" t="s">
        <v>476</v>
      </c>
      <c r="S3" s="222">
        <v>0.11700000000000001</v>
      </c>
      <c r="T3" s="175">
        <v>18.100000000000001</v>
      </c>
      <c r="V3" s="175" t="s">
        <v>336</v>
      </c>
      <c r="W3" s="175">
        <v>0.88</v>
      </c>
    </row>
    <row r="4" spans="1:23" x14ac:dyDescent="0.25">
      <c r="A4" s="175" t="s">
        <v>329</v>
      </c>
      <c r="B4" s="175" t="s">
        <v>299</v>
      </c>
      <c r="C4" s="175" t="s">
        <v>305</v>
      </c>
      <c r="D4" s="175" t="s">
        <v>299</v>
      </c>
      <c r="E4" s="175" t="s">
        <v>300</v>
      </c>
      <c r="F4" s="175" t="s">
        <v>301</v>
      </c>
      <c r="R4" s="188" t="s">
        <v>307</v>
      </c>
      <c r="S4" s="222">
        <v>0.126</v>
      </c>
      <c r="T4" s="175">
        <v>18.2</v>
      </c>
      <c r="V4" s="175" t="s">
        <v>337</v>
      </c>
      <c r="W4" s="175">
        <v>0.89</v>
      </c>
    </row>
    <row r="5" spans="1:23" x14ac:dyDescent="0.25">
      <c r="R5" s="188" t="s">
        <v>339</v>
      </c>
      <c r="S5" s="222">
        <v>0.11799999999999999</v>
      </c>
      <c r="T5" s="205">
        <v>18.399999999999999</v>
      </c>
      <c r="V5" s="175" t="s">
        <v>338</v>
      </c>
      <c r="W5" s="175">
        <v>0.89</v>
      </c>
    </row>
    <row r="6" spans="1:23" x14ac:dyDescent="0.25">
      <c r="R6" s="221" t="s">
        <v>308</v>
      </c>
      <c r="S6" s="222">
        <v>0.28999999999999998</v>
      </c>
      <c r="T6" s="205">
        <v>18.7</v>
      </c>
      <c r="U6" s="205"/>
      <c r="V6" s="175" t="s">
        <v>339</v>
      </c>
      <c r="W6" s="175">
        <v>0.89</v>
      </c>
    </row>
    <row r="7" spans="1:23" x14ac:dyDescent="0.25">
      <c r="R7" s="175" t="s">
        <v>477</v>
      </c>
      <c r="S7" s="222">
        <v>0.20899999999999999</v>
      </c>
      <c r="T7" s="175">
        <v>28.8</v>
      </c>
      <c r="V7" s="175" t="s">
        <v>340</v>
      </c>
      <c r="W7" s="175">
        <v>0.89</v>
      </c>
    </row>
    <row r="8" spans="1:23" x14ac:dyDescent="0.25">
      <c r="R8" s="175" t="s">
        <v>478</v>
      </c>
      <c r="S8" s="222">
        <v>0.33700000000000002</v>
      </c>
      <c r="T8" s="205">
        <v>20.3</v>
      </c>
      <c r="U8" s="205"/>
      <c r="V8" s="175" t="s">
        <v>341</v>
      </c>
      <c r="W8" s="175">
        <v>0.87</v>
      </c>
    </row>
    <row r="9" spans="1:23" x14ac:dyDescent="0.25">
      <c r="B9" s="175" t="s">
        <v>299</v>
      </c>
      <c r="C9" s="175" t="s">
        <v>300</v>
      </c>
      <c r="D9" s="175" t="s">
        <v>301</v>
      </c>
      <c r="F9" s="175" t="s">
        <v>299</v>
      </c>
      <c r="G9" s="175" t="s">
        <v>303</v>
      </c>
      <c r="H9" s="175" t="s">
        <v>299</v>
      </c>
      <c r="I9" s="175" t="s">
        <v>300</v>
      </c>
      <c r="J9" s="175" t="s">
        <v>301</v>
      </c>
      <c r="L9" s="175" t="s">
        <v>299</v>
      </c>
      <c r="M9" s="175" t="s">
        <v>305</v>
      </c>
      <c r="N9" s="175" t="s">
        <v>299</v>
      </c>
      <c r="O9" s="175" t="s">
        <v>300</v>
      </c>
      <c r="P9" s="175" t="s">
        <v>301</v>
      </c>
      <c r="R9" s="175" t="s">
        <v>479</v>
      </c>
      <c r="S9" s="222">
        <v>0.23899999999999999</v>
      </c>
      <c r="T9" s="205">
        <v>18.3</v>
      </c>
      <c r="V9" s="175" t="s">
        <v>342</v>
      </c>
      <c r="W9" s="175">
        <v>0.88</v>
      </c>
    </row>
    <row r="10" spans="1:23" x14ac:dyDescent="0.25">
      <c r="A10" s="175" t="s">
        <v>440</v>
      </c>
      <c r="B10" s="193">
        <v>6.8</v>
      </c>
      <c r="C10" s="193">
        <v>5.6</v>
      </c>
      <c r="D10" s="193">
        <v>3.6</v>
      </c>
      <c r="F10" s="193">
        <v>6.8</v>
      </c>
      <c r="G10" s="193">
        <v>3</v>
      </c>
      <c r="H10" s="193">
        <v>6.8</v>
      </c>
      <c r="I10" s="193">
        <v>5.6</v>
      </c>
      <c r="J10" s="193">
        <v>3.6</v>
      </c>
      <c r="L10" s="193">
        <v>6.8</v>
      </c>
      <c r="M10" s="193">
        <v>2.7</v>
      </c>
      <c r="N10" s="193">
        <v>6.8</v>
      </c>
      <c r="O10" s="193">
        <v>5.6</v>
      </c>
      <c r="P10" s="193">
        <v>3.6</v>
      </c>
      <c r="R10" s="175" t="s">
        <v>480</v>
      </c>
      <c r="S10" s="222">
        <v>0.11</v>
      </c>
      <c r="T10" s="205">
        <v>19.5</v>
      </c>
      <c r="U10" s="205"/>
      <c r="V10" s="175" t="s">
        <v>343</v>
      </c>
      <c r="W10" s="175">
        <v>0.89</v>
      </c>
    </row>
    <row r="11" spans="1:23" x14ac:dyDescent="0.25">
      <c r="A11" s="175" t="s">
        <v>434</v>
      </c>
      <c r="B11" s="185">
        <v>0.89</v>
      </c>
      <c r="C11" s="185">
        <v>0.89</v>
      </c>
      <c r="D11" s="185">
        <v>0.85</v>
      </c>
      <c r="E11" s="185"/>
      <c r="F11" s="185">
        <v>0.89</v>
      </c>
      <c r="G11" s="185">
        <v>0.91</v>
      </c>
      <c r="H11" s="185">
        <v>0.89</v>
      </c>
      <c r="I11" s="185">
        <v>0.89</v>
      </c>
      <c r="J11" s="185">
        <v>0.85</v>
      </c>
      <c r="K11" s="185"/>
      <c r="L11" s="185">
        <v>0.89</v>
      </c>
      <c r="M11" s="185">
        <v>0.91</v>
      </c>
      <c r="N11" s="185">
        <v>0.89</v>
      </c>
      <c r="O11" s="185">
        <v>0.89</v>
      </c>
      <c r="P11" s="185">
        <v>0.85</v>
      </c>
      <c r="R11" s="221" t="s">
        <v>481</v>
      </c>
      <c r="S11" s="222">
        <v>0.08</v>
      </c>
      <c r="T11" s="74">
        <v>18.899999999999999</v>
      </c>
      <c r="U11" s="205"/>
      <c r="V11" s="175" t="s">
        <v>344</v>
      </c>
      <c r="W11" s="186">
        <v>0.9</v>
      </c>
    </row>
    <row r="12" spans="1:23" x14ac:dyDescent="0.25">
      <c r="A12" s="175" t="s">
        <v>435</v>
      </c>
      <c r="B12" s="196">
        <f>B10*B11</f>
        <v>6.0519999999999996</v>
      </c>
      <c r="C12" s="175">
        <f>C10*C11</f>
        <v>4.984</v>
      </c>
      <c r="D12" s="175">
        <f>D10*D11</f>
        <v>3.06</v>
      </c>
      <c r="F12" s="175">
        <f>F10*F11</f>
        <v>6.0519999999999996</v>
      </c>
      <c r="G12" s="175">
        <f t="shared" ref="G12:H12" si="0">G10*G11</f>
        <v>2.73</v>
      </c>
      <c r="H12" s="175">
        <f t="shared" si="0"/>
        <v>6.0519999999999996</v>
      </c>
      <c r="I12" s="175">
        <f>I10*I11</f>
        <v>4.984</v>
      </c>
      <c r="J12" s="175">
        <f>J10*J11</f>
        <v>3.06</v>
      </c>
      <c r="L12" s="175">
        <f>L10*L11</f>
        <v>6.0519999999999996</v>
      </c>
      <c r="M12" s="175">
        <f>M10*M11</f>
        <v>2.4570000000000003</v>
      </c>
      <c r="N12" s="175">
        <f t="shared" ref="N12" si="1">N10*N11</f>
        <v>6.0519999999999996</v>
      </c>
      <c r="O12" s="175">
        <f>O10*O11</f>
        <v>4.984</v>
      </c>
      <c r="P12" s="175">
        <f>P10*P11</f>
        <v>3.06</v>
      </c>
      <c r="R12" s="221" t="s">
        <v>482</v>
      </c>
      <c r="S12" s="222">
        <v>0.191</v>
      </c>
      <c r="T12" s="175">
        <v>18.2</v>
      </c>
      <c r="V12" s="175" t="s">
        <v>345</v>
      </c>
      <c r="W12" s="175">
        <v>0.89</v>
      </c>
    </row>
    <row r="13" spans="1:23" x14ac:dyDescent="0.25">
      <c r="A13" s="175" t="s">
        <v>437</v>
      </c>
      <c r="B13" s="187">
        <v>0.126</v>
      </c>
      <c r="C13" s="187">
        <v>0.11799999999999999</v>
      </c>
      <c r="D13" s="187">
        <v>0.20899999999999999</v>
      </c>
      <c r="E13" s="187"/>
      <c r="F13" s="187">
        <v>0.126</v>
      </c>
      <c r="G13" s="187">
        <v>0.23899999999999999</v>
      </c>
      <c r="H13" s="187">
        <v>0.126</v>
      </c>
      <c r="I13" s="187">
        <v>0.11799999999999999</v>
      </c>
      <c r="J13" s="187">
        <v>0.20899999999999999</v>
      </c>
      <c r="K13" s="187"/>
      <c r="L13" s="187">
        <v>0.126</v>
      </c>
      <c r="M13" s="187">
        <v>0.39600000000000002</v>
      </c>
      <c r="N13" s="187">
        <v>0.126</v>
      </c>
      <c r="O13" s="187">
        <v>0.11799999999999999</v>
      </c>
      <c r="P13" s="187">
        <v>0.20899999999999999</v>
      </c>
      <c r="R13" s="190" t="s">
        <v>126</v>
      </c>
      <c r="S13" s="222">
        <v>0.39600000000000002</v>
      </c>
      <c r="T13" s="205">
        <v>23.6</v>
      </c>
      <c r="V13" s="175" t="s">
        <v>346</v>
      </c>
      <c r="W13" s="175">
        <v>0.91</v>
      </c>
    </row>
    <row r="14" spans="1:23" x14ac:dyDescent="0.25">
      <c r="A14" s="175" t="s">
        <v>438</v>
      </c>
      <c r="B14" s="196">
        <f>B12*B13</f>
        <v>0.76255200000000001</v>
      </c>
      <c r="C14" s="175">
        <f>C12*C13</f>
        <v>0.58811199999999997</v>
      </c>
      <c r="D14" s="175">
        <f>D12*D13</f>
        <v>0.63954</v>
      </c>
      <c r="F14" s="175">
        <f t="shared" ref="F14:H14" si="2">F12*F13</f>
        <v>0.76255200000000001</v>
      </c>
      <c r="G14" s="175">
        <f t="shared" si="2"/>
        <v>0.65246999999999999</v>
      </c>
      <c r="H14" s="175">
        <f t="shared" si="2"/>
        <v>0.76255200000000001</v>
      </c>
      <c r="I14" s="175">
        <f>I12*I13</f>
        <v>0.58811199999999997</v>
      </c>
      <c r="J14" s="175">
        <f>J12*J13</f>
        <v>0.63954</v>
      </c>
      <c r="L14" s="175">
        <f t="shared" ref="L14:N14" si="3">L12*L13</f>
        <v>0.76255200000000001</v>
      </c>
      <c r="M14" s="175">
        <f t="shared" si="3"/>
        <v>0.97297200000000017</v>
      </c>
      <c r="N14" s="175">
        <f t="shared" si="3"/>
        <v>0.76255200000000001</v>
      </c>
      <c r="O14" s="175">
        <f>O12*O13</f>
        <v>0.58811199999999997</v>
      </c>
      <c r="P14" s="175">
        <f>P12*P13</f>
        <v>0.63954</v>
      </c>
      <c r="R14" s="175" t="s">
        <v>483</v>
      </c>
      <c r="S14" s="222">
        <v>9.4E-2</v>
      </c>
      <c r="T14" s="175">
        <v>18.7</v>
      </c>
      <c r="U14" s="205"/>
      <c r="V14" s="175" t="s">
        <v>347</v>
      </c>
      <c r="W14" s="175">
        <v>0.91</v>
      </c>
    </row>
    <row r="15" spans="1:23" x14ac:dyDescent="0.25"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R15" s="190" t="s">
        <v>427</v>
      </c>
      <c r="S15" s="222">
        <v>0.16600000000000001</v>
      </c>
      <c r="T15" s="175">
        <v>28.7</v>
      </c>
      <c r="V15" s="175" t="s">
        <v>348</v>
      </c>
      <c r="W15" s="175">
        <v>0.22</v>
      </c>
    </row>
    <row r="16" spans="1:23" x14ac:dyDescent="0.25">
      <c r="A16" s="175" t="s">
        <v>439</v>
      </c>
      <c r="C16" s="216">
        <f>AVERAGE(B14:E14)*1000</f>
        <v>663.40133333333335</v>
      </c>
      <c r="D16" s="216"/>
      <c r="E16" s="216"/>
      <c r="F16" s="216"/>
      <c r="G16" s="216">
        <f>AVERAGE(F14:J14)*1000</f>
        <v>681.04520000000002</v>
      </c>
      <c r="H16" s="216"/>
      <c r="I16" s="216"/>
      <c r="J16" s="216"/>
      <c r="K16" s="216"/>
      <c r="L16" s="216"/>
      <c r="M16" s="216">
        <f>AVERAGE(L14:P14)*1000</f>
        <v>745.14560000000006</v>
      </c>
      <c r="N16" s="216"/>
      <c r="R16" s="189" t="s">
        <v>484</v>
      </c>
      <c r="S16" s="222">
        <v>0.248</v>
      </c>
      <c r="T16" s="175">
        <v>18.600000000000001</v>
      </c>
      <c r="V16" s="175" t="s">
        <v>349</v>
      </c>
      <c r="W16" s="175">
        <v>0.94</v>
      </c>
    </row>
    <row r="17" spans="1:23" x14ac:dyDescent="0.25">
      <c r="R17" s="175" t="s">
        <v>485</v>
      </c>
      <c r="S17" s="222">
        <v>0.17699999999999999</v>
      </c>
      <c r="T17" s="175">
        <v>18.5</v>
      </c>
      <c r="U17" s="205"/>
      <c r="V17" s="175" t="s">
        <v>350</v>
      </c>
      <c r="W17" s="175">
        <v>0.9</v>
      </c>
    </row>
    <row r="18" spans="1:23" x14ac:dyDescent="0.25">
      <c r="R18" s="175" t="s">
        <v>486</v>
      </c>
      <c r="S18" s="222">
        <v>7.8E-2</v>
      </c>
      <c r="T18" s="175">
        <v>16.899999999999999</v>
      </c>
      <c r="V18" s="175" t="s">
        <v>351</v>
      </c>
      <c r="W18" s="175">
        <v>0.9</v>
      </c>
    </row>
    <row r="19" spans="1:23" x14ac:dyDescent="0.25">
      <c r="A19" s="175" t="s">
        <v>472</v>
      </c>
      <c r="B19" s="175">
        <v>18.2</v>
      </c>
      <c r="C19" s="175">
        <v>18.399999999999999</v>
      </c>
      <c r="D19" s="175">
        <v>28.8</v>
      </c>
      <c r="F19" s="175">
        <v>18.2</v>
      </c>
      <c r="G19" s="205">
        <v>18.3</v>
      </c>
      <c r="H19" s="175">
        <v>18.2</v>
      </c>
      <c r="I19" s="175">
        <v>18.399999999999999</v>
      </c>
      <c r="J19" s="175">
        <v>28.8</v>
      </c>
      <c r="L19" s="175">
        <v>18.2</v>
      </c>
      <c r="M19" s="205">
        <v>23.6</v>
      </c>
      <c r="N19" s="175">
        <v>18.2</v>
      </c>
      <c r="O19" s="175">
        <v>18.399999999999999</v>
      </c>
      <c r="P19" s="175">
        <v>28.8</v>
      </c>
      <c r="R19" s="175" t="s">
        <v>487</v>
      </c>
      <c r="S19" s="222">
        <v>0.189</v>
      </c>
      <c r="T19" s="175">
        <v>18.899999999999999</v>
      </c>
      <c r="V19" s="175" t="s">
        <v>352</v>
      </c>
      <c r="W19" s="175">
        <v>0.9</v>
      </c>
    </row>
    <row r="20" spans="1:23" x14ac:dyDescent="0.25">
      <c r="A20" s="175" t="s">
        <v>473</v>
      </c>
      <c r="B20" s="175">
        <f>B19*B12</f>
        <v>110.14639999999999</v>
      </c>
      <c r="C20" s="175">
        <f>C19*C12</f>
        <v>91.70559999999999</v>
      </c>
      <c r="D20" s="175">
        <f>D19*D12</f>
        <v>88.128</v>
      </c>
      <c r="F20" s="175">
        <f>F19*F12</f>
        <v>110.14639999999999</v>
      </c>
      <c r="G20" s="175">
        <f>G19</f>
        <v>18.3</v>
      </c>
      <c r="H20" s="175">
        <f>H19*H12</f>
        <v>110.14639999999999</v>
      </c>
      <c r="I20" s="175">
        <f>I19*I12</f>
        <v>91.70559999999999</v>
      </c>
      <c r="J20" s="175">
        <f>J19*J12</f>
        <v>88.128</v>
      </c>
      <c r="L20" s="175">
        <f>L19*L12</f>
        <v>110.14639999999999</v>
      </c>
      <c r="M20" s="175">
        <f>M19*M12</f>
        <v>57.985200000000013</v>
      </c>
      <c r="N20" s="175">
        <f t="shared" ref="N20:P20" si="4">N19*N12</f>
        <v>110.14639999999999</v>
      </c>
      <c r="O20" s="175">
        <f t="shared" si="4"/>
        <v>91.70559999999999</v>
      </c>
      <c r="P20" s="175">
        <f t="shared" si="4"/>
        <v>88.128</v>
      </c>
      <c r="R20" s="175" t="s">
        <v>488</v>
      </c>
      <c r="S20" s="222">
        <v>0.16200000000000001</v>
      </c>
      <c r="T20" s="175">
        <v>18.7</v>
      </c>
      <c r="V20" s="175" t="s">
        <v>353</v>
      </c>
      <c r="W20" s="175">
        <v>0.9</v>
      </c>
    </row>
    <row r="21" spans="1:23" x14ac:dyDescent="0.25">
      <c r="R21" s="175" t="s">
        <v>489</v>
      </c>
      <c r="S21" s="222">
        <v>0.10199999999999999</v>
      </c>
      <c r="T21" s="175">
        <v>17.7</v>
      </c>
      <c r="V21" s="175" t="s">
        <v>354</v>
      </c>
      <c r="W21" s="175">
        <v>0.9</v>
      </c>
    </row>
    <row r="22" spans="1:23" x14ac:dyDescent="0.25">
      <c r="N22" s="216"/>
      <c r="R22" s="175" t="s">
        <v>490</v>
      </c>
      <c r="S22" s="222">
        <v>0.14699999999999999</v>
      </c>
      <c r="T22" s="74">
        <v>18.18</v>
      </c>
      <c r="V22" s="175" t="s">
        <v>355</v>
      </c>
      <c r="W22" s="175">
        <v>0.9</v>
      </c>
    </row>
    <row r="23" spans="1:23" x14ac:dyDescent="0.25">
      <c r="A23" s="175" t="s">
        <v>474</v>
      </c>
      <c r="C23" s="175">
        <f>AVERAGE(B20:D20)</f>
        <v>96.659999999999982</v>
      </c>
      <c r="G23" s="186">
        <f>AVERAGE(F20:J20)</f>
        <v>83.685279999999992</v>
      </c>
      <c r="H23" s="216"/>
      <c r="I23" s="216"/>
      <c r="J23" s="216"/>
      <c r="K23" s="216"/>
      <c r="L23" s="216"/>
      <c r="M23" s="186">
        <f>AVERAGE(L20:P20)</f>
        <v>91.622319999999988</v>
      </c>
      <c r="N23" s="216"/>
      <c r="R23" s="175" t="s">
        <v>491</v>
      </c>
      <c r="S23" s="222">
        <v>0.11</v>
      </c>
      <c r="T23" s="175">
        <v>17.899999999999999</v>
      </c>
    </row>
    <row r="24" spans="1:23" x14ac:dyDescent="0.25">
      <c r="R24" s="223" t="s">
        <v>492</v>
      </c>
      <c r="S24" s="222">
        <v>0.17280000000000001</v>
      </c>
      <c r="T24" s="224">
        <v>18.78</v>
      </c>
      <c r="V24" s="175" t="s">
        <v>493</v>
      </c>
    </row>
    <row r="26" spans="1:23" x14ac:dyDescent="0.25">
      <c r="R26" s="205" t="s">
        <v>494</v>
      </c>
      <c r="S26" s="175" t="s">
        <v>495</v>
      </c>
    </row>
    <row r="27" spans="1:23" x14ac:dyDescent="0.25">
      <c r="S27" s="175" t="s">
        <v>496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2" sqref="B12"/>
    </sheetView>
  </sheetViews>
  <sheetFormatPr baseColWidth="10" defaultColWidth="11.42578125" defaultRowHeight="15" x14ac:dyDescent="0.25"/>
  <cols>
    <col min="1" max="16384" width="11.42578125" style="175"/>
  </cols>
  <sheetData>
    <row r="1" spans="1:7" x14ac:dyDescent="0.25">
      <c r="C1" s="175" t="s">
        <v>289</v>
      </c>
      <c r="D1" s="175" t="s">
        <v>290</v>
      </c>
      <c r="E1" s="175" t="s">
        <v>291</v>
      </c>
      <c r="F1" s="175" t="s">
        <v>292</v>
      </c>
      <c r="G1" s="175" t="s">
        <v>293</v>
      </c>
    </row>
    <row r="2" spans="1:7" x14ac:dyDescent="0.25">
      <c r="A2" s="175" t="s">
        <v>294</v>
      </c>
      <c r="C2" s="175" t="s">
        <v>299</v>
      </c>
      <c r="D2" s="175" t="s">
        <v>300</v>
      </c>
      <c r="E2" s="175" t="s">
        <v>301</v>
      </c>
    </row>
    <row r="3" spans="1:7" x14ac:dyDescent="0.25">
      <c r="A3" s="175" t="s">
        <v>297</v>
      </c>
      <c r="C3" s="175" t="s">
        <v>299</v>
      </c>
      <c r="D3" s="175" t="s">
        <v>303</v>
      </c>
      <c r="E3" s="175" t="s">
        <v>299</v>
      </c>
      <c r="F3" s="175" t="s">
        <v>300</v>
      </c>
      <c r="G3" s="175" t="s">
        <v>301</v>
      </c>
    </row>
    <row r="4" spans="1:7" x14ac:dyDescent="0.25">
      <c r="A4" s="175" t="s">
        <v>329</v>
      </c>
      <c r="C4" s="175" t="s">
        <v>299</v>
      </c>
      <c r="D4" s="175" t="s">
        <v>305</v>
      </c>
      <c r="E4" s="175" t="s">
        <v>299</v>
      </c>
      <c r="F4" s="175" t="s">
        <v>300</v>
      </c>
      <c r="G4" s="175" t="s">
        <v>301</v>
      </c>
    </row>
    <row r="8" spans="1:7" ht="18" x14ac:dyDescent="0.35">
      <c r="A8" s="175" t="s">
        <v>312</v>
      </c>
      <c r="C8" s="175" t="s">
        <v>313</v>
      </c>
      <c r="E8" s="175" t="s">
        <v>314</v>
      </c>
      <c r="F8" s="175">
        <f>LN(3)</f>
        <v>1.0986122886681098</v>
      </c>
    </row>
    <row r="12" spans="1:7" ht="18" x14ac:dyDescent="0.35">
      <c r="A12" s="175" t="s">
        <v>315</v>
      </c>
      <c r="B12" s="175" t="s">
        <v>316</v>
      </c>
      <c r="C12" s="175" t="s">
        <v>317</v>
      </c>
      <c r="D12" s="175" t="s">
        <v>318</v>
      </c>
      <c r="E12" s="175" t="s">
        <v>319</v>
      </c>
    </row>
    <row r="13" spans="1:7" x14ac:dyDescent="0.25">
      <c r="A13" s="175" t="s">
        <v>298</v>
      </c>
    </row>
    <row r="14" spans="1:7" x14ac:dyDescent="0.25">
      <c r="A14" s="175" t="s">
        <v>320</v>
      </c>
      <c r="B14" s="185">
        <f>3/4</f>
        <v>0.75</v>
      </c>
      <c r="C14" s="175">
        <v>0.75</v>
      </c>
      <c r="D14" s="175">
        <f>LN(C14)</f>
        <v>-0.2876820724517809</v>
      </c>
      <c r="E14" s="175">
        <f>C14*D14</f>
        <v>-0.21576155433883568</v>
      </c>
    </row>
    <row r="15" spans="1:7" x14ac:dyDescent="0.25">
      <c r="A15" s="175" t="s">
        <v>321</v>
      </c>
      <c r="B15" s="185">
        <f>1/4</f>
        <v>0.25</v>
      </c>
      <c r="C15" s="175">
        <v>0.25</v>
      </c>
      <c r="D15" s="175">
        <f>LN(C15)</f>
        <v>-1.3862943611198906</v>
      </c>
      <c r="E15" s="175">
        <f>C15*D15</f>
        <v>-0.34657359027997264</v>
      </c>
    </row>
    <row r="16" spans="1:7" x14ac:dyDescent="0.25">
      <c r="A16" s="175" t="s">
        <v>322</v>
      </c>
    </row>
    <row r="17" spans="1:5" x14ac:dyDescent="0.25">
      <c r="E17" s="175">
        <f>-(E14+E15+E16)</f>
        <v>0.56233514461880829</v>
      </c>
    </row>
    <row r="19" spans="1:5" x14ac:dyDescent="0.25">
      <c r="A19" s="175" t="s">
        <v>302</v>
      </c>
    </row>
    <row r="20" spans="1:5" x14ac:dyDescent="0.25">
      <c r="A20" s="175" t="s">
        <v>320</v>
      </c>
      <c r="B20" s="185">
        <f>3/5</f>
        <v>0.6</v>
      </c>
      <c r="C20" s="175">
        <v>0.6</v>
      </c>
      <c r="D20" s="175">
        <f>LN(C20)</f>
        <v>-0.51082562376599072</v>
      </c>
      <c r="E20" s="175">
        <f>C20*D20</f>
        <v>-0.30649537425959444</v>
      </c>
    </row>
    <row r="21" spans="1:5" x14ac:dyDescent="0.25">
      <c r="A21" s="175" t="s">
        <v>321</v>
      </c>
      <c r="B21" s="185">
        <f>1/5</f>
        <v>0.2</v>
      </c>
      <c r="C21" s="175">
        <v>0.2</v>
      </c>
      <c r="D21" s="175">
        <f>LN(C21)</f>
        <v>-1.6094379124341003</v>
      </c>
      <c r="E21" s="175">
        <f>C21*D21</f>
        <v>-0.32188758248682009</v>
      </c>
    </row>
    <row r="22" spans="1:5" x14ac:dyDescent="0.25">
      <c r="A22" s="175" t="s">
        <v>322</v>
      </c>
      <c r="B22" s="185">
        <f>1/5</f>
        <v>0.2</v>
      </c>
      <c r="C22" s="175">
        <v>0.2</v>
      </c>
      <c r="D22" s="175">
        <f>LN(C22)</f>
        <v>-1.6094379124341003</v>
      </c>
      <c r="E22" s="175">
        <f>C22*D22</f>
        <v>-0.32188758248682009</v>
      </c>
    </row>
    <row r="23" spans="1:5" x14ac:dyDescent="0.25">
      <c r="E23" s="175">
        <f>-(E20+E21+E22)</f>
        <v>0.95027053923323468</v>
      </c>
    </row>
    <row r="26" spans="1:5" x14ac:dyDescent="0.25">
      <c r="A26" s="175" t="s">
        <v>304</v>
      </c>
    </row>
    <row r="27" spans="1:5" x14ac:dyDescent="0.25">
      <c r="A27" s="175" t="s">
        <v>320</v>
      </c>
      <c r="B27" s="185">
        <f>3/5</f>
        <v>0.6</v>
      </c>
      <c r="C27" s="175">
        <v>0.6</v>
      </c>
      <c r="D27" s="175">
        <f>LN(C27)</f>
        <v>-0.51082562376599072</v>
      </c>
      <c r="E27" s="175">
        <f>C27*D27</f>
        <v>-0.30649537425959444</v>
      </c>
    </row>
    <row r="28" spans="1:5" x14ac:dyDescent="0.25">
      <c r="A28" s="175" t="s">
        <v>321</v>
      </c>
      <c r="B28" s="185">
        <f>1/5</f>
        <v>0.2</v>
      </c>
      <c r="C28" s="175">
        <v>0.2</v>
      </c>
      <c r="D28" s="175">
        <f>LN(C28)</f>
        <v>-1.6094379124341003</v>
      </c>
      <c r="E28" s="175">
        <f>C28*D28</f>
        <v>-0.32188758248682009</v>
      </c>
    </row>
    <row r="29" spans="1:5" x14ac:dyDescent="0.25">
      <c r="A29" s="175" t="s">
        <v>322</v>
      </c>
      <c r="B29" s="185">
        <f>1/5</f>
        <v>0.2</v>
      </c>
      <c r="C29" s="175">
        <v>0.2</v>
      </c>
      <c r="D29" s="175">
        <f>LN(C29)</f>
        <v>-1.6094379124341003</v>
      </c>
      <c r="E29" s="175">
        <f>C29*D29</f>
        <v>-0.32188758248682009</v>
      </c>
    </row>
    <row r="30" spans="1:5" x14ac:dyDescent="0.25">
      <c r="E30" s="175">
        <f>-(E27+E28+E29)</f>
        <v>0.95027053923323468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A32" sqref="A32"/>
    </sheetView>
  </sheetViews>
  <sheetFormatPr baseColWidth="10" defaultColWidth="10.85546875" defaultRowHeight="15" x14ac:dyDescent="0.25"/>
  <cols>
    <col min="1" max="1" width="21.5703125" customWidth="1"/>
    <col min="2" max="2" width="11.42578125" style="175"/>
    <col min="3" max="3" width="17.5703125" style="175" bestFit="1" customWidth="1"/>
    <col min="4" max="4" width="19.85546875" style="175" customWidth="1"/>
    <col min="5" max="5" width="14.42578125" style="175" bestFit="1" customWidth="1"/>
    <col min="6" max="6" width="22.85546875" style="175" bestFit="1" customWidth="1"/>
    <col min="7" max="7" width="12.5703125" style="175" bestFit="1" customWidth="1"/>
    <col min="8" max="8" width="16.28515625" style="175" bestFit="1" customWidth="1"/>
    <col min="10" max="10" width="19" style="175" bestFit="1" customWidth="1"/>
    <col min="11" max="11" width="17.28515625" style="175" bestFit="1" customWidth="1"/>
  </cols>
  <sheetData>
    <row r="1" spans="1:18" x14ac:dyDescent="0.25">
      <c r="A1" s="5"/>
      <c r="B1" s="220" t="s">
        <v>436</v>
      </c>
      <c r="C1" s="220" t="s">
        <v>465</v>
      </c>
      <c r="D1" s="220" t="s">
        <v>466</v>
      </c>
      <c r="E1" s="220" t="s">
        <v>467</v>
      </c>
      <c r="F1" s="220" t="s">
        <v>468</v>
      </c>
      <c r="G1" s="220" t="s">
        <v>469</v>
      </c>
      <c r="H1" s="220" t="s">
        <v>470</v>
      </c>
      <c r="I1" s="220" t="s">
        <v>499</v>
      </c>
      <c r="J1" s="220" t="s">
        <v>460</v>
      </c>
      <c r="K1" s="220" t="s">
        <v>471</v>
      </c>
    </row>
    <row r="2" spans="1:18" s="175" customFormat="1" x14ac:dyDescent="0.25">
      <c r="A2" s="5" t="s">
        <v>298</v>
      </c>
      <c r="B2" s="5"/>
      <c r="C2" s="5"/>
      <c r="D2" s="5"/>
      <c r="E2" s="5"/>
      <c r="F2" s="5"/>
      <c r="G2" s="5"/>
      <c r="H2" s="5"/>
      <c r="J2" s="5"/>
      <c r="K2" s="5"/>
    </row>
    <row r="3" spans="1:18" x14ac:dyDescent="0.25">
      <c r="A3" s="175" t="s">
        <v>299</v>
      </c>
      <c r="B3" s="200">
        <v>6.8</v>
      </c>
      <c r="C3" s="219">
        <v>116.91</v>
      </c>
      <c r="D3" s="219">
        <v>0</v>
      </c>
      <c r="E3" s="219">
        <v>119.9802</v>
      </c>
      <c r="F3" s="219">
        <v>66.902727272727304</v>
      </c>
      <c r="G3" s="219">
        <v>150.00800000000001</v>
      </c>
      <c r="H3" s="219">
        <v>33.804727272727298</v>
      </c>
      <c r="I3" s="226">
        <v>0</v>
      </c>
      <c r="J3" s="218">
        <v>0.74744173843100603</v>
      </c>
      <c r="K3" s="219">
        <v>25.2670641199133</v>
      </c>
    </row>
    <row r="4" spans="1:18" x14ac:dyDescent="0.25">
      <c r="A4" s="175" t="s">
        <v>300</v>
      </c>
      <c r="B4" s="198">
        <v>5.6</v>
      </c>
      <c r="C4" s="219">
        <v>117.18</v>
      </c>
      <c r="D4" s="219">
        <v>0</v>
      </c>
      <c r="E4" s="219">
        <v>119.15112000000001</v>
      </c>
      <c r="F4" s="219">
        <v>51.463636363636397</v>
      </c>
      <c r="G4" s="219">
        <v>111.5856</v>
      </c>
      <c r="H4" s="219">
        <v>57.058036363636397</v>
      </c>
      <c r="I4" s="226">
        <v>0</v>
      </c>
      <c r="J4" s="218">
        <v>0.74744173843100603</v>
      </c>
      <c r="K4" s="219">
        <v>42.647557891096</v>
      </c>
    </row>
    <row r="5" spans="1:18" x14ac:dyDescent="0.25">
      <c r="A5" s="175" t="s">
        <v>301</v>
      </c>
      <c r="B5" s="198">
        <v>3.6</v>
      </c>
      <c r="C5" s="219">
        <v>184.14</v>
      </c>
      <c r="D5" s="219">
        <v>0</v>
      </c>
      <c r="E5" s="219">
        <v>184.240464</v>
      </c>
      <c r="F5" s="219">
        <v>61.756363636363602</v>
      </c>
      <c r="G5" s="219">
        <v>165.66731999999999</v>
      </c>
      <c r="H5" s="219">
        <v>80.229043636363699</v>
      </c>
      <c r="I5" s="226">
        <v>0</v>
      </c>
      <c r="J5" s="218">
        <v>0.74744173843100603</v>
      </c>
      <c r="K5" s="219">
        <v>59.966535848220701</v>
      </c>
    </row>
    <row r="6" spans="1:18" x14ac:dyDescent="0.25">
      <c r="A6" s="175"/>
      <c r="C6" s="216"/>
      <c r="D6" s="216"/>
      <c r="E6" s="216"/>
      <c r="F6" s="216"/>
      <c r="G6" s="216"/>
      <c r="H6" s="216"/>
      <c r="K6" s="216">
        <f>AVERAGE(K3:K5)</f>
        <v>42.627052619743331</v>
      </c>
    </row>
    <row r="7" spans="1:18" x14ac:dyDescent="0.25">
      <c r="A7" s="5" t="s">
        <v>302</v>
      </c>
      <c r="C7" s="216"/>
      <c r="D7" s="216"/>
      <c r="E7" s="216"/>
      <c r="F7" s="216"/>
      <c r="G7" s="216"/>
      <c r="H7" s="216"/>
      <c r="K7" s="216"/>
    </row>
    <row r="8" spans="1:18" x14ac:dyDescent="0.25">
      <c r="A8" s="175" t="s">
        <v>299</v>
      </c>
      <c r="B8" s="200">
        <v>6.8</v>
      </c>
      <c r="C8" s="219">
        <v>116.91</v>
      </c>
      <c r="D8" s="219">
        <v>0</v>
      </c>
      <c r="E8" s="219">
        <v>119.9802</v>
      </c>
      <c r="F8" s="219">
        <v>66.902727272727304</v>
      </c>
      <c r="G8" s="219">
        <v>150.00800000000001</v>
      </c>
      <c r="H8" s="219">
        <v>33.804727272727298</v>
      </c>
      <c r="I8" s="227">
        <v>0</v>
      </c>
      <c r="J8" s="218">
        <v>0.74744173843100603</v>
      </c>
      <c r="K8" s="219">
        <v>25.2670641199133</v>
      </c>
    </row>
    <row r="9" spans="1:18" x14ac:dyDescent="0.25">
      <c r="A9" s="175" t="s">
        <v>303</v>
      </c>
      <c r="B9" s="198">
        <v>3</v>
      </c>
      <c r="C9" s="219">
        <v>0</v>
      </c>
      <c r="D9" s="219">
        <v>0</v>
      </c>
      <c r="E9" s="219">
        <v>159.78626392786401</v>
      </c>
      <c r="F9" s="219">
        <v>56.61</v>
      </c>
      <c r="G9" s="219">
        <v>27.327859013888499</v>
      </c>
      <c r="H9" s="219">
        <v>29.2821409861115</v>
      </c>
      <c r="I9" s="219">
        <v>152.579463927864</v>
      </c>
      <c r="J9" s="218">
        <v>0.74744173843100603</v>
      </c>
      <c r="K9" s="219">
        <v>21.886694363640999</v>
      </c>
    </row>
    <row r="10" spans="1:18" x14ac:dyDescent="0.25">
      <c r="A10" s="175" t="s">
        <v>299</v>
      </c>
      <c r="B10" s="198">
        <v>6.8</v>
      </c>
      <c r="C10" s="219">
        <v>116.91</v>
      </c>
      <c r="D10" s="219">
        <v>0</v>
      </c>
      <c r="E10" s="219">
        <v>119.9802</v>
      </c>
      <c r="F10" s="219">
        <v>66.902727272727304</v>
      </c>
      <c r="G10" s="219">
        <v>150.00800000000001</v>
      </c>
      <c r="H10" s="219">
        <v>33.804727272727298</v>
      </c>
      <c r="I10" s="227">
        <v>0</v>
      </c>
      <c r="J10" s="218">
        <v>0.74744173843100603</v>
      </c>
      <c r="K10" s="219">
        <v>25.2670641199133</v>
      </c>
    </row>
    <row r="11" spans="1:18" x14ac:dyDescent="0.25">
      <c r="A11" s="175" t="s">
        <v>300</v>
      </c>
      <c r="B11" s="198">
        <v>5.6</v>
      </c>
      <c r="C11" s="219">
        <v>117.18</v>
      </c>
      <c r="D11" s="219">
        <v>0</v>
      </c>
      <c r="E11" s="219">
        <v>119.15112000000001</v>
      </c>
      <c r="F11" s="219">
        <v>51.463636363636397</v>
      </c>
      <c r="G11" s="219">
        <v>111.5856</v>
      </c>
      <c r="H11" s="219">
        <v>57.058036363636397</v>
      </c>
      <c r="I11" s="227">
        <v>0</v>
      </c>
      <c r="J11" s="218">
        <v>0.74744173843100603</v>
      </c>
      <c r="K11" s="219">
        <v>42.647557891096</v>
      </c>
    </row>
    <row r="12" spans="1:18" x14ac:dyDescent="0.25">
      <c r="A12" s="175" t="s">
        <v>301</v>
      </c>
      <c r="B12" s="198">
        <v>3.6</v>
      </c>
      <c r="C12" s="219">
        <v>184.14</v>
      </c>
      <c r="D12" s="219">
        <v>0</v>
      </c>
      <c r="E12" s="219">
        <v>184.240464</v>
      </c>
      <c r="F12" s="219">
        <v>61.756363636363602</v>
      </c>
      <c r="G12" s="219">
        <v>165.66731999999999</v>
      </c>
      <c r="H12" s="219">
        <v>80.229043636363699</v>
      </c>
      <c r="I12" s="227">
        <v>0</v>
      </c>
      <c r="J12" s="218">
        <v>0.74744173843100603</v>
      </c>
      <c r="K12" s="219">
        <v>59.966535848220701</v>
      </c>
    </row>
    <row r="13" spans="1:18" x14ac:dyDescent="0.25">
      <c r="C13" s="216"/>
      <c r="D13" s="216"/>
      <c r="E13" s="216"/>
      <c r="F13" s="216"/>
      <c r="G13" s="216"/>
      <c r="H13" s="216"/>
      <c r="J13" s="218"/>
      <c r="K13" s="216">
        <f>AVERAGE(K8:K12)</f>
        <v>35.006983268556858</v>
      </c>
    </row>
    <row r="14" spans="1:18" x14ac:dyDescent="0.25">
      <c r="A14" s="5" t="s">
        <v>304</v>
      </c>
      <c r="C14" s="216"/>
      <c r="D14" s="216"/>
      <c r="E14" s="216"/>
      <c r="F14" s="216"/>
      <c r="G14" s="216"/>
      <c r="H14" s="216"/>
      <c r="J14" s="218"/>
      <c r="K14" s="216"/>
    </row>
    <row r="15" spans="1:18" x14ac:dyDescent="0.25">
      <c r="A15" s="175" t="s">
        <v>299</v>
      </c>
      <c r="B15" s="200">
        <v>6.8</v>
      </c>
      <c r="C15" s="219">
        <v>116.91</v>
      </c>
      <c r="D15" s="219">
        <v>0</v>
      </c>
      <c r="E15" s="219">
        <v>119.9802</v>
      </c>
      <c r="F15" s="219">
        <v>66.902727272727304</v>
      </c>
      <c r="G15" s="219">
        <v>150.00800000000001</v>
      </c>
      <c r="H15" s="219">
        <v>33.804727272727298</v>
      </c>
      <c r="I15" s="227">
        <v>0</v>
      </c>
      <c r="J15" s="218">
        <v>0.74744173843100603</v>
      </c>
      <c r="K15" s="219">
        <v>25.2670641199133</v>
      </c>
      <c r="L15" s="175"/>
      <c r="M15" s="218"/>
      <c r="N15" s="218"/>
      <c r="O15" s="218"/>
      <c r="P15" s="218"/>
      <c r="Q15" s="218"/>
      <c r="R15" s="218"/>
    </row>
    <row r="16" spans="1:18" x14ac:dyDescent="0.25">
      <c r="A16" s="175" t="s">
        <v>305</v>
      </c>
      <c r="B16" s="198">
        <v>2.7</v>
      </c>
      <c r="C16" s="219">
        <v>0</v>
      </c>
      <c r="D16" s="219">
        <v>0</v>
      </c>
      <c r="E16" s="219">
        <v>156.83573093575399</v>
      </c>
      <c r="F16" s="219">
        <v>61.756363636363602</v>
      </c>
      <c r="G16" s="219">
        <v>22.685144843060101</v>
      </c>
      <c r="H16" s="219">
        <v>39.071218793303501</v>
      </c>
      <c r="I16" s="219">
        <v>143.33976111426</v>
      </c>
      <c r="J16" s="218">
        <v>0.75</v>
      </c>
      <c r="K16" s="219">
        <v>29.203459697484998</v>
      </c>
      <c r="L16" s="175"/>
    </row>
    <row r="17" spans="1:25" x14ac:dyDescent="0.25">
      <c r="A17" s="175" t="s">
        <v>299</v>
      </c>
      <c r="B17" s="198">
        <v>6.8</v>
      </c>
      <c r="C17" s="219">
        <v>116.91</v>
      </c>
      <c r="D17" s="219">
        <v>0</v>
      </c>
      <c r="E17" s="219">
        <v>119.9802</v>
      </c>
      <c r="F17" s="219">
        <v>66.902727272727304</v>
      </c>
      <c r="G17" s="219">
        <v>150.00800000000001</v>
      </c>
      <c r="H17" s="219">
        <v>33.804727272727298</v>
      </c>
      <c r="I17" s="228">
        <v>0</v>
      </c>
      <c r="J17" s="218">
        <v>0.74744173843100603</v>
      </c>
      <c r="K17" s="219">
        <v>25.2670641199133</v>
      </c>
      <c r="L17" s="175"/>
    </row>
    <row r="18" spans="1:25" x14ac:dyDescent="0.25">
      <c r="A18" s="175" t="s">
        <v>300</v>
      </c>
      <c r="B18" s="198">
        <v>5.6</v>
      </c>
      <c r="C18" s="219">
        <v>117.18</v>
      </c>
      <c r="D18" s="219">
        <v>0</v>
      </c>
      <c r="E18" s="219">
        <v>119.15112000000001</v>
      </c>
      <c r="F18" s="219">
        <v>51.463636363636397</v>
      </c>
      <c r="G18" s="219">
        <v>111.5856</v>
      </c>
      <c r="H18" s="219">
        <v>57.058036363636397</v>
      </c>
      <c r="I18" s="228">
        <v>0</v>
      </c>
      <c r="J18" s="218">
        <v>0.74744173843100603</v>
      </c>
      <c r="K18" s="219">
        <v>42.647557891096</v>
      </c>
      <c r="L18" s="175"/>
    </row>
    <row r="19" spans="1:25" x14ac:dyDescent="0.25">
      <c r="A19" s="175" t="s">
        <v>301</v>
      </c>
      <c r="B19" s="198">
        <v>3.6</v>
      </c>
      <c r="C19" s="219">
        <v>184.14</v>
      </c>
      <c r="D19" s="219">
        <v>0</v>
      </c>
      <c r="E19" s="219">
        <v>184.240464</v>
      </c>
      <c r="F19" s="219">
        <v>61.756363636363602</v>
      </c>
      <c r="G19" s="219">
        <v>165.66731999999999</v>
      </c>
      <c r="H19" s="219">
        <v>80.229043636363699</v>
      </c>
      <c r="I19" s="228">
        <v>0</v>
      </c>
      <c r="J19" s="218">
        <v>0.74744173843100603</v>
      </c>
      <c r="K19" s="219">
        <v>59.966535848220701</v>
      </c>
      <c r="L19" s="175"/>
    </row>
    <row r="20" spans="1:25" x14ac:dyDescent="0.25">
      <c r="C20" s="216"/>
      <c r="D20" s="216"/>
      <c r="E20" s="216"/>
      <c r="F20" s="216"/>
      <c r="G20" s="216"/>
      <c r="H20" s="216"/>
      <c r="K20" s="216">
        <f>AVERAGE(K15:K19)</f>
        <v>36.470336335325655</v>
      </c>
    </row>
    <row r="22" spans="1:25" x14ac:dyDescent="0.25">
      <c r="A22" s="5" t="s">
        <v>461</v>
      </c>
    </row>
    <row r="23" spans="1:25" x14ac:dyDescent="0.25">
      <c r="A23" s="175"/>
    </row>
    <row r="24" spans="1:25" x14ac:dyDescent="0.25">
      <c r="A24" s="175" t="s">
        <v>503</v>
      </c>
    </row>
    <row r="25" spans="1:25" x14ac:dyDescent="0.25">
      <c r="A25" s="175"/>
    </row>
    <row r="26" spans="1:25" x14ac:dyDescent="0.25">
      <c r="A26" s="175" t="s">
        <v>504</v>
      </c>
      <c r="D26" s="26" t="s">
        <v>463</v>
      </c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</row>
    <row r="27" spans="1:25" x14ac:dyDescent="0.25">
      <c r="A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</row>
    <row r="28" spans="1:25" x14ac:dyDescent="0.25">
      <c r="A28" s="175" t="s">
        <v>505</v>
      </c>
      <c r="D28" s="26" t="s">
        <v>462</v>
      </c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</row>
    <row r="29" spans="1:25" x14ac:dyDescent="0.25">
      <c r="A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</row>
    <row r="30" spans="1:25" x14ac:dyDescent="0.25">
      <c r="A30" s="175" t="s">
        <v>506</v>
      </c>
      <c r="H30" s="198"/>
      <c r="J30" s="198"/>
      <c r="K30" s="198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98"/>
    </row>
    <row r="31" spans="1:25" x14ac:dyDescent="0.25">
      <c r="A31" s="175" t="s">
        <v>508</v>
      </c>
      <c r="D31" s="26" t="s">
        <v>507</v>
      </c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</row>
    <row r="32" spans="1:25" x14ac:dyDescent="0.25">
      <c r="A32" s="200"/>
      <c r="B32" s="198"/>
      <c r="C32" s="198"/>
      <c r="D32" s="198"/>
      <c r="E32" s="198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</row>
    <row r="33" spans="1:24" x14ac:dyDescent="0.25">
      <c r="A33" s="175" t="s">
        <v>464</v>
      </c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</row>
    <row r="34" spans="1:24" x14ac:dyDescent="0.25">
      <c r="A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</row>
    <row r="35" spans="1:24" x14ac:dyDescent="0.25"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V12" sqref="V12"/>
    </sheetView>
  </sheetViews>
  <sheetFormatPr baseColWidth="10" defaultColWidth="9.140625" defaultRowHeight="15" x14ac:dyDescent="0.25"/>
  <cols>
    <col min="1" max="16384" width="9.140625" style="175"/>
  </cols>
  <sheetData>
    <row r="1" spans="1:20" x14ac:dyDescent="0.25">
      <c r="A1" s="175">
        <f>'N fertilizer'!A1</f>
        <v>0</v>
      </c>
      <c r="B1" s="175" t="str">
        <f>'N fertilizer'!B1</f>
        <v>Crop 1</v>
      </c>
      <c r="C1" s="175" t="str">
        <f>'N fertilizer'!C1</f>
        <v>Crop 2</v>
      </c>
      <c r="D1" s="175" t="str">
        <f>'N fertilizer'!D1</f>
        <v>Crop 3</v>
      </c>
      <c r="E1" s="175" t="str">
        <f>'N fertilizer'!E1</f>
        <v>Crop 4</v>
      </c>
      <c r="F1" s="175" t="str">
        <f>'N fertilizer'!F1</f>
        <v>Crop 5</v>
      </c>
    </row>
    <row r="2" spans="1:20" x14ac:dyDescent="0.25">
      <c r="A2" s="175" t="str">
        <f>'N fertilizer'!A2</f>
        <v xml:space="preserve">Without legumes: </v>
      </c>
      <c r="B2" s="175" t="str">
        <f>'N fertilizer'!B2</f>
        <v>wwheat</v>
      </c>
      <c r="C2" s="175" t="str">
        <f>'N fertilizer'!C2</f>
        <v>wbarley</v>
      </c>
      <c r="D2" s="175" t="str">
        <f>'N fertilizer'!D2</f>
        <v>wrape</v>
      </c>
      <c r="E2" s="175">
        <f>'N fertilizer'!E2</f>
        <v>0</v>
      </c>
      <c r="F2" s="175">
        <f>'N fertilizer'!F2</f>
        <v>0</v>
      </c>
    </row>
    <row r="3" spans="1:20" x14ac:dyDescent="0.25">
      <c r="A3" s="175" t="str">
        <f>'N fertilizer'!A3</f>
        <v xml:space="preserve">With legumes option 1: </v>
      </c>
      <c r="B3" s="175" t="str">
        <f>'N fertilizer'!B3</f>
        <v>wwheat</v>
      </c>
      <c r="C3" s="175" t="str">
        <f>'N fertilizer'!C3</f>
        <v>pea</v>
      </c>
      <c r="D3" s="175" t="str">
        <f>'N fertilizer'!D3</f>
        <v>wwheat</v>
      </c>
      <c r="E3" s="175" t="str">
        <f>'N fertilizer'!E3</f>
        <v>wbarley</v>
      </c>
      <c r="F3" s="175" t="str">
        <f>'N fertilizer'!F3</f>
        <v>wrape</v>
      </c>
    </row>
    <row r="4" spans="1:20" x14ac:dyDescent="0.25">
      <c r="A4" s="175" t="str">
        <f>'N fertilizer'!A4</f>
        <v xml:space="preserve">With legumes option 2: </v>
      </c>
      <c r="B4" s="175" t="str">
        <f>'N fertilizer'!B4</f>
        <v>wwheat</v>
      </c>
      <c r="C4" s="175" t="str">
        <f>'N fertilizer'!C4</f>
        <v>soybean</v>
      </c>
      <c r="D4" s="175" t="str">
        <f>'N fertilizer'!D4</f>
        <v>wwheat</v>
      </c>
      <c r="E4" s="175" t="str">
        <f>'N fertilizer'!E4</f>
        <v>wbarley</v>
      </c>
      <c r="F4" s="175" t="str">
        <f>'N fertilizer'!F4</f>
        <v>wrape</v>
      </c>
    </row>
    <row r="6" spans="1:20" x14ac:dyDescent="0.25">
      <c r="A6" s="206" t="s">
        <v>356</v>
      </c>
      <c r="B6" s="175" t="s">
        <v>357</v>
      </c>
    </row>
    <row r="7" spans="1:20" x14ac:dyDescent="0.25">
      <c r="B7" s="36" t="str">
        <f>'N fertilizer'!B7</f>
        <v>wwheat</v>
      </c>
      <c r="C7" s="36" t="str">
        <f>'N fertilizer'!C7</f>
        <v>wbarley</v>
      </c>
      <c r="D7" s="36" t="str">
        <f>'N fertilizer'!D7</f>
        <v>wrape</v>
      </c>
      <c r="E7" s="36"/>
      <c r="F7" s="36"/>
      <c r="G7" s="36"/>
      <c r="I7" s="36" t="str">
        <f>'N fertilizer'!I7</f>
        <v>wwheat</v>
      </c>
      <c r="J7" s="36" t="str">
        <f>'N fertilizer'!J7</f>
        <v>pea</v>
      </c>
      <c r="K7" s="36" t="str">
        <f>'N fertilizer'!K7</f>
        <v>wwheat</v>
      </c>
      <c r="L7" s="36" t="str">
        <f>'N fertilizer'!L7</f>
        <v>wbarley</v>
      </c>
      <c r="M7" s="36" t="str">
        <f>'N fertilizer'!M7</f>
        <v>wrape</v>
      </c>
      <c r="N7" s="36"/>
      <c r="P7" s="36" t="str">
        <f>'N fertilizer'!P7</f>
        <v>wwheat</v>
      </c>
      <c r="Q7" s="36" t="str">
        <f>'N fertilizer'!Q7</f>
        <v>soybean</v>
      </c>
      <c r="R7" s="36" t="str">
        <f>'N fertilizer'!R7</f>
        <v>wwheat</v>
      </c>
      <c r="S7" s="36" t="str">
        <f>'N fertilizer'!S7</f>
        <v>wbarley</v>
      </c>
      <c r="T7" s="36" t="str">
        <f>'N fertilizer'!T7</f>
        <v>wrape</v>
      </c>
    </row>
    <row r="8" spans="1:20" x14ac:dyDescent="0.25">
      <c r="A8" s="36"/>
      <c r="B8" s="207">
        <f>VLOOKUP(B7,'Mapping crops'!$A:$B,2,FALSE)</f>
        <v>3</v>
      </c>
      <c r="C8" s="207">
        <f>VLOOKUP(C7,'Mapping crops'!$A:$B,2,FALSE)</f>
        <v>5</v>
      </c>
      <c r="D8" s="207">
        <f>VLOOKUP(D7,'Mapping crops'!$A:$B,2,FALSE)</f>
        <v>1</v>
      </c>
      <c r="E8" s="207"/>
      <c r="F8" s="207"/>
      <c r="G8" s="5"/>
      <c r="H8" s="207"/>
      <c r="I8" s="207">
        <f>VLOOKUP(I7,'Mapping crops'!$A:$B,2,FALSE)</f>
        <v>3</v>
      </c>
      <c r="J8" s="207">
        <f>VLOOKUP(J7,'Mapping crops'!$A:$B,2,FALSE)</f>
        <v>12</v>
      </c>
      <c r="K8" s="207">
        <f>VLOOKUP(K7,'Mapping crops'!$A:$B,2,FALSE)</f>
        <v>3</v>
      </c>
      <c r="L8" s="207">
        <f>VLOOKUP(L7,'Mapping crops'!$A:$B,2,FALSE)</f>
        <v>5</v>
      </c>
      <c r="M8" s="207">
        <f>VLOOKUP(M7,'Mapping crops'!$A:$B,2,FALSE)</f>
        <v>1</v>
      </c>
      <c r="N8" s="207"/>
      <c r="O8" s="207"/>
      <c r="P8" s="207">
        <f>VLOOKUP(P7,'Mapping crops'!$A:$B,2,FALSE)</f>
        <v>3</v>
      </c>
      <c r="Q8" s="207">
        <f>VLOOKUP(Q7,'Mapping crops'!$A:$B,2,FALSE)</f>
        <v>13</v>
      </c>
      <c r="R8" s="207">
        <f>VLOOKUP(R7,'Mapping crops'!$A:$B,2,FALSE)</f>
        <v>3</v>
      </c>
      <c r="S8" s="207">
        <f>VLOOKUP(S7,'Mapping crops'!$A:$B,2,FALSE)</f>
        <v>5</v>
      </c>
      <c r="T8" s="207">
        <f>VLOOKUP(T7,'Mapping crops'!$A:$B,2,FALSE)</f>
        <v>1</v>
      </c>
    </row>
    <row r="9" spans="1:20" x14ac:dyDescent="0.25">
      <c r="A9" s="205" t="s">
        <v>358</v>
      </c>
      <c r="B9" s="175">
        <f>IF(ISBLANK('N fertilizer'!B10),0,VLOOKUP('N fertilizer'!B10,'N2O default values'!$I:$J,2,FALSE)*'N fertilizer'!B13)</f>
        <v>5.8455000000000013</v>
      </c>
      <c r="C9" s="175">
        <f>IF(ISBLANK('N fertilizer'!C10),0,VLOOKUP('N fertilizer'!C10,'N2O default values'!$I:$J,2,FALSE)*'N fertilizer'!C13)</f>
        <v>5.8590000000000009</v>
      </c>
      <c r="D9" s="175">
        <f>IF(ISBLANK('N fertilizer'!D10),0,VLOOKUP('N fertilizer'!D10,'N2O default values'!$I:$J,2,FALSE)*'N fertilizer'!D13)</f>
        <v>9.2070000000000007</v>
      </c>
      <c r="I9" s="175">
        <f>IF(ISBLANK('N fertilizer'!I10),0,VLOOKUP('N fertilizer'!I10,'N2O default values'!$I:$J,2,FALSE)*'N fertilizer'!I13)</f>
        <v>5.8455000000000013</v>
      </c>
      <c r="J9" s="175">
        <f>IF(ISBLANK('N fertilizer'!J10),0,VLOOKUP('N fertilizer'!J10,'N2O default values'!$I:$J,2,FALSE)*'N fertilizer'!J13)</f>
        <v>0</v>
      </c>
      <c r="K9" s="175">
        <f>IF(ISBLANK('N fertilizer'!K10),0,VLOOKUP('N fertilizer'!K10,'N2O default values'!$I:$J,2,FALSE)*'N fertilizer'!K13)</f>
        <v>5.8455000000000013</v>
      </c>
      <c r="L9" s="175">
        <f>IF(ISBLANK('N fertilizer'!L10),0,VLOOKUP('N fertilizer'!L10,'N2O default values'!$I:$J,2,FALSE)*'N fertilizer'!L13)</f>
        <v>5.8590000000000009</v>
      </c>
      <c r="M9" s="175">
        <f>IF(ISBLANK('N fertilizer'!M10),0,VLOOKUP('N fertilizer'!M10,'N2O default values'!$I:$J,2,FALSE)*'N fertilizer'!M13)</f>
        <v>9.2070000000000007</v>
      </c>
      <c r="P9" s="175">
        <f>IF(ISBLANK('N fertilizer'!P10),0,VLOOKUP('N fertilizer'!P10,'N2O default values'!$I:$J,2,FALSE)*'N fertilizer'!P13)</f>
        <v>5.8455000000000013</v>
      </c>
      <c r="Q9" s="175">
        <f>IF(ISBLANK('N fertilizer'!Q10),0,VLOOKUP('N fertilizer'!Q10,'N2O default values'!$I:$J,2,FALSE)*'N fertilizer'!Q13)</f>
        <v>0</v>
      </c>
      <c r="R9" s="175">
        <f>IF(ISBLANK('N fertilizer'!R10),0,VLOOKUP('N fertilizer'!R10,'N2O default values'!$I:$J,2,FALSE)*'N fertilizer'!R13)</f>
        <v>5.8455000000000013</v>
      </c>
      <c r="S9" s="175">
        <f>IF(ISBLANK('N fertilizer'!S10),0,VLOOKUP('N fertilizer'!S10,'N2O default values'!$I:$J,2,FALSE)*'N fertilizer'!S13)</f>
        <v>5.8590000000000009</v>
      </c>
      <c r="T9" s="175">
        <f>IF(ISBLANK('N fertilizer'!T10),0,VLOOKUP('N fertilizer'!T10,'N2O default values'!$I:$J,2,FALSE)*'N fertilizer'!T13)</f>
        <v>9.2070000000000007</v>
      </c>
    </row>
    <row r="10" spans="1:20" x14ac:dyDescent="0.25">
      <c r="A10" s="205" t="s">
        <v>358</v>
      </c>
      <c r="B10" s="175">
        <f>IF(ISBLANK('N fertilizer'!B15),0,VLOOKUP('N fertilizer'!B15,'N2O default values'!$I:$J,2,FALSE)*'N fertilizer'!B18)</f>
        <v>0</v>
      </c>
      <c r="C10" s="175">
        <f>IF(ISBLANK('N fertilizer'!C15),0,VLOOKUP('N fertilizer'!C15,'N2O default values'!$I:$J,2,FALSE)*'N fertilizer'!C18)</f>
        <v>0</v>
      </c>
      <c r="D10" s="175">
        <f>IF(ISBLANK('N fertilizer'!D15),0,VLOOKUP('N fertilizer'!D15,'N2O default values'!$I:$J,2,FALSE)*'N fertilizer'!D18)</f>
        <v>0</v>
      </c>
      <c r="I10" s="175">
        <f>IF(ISBLANK('N fertilizer'!I15),0,VLOOKUP('N fertilizer'!I15,'N2O default values'!$I:$J,2,FALSE)*'N fertilizer'!I18)</f>
        <v>0</v>
      </c>
      <c r="J10" s="175">
        <f>IF(ISBLANK('N fertilizer'!J15),0,VLOOKUP('N fertilizer'!J15,'N2O default values'!$I:$J,2,FALSE)*'N fertilizer'!J18)</f>
        <v>0</v>
      </c>
      <c r="K10" s="175">
        <f>IF(ISBLANK('N fertilizer'!K15),0,VLOOKUP('N fertilizer'!K15,'N2O default values'!$I:$J,2,FALSE)*'N fertilizer'!K18)</f>
        <v>0</v>
      </c>
      <c r="L10" s="175">
        <f>IF(ISBLANK('N fertilizer'!L15),0,VLOOKUP('N fertilizer'!L15,'N2O default values'!$I:$J,2,FALSE)*'N fertilizer'!L18)</f>
        <v>0</v>
      </c>
      <c r="M10" s="175">
        <f>IF(ISBLANK('N fertilizer'!M15),0,VLOOKUP('N fertilizer'!M15,'N2O default values'!$I:$J,2,FALSE)*'N fertilizer'!M18)</f>
        <v>0</v>
      </c>
      <c r="P10" s="175">
        <f>IF(ISBLANK('N fertilizer'!P15),0,VLOOKUP('N fertilizer'!P15,'N2O default values'!$I:$J,2,FALSE)*'N fertilizer'!P18)</f>
        <v>0</v>
      </c>
      <c r="Q10" s="175">
        <f>IF(ISBLANK('N fertilizer'!Q15),0,VLOOKUP('N fertilizer'!Q15,'N2O default values'!$I:$J,2,FALSE)*'N fertilizer'!Q18)</f>
        <v>0</v>
      </c>
      <c r="R10" s="175">
        <f>IF(ISBLANK('N fertilizer'!R15),0,VLOOKUP('N fertilizer'!R15,'N2O default values'!$I:$J,2,FALSE)*'N fertilizer'!R18)</f>
        <v>0</v>
      </c>
      <c r="S10" s="175">
        <f>IF(ISBLANK('N fertilizer'!S15),0,VLOOKUP('N fertilizer'!S15,'N2O default values'!$I:$J,2,FALSE)*'N fertilizer'!S18)</f>
        <v>0</v>
      </c>
      <c r="T10" s="175">
        <f>IF(ISBLANK('N fertilizer'!T15),0,VLOOKUP('N fertilizer'!T15,'N2O default values'!$I:$J,2,FALSE)*'N fertilizer'!T18)</f>
        <v>0</v>
      </c>
    </row>
    <row r="11" spans="1:20" x14ac:dyDescent="0.25">
      <c r="A11" s="205" t="s">
        <v>358</v>
      </c>
      <c r="B11" s="175">
        <f>IF(ISBLANK('N fertilizer'!B20),0,VLOOKUP('N fertilizer'!B20,'N2O default values'!$I:$J,2,FALSE)*'N fertilizer'!B23)</f>
        <v>0</v>
      </c>
      <c r="C11" s="175">
        <f>IF(ISBLANK('N fertilizer'!C20),0,VLOOKUP('N fertilizer'!C20,'N2O default values'!$I:$J,2,FALSE)*'N fertilizer'!C23)</f>
        <v>0</v>
      </c>
      <c r="D11" s="175">
        <f>IF(ISBLANK('N fertilizer'!D20),0,VLOOKUP('N fertilizer'!D20,'N2O default values'!$I:$J,2,FALSE)*'N fertilizer'!D23)</f>
        <v>0</v>
      </c>
      <c r="I11" s="175">
        <f>IF(ISBLANK('N fertilizer'!I20),0,VLOOKUP('N fertilizer'!I20,'N2O default values'!$I:$J,2,FALSE)*'N fertilizer'!I23)</f>
        <v>0</v>
      </c>
      <c r="J11" s="175">
        <f>IF(ISBLANK('N fertilizer'!J20),0,VLOOKUP('N fertilizer'!J20,'N2O default values'!$I:$J,2,FALSE)*'N fertilizer'!J23)</f>
        <v>0</v>
      </c>
      <c r="K11" s="175">
        <f>IF(ISBLANK('N fertilizer'!K20),0,VLOOKUP('N fertilizer'!K20,'N2O default values'!$I:$J,2,FALSE)*'N fertilizer'!K23)</f>
        <v>0</v>
      </c>
      <c r="L11" s="175">
        <f>IF(ISBLANK('N fertilizer'!L20),0,VLOOKUP('N fertilizer'!L20,'N2O default values'!$I:$J,2,FALSE)*'N fertilizer'!L23)</f>
        <v>0</v>
      </c>
      <c r="M11" s="175">
        <f>IF(ISBLANK('N fertilizer'!M20),0,VLOOKUP('N fertilizer'!M20,'N2O default values'!$I:$J,2,FALSE)*'N fertilizer'!M23)</f>
        <v>0</v>
      </c>
      <c r="P11" s="175">
        <f>IF(ISBLANK('N fertilizer'!P20),0,VLOOKUP('N fertilizer'!P20,'N2O default values'!$I:$J,2,FALSE)*'N fertilizer'!P23)</f>
        <v>0</v>
      </c>
      <c r="Q11" s="175">
        <f>IF(ISBLANK('N fertilizer'!Q20),0,VLOOKUP('N fertilizer'!Q20,'N2O default values'!$I:$J,2,FALSE)*'N fertilizer'!Q23)</f>
        <v>0</v>
      </c>
      <c r="R11" s="175">
        <f>IF(ISBLANK('N fertilizer'!R20),0,VLOOKUP('N fertilizer'!R20,'N2O default values'!$I:$J,2,FALSE)*'N fertilizer'!R23)</f>
        <v>0</v>
      </c>
      <c r="S11" s="175">
        <f>IF(ISBLANK('N fertilizer'!S20),0,VLOOKUP('N fertilizer'!S20,'N2O default values'!$I:$J,2,FALSE)*'N fertilizer'!S23)</f>
        <v>0</v>
      </c>
      <c r="T11" s="175">
        <f>IF(ISBLANK('N fertilizer'!T20),0,VLOOKUP('N fertilizer'!T20,'N2O default values'!$I:$J,2,FALSE)*'N fertilizer'!T23)</f>
        <v>0</v>
      </c>
    </row>
    <row r="12" spans="1:20" x14ac:dyDescent="0.25">
      <c r="A12" s="205" t="s">
        <v>359</v>
      </c>
      <c r="B12" s="219">
        <v>25.2670641199133</v>
      </c>
      <c r="C12" s="219">
        <v>42.647557891096</v>
      </c>
      <c r="D12" s="219">
        <v>59.966535848220701</v>
      </c>
      <c r="I12" s="219">
        <v>25.2670641199133</v>
      </c>
      <c r="J12" s="219">
        <v>21.886694363640999</v>
      </c>
      <c r="K12" s="219">
        <v>25.2670641199133</v>
      </c>
      <c r="L12" s="219">
        <v>42.647557891096</v>
      </c>
      <c r="M12" s="219">
        <v>59.966535848220701</v>
      </c>
      <c r="P12" s="219">
        <v>25.2670641199133</v>
      </c>
      <c r="Q12" s="219">
        <v>29.203459697484998</v>
      </c>
      <c r="R12" s="219">
        <v>25.2670641199133</v>
      </c>
      <c r="S12" s="219">
        <v>42.647557891096</v>
      </c>
      <c r="T12" s="219">
        <v>59.966535848220701</v>
      </c>
    </row>
    <row r="13" spans="1:20" x14ac:dyDescent="0.25">
      <c r="A13" s="205" t="s">
        <v>360</v>
      </c>
    </row>
    <row r="14" spans="1:20" x14ac:dyDescent="0.25">
      <c r="A14" s="205" t="s">
        <v>310</v>
      </c>
      <c r="B14" s="175">
        <f>GM!B$8*VLOOKUP(B8,'N2O default values'!$M:$U,7)</f>
        <v>6.0519999999999996</v>
      </c>
      <c r="C14" s="175">
        <f>GM!C$8*VLOOKUP(C8,'N2O default values'!$M:$U,7)</f>
        <v>4.984</v>
      </c>
      <c r="D14" s="175">
        <f>GM!D$8*VLOOKUP(D8,'N2O default values'!$M:$U,7)</f>
        <v>3.06</v>
      </c>
      <c r="I14" s="175">
        <f>GM!I$8*VLOOKUP(I8,'N2O default values'!$M:$U,7)</f>
        <v>6.0519999999999996</v>
      </c>
      <c r="J14" s="175">
        <f>GM!J$8*VLOOKUP(J8,'N2O default values'!$M:$U,7)</f>
        <v>2.73</v>
      </c>
      <c r="K14" s="175">
        <f>GM!K$8*VLOOKUP(K8,'N2O default values'!$M:$U,7)</f>
        <v>6.0519999999999996</v>
      </c>
      <c r="L14" s="175">
        <f>GM!L$8*VLOOKUP(L8,'N2O default values'!$M:$U,7)</f>
        <v>4.984</v>
      </c>
      <c r="M14" s="175">
        <f>GM!M$8*VLOOKUP(M8,'N2O default values'!$M:$U,7)</f>
        <v>3.06</v>
      </c>
      <c r="P14" s="175">
        <f>GM!P$8*VLOOKUP(P8,'N2O default values'!$M:$U,7)</f>
        <v>6.0519999999999996</v>
      </c>
      <c r="Q14" s="175">
        <f>GM!Q$8*VLOOKUP(Q8,'N2O default values'!$M:$U,7)</f>
        <v>2.4570000000000003</v>
      </c>
      <c r="R14" s="175">
        <f>GM!R$8*VLOOKUP(R8,'N2O default values'!$M:$U,7)</f>
        <v>6.0519999999999996</v>
      </c>
      <c r="S14" s="175">
        <f>GM!S$8*VLOOKUP(S8,'N2O default values'!$M:$U,7)</f>
        <v>4.984</v>
      </c>
      <c r="T14" s="175">
        <f>GM!T$8*VLOOKUP(T8,'N2O default values'!$M:$U,7)</f>
        <v>3.06</v>
      </c>
    </row>
    <row r="15" spans="1:20" x14ac:dyDescent="0.25">
      <c r="A15" s="205" t="s">
        <v>361</v>
      </c>
      <c r="B15" s="175">
        <f>B14*VLOOKUP(B$8,'N2O default values'!$M:$U,5)*VLOOKUP(B$8,'N2O default values'!$M:$U,8)</f>
        <v>7.8675999999999995</v>
      </c>
      <c r="C15" s="175">
        <f>C14*VLOOKUP(C$8,'N2O default values'!$M:$U,5)*VLOOKUP(C$8,'N2O default values'!$M:$U,8)</f>
        <v>5.9807999999999995</v>
      </c>
      <c r="D15" s="175">
        <f>D14*VLOOKUP(D$8,'N2O default values'!$M:$U,5)*VLOOKUP(D$8,'N2O default values'!$M:$U,8)</f>
        <v>3.06</v>
      </c>
      <c r="I15" s="175">
        <f>I14*VLOOKUP(I$8,'N2O default values'!$M:$U,5)*VLOOKUP(I$8,'N2O default values'!$M:$U,8)</f>
        <v>7.8675999999999995</v>
      </c>
      <c r="J15" s="175">
        <f>J14*VLOOKUP(J$8,'N2O default values'!$M:$U,5)*VLOOKUP(J$8,'N2O default values'!$M:$U,8)</f>
        <v>5.7330000000000005</v>
      </c>
      <c r="K15" s="175">
        <f>K14*VLOOKUP(K$8,'N2O default values'!$M:$U,5)*VLOOKUP(K$8,'N2O default values'!$M:$U,8)</f>
        <v>7.8675999999999995</v>
      </c>
      <c r="L15" s="175">
        <f>L14*VLOOKUP(L$8,'N2O default values'!$M:$U,5)*VLOOKUP(L$8,'N2O default values'!$M:$U,8)</f>
        <v>5.9807999999999995</v>
      </c>
      <c r="M15" s="175">
        <f>M14*VLOOKUP(M$8,'N2O default values'!$M:$U,5)*VLOOKUP(M$8,'N2O default values'!$M:$U,8)</f>
        <v>3.06</v>
      </c>
      <c r="P15" s="175">
        <f>P14*VLOOKUP(P$8,'N2O default values'!$M:$U,5)*VLOOKUP(P$8,'N2O default values'!$M:$U,8)</f>
        <v>7.8675999999999995</v>
      </c>
      <c r="Q15" s="175">
        <f>Q14*VLOOKUP(Q$8,'N2O default values'!$M:$U,5)*VLOOKUP(Q$8,'N2O default values'!$M:$U,8)</f>
        <v>5.1597000000000008</v>
      </c>
      <c r="R15" s="175">
        <f>R14*VLOOKUP(R$8,'N2O default values'!$M:$U,5)*VLOOKUP(R$8,'N2O default values'!$M:$U,8)</f>
        <v>7.8675999999999995</v>
      </c>
      <c r="S15" s="175">
        <f>S14*VLOOKUP(S$8,'N2O default values'!$M:$U,5)*VLOOKUP(S$8,'N2O default values'!$M:$U,8)</f>
        <v>5.9807999999999995</v>
      </c>
      <c r="T15" s="175">
        <f>T14*VLOOKUP(T$8,'N2O default values'!$M:$U,5)*VLOOKUP(T$8,'N2O default values'!$M:$U,8)</f>
        <v>3.06</v>
      </c>
    </row>
    <row r="16" spans="1:20" x14ac:dyDescent="0.25">
      <c r="A16" s="205" t="s">
        <v>362</v>
      </c>
      <c r="B16" s="175">
        <f>SUM(B14:B15)*VLOOKUP(B$8,'N2O default values'!$M:$U,6)</f>
        <v>3.201508</v>
      </c>
      <c r="C16" s="175">
        <f>SUM(C14:C15)*VLOOKUP(C$8,'N2O default values'!$M:$U,6)</f>
        <v>2.4122560000000002</v>
      </c>
      <c r="D16" s="175">
        <f>SUM(D14:D15)*VLOOKUP(D$8,'N2O default values'!$M:$U,6)</f>
        <v>1.3464</v>
      </c>
      <c r="I16" s="175">
        <f>SUM(I14:I15)*VLOOKUP(I$8,'N2O default values'!$M:$U,6)</f>
        <v>3.201508</v>
      </c>
      <c r="J16" s="175">
        <f>SUM(J14:J15)*VLOOKUP(J$8,'N2O default values'!$M:$U,6)</f>
        <v>1.6079700000000001</v>
      </c>
      <c r="K16" s="175">
        <f>SUM(K14:K15)*VLOOKUP(K$8,'N2O default values'!$M:$U,6)</f>
        <v>3.201508</v>
      </c>
      <c r="L16" s="175">
        <f>SUM(L14:L15)*VLOOKUP(L$8,'N2O default values'!$M:$U,6)</f>
        <v>2.4122560000000002</v>
      </c>
      <c r="M16" s="175">
        <f>SUM(M14:M15)*VLOOKUP(M$8,'N2O default values'!$M:$U,6)</f>
        <v>1.3464</v>
      </c>
      <c r="P16" s="175">
        <f>SUM(P14:P15)*VLOOKUP(P$8,'N2O default values'!$M:$U,6)</f>
        <v>3.201508</v>
      </c>
      <c r="Q16" s="175">
        <f>SUM(Q14:Q15)*VLOOKUP(Q$8,'N2O default values'!$M:$U,6)</f>
        <v>1.4471730000000003</v>
      </c>
      <c r="R16" s="175">
        <f>SUM(R14:R15)*VLOOKUP(R$8,'N2O default values'!$M:$U,6)</f>
        <v>3.201508</v>
      </c>
      <c r="S16" s="175">
        <f>SUM(S14:S15)*VLOOKUP(S$8,'N2O default values'!$M:$U,6)</f>
        <v>2.4122560000000002</v>
      </c>
      <c r="T16" s="175">
        <f>SUM(T14:T15)*VLOOKUP(T$8,'N2O default values'!$M:$U,6)</f>
        <v>1.3464</v>
      </c>
    </row>
    <row r="17" spans="1:20" x14ac:dyDescent="0.25">
      <c r="A17" s="205" t="s">
        <v>363</v>
      </c>
      <c r="B17" s="175">
        <f>(B15-GM!B11*VLOOKUP('N2O calculations'!B$8,'N2O default values'!$M:$U,9))*VLOOKUP('N2O calculations'!B$8,'N2O default values'!$M:$U,3)*1000</f>
        <v>47.205599999999997</v>
      </c>
      <c r="C17" s="175">
        <f>(C15-GM!C11*VLOOKUP('N2O calculations'!C$8,'N2O default values'!$M:$U,9))*VLOOKUP('N2O calculations'!C$8,'N2O default values'!$M:$U,3)*1000</f>
        <v>41.865599999999993</v>
      </c>
      <c r="D17" s="175">
        <f>(D15-GM!D11*VLOOKUP('N2O calculations'!D$8,'N2O default values'!$M:$U,9))*VLOOKUP('N2O calculations'!D$8,'N2O default values'!$M:$U,3)*1000</f>
        <v>24.48</v>
      </c>
      <c r="I17" s="175">
        <f>(I15-GM!I11*VLOOKUP('N2O calculations'!I$8,'N2O default values'!$M:$U,9))*VLOOKUP('N2O calculations'!I$8,'N2O default values'!$M:$U,3)*1000</f>
        <v>47.205599999999997</v>
      </c>
      <c r="J17" s="175">
        <f>(J15-GM!J11*VLOOKUP('N2O calculations'!J$8,'N2O default values'!$M:$U,9))*VLOOKUP('N2O calculations'!J$8,'N2O default values'!$M:$U,3)*1000</f>
        <v>45.864000000000004</v>
      </c>
      <c r="K17" s="175">
        <f>(K15-GM!K11*VLOOKUP('N2O calculations'!K$8,'N2O default values'!$M:$U,9))*VLOOKUP('N2O calculations'!K$8,'N2O default values'!$M:$U,3)*1000</f>
        <v>47.205599999999997</v>
      </c>
      <c r="L17" s="175">
        <f>(L15-GM!L11*VLOOKUP('N2O calculations'!L$8,'N2O default values'!$M:$U,9))*VLOOKUP('N2O calculations'!L$8,'N2O default values'!$M:$U,3)*1000</f>
        <v>41.865599999999993</v>
      </c>
      <c r="M17" s="175">
        <f>(M15-GM!M11*VLOOKUP('N2O calculations'!M$8,'N2O default values'!$M:$U,9))*VLOOKUP('N2O calculations'!M$8,'N2O default values'!$M:$U,3)*1000</f>
        <v>24.48</v>
      </c>
      <c r="P17" s="175">
        <f>(P15-GM!P11*VLOOKUP('N2O calculations'!P$8,'N2O default values'!$M:$U,9))*VLOOKUP('N2O calculations'!P$8,'N2O default values'!$M:$U,3)*1000</f>
        <v>47.205599999999997</v>
      </c>
      <c r="Q17" s="175">
        <f>(Q15-GM!Q11*VLOOKUP('N2O calculations'!Q$8,'N2O default values'!$M:$U,9))*VLOOKUP('N2O calculations'!Q$8,'N2O default values'!$M:$U,3)*1000</f>
        <v>41.277600000000007</v>
      </c>
      <c r="R17" s="175">
        <f>(R15-GM!R11*VLOOKUP('N2O calculations'!R$8,'N2O default values'!$M:$U,9))*VLOOKUP('N2O calculations'!R$8,'N2O default values'!$M:$U,3)*1000</f>
        <v>47.205599999999997</v>
      </c>
      <c r="S17" s="175">
        <f>(S15-GM!S11*VLOOKUP('N2O calculations'!S$8,'N2O default values'!$M:$U,9))*VLOOKUP('N2O calculations'!S$8,'N2O default values'!$M:$U,3)*1000</f>
        <v>41.865599999999993</v>
      </c>
      <c r="T17" s="175">
        <f>(T15-GM!T11*VLOOKUP('N2O calculations'!T$8,'N2O default values'!$M:$U,9))*VLOOKUP('N2O calculations'!T$8,'N2O default values'!$M:$U,3)*1000</f>
        <v>24.48</v>
      </c>
    </row>
    <row r="18" spans="1:20" x14ac:dyDescent="0.25">
      <c r="A18" s="205" t="s">
        <v>364</v>
      </c>
      <c r="B18" s="175">
        <f>B16*VLOOKUP(B$8,'N2O default values'!$M:$U,4)*1000</f>
        <v>28.813572000000001</v>
      </c>
      <c r="C18" s="175">
        <f>C16*VLOOKUP(C$8,'N2O default values'!$M:$U,4)*1000</f>
        <v>33.771583999999997</v>
      </c>
      <c r="D18" s="175">
        <f>D16*VLOOKUP(D$8,'N2O default values'!$M:$U,4)*1000</f>
        <v>12.117599999999999</v>
      </c>
      <c r="I18" s="175">
        <f>I16*VLOOKUP(I$8,'N2O default values'!$M:$U,4)*1000</f>
        <v>28.813572000000001</v>
      </c>
      <c r="J18" s="175">
        <f>J16*VLOOKUP(J$8,'N2O default values'!$M:$U,4)*1000</f>
        <v>12.863760000000003</v>
      </c>
      <c r="K18" s="175">
        <f>K16*VLOOKUP(K$8,'N2O default values'!$M:$U,4)*1000</f>
        <v>28.813572000000001</v>
      </c>
      <c r="L18" s="175">
        <f>L16*VLOOKUP(L$8,'N2O default values'!$M:$U,4)*1000</f>
        <v>33.771583999999997</v>
      </c>
      <c r="M18" s="175">
        <f>M16*VLOOKUP(M$8,'N2O default values'!$M:$U,4)*1000</f>
        <v>12.117599999999999</v>
      </c>
      <c r="P18" s="175">
        <f>P16*VLOOKUP(P$8,'N2O default values'!$M:$U,4)*1000</f>
        <v>28.813572000000001</v>
      </c>
      <c r="Q18" s="175">
        <f>Q16*VLOOKUP(Q$8,'N2O default values'!$M:$U,4)*1000</f>
        <v>11.577384000000004</v>
      </c>
      <c r="R18" s="175">
        <f>R16*VLOOKUP(R$8,'N2O default values'!$M:$U,4)*1000</f>
        <v>28.813572000000001</v>
      </c>
      <c r="S18" s="175">
        <f>S16*VLOOKUP(S$8,'N2O default values'!$M:$U,4)*1000</f>
        <v>33.771583999999997</v>
      </c>
      <c r="T18" s="175">
        <f>T16*VLOOKUP(T$8,'N2O default values'!$M:$U,4)*1000</f>
        <v>12.117599999999999</v>
      </c>
    </row>
    <row r="19" spans="1:20" x14ac:dyDescent="0.25">
      <c r="A19" s="205" t="s">
        <v>365</v>
      </c>
      <c r="B19" s="175">
        <f>SUM(B17:B18)</f>
        <v>76.019171999999998</v>
      </c>
      <c r="C19" s="175">
        <f t="shared" ref="C19:D19" si="0">SUM(C17:C18)</f>
        <v>75.637183999999991</v>
      </c>
      <c r="D19" s="175">
        <f t="shared" si="0"/>
        <v>36.5976</v>
      </c>
      <c r="I19" s="175">
        <f>SUM(I17:I18)</f>
        <v>76.019171999999998</v>
      </c>
      <c r="J19" s="175">
        <f t="shared" ref="J19:M19" si="1">SUM(J17:J18)</f>
        <v>58.727760000000004</v>
      </c>
      <c r="K19" s="175">
        <f t="shared" si="1"/>
        <v>76.019171999999998</v>
      </c>
      <c r="L19" s="175">
        <f t="shared" si="1"/>
        <v>75.637183999999991</v>
      </c>
      <c r="M19" s="175">
        <f t="shared" si="1"/>
        <v>36.5976</v>
      </c>
      <c r="P19" s="175">
        <f>SUM(P17:P18)</f>
        <v>76.019171999999998</v>
      </c>
      <c r="Q19" s="175">
        <f t="shared" ref="Q19:T19" si="2">SUM(Q17:Q18)</f>
        <v>52.854984000000009</v>
      </c>
      <c r="R19" s="175">
        <f t="shared" si="2"/>
        <v>76.019171999999998</v>
      </c>
      <c r="S19" s="175">
        <f t="shared" si="2"/>
        <v>75.637183999999991</v>
      </c>
      <c r="T19" s="175">
        <f t="shared" si="2"/>
        <v>36.5976</v>
      </c>
    </row>
    <row r="20" spans="1:20" x14ac:dyDescent="0.25">
      <c r="A20" s="205"/>
    </row>
    <row r="23" spans="1:20" x14ac:dyDescent="0.25">
      <c r="A23" s="175" t="s">
        <v>366</v>
      </c>
    </row>
    <row r="24" spans="1:20" x14ac:dyDescent="0.25">
      <c r="B24" s="36" t="str">
        <f>B7</f>
        <v>wwheat</v>
      </c>
      <c r="C24" s="36" t="str">
        <f t="shared" ref="C24:D24" si="3">C7</f>
        <v>wbarley</v>
      </c>
      <c r="D24" s="36" t="str">
        <f t="shared" si="3"/>
        <v>wrape</v>
      </c>
      <c r="E24" s="36"/>
      <c r="F24" s="36"/>
      <c r="G24" s="36"/>
      <c r="I24" s="36" t="str">
        <f>I7</f>
        <v>wwheat</v>
      </c>
      <c r="J24" s="36" t="str">
        <f t="shared" ref="J24:M24" si="4">J7</f>
        <v>pea</v>
      </c>
      <c r="K24" s="36" t="str">
        <f t="shared" si="4"/>
        <v>wwheat</v>
      </c>
      <c r="L24" s="36" t="str">
        <f t="shared" si="4"/>
        <v>wbarley</v>
      </c>
      <c r="M24" s="36" t="str">
        <f t="shared" si="4"/>
        <v>wrape</v>
      </c>
      <c r="N24" s="36"/>
      <c r="P24" s="36" t="str">
        <f>P7</f>
        <v>wwheat</v>
      </c>
      <c r="Q24" s="36" t="str">
        <f t="shared" ref="Q24:T24" si="5">Q7</f>
        <v>soybean</v>
      </c>
      <c r="R24" s="36" t="str">
        <f t="shared" si="5"/>
        <v>wwheat</v>
      </c>
      <c r="S24" s="36" t="str">
        <f t="shared" si="5"/>
        <v>wbarley</v>
      </c>
      <c r="T24" s="36" t="str">
        <f t="shared" si="5"/>
        <v>wrape</v>
      </c>
    </row>
    <row r="25" spans="1:20" x14ac:dyDescent="0.25">
      <c r="A25" s="205" t="s">
        <v>367</v>
      </c>
      <c r="B25" s="175">
        <f>'N fertilizer'!B13*'N2O default values'!$E$2+'N fertilizer'!B18*'N2O default values'!$E$2+'N fertilizer'!B23*'N2O default values'!$E$2</f>
        <v>4.1011199999999999</v>
      </c>
      <c r="C25" s="175">
        <f>'N fertilizer'!C13*'N2O default values'!$E$2+'N fertilizer'!C18*'N2O default values'!$E$2+'N fertilizer'!C23*'N2O default values'!$E$2</f>
        <v>1.8748800000000001</v>
      </c>
      <c r="D25" s="175">
        <f>'N fertilizer'!D13*'N2O default values'!$E$2+'N fertilizer'!D18*'N2O default values'!$E$2+'N fertilizer'!D23*'N2O default values'!$E$2</f>
        <v>2.9462400000000004</v>
      </c>
      <c r="I25" s="175">
        <f>'N fertilizer'!I13*'N2O default values'!$E$2+'N fertilizer'!I18*'N2O default values'!$E$2+'N fertilizer'!I23*'N2O default values'!$E$2</f>
        <v>3.5830080000000004</v>
      </c>
      <c r="J25" s="175">
        <f>'N fertilizer'!J13*'N2O default values'!$E$2+'N fertilizer'!J18*'N2O default values'!$E$2+'N fertilizer'!J23*'N2O default values'!$E$2</f>
        <v>0</v>
      </c>
      <c r="K25" s="175">
        <f>'N fertilizer'!K13*'N2O default values'!$E$2+'N fertilizer'!K18*'N2O default values'!$E$2+'N fertilizer'!K23*'N2O default values'!$E$2</f>
        <v>1.8705600000000002</v>
      </c>
      <c r="L25" s="175">
        <f>'N fertilizer'!L13*'N2O default values'!$E$2+'N fertilizer'!L18*'N2O default values'!$E$2+'N fertilizer'!L23*'N2O default values'!$E$2</f>
        <v>1.8748800000000001</v>
      </c>
      <c r="M25" s="175">
        <f>'N fertilizer'!M13*'N2O default values'!$E$2+'N fertilizer'!M18*'N2O default values'!$E$2+'N fertilizer'!M23*'N2O default values'!$E$2</f>
        <v>2.9462400000000004</v>
      </c>
      <c r="P25" s="175">
        <f>'N fertilizer'!P13*'N2O default values'!$E$2+'N fertilizer'!P18*'N2O default values'!$E$2+'N fertilizer'!P23*'N2O default values'!$E$2</f>
        <v>3.5830080000000004</v>
      </c>
      <c r="Q25" s="175">
        <f>'N fertilizer'!Q13*'N2O default values'!$E$2+'N fertilizer'!Q18*'N2O default values'!$E$2+'N fertilizer'!Q23*'N2O default values'!$E$2</f>
        <v>0</v>
      </c>
      <c r="R25" s="175">
        <f>'N fertilizer'!R13*'N2O default values'!$E$2+'N fertilizer'!R18*'N2O default values'!$E$2+'N fertilizer'!R23*'N2O default values'!$E$2</f>
        <v>1.8705600000000002</v>
      </c>
      <c r="S25" s="175">
        <f>'N fertilizer'!S13*'N2O default values'!$E$2+'N fertilizer'!S18*'N2O default values'!$E$2+'N fertilizer'!S23*'N2O default values'!$E$2</f>
        <v>1.8748800000000001</v>
      </c>
      <c r="T25" s="175">
        <f>'N fertilizer'!T13*'N2O default values'!$E$2+'N fertilizer'!T18*'N2O default values'!$E$2+'N fertilizer'!T23*'N2O default values'!$E$2</f>
        <v>2.9462400000000004</v>
      </c>
    </row>
    <row r="26" spans="1:20" x14ac:dyDescent="0.25">
      <c r="A26" s="175" t="s">
        <v>368</v>
      </c>
      <c r="B26" s="175">
        <f>(SUM(B9:B11)*'N2O default values'!$E$4)</f>
        <v>8.1837000000000021E-2</v>
      </c>
      <c r="C26" s="175">
        <f>(SUM(C9:C11)*'N2O default values'!$E$4)</f>
        <v>8.2026000000000016E-2</v>
      </c>
      <c r="D26" s="175">
        <f>(SUM(D9:D11)*'N2O default values'!$E$4)</f>
        <v>0.12889800000000001</v>
      </c>
      <c r="I26" s="175">
        <f>(SUM(I9:I11)*'N2O default values'!$E$4)</f>
        <v>8.1837000000000021E-2</v>
      </c>
      <c r="J26" s="175">
        <f>(SUM(J9:J11)*'N2O default values'!$E$4)</f>
        <v>0</v>
      </c>
      <c r="K26" s="175">
        <f>(SUM(K9:K11)*'N2O default values'!$E$4)</f>
        <v>8.1837000000000021E-2</v>
      </c>
      <c r="L26" s="175">
        <f>(SUM(L9:L11)*'N2O default values'!$E$4)</f>
        <v>8.2026000000000016E-2</v>
      </c>
      <c r="M26" s="175">
        <f>(SUM(M9:M11)*'N2O default values'!$E$4)</f>
        <v>0.12889800000000001</v>
      </c>
      <c r="P26" s="175">
        <f>(SUM(P9:P11)*'N2O default values'!$E$4)</f>
        <v>8.1837000000000021E-2</v>
      </c>
      <c r="Q26" s="175">
        <f>(SUM(Q9:Q11)*'N2O default values'!$E$4)</f>
        <v>0</v>
      </c>
      <c r="R26" s="175">
        <f>(SUM(R9:R11)*'N2O default values'!$E$4)</f>
        <v>8.1837000000000021E-2</v>
      </c>
      <c r="S26" s="175">
        <f>(SUM(S9:S11)*'N2O default values'!$E$4)</f>
        <v>8.2026000000000016E-2</v>
      </c>
      <c r="T26" s="175">
        <f>(SUM(T9:T11)*'N2O default values'!$E$4)</f>
        <v>0.12889800000000001</v>
      </c>
    </row>
    <row r="27" spans="1:20" x14ac:dyDescent="0.25">
      <c r="A27" s="175" t="s">
        <v>359</v>
      </c>
      <c r="B27" s="175">
        <f>B12*'N2O default values'!$E$5</f>
        <v>0.27793770531904627</v>
      </c>
      <c r="C27" s="175">
        <f>C12*'N2O default values'!$E$5</f>
        <v>0.46912313680205597</v>
      </c>
      <c r="D27" s="175">
        <f>D12*'N2O default values'!$E$5</f>
        <v>0.65963189433042768</v>
      </c>
      <c r="I27" s="175">
        <f>I12*'N2O default values'!$E$5</f>
        <v>0.27793770531904627</v>
      </c>
      <c r="J27" s="175">
        <f>J12*'N2O default values'!$E$5</f>
        <v>0.24075363800005098</v>
      </c>
      <c r="K27" s="175">
        <f>K12*'N2O default values'!$E$5</f>
        <v>0.27793770531904627</v>
      </c>
      <c r="L27" s="175">
        <f>L12*'N2O default values'!$E$5</f>
        <v>0.46912313680205597</v>
      </c>
      <c r="M27" s="175">
        <f>M12*'N2O default values'!$E$5</f>
        <v>0.65963189433042768</v>
      </c>
      <c r="P27" s="175">
        <f>P12*'N2O default values'!$E$5</f>
        <v>0.27793770531904627</v>
      </c>
      <c r="Q27" s="175">
        <f>Q12*'N2O default values'!$E$5</f>
        <v>0.32123805667233496</v>
      </c>
      <c r="R27" s="175">
        <f>R12*'N2O default values'!$E$5</f>
        <v>0.27793770531904627</v>
      </c>
      <c r="S27" s="175">
        <f>S12*'N2O default values'!$E$5</f>
        <v>0.46912313680205597</v>
      </c>
      <c r="T27" s="175">
        <f>T12*'N2O default values'!$E$5</f>
        <v>0.65963189433042768</v>
      </c>
    </row>
    <row r="28" spans="1:20" x14ac:dyDescent="0.25">
      <c r="A28" s="175" t="s">
        <v>369</v>
      </c>
      <c r="B28" s="175">
        <f>B19*'N2O default values'!$E$3</f>
        <v>0.45611503199999998</v>
      </c>
      <c r="C28" s="175">
        <f>C19*'N2O default values'!$E$3</f>
        <v>0.45382310399999998</v>
      </c>
      <c r="D28" s="175">
        <f>D19*'N2O default values'!$E$3</f>
        <v>0.21958559999999999</v>
      </c>
      <c r="I28" s="175">
        <f>I19*'N2O default values'!$E$3</f>
        <v>0.45611503199999998</v>
      </c>
      <c r="J28" s="175">
        <f>J19*'N2O default values'!$E$3</f>
        <v>0.35236656000000005</v>
      </c>
      <c r="K28" s="175">
        <f>K19*'N2O default values'!$E$3</f>
        <v>0.45611503199999998</v>
      </c>
      <c r="L28" s="175">
        <f>L19*'N2O default values'!$E$3</f>
        <v>0.45382310399999998</v>
      </c>
      <c r="M28" s="175">
        <f>M19*'N2O default values'!$E$3</f>
        <v>0.21958559999999999</v>
      </c>
      <c r="P28" s="175">
        <f>P19*'N2O default values'!$E$3</f>
        <v>0.45611503199999998</v>
      </c>
      <c r="Q28" s="175">
        <f>Q19*'N2O default values'!$E$3</f>
        <v>0.31712990400000007</v>
      </c>
      <c r="R28" s="175">
        <f>R19*'N2O default values'!$E$3</f>
        <v>0.45611503199999998</v>
      </c>
      <c r="S28" s="175">
        <f>S19*'N2O default values'!$E$3</f>
        <v>0.45382310399999998</v>
      </c>
      <c r="T28" s="175">
        <f>T19*'N2O default values'!$E$3</f>
        <v>0.21958559999999999</v>
      </c>
    </row>
    <row r="30" spans="1:20" x14ac:dyDescent="0.25">
      <c r="A30" s="175" t="s">
        <v>370</v>
      </c>
    </row>
    <row r="31" spans="1:20" x14ac:dyDescent="0.25">
      <c r="A31" s="175">
        <f>SUM(B31:F31)</f>
        <v>18.466198885280978</v>
      </c>
      <c r="B31" s="175">
        <f>SUM(B25:B28)*'N2O default values'!$G$2</f>
        <v>7.7267295872156438</v>
      </c>
      <c r="C31" s="175">
        <f>SUM(C25:C28)*'N2O default values'!$G$2</f>
        <v>4.5254820926889456</v>
      </c>
      <c r="D31" s="175">
        <f>SUM(D25:D28)*'N2O default values'!$G$2</f>
        <v>6.2139872053763865</v>
      </c>
      <c r="H31" s="175">
        <f>SUM(I31:M31)</f>
        <v>22.80563278363956</v>
      </c>
      <c r="I31" s="175">
        <f>SUM(I25:I28)*'N2O default values'!$G$2</f>
        <v>6.9125535872156441</v>
      </c>
      <c r="J31" s="175">
        <f>SUM(J25:J28)*'N2O default values'!$G$2</f>
        <v>0.93204602542865156</v>
      </c>
      <c r="K31" s="175">
        <f>SUM(K25:K28)*'N2O default values'!$G$2</f>
        <v>4.2215638729299299</v>
      </c>
      <c r="L31" s="175">
        <f>SUM(L25:L28)*'N2O default values'!$G$2</f>
        <v>4.5254820926889456</v>
      </c>
      <c r="M31" s="175">
        <f>SUM(M25:M28)*'N2O default values'!$G$2</f>
        <v>6.2139872053763865</v>
      </c>
      <c r="O31" s="175">
        <f>SUM(P31:T31)</f>
        <v>22.876736410696004</v>
      </c>
      <c r="P31" s="175">
        <f>SUM(P25:P28)*'N2O default values'!$G$2</f>
        <v>6.9125535872156441</v>
      </c>
      <c r="Q31" s="175">
        <f>SUM(Q25:Q28)*'N2O default values'!$G$2</f>
        <v>1.0031496524850978</v>
      </c>
      <c r="R31" s="175">
        <f>SUM(R25:R28)*'N2O default values'!$G$2</f>
        <v>4.2215638729299299</v>
      </c>
      <c r="S31" s="175">
        <f>SUM(S25:S28)*'N2O default values'!$G$2</f>
        <v>4.5254820926889456</v>
      </c>
      <c r="T31" s="175">
        <f>SUM(T25:T28)*'N2O default values'!$G$2</f>
        <v>6.2139872053763865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J43" sqref="J43"/>
    </sheetView>
  </sheetViews>
  <sheetFormatPr baseColWidth="10" defaultColWidth="9.140625" defaultRowHeight="15" x14ac:dyDescent="0.25"/>
  <cols>
    <col min="1" max="1" width="9.140625" style="175"/>
    <col min="2" max="2" width="17.7109375" style="175" bestFit="1" customWidth="1"/>
    <col min="3" max="10" width="9.140625" style="175"/>
    <col min="11" max="11" width="41.7109375" style="175" customWidth="1"/>
    <col min="12" max="12" width="7" style="175" customWidth="1"/>
    <col min="13" max="13" width="14.140625" style="175" bestFit="1" customWidth="1"/>
    <col min="14" max="14" width="41.85546875" style="175" customWidth="1"/>
    <col min="15" max="19" width="30.7109375" style="175" customWidth="1"/>
    <col min="20" max="16384" width="9.140625" style="175"/>
  </cols>
  <sheetData>
    <row r="1" spans="1:21" ht="45" x14ac:dyDescent="0.25">
      <c r="A1" s="175">
        <v>1</v>
      </c>
      <c r="C1" s="175" t="s">
        <v>357</v>
      </c>
      <c r="D1" s="175" t="s">
        <v>371</v>
      </c>
      <c r="G1" s="175" t="s">
        <v>372</v>
      </c>
      <c r="I1" s="175" t="s">
        <v>373</v>
      </c>
      <c r="K1" s="5"/>
      <c r="M1" s="175" t="s">
        <v>374</v>
      </c>
      <c r="N1" s="175" t="s">
        <v>333</v>
      </c>
      <c r="O1" s="40" t="s">
        <v>375</v>
      </c>
      <c r="P1" s="40" t="s">
        <v>376</v>
      </c>
      <c r="Q1" s="40" t="s">
        <v>377</v>
      </c>
      <c r="R1" s="40" t="s">
        <v>378</v>
      </c>
      <c r="S1" s="40" t="s">
        <v>334</v>
      </c>
      <c r="T1" s="40" t="s">
        <v>379</v>
      </c>
      <c r="U1" s="40" t="s">
        <v>380</v>
      </c>
    </row>
    <row r="2" spans="1:21" x14ac:dyDescent="0.25">
      <c r="A2" s="175">
        <v>2</v>
      </c>
      <c r="B2" s="175" t="s">
        <v>381</v>
      </c>
      <c r="C2" s="175">
        <v>1.6E-2</v>
      </c>
      <c r="D2" s="175">
        <v>5.0000000000000001E-3</v>
      </c>
      <c r="E2" s="175">
        <f>HLOOKUP('N2O calculations'!$B$6,$B$1:$D$10,A2)</f>
        <v>1.6E-2</v>
      </c>
      <c r="G2" s="175">
        <f>44/28</f>
        <v>1.5714285714285714</v>
      </c>
      <c r="I2" s="175" t="s">
        <v>382</v>
      </c>
      <c r="J2" s="175">
        <v>0.15</v>
      </c>
      <c r="K2" s="208" t="s">
        <v>383</v>
      </c>
      <c r="L2" s="209">
        <v>0.15</v>
      </c>
      <c r="M2" s="175">
        <v>1</v>
      </c>
      <c r="N2" s="40" t="s">
        <v>335</v>
      </c>
      <c r="O2" s="40">
        <v>8.0000000000000002E-3</v>
      </c>
      <c r="P2" s="40">
        <v>8.9999999999999993E-3</v>
      </c>
      <c r="Q2" s="40">
        <v>1</v>
      </c>
      <c r="R2" s="40">
        <v>0.22</v>
      </c>
      <c r="S2" s="40">
        <v>0.85</v>
      </c>
      <c r="T2" s="40">
        <v>1</v>
      </c>
      <c r="U2" s="175">
        <f>S2</f>
        <v>0.85</v>
      </c>
    </row>
    <row r="3" spans="1:21" x14ac:dyDescent="0.25">
      <c r="A3" s="175">
        <v>3</v>
      </c>
      <c r="B3" s="175" t="s">
        <v>384</v>
      </c>
      <c r="C3" s="175">
        <v>6.0000000000000001E-3</v>
      </c>
      <c r="D3" s="175">
        <v>5.0000000000000001E-3</v>
      </c>
      <c r="E3" s="175">
        <f>HLOOKUP('N2O calculations'!$B$6,$B$1:$D$10,A3)</f>
        <v>6.0000000000000001E-3</v>
      </c>
      <c r="I3" s="175" t="s">
        <v>385</v>
      </c>
      <c r="J3" s="175">
        <v>0.08</v>
      </c>
      <c r="K3" s="210" t="s">
        <v>386</v>
      </c>
      <c r="L3" s="209">
        <v>0.08</v>
      </c>
      <c r="M3" s="175">
        <v>2</v>
      </c>
      <c r="N3" s="175" t="s">
        <v>336</v>
      </c>
      <c r="O3" s="175">
        <v>6.0000000000000001E-3</v>
      </c>
      <c r="P3" s="175">
        <v>8.9999999999999993E-3</v>
      </c>
      <c r="Q3" s="175">
        <v>1.3</v>
      </c>
      <c r="R3" s="175">
        <v>0.22</v>
      </c>
      <c r="S3" s="175">
        <v>0.88</v>
      </c>
      <c r="T3" s="40">
        <v>1</v>
      </c>
      <c r="U3" s="175">
        <f t="shared" ref="U3:U22" si="0">S3</f>
        <v>0.88</v>
      </c>
    </row>
    <row r="4" spans="1:21" x14ac:dyDescent="0.25">
      <c r="A4" s="175">
        <v>4</v>
      </c>
      <c r="B4" s="175" t="s">
        <v>387</v>
      </c>
      <c r="C4" s="175">
        <v>1.4E-2</v>
      </c>
      <c r="D4" s="175">
        <v>5.0000000000000001E-3</v>
      </c>
      <c r="E4" s="175">
        <f>HLOOKUP('N2O calculations'!$B$6,$B$1:$D$10,A4)</f>
        <v>1.4E-2</v>
      </c>
      <c r="I4" s="175" t="s">
        <v>388</v>
      </c>
      <c r="J4" s="175">
        <v>0.01</v>
      </c>
      <c r="K4" s="210" t="s">
        <v>389</v>
      </c>
      <c r="L4" s="209">
        <v>0.01</v>
      </c>
      <c r="M4" s="175">
        <v>3</v>
      </c>
      <c r="N4" s="175" t="s">
        <v>337</v>
      </c>
      <c r="O4" s="175">
        <v>6.0000000000000001E-3</v>
      </c>
      <c r="P4" s="175">
        <v>8.9999999999999993E-3</v>
      </c>
      <c r="Q4" s="175">
        <v>1.3</v>
      </c>
      <c r="R4" s="175">
        <v>0.23</v>
      </c>
      <c r="S4" s="175">
        <v>0.89</v>
      </c>
      <c r="T4" s="40">
        <v>1</v>
      </c>
      <c r="U4" s="175">
        <f t="shared" si="0"/>
        <v>0.89</v>
      </c>
    </row>
    <row r="5" spans="1:21" x14ac:dyDescent="0.25">
      <c r="A5" s="175">
        <v>5</v>
      </c>
      <c r="B5" s="175" t="s">
        <v>359</v>
      </c>
      <c r="E5" s="175">
        <v>1.0999999999999999E-2</v>
      </c>
      <c r="I5" s="175" t="s">
        <v>390</v>
      </c>
      <c r="J5" s="175">
        <v>0.05</v>
      </c>
      <c r="K5" s="211" t="s">
        <v>391</v>
      </c>
      <c r="L5" s="211">
        <v>0.05</v>
      </c>
      <c r="M5" s="175">
        <v>4</v>
      </c>
      <c r="N5" s="175" t="s">
        <v>338</v>
      </c>
      <c r="O5" s="175">
        <v>6.0000000000000001E-3</v>
      </c>
      <c r="P5" s="175">
        <v>8.9999999999999993E-3</v>
      </c>
      <c r="Q5" s="175">
        <v>1.3</v>
      </c>
      <c r="R5" s="175">
        <v>0.28000000000000003</v>
      </c>
      <c r="S5" s="175">
        <v>0.89</v>
      </c>
      <c r="T5" s="40">
        <v>1</v>
      </c>
      <c r="U5" s="175">
        <f t="shared" si="0"/>
        <v>0.89</v>
      </c>
    </row>
    <row r="6" spans="1:21" x14ac:dyDescent="0.25">
      <c r="A6" s="175">
        <v>6</v>
      </c>
      <c r="I6" s="175" t="s">
        <v>211</v>
      </c>
      <c r="J6" s="175">
        <v>0.05</v>
      </c>
      <c r="K6" s="211" t="s">
        <v>392</v>
      </c>
      <c r="L6" s="211">
        <v>0.11</v>
      </c>
      <c r="M6" s="175">
        <v>5</v>
      </c>
      <c r="N6" s="175" t="s">
        <v>339</v>
      </c>
      <c r="O6" s="175">
        <v>7.0000000000000001E-3</v>
      </c>
      <c r="P6" s="175">
        <v>1.4E-2</v>
      </c>
      <c r="Q6" s="175">
        <v>1.2</v>
      </c>
      <c r="R6" s="175">
        <v>0.22</v>
      </c>
      <c r="S6" s="175">
        <v>0.89</v>
      </c>
      <c r="T6" s="40">
        <v>1</v>
      </c>
      <c r="U6" s="175">
        <f t="shared" si="0"/>
        <v>0.89</v>
      </c>
    </row>
    <row r="7" spans="1:21" x14ac:dyDescent="0.25">
      <c r="A7" s="175">
        <v>7</v>
      </c>
      <c r="I7" s="175" t="s">
        <v>393</v>
      </c>
      <c r="J7" s="175">
        <v>0.21</v>
      </c>
      <c r="M7" s="175">
        <v>6</v>
      </c>
      <c r="N7" s="175" t="s">
        <v>340</v>
      </c>
      <c r="O7" s="175">
        <v>7.0000000000000001E-3</v>
      </c>
      <c r="P7" s="175">
        <v>8.0000000000000002E-3</v>
      </c>
      <c r="Q7" s="175">
        <v>1.3</v>
      </c>
      <c r="R7" s="175">
        <v>0.25</v>
      </c>
      <c r="S7" s="175">
        <v>0.89</v>
      </c>
      <c r="T7" s="40">
        <v>1</v>
      </c>
      <c r="U7" s="175">
        <f t="shared" si="0"/>
        <v>0.89</v>
      </c>
    </row>
    <row r="8" spans="1:21" x14ac:dyDescent="0.25">
      <c r="A8" s="175">
        <v>8</v>
      </c>
      <c r="I8" s="175" t="s">
        <v>394</v>
      </c>
      <c r="J8" s="175">
        <v>0.05</v>
      </c>
      <c r="M8" s="175">
        <v>7</v>
      </c>
      <c r="N8" s="175" t="s">
        <v>341</v>
      </c>
      <c r="O8" s="175">
        <v>6.0000000000000001E-3</v>
      </c>
      <c r="P8" s="175">
        <v>7.0000000000000001E-3</v>
      </c>
      <c r="Q8" s="175">
        <v>1</v>
      </c>
      <c r="R8" s="175">
        <v>0.22</v>
      </c>
      <c r="S8" s="175">
        <v>0.87</v>
      </c>
      <c r="T8" s="40">
        <v>1</v>
      </c>
      <c r="U8" s="175">
        <f t="shared" si="0"/>
        <v>0.87</v>
      </c>
    </row>
    <row r="9" spans="1:21" x14ac:dyDescent="0.25">
      <c r="A9" s="175">
        <v>9</v>
      </c>
      <c r="I9" s="175" t="s">
        <v>395</v>
      </c>
      <c r="J9" s="175">
        <v>0.05</v>
      </c>
      <c r="M9" s="175">
        <v>8</v>
      </c>
      <c r="N9" s="175" t="s">
        <v>342</v>
      </c>
      <c r="O9" s="175">
        <v>5.0000000000000001E-3</v>
      </c>
      <c r="P9" s="175">
        <v>1.0999999999999999E-2</v>
      </c>
      <c r="Q9" s="175">
        <v>1.6</v>
      </c>
      <c r="R9" s="212">
        <f>R2</f>
        <v>0.22</v>
      </c>
      <c r="S9" s="175">
        <v>0.88</v>
      </c>
      <c r="T9" s="40">
        <v>1</v>
      </c>
      <c r="U9" s="175">
        <f t="shared" si="0"/>
        <v>0.88</v>
      </c>
    </row>
    <row r="10" spans="1:21" x14ac:dyDescent="0.25">
      <c r="A10" s="175">
        <v>10</v>
      </c>
      <c r="I10" s="175" t="s">
        <v>396</v>
      </c>
      <c r="J10" s="175">
        <v>0.05</v>
      </c>
      <c r="M10" s="175">
        <v>9</v>
      </c>
      <c r="N10" s="175" t="s">
        <v>343</v>
      </c>
      <c r="O10" s="175">
        <v>7.0000000000000001E-3</v>
      </c>
      <c r="P10" s="212">
        <f>P2</f>
        <v>8.9999999999999993E-3</v>
      </c>
      <c r="Q10" s="175">
        <v>1.4</v>
      </c>
      <c r="R10" s="175">
        <v>0.16</v>
      </c>
      <c r="S10" s="175">
        <v>0.89</v>
      </c>
      <c r="T10" s="40">
        <v>1</v>
      </c>
      <c r="U10" s="175">
        <f t="shared" si="0"/>
        <v>0.89</v>
      </c>
    </row>
    <row r="11" spans="1:21" x14ac:dyDescent="0.25">
      <c r="I11" s="175" t="s">
        <v>397</v>
      </c>
      <c r="J11" s="205">
        <v>0.11</v>
      </c>
      <c r="M11" s="175">
        <v>10</v>
      </c>
      <c r="N11" s="175" t="s">
        <v>344</v>
      </c>
      <c r="O11" s="175">
        <v>7.0000000000000001E-3</v>
      </c>
      <c r="P11" s="212">
        <f>P2</f>
        <v>8.9999999999999993E-3</v>
      </c>
      <c r="Q11" s="175">
        <v>1.4</v>
      </c>
      <c r="R11" s="212">
        <f>R2</f>
        <v>0.22</v>
      </c>
      <c r="S11" s="186">
        <v>0.9</v>
      </c>
      <c r="T11" s="40">
        <v>1</v>
      </c>
      <c r="U11" s="175">
        <f t="shared" si="0"/>
        <v>0.9</v>
      </c>
    </row>
    <row r="12" spans="1:21" x14ac:dyDescent="0.25">
      <c r="I12" s="175" t="s">
        <v>398</v>
      </c>
      <c r="J12" s="205">
        <v>0.08</v>
      </c>
      <c r="M12" s="175">
        <v>11</v>
      </c>
      <c r="N12" s="175" t="s">
        <v>345</v>
      </c>
      <c r="O12" s="175">
        <v>7.0000000000000001E-3</v>
      </c>
      <c r="P12" s="175">
        <v>6.0000000000000001E-3</v>
      </c>
      <c r="Q12" s="175">
        <v>1.4</v>
      </c>
      <c r="R12" s="212">
        <f>R2</f>
        <v>0.22</v>
      </c>
      <c r="S12" s="175">
        <v>0.89</v>
      </c>
      <c r="T12" s="40">
        <v>1</v>
      </c>
      <c r="U12" s="175">
        <f t="shared" si="0"/>
        <v>0.89</v>
      </c>
    </row>
    <row r="13" spans="1:21" x14ac:dyDescent="0.25">
      <c r="I13" s="175" t="s">
        <v>399</v>
      </c>
      <c r="J13" s="175">
        <v>0.11</v>
      </c>
      <c r="M13" s="175">
        <v>12</v>
      </c>
      <c r="N13" s="175" t="s">
        <v>346</v>
      </c>
      <c r="O13" s="175">
        <v>8.0000000000000002E-3</v>
      </c>
      <c r="P13" s="175">
        <v>8.0000000000000002E-3</v>
      </c>
      <c r="Q13" s="175">
        <v>2.1</v>
      </c>
      <c r="R13" s="175">
        <v>0.19</v>
      </c>
      <c r="S13" s="175">
        <v>0.91</v>
      </c>
      <c r="T13" s="40">
        <v>1</v>
      </c>
      <c r="U13" s="175">
        <f t="shared" si="0"/>
        <v>0.91</v>
      </c>
    </row>
    <row r="14" spans="1:21" x14ac:dyDescent="0.25">
      <c r="I14" s="175" t="s">
        <v>400</v>
      </c>
      <c r="J14" s="175">
        <v>0.05</v>
      </c>
      <c r="M14" s="175">
        <v>13</v>
      </c>
      <c r="N14" s="175" t="s">
        <v>347</v>
      </c>
      <c r="O14" s="175">
        <v>8.0000000000000002E-3</v>
      </c>
      <c r="P14" s="175">
        <v>8.0000000000000002E-3</v>
      </c>
      <c r="Q14" s="175">
        <v>2.1</v>
      </c>
      <c r="R14" s="175">
        <v>0.19</v>
      </c>
      <c r="S14" s="175">
        <v>0.91</v>
      </c>
      <c r="T14" s="40">
        <v>1</v>
      </c>
      <c r="U14" s="175">
        <f t="shared" si="0"/>
        <v>0.91</v>
      </c>
    </row>
    <row r="15" spans="1:21" x14ac:dyDescent="0.25">
      <c r="I15" s="175" t="s">
        <v>401</v>
      </c>
      <c r="J15" s="175">
        <v>0.15</v>
      </c>
      <c r="M15" s="175">
        <v>14</v>
      </c>
      <c r="N15" s="175" t="s">
        <v>348</v>
      </c>
      <c r="O15" s="175">
        <v>1.9E-2</v>
      </c>
      <c r="P15" s="175">
        <v>1.4E-2</v>
      </c>
      <c r="Q15" s="175">
        <v>0.4</v>
      </c>
      <c r="R15" s="175">
        <v>0.2</v>
      </c>
      <c r="S15" s="175">
        <v>0.22</v>
      </c>
      <c r="T15" s="40">
        <v>1</v>
      </c>
      <c r="U15" s="175">
        <f t="shared" si="0"/>
        <v>0.22</v>
      </c>
    </row>
    <row r="16" spans="1:21" x14ac:dyDescent="0.25">
      <c r="I16" s="175" t="s">
        <v>402</v>
      </c>
      <c r="J16" s="175">
        <v>0.11</v>
      </c>
      <c r="M16" s="175">
        <v>15</v>
      </c>
      <c r="N16" s="175" t="s">
        <v>349</v>
      </c>
      <c r="O16" s="175">
        <v>1.6E-2</v>
      </c>
      <c r="P16" s="212">
        <f>P2</f>
        <v>8.9999999999999993E-3</v>
      </c>
      <c r="Q16" s="175">
        <v>1</v>
      </c>
      <c r="R16" s="212">
        <f>R2</f>
        <v>0.22</v>
      </c>
      <c r="S16" s="175">
        <v>0.94</v>
      </c>
      <c r="T16" s="40">
        <v>1</v>
      </c>
      <c r="U16" s="175">
        <f t="shared" si="0"/>
        <v>0.94</v>
      </c>
    </row>
    <row r="17" spans="9:21" x14ac:dyDescent="0.25">
      <c r="I17" s="175" t="s">
        <v>403</v>
      </c>
      <c r="J17" s="175">
        <v>0.08</v>
      </c>
      <c r="M17" s="175">
        <v>16</v>
      </c>
      <c r="N17" s="175" t="s">
        <v>350</v>
      </c>
      <c r="O17" s="175">
        <v>2.7E-2</v>
      </c>
      <c r="P17" s="175">
        <v>1.9E-2</v>
      </c>
      <c r="Q17" s="212">
        <f>Q$2</f>
        <v>1</v>
      </c>
      <c r="R17" s="175">
        <v>0.4</v>
      </c>
      <c r="S17" s="175">
        <v>0.9</v>
      </c>
      <c r="T17" s="40">
        <v>1</v>
      </c>
      <c r="U17" s="175">
        <f t="shared" si="0"/>
        <v>0.9</v>
      </c>
    </row>
    <row r="18" spans="9:21" x14ac:dyDescent="0.25">
      <c r="I18" s="175" t="s">
        <v>404</v>
      </c>
      <c r="J18" s="175">
        <v>0.11</v>
      </c>
      <c r="M18" s="175">
        <v>17</v>
      </c>
      <c r="N18" s="175" t="s">
        <v>351</v>
      </c>
      <c r="O18" s="175">
        <v>1.4999999999999999E-2</v>
      </c>
      <c r="P18" s="175">
        <v>1.2E-2</v>
      </c>
      <c r="Q18" s="212">
        <f>Q$2</f>
        <v>1</v>
      </c>
      <c r="R18" s="175">
        <v>0.54</v>
      </c>
      <c r="S18" s="175">
        <v>0.9</v>
      </c>
      <c r="T18" s="40"/>
      <c r="U18" s="175">
        <f t="shared" si="0"/>
        <v>0.9</v>
      </c>
    </row>
    <row r="19" spans="9:21" x14ac:dyDescent="0.25">
      <c r="I19" s="175" t="s">
        <v>405</v>
      </c>
      <c r="J19" s="175">
        <v>0.05</v>
      </c>
      <c r="M19" s="175">
        <v>18</v>
      </c>
      <c r="N19" s="175" t="s">
        <v>352</v>
      </c>
      <c r="O19" s="175">
        <v>2.7E-2</v>
      </c>
      <c r="P19" s="175">
        <v>2.1999999999999999E-2</v>
      </c>
      <c r="Q19" s="175">
        <v>0.3</v>
      </c>
      <c r="R19" s="175">
        <v>0.4</v>
      </c>
      <c r="S19" s="175">
        <v>0.9</v>
      </c>
      <c r="T19" s="40"/>
      <c r="U19" s="175">
        <f t="shared" si="0"/>
        <v>0.9</v>
      </c>
    </row>
    <row r="20" spans="9:21" x14ac:dyDescent="0.25">
      <c r="I20" s="175" t="s">
        <v>406</v>
      </c>
      <c r="J20" s="175">
        <v>0.08</v>
      </c>
      <c r="M20" s="175">
        <v>19</v>
      </c>
      <c r="N20" s="175" t="s">
        <v>353</v>
      </c>
      <c r="O20" s="175">
        <v>1.4999999999999999E-2</v>
      </c>
      <c r="P20" s="175">
        <v>1.2E-2</v>
      </c>
      <c r="Q20" s="175">
        <v>0.3</v>
      </c>
      <c r="R20" s="175">
        <v>0.54</v>
      </c>
      <c r="S20" s="175">
        <v>0.9</v>
      </c>
      <c r="T20" s="40"/>
      <c r="U20" s="175">
        <f t="shared" si="0"/>
        <v>0.9</v>
      </c>
    </row>
    <row r="21" spans="9:21" x14ac:dyDescent="0.25">
      <c r="I21" s="175" t="s">
        <v>407</v>
      </c>
      <c r="J21" s="175">
        <v>0.05</v>
      </c>
      <c r="M21" s="175">
        <v>20</v>
      </c>
      <c r="N21" s="175" t="s">
        <v>354</v>
      </c>
      <c r="O21" s="175">
        <v>1.4999999999999999E-2</v>
      </c>
      <c r="P21" s="175">
        <v>1.2E-2</v>
      </c>
      <c r="Q21" s="175">
        <v>0.3</v>
      </c>
      <c r="R21" s="175">
        <v>0.8</v>
      </c>
      <c r="S21" s="175">
        <v>0.9</v>
      </c>
      <c r="T21" s="40"/>
      <c r="U21" s="175">
        <f t="shared" si="0"/>
        <v>0.9</v>
      </c>
    </row>
    <row r="22" spans="9:21" x14ac:dyDescent="0.25">
      <c r="I22" s="175" t="s">
        <v>408</v>
      </c>
      <c r="J22" s="175">
        <v>0.11</v>
      </c>
      <c r="M22" s="175">
        <v>21</v>
      </c>
      <c r="N22" s="175" t="s">
        <v>355</v>
      </c>
      <c r="O22" s="175">
        <v>2.5000000000000001E-2</v>
      </c>
      <c r="P22" s="175">
        <v>1.6E-2</v>
      </c>
      <c r="Q22" s="175">
        <v>0.3</v>
      </c>
      <c r="R22" s="175">
        <v>0.8</v>
      </c>
      <c r="S22" s="175">
        <v>0.9</v>
      </c>
      <c r="T22" s="40"/>
      <c r="U22" s="175">
        <f t="shared" si="0"/>
        <v>0.9</v>
      </c>
    </row>
    <row r="23" spans="9:21" x14ac:dyDescent="0.25">
      <c r="I23" s="175" t="s">
        <v>409</v>
      </c>
      <c r="J23" s="175">
        <v>0.08</v>
      </c>
    </row>
    <row r="24" spans="9:21" x14ac:dyDescent="0.25">
      <c r="I24" s="175" t="s">
        <v>410</v>
      </c>
      <c r="J24" s="175">
        <v>0.01</v>
      </c>
    </row>
    <row r="25" spans="9:21" x14ac:dyDescent="0.25">
      <c r="I25" s="175" t="s">
        <v>411</v>
      </c>
      <c r="J25" s="175">
        <v>0.15</v>
      </c>
    </row>
    <row r="26" spans="9:21" x14ac:dyDescent="0.25">
      <c r="I26" s="175" t="s">
        <v>412</v>
      </c>
      <c r="J26" s="175">
        <v>0.05</v>
      </c>
    </row>
    <row r="27" spans="9:21" x14ac:dyDescent="0.25">
      <c r="I27" s="175" t="s">
        <v>413</v>
      </c>
      <c r="J27" s="175">
        <v>0.05</v>
      </c>
    </row>
    <row r="28" spans="9:21" x14ac:dyDescent="0.25">
      <c r="I28" s="225" t="s">
        <v>119</v>
      </c>
      <c r="J28" s="225">
        <v>0.05</v>
      </c>
    </row>
    <row r="29" spans="9:21" x14ac:dyDescent="0.25">
      <c r="I29" s="175" t="s">
        <v>414</v>
      </c>
      <c r="J29" s="175">
        <v>0.15</v>
      </c>
    </row>
    <row r="30" spans="9:21" x14ac:dyDescent="0.25">
      <c r="I30" s="175" t="s">
        <v>19</v>
      </c>
      <c r="J30" s="175">
        <v>0.21</v>
      </c>
    </row>
    <row r="31" spans="9:21" x14ac:dyDescent="0.25">
      <c r="I31" s="175" t="s">
        <v>415</v>
      </c>
      <c r="J31" s="175">
        <v>0.08</v>
      </c>
    </row>
    <row r="32" spans="9:21" x14ac:dyDescent="0.25">
      <c r="I32" s="175" t="s">
        <v>416</v>
      </c>
      <c r="J32" s="175">
        <v>0.05</v>
      </c>
    </row>
    <row r="33" spans="9:10" x14ac:dyDescent="0.25">
      <c r="I33" s="175" t="s">
        <v>417</v>
      </c>
      <c r="J33" s="175">
        <v>0.08</v>
      </c>
    </row>
    <row r="34" spans="9:10" x14ac:dyDescent="0.25">
      <c r="I34" s="175" t="s">
        <v>418</v>
      </c>
      <c r="J34" s="175">
        <v>0.15</v>
      </c>
    </row>
    <row r="35" spans="9:10" x14ac:dyDescent="0.25">
      <c r="I35" s="175" t="s">
        <v>419</v>
      </c>
      <c r="J35" s="175">
        <v>0.21</v>
      </c>
    </row>
    <row r="36" spans="9:10" x14ac:dyDescent="0.25">
      <c r="I36" s="175" t="s">
        <v>420</v>
      </c>
      <c r="J36" s="175">
        <v>0.11</v>
      </c>
    </row>
    <row r="37" spans="9:10" x14ac:dyDescent="0.25">
      <c r="I37" s="175" t="s">
        <v>421</v>
      </c>
      <c r="J37" s="175">
        <v>0.11</v>
      </c>
    </row>
    <row r="38" spans="9:10" x14ac:dyDescent="0.25">
      <c r="I38" s="175" t="s">
        <v>422</v>
      </c>
      <c r="J38" s="175">
        <v>0.11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18" style="175" customWidth="1"/>
    <col min="2" max="16384" width="9.140625" style="175"/>
  </cols>
  <sheetData>
    <row r="1" spans="1:6" x14ac:dyDescent="0.25">
      <c r="A1" s="175" t="s">
        <v>333</v>
      </c>
      <c r="B1" s="175" t="s">
        <v>423</v>
      </c>
      <c r="E1" s="5"/>
    </row>
    <row r="2" spans="1:6" x14ac:dyDescent="0.25">
      <c r="A2" s="213" t="s">
        <v>308</v>
      </c>
      <c r="B2" s="175">
        <v>12</v>
      </c>
      <c r="C2" s="187"/>
      <c r="D2" s="40"/>
      <c r="E2" s="187"/>
    </row>
    <row r="3" spans="1:6" x14ac:dyDescent="0.25">
      <c r="A3" s="207" t="s">
        <v>424</v>
      </c>
      <c r="B3" s="175">
        <v>12</v>
      </c>
      <c r="C3" s="187"/>
      <c r="E3" s="187"/>
    </row>
    <row r="4" spans="1:6" x14ac:dyDescent="0.25">
      <c r="A4" s="207" t="s">
        <v>296</v>
      </c>
      <c r="B4" s="175">
        <v>5</v>
      </c>
      <c r="E4" s="187"/>
    </row>
    <row r="5" spans="1:6" x14ac:dyDescent="0.25">
      <c r="A5" s="207" t="s">
        <v>188</v>
      </c>
      <c r="B5" s="175">
        <v>5</v>
      </c>
      <c r="E5" s="185"/>
    </row>
    <row r="6" spans="1:6" x14ac:dyDescent="0.25">
      <c r="A6" s="207" t="s">
        <v>425</v>
      </c>
      <c r="B6" s="175">
        <v>6</v>
      </c>
      <c r="E6" s="187"/>
    </row>
    <row r="7" spans="1:6" x14ac:dyDescent="0.25">
      <c r="A7" s="207" t="s">
        <v>189</v>
      </c>
      <c r="B7" s="175">
        <v>1</v>
      </c>
      <c r="E7" s="187"/>
      <c r="F7" s="189"/>
    </row>
    <row r="8" spans="1:6" x14ac:dyDescent="0.25">
      <c r="A8" s="207" t="s">
        <v>118</v>
      </c>
      <c r="B8" s="175">
        <v>3</v>
      </c>
      <c r="E8" s="187"/>
      <c r="F8" s="189"/>
    </row>
    <row r="9" spans="1:6" x14ac:dyDescent="0.25">
      <c r="A9" s="214" t="s">
        <v>426</v>
      </c>
      <c r="B9" s="175">
        <v>13</v>
      </c>
      <c r="C9" s="187"/>
      <c r="E9" s="187"/>
    </row>
    <row r="10" spans="1:6" x14ac:dyDescent="0.25">
      <c r="A10" s="5" t="s">
        <v>341</v>
      </c>
      <c r="B10" s="175">
        <v>7</v>
      </c>
      <c r="C10" s="187"/>
      <c r="E10" s="187"/>
    </row>
    <row r="11" spans="1:6" x14ac:dyDescent="0.25">
      <c r="A11" s="207" t="s">
        <v>427</v>
      </c>
      <c r="B11" s="175">
        <v>1</v>
      </c>
      <c r="E11" s="187"/>
    </row>
    <row r="12" spans="1:6" x14ac:dyDescent="0.25">
      <c r="A12" s="36" t="s">
        <v>428</v>
      </c>
      <c r="B12" s="175">
        <v>12</v>
      </c>
      <c r="E12" s="187"/>
    </row>
    <row r="13" spans="1:6" x14ac:dyDescent="0.25">
      <c r="A13" s="207" t="s">
        <v>429</v>
      </c>
      <c r="B13" s="175">
        <v>12</v>
      </c>
      <c r="E13" s="187"/>
    </row>
    <row r="14" spans="1:6" x14ac:dyDescent="0.25">
      <c r="A14" s="40" t="s">
        <v>126</v>
      </c>
      <c r="B14" s="175">
        <v>13</v>
      </c>
      <c r="E14" s="187"/>
    </row>
    <row r="15" spans="1:6" x14ac:dyDescent="0.25">
      <c r="A15" s="40" t="s">
        <v>430</v>
      </c>
      <c r="B15" s="175">
        <v>7</v>
      </c>
      <c r="E15" s="187"/>
    </row>
    <row r="16" spans="1:6" x14ac:dyDescent="0.25">
      <c r="A16" s="175" t="s">
        <v>125</v>
      </c>
      <c r="B16" s="175">
        <v>12</v>
      </c>
      <c r="E16" s="187"/>
    </row>
    <row r="17" spans="1:5" x14ac:dyDescent="0.25">
      <c r="A17" s="175" t="s">
        <v>311</v>
      </c>
      <c r="B17" s="175">
        <v>2</v>
      </c>
      <c r="E17" s="187"/>
    </row>
    <row r="18" spans="1:5" x14ac:dyDescent="0.25">
      <c r="A18" s="175" t="s">
        <v>339</v>
      </c>
      <c r="B18" s="175">
        <v>5</v>
      </c>
    </row>
    <row r="19" spans="1:5" x14ac:dyDescent="0.25">
      <c r="A19" s="175" t="s">
        <v>307</v>
      </c>
      <c r="B19" s="175">
        <v>3</v>
      </c>
    </row>
    <row r="20" spans="1:5" x14ac:dyDescent="0.25">
      <c r="A20" s="175" t="s">
        <v>431</v>
      </c>
      <c r="B20" s="175">
        <v>14</v>
      </c>
    </row>
    <row r="21" spans="1:5" x14ac:dyDescent="0.25">
      <c r="A21" s="175" t="s">
        <v>295</v>
      </c>
      <c r="B21" s="175">
        <v>1</v>
      </c>
    </row>
    <row r="22" spans="1:5" x14ac:dyDescent="0.25">
      <c r="A22" s="175" t="s">
        <v>299</v>
      </c>
      <c r="B22" s="175">
        <v>3</v>
      </c>
    </row>
    <row r="23" spans="1:5" x14ac:dyDescent="0.25">
      <c r="A23" s="175" t="s">
        <v>301</v>
      </c>
      <c r="B23" s="175">
        <v>1</v>
      </c>
    </row>
    <row r="24" spans="1:5" x14ac:dyDescent="0.25">
      <c r="A24" s="175" t="s">
        <v>300</v>
      </c>
      <c r="B24" s="17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R31" sqref="R31"/>
    </sheetView>
  </sheetViews>
  <sheetFormatPr baseColWidth="10" defaultColWidth="11.42578125" defaultRowHeight="15" x14ac:dyDescent="0.25"/>
  <sheetData>
    <row r="1" spans="1:17" x14ac:dyDescent="0.25">
      <c r="A1" s="171" t="s">
        <v>249</v>
      </c>
      <c r="B1" s="5"/>
      <c r="C1" s="5"/>
      <c r="D1" s="5"/>
      <c r="E1" s="5"/>
      <c r="F1" s="5"/>
      <c r="G1" s="5"/>
    </row>
    <row r="2" spans="1:17" x14ac:dyDescent="0.25">
      <c r="A2" s="4" t="s">
        <v>260</v>
      </c>
      <c r="B2" s="4"/>
      <c r="C2" s="4"/>
      <c r="D2" s="4"/>
      <c r="E2" s="4"/>
      <c r="F2" s="4"/>
      <c r="G2" s="4"/>
    </row>
    <row r="3" spans="1:17" x14ac:dyDescent="0.25">
      <c r="A3" s="4" t="s">
        <v>261</v>
      </c>
      <c r="B3" s="4"/>
      <c r="C3" s="4"/>
      <c r="D3" s="4"/>
      <c r="E3" s="4"/>
      <c r="F3" s="4"/>
      <c r="G3" s="4"/>
    </row>
    <row r="4" spans="1:17" s="4" customFormat="1" x14ac:dyDescent="0.25"/>
    <row r="5" spans="1:17" x14ac:dyDescent="0.25">
      <c r="A5" s="171" t="s">
        <v>250</v>
      </c>
      <c r="B5" s="5"/>
      <c r="C5" s="5"/>
      <c r="D5" s="5"/>
      <c r="E5" s="5"/>
      <c r="F5" s="5"/>
      <c r="G5" s="5"/>
    </row>
    <row r="6" spans="1:17" x14ac:dyDescent="0.25">
      <c r="A6" s="172" t="s">
        <v>262</v>
      </c>
      <c r="B6" s="4"/>
      <c r="C6" s="4"/>
      <c r="D6" s="4"/>
      <c r="E6" s="4"/>
      <c r="F6" s="4"/>
      <c r="G6" s="4"/>
    </row>
    <row r="7" spans="1:17" x14ac:dyDescent="0.25">
      <c r="A7" s="4"/>
      <c r="B7" s="4"/>
      <c r="C7" s="4"/>
      <c r="D7" s="4"/>
      <c r="E7" s="4"/>
      <c r="F7" s="4"/>
      <c r="G7" s="4"/>
    </row>
    <row r="8" spans="1:17" x14ac:dyDescent="0.25">
      <c r="A8" s="5" t="s">
        <v>251</v>
      </c>
      <c r="B8" s="5"/>
      <c r="C8" s="5"/>
      <c r="D8" s="5"/>
      <c r="E8" s="5"/>
      <c r="F8" s="5"/>
      <c r="G8" s="5"/>
    </row>
    <row r="9" spans="1:17" x14ac:dyDescent="0.25">
      <c r="A9" s="4" t="s">
        <v>252</v>
      </c>
      <c r="B9" s="4"/>
      <c r="C9" s="4"/>
      <c r="D9" s="4"/>
      <c r="E9" s="4"/>
      <c r="F9" s="4"/>
      <c r="G9" s="4"/>
    </row>
    <row r="10" spans="1:17" x14ac:dyDescent="0.25">
      <c r="A10" s="4" t="s">
        <v>253</v>
      </c>
      <c r="B10" s="173" t="s">
        <v>269</v>
      </c>
      <c r="C10" s="4"/>
      <c r="D10" s="4"/>
      <c r="E10" s="4"/>
      <c r="F10" s="4"/>
      <c r="G10" s="4"/>
      <c r="Q10" s="175"/>
    </row>
    <row r="11" spans="1:17" x14ac:dyDescent="0.25">
      <c r="A11" s="4"/>
      <c r="B11" s="174" t="s">
        <v>263</v>
      </c>
      <c r="C11" s="4"/>
      <c r="D11" s="4"/>
      <c r="E11" s="4"/>
      <c r="F11" s="4"/>
      <c r="G11" s="4"/>
    </row>
    <row r="12" spans="1:17" x14ac:dyDescent="0.25">
      <c r="A12" s="4"/>
      <c r="B12" s="4"/>
      <c r="C12" s="4"/>
      <c r="D12" s="4"/>
      <c r="E12" s="4"/>
      <c r="F12" s="4"/>
      <c r="G12" s="4"/>
    </row>
    <row r="13" spans="1:17" x14ac:dyDescent="0.25">
      <c r="A13" s="4" t="s">
        <v>254</v>
      </c>
      <c r="B13" s="4"/>
      <c r="C13" s="4"/>
      <c r="D13" s="4"/>
      <c r="E13" s="4"/>
      <c r="F13" s="4"/>
      <c r="G13" s="4"/>
    </row>
    <row r="14" spans="1:17" x14ac:dyDescent="0.25">
      <c r="A14" s="174" t="s">
        <v>253</v>
      </c>
      <c r="B14" s="173" t="s">
        <v>270</v>
      </c>
      <c r="C14" s="4"/>
      <c r="D14" s="4"/>
      <c r="E14" s="4"/>
      <c r="F14" s="4"/>
      <c r="G14" s="4"/>
    </row>
    <row r="15" spans="1:17" s="4" customFormat="1" x14ac:dyDescent="0.25">
      <c r="A15" s="174"/>
      <c r="B15" s="173" t="s">
        <v>285</v>
      </c>
    </row>
    <row r="16" spans="1:17" x14ac:dyDescent="0.25">
      <c r="A16" s="4"/>
      <c r="B16" s="4" t="s">
        <v>255</v>
      </c>
      <c r="C16" s="4"/>
      <c r="D16" s="4"/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173" t="s">
        <v>256</v>
      </c>
      <c r="B18" s="4"/>
      <c r="C18" s="4"/>
      <c r="D18" s="4"/>
      <c r="E18" s="4"/>
      <c r="F18" s="4"/>
      <c r="G18" s="4"/>
    </row>
    <row r="19" spans="1:7" x14ac:dyDescent="0.25">
      <c r="A19" s="173"/>
      <c r="B19" s="173" t="s">
        <v>284</v>
      </c>
      <c r="C19" s="4"/>
      <c r="D19" s="4"/>
      <c r="E19" s="4"/>
      <c r="F19" s="4"/>
      <c r="G19" s="4"/>
    </row>
    <row r="20" spans="1:7" x14ac:dyDescent="0.25">
      <c r="A20" s="173"/>
      <c r="B20" s="173" t="s">
        <v>257</v>
      </c>
      <c r="C20" s="4"/>
      <c r="D20" s="4"/>
      <c r="E20" s="4"/>
      <c r="F20" s="4"/>
      <c r="G20" s="4"/>
    </row>
    <row r="21" spans="1:7" x14ac:dyDescent="0.25">
      <c r="A21" s="173"/>
      <c r="B21" s="173"/>
      <c r="C21" s="4"/>
      <c r="D21" s="4"/>
      <c r="E21" s="4"/>
      <c r="F21" s="4"/>
      <c r="G21" s="4"/>
    </row>
    <row r="22" spans="1:7" x14ac:dyDescent="0.25">
      <c r="A22" s="5" t="s">
        <v>258</v>
      </c>
      <c r="B22" s="5"/>
      <c r="C22" s="5"/>
      <c r="D22" s="5"/>
      <c r="E22" s="5"/>
      <c r="F22" s="5"/>
      <c r="G22" s="5"/>
    </row>
    <row r="23" spans="1:7" x14ac:dyDescent="0.25">
      <c r="A23" s="4" t="s">
        <v>253</v>
      </c>
      <c r="B23" s="4" t="s">
        <v>259</v>
      </c>
      <c r="C23" s="4"/>
      <c r="D23" s="4"/>
      <c r="E23" s="4"/>
      <c r="F23" s="4"/>
      <c r="G23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9"/>
  <sheetViews>
    <sheetView zoomScale="90" zoomScaleNormal="90" workbookViewId="0">
      <selection activeCell="C36" sqref="C36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14.7109375" bestFit="1" customWidth="1"/>
    <col min="4" max="4" width="15.85546875" customWidth="1"/>
    <col min="11" max="11" width="12.28515625" bestFit="1" customWidth="1"/>
  </cols>
  <sheetData>
    <row r="4" spans="1:9" s="4" customFormat="1" x14ac:dyDescent="0.25"/>
    <row r="5" spans="1:9" ht="15" customHeight="1" x14ac:dyDescent="0.25">
      <c r="A5" s="232" t="s">
        <v>60</v>
      </c>
      <c r="B5" s="231" t="s">
        <v>59</v>
      </c>
      <c r="C5" s="229" t="s">
        <v>264</v>
      </c>
      <c r="D5" s="230"/>
      <c r="I5" s="26"/>
    </row>
    <row r="6" spans="1:9" s="4" customFormat="1" ht="18.75" customHeight="1" x14ac:dyDescent="0.25">
      <c r="A6" s="232"/>
      <c r="B6" s="231"/>
      <c r="C6" s="229"/>
      <c r="D6" s="230"/>
      <c r="E6" s="24"/>
      <c r="F6" s="24"/>
    </row>
    <row r="7" spans="1:9" s="4" customFormat="1" ht="18.75" customHeight="1" x14ac:dyDescent="0.25">
      <c r="A7" s="232"/>
      <c r="B7" s="231"/>
      <c r="C7" s="25" t="s">
        <v>265</v>
      </c>
      <c r="D7" s="24"/>
      <c r="E7" s="24"/>
      <c r="F7" s="24"/>
    </row>
    <row r="8" spans="1:9" s="4" customFormat="1" ht="18.75" customHeight="1" x14ac:dyDescent="0.25">
      <c r="A8" s="32"/>
      <c r="B8" s="31"/>
      <c r="C8" s="25"/>
      <c r="D8" s="24"/>
      <c r="E8" s="24"/>
      <c r="F8" s="24"/>
    </row>
    <row r="9" spans="1:9" s="4" customFormat="1" ht="18.75" customHeight="1" x14ac:dyDescent="0.25">
      <c r="A9" s="32" t="s">
        <v>61</v>
      </c>
      <c r="B9" s="233" t="s">
        <v>62</v>
      </c>
      <c r="C9" s="25" t="s">
        <v>268</v>
      </c>
      <c r="D9" s="24"/>
      <c r="E9" s="24"/>
      <c r="F9" s="24"/>
    </row>
    <row r="10" spans="1:9" x14ac:dyDescent="0.25">
      <c r="A10" s="4"/>
      <c r="B10" s="233"/>
      <c r="C10" s="175"/>
    </row>
    <row r="11" spans="1:9" s="4" customFormat="1" ht="15" customHeight="1" x14ac:dyDescent="0.25">
      <c r="A11" s="237" t="s">
        <v>0</v>
      </c>
      <c r="B11" s="231" t="s">
        <v>63</v>
      </c>
      <c r="C11" s="230" t="s">
        <v>266</v>
      </c>
    </row>
    <row r="12" spans="1:9" x14ac:dyDescent="0.25">
      <c r="A12" s="237"/>
      <c r="B12" s="231"/>
      <c r="C12" s="230"/>
    </row>
    <row r="13" spans="1:9" s="4" customFormat="1" x14ac:dyDescent="0.25">
      <c r="A13" s="5"/>
      <c r="C13" s="175"/>
    </row>
    <row r="14" spans="1:9" x14ac:dyDescent="0.25">
      <c r="A14" s="6" t="s">
        <v>1</v>
      </c>
      <c r="B14" s="29" t="s">
        <v>81</v>
      </c>
      <c r="C14" s="175">
        <v>35</v>
      </c>
    </row>
    <row r="15" spans="1:9" x14ac:dyDescent="0.25">
      <c r="A15" s="5"/>
      <c r="B15" s="4"/>
      <c r="C15" s="175"/>
    </row>
    <row r="16" spans="1:9" s="4" customFormat="1" x14ac:dyDescent="0.25">
      <c r="A16" s="39" t="s">
        <v>74</v>
      </c>
      <c r="B16" s="4" t="s">
        <v>75</v>
      </c>
      <c r="C16" s="175"/>
    </row>
    <row r="17" spans="1:14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3" t="s">
        <v>64</v>
      </c>
      <c r="B18" s="33"/>
      <c r="C18" s="4"/>
      <c r="D18" s="3"/>
      <c r="E18" s="3"/>
      <c r="F18" s="3"/>
      <c r="G18" s="3"/>
      <c r="I18" s="3"/>
      <c r="J18" s="3"/>
      <c r="L18" s="3"/>
      <c r="M18" s="3"/>
      <c r="N18" s="3"/>
    </row>
    <row r="19" spans="1:14" s="4" customFormat="1" x14ac:dyDescent="0.25">
      <c r="A19" s="238" t="s">
        <v>67</v>
      </c>
    </row>
    <row r="20" spans="1:14" ht="15" customHeight="1" x14ac:dyDescent="0.25">
      <c r="A20" s="238"/>
      <c r="B20" s="30" t="s">
        <v>65</v>
      </c>
      <c r="C20" t="s">
        <v>267</v>
      </c>
    </row>
    <row r="21" spans="1:14" x14ac:dyDescent="0.25">
      <c r="A21" s="238"/>
      <c r="B21" s="4"/>
      <c r="C21" s="175"/>
    </row>
    <row r="22" spans="1:14" x14ac:dyDescent="0.25">
      <c r="C22" s="175"/>
    </row>
    <row r="23" spans="1:14" ht="30" x14ac:dyDescent="0.25">
      <c r="A23" s="27" t="s">
        <v>52</v>
      </c>
      <c r="B23" s="30" t="s">
        <v>82</v>
      </c>
      <c r="C23" s="170">
        <v>0.74</v>
      </c>
    </row>
    <row r="24" spans="1:14" x14ac:dyDescent="0.25">
      <c r="A24" s="5"/>
      <c r="B24" s="4"/>
      <c r="C24" s="175"/>
    </row>
    <row r="25" spans="1:14" ht="15" customHeight="1" x14ac:dyDescent="0.25">
      <c r="A25" s="236" t="s">
        <v>4</v>
      </c>
      <c r="B25" s="234" t="s">
        <v>66</v>
      </c>
      <c r="C25" s="235">
        <v>11</v>
      </c>
    </row>
    <row r="26" spans="1:14" s="4" customFormat="1" x14ac:dyDescent="0.25">
      <c r="A26" s="236"/>
      <c r="B26" s="234"/>
      <c r="C26" s="235"/>
    </row>
    <row r="27" spans="1:14" x14ac:dyDescent="0.25">
      <c r="A27" s="236"/>
      <c r="B27" s="234"/>
      <c r="C27" s="235"/>
    </row>
    <row r="28" spans="1:14" s="4" customFormat="1" x14ac:dyDescent="0.25">
      <c r="A28" s="5"/>
      <c r="B28" s="28"/>
      <c r="C28" s="176"/>
    </row>
    <row r="29" spans="1:14" ht="30" x14ac:dyDescent="0.25">
      <c r="A29" s="27" t="s">
        <v>53</v>
      </c>
      <c r="B29" s="4" t="s">
        <v>83</v>
      </c>
      <c r="C29" s="175">
        <v>1.5</v>
      </c>
    </row>
    <row r="30" spans="1:14" x14ac:dyDescent="0.25">
      <c r="A30" s="5"/>
      <c r="B30" s="4"/>
      <c r="C30" s="175"/>
    </row>
    <row r="31" spans="1:14" x14ac:dyDescent="0.25">
      <c r="A31" s="6" t="s">
        <v>54</v>
      </c>
      <c r="B31" s="4" t="s">
        <v>84</v>
      </c>
      <c r="C31" s="175">
        <v>30</v>
      </c>
    </row>
    <row r="32" spans="1:14" x14ac:dyDescent="0.25">
      <c r="A32" s="5"/>
      <c r="B32" s="4"/>
      <c r="C32" s="175"/>
    </row>
    <row r="33" spans="1:3" ht="30" x14ac:dyDescent="0.25">
      <c r="A33" s="27" t="s">
        <v>55</v>
      </c>
      <c r="B33" s="4" t="s">
        <v>85</v>
      </c>
      <c r="C33" s="175">
        <v>1.7</v>
      </c>
    </row>
    <row r="34" spans="1:3" x14ac:dyDescent="0.25">
      <c r="A34" s="27"/>
      <c r="B34" s="4"/>
      <c r="C34" s="175"/>
    </row>
    <row r="35" spans="1:3" ht="45" x14ac:dyDescent="0.25">
      <c r="A35" s="27" t="s">
        <v>56</v>
      </c>
      <c r="B35" s="3" t="s">
        <v>86</v>
      </c>
      <c r="C35" s="175">
        <v>294.33999999999997</v>
      </c>
    </row>
    <row r="36" spans="1:3" x14ac:dyDescent="0.25">
      <c r="A36" s="27"/>
      <c r="B36" s="4"/>
      <c r="C36" s="175"/>
    </row>
    <row r="37" spans="1:3" ht="30" x14ac:dyDescent="0.25">
      <c r="A37" s="27" t="s">
        <v>58</v>
      </c>
      <c r="B37" s="4" t="s">
        <v>87</v>
      </c>
      <c r="C37" s="175">
        <v>510</v>
      </c>
    </row>
    <row r="38" spans="1:3" x14ac:dyDescent="0.25">
      <c r="A38" s="27"/>
      <c r="B38" s="4"/>
      <c r="C38" s="175"/>
    </row>
    <row r="39" spans="1:3" ht="30" x14ac:dyDescent="0.25">
      <c r="A39" s="27" t="s">
        <v>57</v>
      </c>
      <c r="B39" s="40" t="s">
        <v>88</v>
      </c>
      <c r="C39" s="175">
        <v>220</v>
      </c>
    </row>
  </sheetData>
  <mergeCells count="12">
    <mergeCell ref="B25:B27"/>
    <mergeCell ref="C25:C27"/>
    <mergeCell ref="A25:A27"/>
    <mergeCell ref="B11:B12"/>
    <mergeCell ref="A11:A12"/>
    <mergeCell ref="C11:C12"/>
    <mergeCell ref="A19:A21"/>
    <mergeCell ref="C5:C6"/>
    <mergeCell ref="D5:D6"/>
    <mergeCell ref="B5:B7"/>
    <mergeCell ref="A5:A7"/>
    <mergeCell ref="B9:B10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Y66"/>
  <sheetViews>
    <sheetView zoomScale="60" zoomScaleNormal="60" workbookViewId="0">
      <pane xSplit="3" topLeftCell="G1" activePane="topRight" state="frozen"/>
      <selection pane="topRight" activeCell="L28" sqref="L28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.7109375" style="7" customWidth="1"/>
    <col min="5" max="5" width="11.42578125" style="4"/>
    <col min="6" max="6" width="35" style="4" bestFit="1" customWidth="1"/>
    <col min="7" max="7" width="20.28515625" style="4" customWidth="1"/>
    <col min="8" max="8" width="11.42578125" style="4"/>
    <col min="9" max="9" width="25.85546875" style="4" bestFit="1" customWidth="1"/>
    <col min="10" max="10" width="28.140625" style="4" bestFit="1" customWidth="1"/>
    <col min="11" max="11" width="1.7109375" style="22" customWidth="1"/>
    <col min="12" max="12" width="8.5703125" style="4" bestFit="1" customWidth="1"/>
    <col min="13" max="13" width="35" style="4" bestFit="1" customWidth="1"/>
    <col min="14" max="15" width="9.28515625" style="4" customWidth="1"/>
    <col min="16" max="16" width="25.85546875" style="4" bestFit="1" customWidth="1"/>
    <col min="17" max="17" width="28.140625" style="4" bestFit="1" customWidth="1"/>
    <col min="18" max="18" width="1.7109375" style="22" customWidth="1"/>
    <col min="19" max="20" width="11.42578125" style="4"/>
    <col min="21" max="21" width="34.28515625" style="4" bestFit="1" customWidth="1"/>
    <col min="22" max="22" width="11.42578125" style="4"/>
    <col min="23" max="23" width="25.85546875" style="4" bestFit="1" customWidth="1"/>
    <col min="24" max="24" width="28.140625" style="4" bestFit="1" customWidth="1"/>
    <col min="25" max="25" width="1.7109375" style="7" customWidth="1"/>
    <col min="26" max="16384" width="11.42578125" style="4"/>
  </cols>
  <sheetData>
    <row r="6" spans="1:25" ht="15.75" thickBot="1" x14ac:dyDescent="0.3">
      <c r="A6" s="9"/>
      <c r="B6" s="9"/>
      <c r="C6" s="9"/>
    </row>
    <row r="7" spans="1:25" ht="15.75" thickBot="1" x14ac:dyDescent="0.3">
      <c r="A7" s="20"/>
      <c r="B7" s="21" t="s">
        <v>39</v>
      </c>
      <c r="C7" s="21" t="s">
        <v>40</v>
      </c>
      <c r="D7" s="19"/>
      <c r="E7" s="343" t="s">
        <v>47</v>
      </c>
      <c r="F7" s="344"/>
      <c r="G7" s="344"/>
      <c r="H7" s="344"/>
      <c r="I7" s="344"/>
      <c r="J7" s="344"/>
      <c r="K7" s="65"/>
      <c r="L7" s="343" t="s">
        <v>48</v>
      </c>
      <c r="M7" s="344"/>
      <c r="N7" s="344"/>
      <c r="O7" s="344"/>
      <c r="P7" s="344"/>
      <c r="Q7" s="344"/>
      <c r="R7" s="65"/>
      <c r="S7" s="343" t="s">
        <v>49</v>
      </c>
      <c r="T7" s="344"/>
      <c r="U7" s="344"/>
      <c r="V7" s="344"/>
      <c r="W7" s="344"/>
      <c r="X7" s="344"/>
      <c r="Y7" s="66"/>
    </row>
    <row r="8" spans="1:25" ht="15" customHeight="1" x14ac:dyDescent="0.25">
      <c r="A8" s="326" t="s">
        <v>38</v>
      </c>
      <c r="B8" s="329" t="s">
        <v>37</v>
      </c>
      <c r="C8" s="41" t="s">
        <v>2</v>
      </c>
      <c r="D8" s="8"/>
      <c r="E8" s="322" t="s">
        <v>118</v>
      </c>
      <c r="F8" s="323"/>
      <c r="G8" s="323"/>
      <c r="H8" s="323"/>
      <c r="I8" s="323"/>
      <c r="J8" s="323"/>
      <c r="K8" s="23"/>
      <c r="L8" s="322" t="s">
        <v>188</v>
      </c>
      <c r="M8" s="323"/>
      <c r="N8" s="323"/>
      <c r="O8" s="323"/>
      <c r="P8" s="323"/>
      <c r="Q8" s="323"/>
      <c r="R8" s="23"/>
      <c r="S8" s="322" t="s">
        <v>189</v>
      </c>
      <c r="T8" s="323"/>
      <c r="U8" s="323"/>
      <c r="V8" s="323"/>
      <c r="W8" s="323"/>
      <c r="X8" s="323"/>
    </row>
    <row r="9" spans="1:25" x14ac:dyDescent="0.25">
      <c r="A9" s="327"/>
      <c r="B9" s="330"/>
      <c r="C9" s="67" t="s">
        <v>3</v>
      </c>
      <c r="D9" s="8"/>
      <c r="E9" s="324" t="s">
        <v>76</v>
      </c>
      <c r="F9" s="325"/>
      <c r="G9" s="325"/>
      <c r="H9" s="325"/>
      <c r="I9" s="325"/>
      <c r="J9" s="325"/>
      <c r="K9" s="23"/>
      <c r="L9" s="324" t="s">
        <v>76</v>
      </c>
      <c r="M9" s="325"/>
      <c r="N9" s="325"/>
      <c r="O9" s="325"/>
      <c r="P9" s="325"/>
      <c r="Q9" s="325"/>
      <c r="R9" s="23"/>
      <c r="S9" s="324" t="s">
        <v>76</v>
      </c>
      <c r="T9" s="325"/>
      <c r="U9" s="325"/>
      <c r="V9" s="325"/>
      <c r="W9" s="325"/>
      <c r="X9" s="325"/>
    </row>
    <row r="10" spans="1:25" x14ac:dyDescent="0.25">
      <c r="A10" s="327"/>
      <c r="B10" s="330"/>
      <c r="C10" s="67" t="s">
        <v>110</v>
      </c>
      <c r="D10" s="8"/>
      <c r="E10" s="321"/>
      <c r="F10" s="321"/>
      <c r="G10" s="321"/>
      <c r="H10" s="321"/>
      <c r="I10" s="321"/>
      <c r="J10" s="321"/>
      <c r="K10" s="69"/>
      <c r="L10" s="321"/>
      <c r="M10" s="321"/>
      <c r="N10" s="321"/>
      <c r="O10" s="321"/>
      <c r="P10" s="321"/>
      <c r="Q10" s="321"/>
      <c r="R10" s="69"/>
      <c r="S10" s="321"/>
      <c r="T10" s="321"/>
      <c r="U10" s="321"/>
      <c r="V10" s="321"/>
      <c r="W10" s="321"/>
      <c r="X10" s="321"/>
      <c r="Y10" s="70"/>
    </row>
    <row r="11" spans="1:25" ht="15.75" thickBot="1" x14ac:dyDescent="0.3">
      <c r="A11" s="328"/>
      <c r="B11" s="331"/>
      <c r="C11" s="68" t="s">
        <v>68</v>
      </c>
      <c r="D11" s="71"/>
      <c r="E11" s="332"/>
      <c r="F11" s="333"/>
      <c r="G11" s="333"/>
      <c r="H11" s="333"/>
      <c r="I11" s="333"/>
      <c r="J11" s="334"/>
      <c r="K11" s="72"/>
      <c r="L11" s="332"/>
      <c r="M11" s="333"/>
      <c r="N11" s="333"/>
      <c r="O11" s="333"/>
      <c r="P11" s="333"/>
      <c r="Q11" s="334"/>
      <c r="R11" s="72"/>
      <c r="S11" s="332"/>
      <c r="T11" s="333"/>
      <c r="U11" s="333"/>
      <c r="V11" s="333"/>
      <c r="W11" s="333"/>
      <c r="X11" s="334"/>
      <c r="Y11" s="73"/>
    </row>
    <row r="12" spans="1:25" ht="15.75" thickBot="1" x14ac:dyDescent="0.3">
      <c r="A12" s="10"/>
      <c r="B12" s="12"/>
      <c r="C12" s="58"/>
      <c r="E12" s="250"/>
      <c r="F12" s="251"/>
      <c r="G12" s="251"/>
      <c r="H12" s="251"/>
      <c r="I12" s="251"/>
      <c r="J12" s="251"/>
      <c r="L12" s="250"/>
      <c r="M12" s="251"/>
      <c r="N12" s="251"/>
      <c r="O12" s="251"/>
      <c r="P12" s="251"/>
      <c r="Q12" s="251"/>
      <c r="S12" s="250"/>
      <c r="T12" s="251"/>
      <c r="U12" s="251"/>
      <c r="V12" s="251"/>
      <c r="W12" s="251"/>
      <c r="X12" s="251"/>
    </row>
    <row r="13" spans="1:25" ht="15" customHeight="1" x14ac:dyDescent="0.25">
      <c r="A13" s="319" t="s">
        <v>36</v>
      </c>
      <c r="B13" s="320" t="s">
        <v>104</v>
      </c>
      <c r="C13" s="56" t="s">
        <v>5</v>
      </c>
      <c r="E13" s="335" t="s">
        <v>143</v>
      </c>
      <c r="F13" s="336"/>
      <c r="G13" s="336"/>
      <c r="H13" s="336"/>
      <c r="I13" s="337"/>
      <c r="J13" s="98" t="s">
        <v>175</v>
      </c>
      <c r="L13" s="335" t="s">
        <v>143</v>
      </c>
      <c r="M13" s="336"/>
      <c r="N13" s="336"/>
      <c r="O13" s="336"/>
      <c r="P13" s="337"/>
      <c r="Q13" s="98" t="s">
        <v>169</v>
      </c>
      <c r="S13" s="335" t="s">
        <v>132</v>
      </c>
      <c r="T13" s="336"/>
      <c r="U13" s="336"/>
      <c r="V13" s="336"/>
      <c r="W13" s="337"/>
      <c r="X13" s="98" t="s">
        <v>209</v>
      </c>
    </row>
    <row r="14" spans="1:25" x14ac:dyDescent="0.25">
      <c r="A14" s="319"/>
      <c r="B14" s="320"/>
      <c r="C14" s="13" t="s">
        <v>6</v>
      </c>
      <c r="E14" s="338" t="s">
        <v>133</v>
      </c>
      <c r="F14" s="339"/>
      <c r="G14" s="339"/>
      <c r="H14" s="339"/>
      <c r="I14" s="340"/>
      <c r="J14" s="86" t="s">
        <v>174</v>
      </c>
      <c r="L14" s="338" t="s">
        <v>133</v>
      </c>
      <c r="M14" s="339"/>
      <c r="N14" s="339"/>
      <c r="O14" s="339"/>
      <c r="P14" s="340"/>
      <c r="Q14" s="86" t="s">
        <v>196</v>
      </c>
      <c r="S14" s="338" t="s">
        <v>133</v>
      </c>
      <c r="T14" s="339"/>
      <c r="U14" s="339"/>
      <c r="V14" s="339"/>
      <c r="W14" s="340"/>
      <c r="X14" s="86" t="s">
        <v>208</v>
      </c>
    </row>
    <row r="15" spans="1:25" ht="15.75" thickBot="1" x14ac:dyDescent="0.3">
      <c r="A15" s="319"/>
      <c r="B15" s="320"/>
      <c r="C15" s="57" t="s">
        <v>7</v>
      </c>
      <c r="E15" s="341"/>
      <c r="F15" s="342"/>
      <c r="G15" s="342"/>
      <c r="H15" s="342"/>
      <c r="I15" s="293"/>
      <c r="J15" s="97" t="s">
        <v>115</v>
      </c>
      <c r="L15" s="341"/>
      <c r="M15" s="342"/>
      <c r="N15" s="342"/>
      <c r="O15" s="342"/>
      <c r="P15" s="293"/>
      <c r="Q15" s="97" t="s">
        <v>115</v>
      </c>
      <c r="S15" s="341"/>
      <c r="T15" s="342"/>
      <c r="U15" s="342"/>
      <c r="V15" s="342"/>
      <c r="W15" s="293"/>
      <c r="X15" s="97" t="s">
        <v>115</v>
      </c>
    </row>
    <row r="16" spans="1:25" ht="15.75" thickBot="1" x14ac:dyDescent="0.3">
      <c r="A16" s="11"/>
      <c r="B16" s="14"/>
      <c r="C16" s="14"/>
      <c r="E16" s="250"/>
      <c r="F16" s="251"/>
      <c r="G16" s="251"/>
      <c r="H16" s="251"/>
      <c r="I16" s="251"/>
      <c r="J16" s="251"/>
      <c r="L16" s="250"/>
      <c r="M16" s="251"/>
      <c r="N16" s="251"/>
      <c r="O16" s="251"/>
      <c r="P16" s="251"/>
      <c r="Q16" s="251"/>
      <c r="S16" s="250"/>
      <c r="T16" s="251"/>
      <c r="U16" s="251"/>
      <c r="V16" s="251"/>
      <c r="W16" s="251"/>
      <c r="X16" s="251"/>
    </row>
    <row r="17" spans="1:24" x14ac:dyDescent="0.25">
      <c r="A17" s="306" t="s">
        <v>8</v>
      </c>
      <c r="B17" s="309" t="s">
        <v>105</v>
      </c>
      <c r="C17" s="54" t="s">
        <v>69</v>
      </c>
      <c r="E17" s="312"/>
      <c r="F17" s="313"/>
      <c r="G17" s="313"/>
      <c r="H17" s="313"/>
      <c r="I17" s="313"/>
      <c r="J17" s="313"/>
      <c r="L17" s="312"/>
      <c r="M17" s="313"/>
      <c r="N17" s="313"/>
      <c r="O17" s="313"/>
      <c r="P17" s="313"/>
      <c r="Q17" s="313"/>
      <c r="S17" s="312"/>
      <c r="T17" s="313"/>
      <c r="U17" s="313"/>
      <c r="V17" s="313"/>
      <c r="W17" s="313"/>
      <c r="X17" s="313"/>
    </row>
    <row r="18" spans="1:24" x14ac:dyDescent="0.25">
      <c r="A18" s="307"/>
      <c r="B18" s="310"/>
      <c r="C18" s="15" t="s">
        <v>80</v>
      </c>
      <c r="E18" s="314">
        <v>160</v>
      </c>
      <c r="F18" s="315"/>
      <c r="G18" s="315"/>
      <c r="H18" s="315"/>
      <c r="I18" s="315"/>
      <c r="J18" s="315"/>
      <c r="L18" s="314">
        <v>160</v>
      </c>
      <c r="M18" s="315"/>
      <c r="N18" s="315"/>
      <c r="O18" s="315"/>
      <c r="P18" s="315"/>
      <c r="Q18" s="315"/>
      <c r="S18" s="314">
        <v>3</v>
      </c>
      <c r="T18" s="315"/>
      <c r="U18" s="315"/>
      <c r="V18" s="315"/>
      <c r="W18" s="315"/>
      <c r="X18" s="315"/>
    </row>
    <row r="19" spans="1:24" ht="15.75" thickBot="1" x14ac:dyDescent="0.3">
      <c r="A19" s="308"/>
      <c r="B19" s="311"/>
      <c r="C19" s="55" t="s">
        <v>10</v>
      </c>
      <c r="E19" s="318" t="s">
        <v>138</v>
      </c>
      <c r="F19" s="265"/>
      <c r="G19" s="265"/>
      <c r="H19" s="265"/>
      <c r="I19" s="266"/>
      <c r="J19" s="87" t="s">
        <v>177</v>
      </c>
      <c r="L19" s="318" t="s">
        <v>138</v>
      </c>
      <c r="M19" s="265"/>
      <c r="N19" s="265"/>
      <c r="O19" s="265"/>
      <c r="P19" s="266"/>
      <c r="Q19" s="87" t="s">
        <v>198</v>
      </c>
      <c r="S19" s="318" t="s">
        <v>138</v>
      </c>
      <c r="T19" s="265"/>
      <c r="U19" s="265"/>
      <c r="V19" s="265"/>
      <c r="W19" s="266"/>
      <c r="X19" s="87" t="s">
        <v>170</v>
      </c>
    </row>
    <row r="20" spans="1:24" ht="15.75" thickBot="1" x14ac:dyDescent="0.3">
      <c r="A20" s="11"/>
      <c r="B20" s="14"/>
      <c r="C20" s="14"/>
      <c r="E20" s="316"/>
      <c r="F20" s="317"/>
      <c r="G20" s="317"/>
      <c r="H20" s="317"/>
      <c r="I20" s="317"/>
      <c r="J20" s="317"/>
      <c r="L20" s="316"/>
      <c r="M20" s="317"/>
      <c r="N20" s="317"/>
      <c r="O20" s="317"/>
      <c r="P20" s="317"/>
      <c r="Q20" s="317"/>
      <c r="S20" s="316"/>
      <c r="T20" s="317"/>
      <c r="U20" s="317"/>
      <c r="V20" s="317"/>
      <c r="W20" s="317"/>
      <c r="X20" s="317"/>
    </row>
    <row r="21" spans="1:24" ht="15.75" thickBot="1" x14ac:dyDescent="0.3">
      <c r="A21" s="303" t="s">
        <v>11</v>
      </c>
      <c r="B21" s="296" t="s">
        <v>106</v>
      </c>
      <c r="C21" s="49" t="s">
        <v>95</v>
      </c>
      <c r="E21" s="99" t="s">
        <v>32</v>
      </c>
      <c r="F21" s="100" t="s">
        <v>73</v>
      </c>
      <c r="G21" s="100" t="s">
        <v>20</v>
      </c>
      <c r="H21" s="100" t="s">
        <v>116</v>
      </c>
      <c r="I21" s="101" t="s">
        <v>102</v>
      </c>
      <c r="J21" s="101" t="s">
        <v>23</v>
      </c>
      <c r="L21" s="99" t="s">
        <v>32</v>
      </c>
      <c r="M21" s="100" t="s">
        <v>73</v>
      </c>
      <c r="N21" s="100" t="s">
        <v>20</v>
      </c>
      <c r="O21" s="100" t="s">
        <v>116</v>
      </c>
      <c r="P21" s="101" t="s">
        <v>102</v>
      </c>
      <c r="Q21" s="101" t="s">
        <v>23</v>
      </c>
      <c r="S21" s="99" t="s">
        <v>32</v>
      </c>
      <c r="T21" s="100" t="s">
        <v>73</v>
      </c>
      <c r="U21" s="100" t="s">
        <v>20</v>
      </c>
      <c r="V21" s="100" t="s">
        <v>116</v>
      </c>
      <c r="W21" s="101" t="s">
        <v>102</v>
      </c>
      <c r="X21" s="101" t="s">
        <v>23</v>
      </c>
    </row>
    <row r="22" spans="1:24" ht="15" customHeight="1" x14ac:dyDescent="0.25">
      <c r="A22" s="304"/>
      <c r="B22" s="297"/>
      <c r="C22" s="44" t="s">
        <v>12</v>
      </c>
      <c r="E22" s="51" t="s">
        <v>119</v>
      </c>
      <c r="F22" s="45" t="s">
        <v>120</v>
      </c>
      <c r="G22" s="88" t="s">
        <v>147</v>
      </c>
      <c r="H22" s="88" t="s">
        <v>121</v>
      </c>
      <c r="I22" s="80" t="s">
        <v>124</v>
      </c>
      <c r="J22" s="80"/>
      <c r="L22" s="51" t="s">
        <v>119</v>
      </c>
      <c r="M22" s="45" t="s">
        <v>120</v>
      </c>
      <c r="N22" s="88" t="s">
        <v>144</v>
      </c>
      <c r="O22" s="88" t="s">
        <v>193</v>
      </c>
      <c r="P22" s="80" t="s">
        <v>190</v>
      </c>
      <c r="Q22" s="80"/>
      <c r="S22" s="51" t="s">
        <v>119</v>
      </c>
      <c r="T22" s="45" t="s">
        <v>120</v>
      </c>
      <c r="U22" s="88"/>
      <c r="V22" s="143" t="s">
        <v>210</v>
      </c>
      <c r="W22" s="80" t="s">
        <v>191</v>
      </c>
      <c r="X22" s="80">
        <v>3</v>
      </c>
    </row>
    <row r="23" spans="1:24" x14ac:dyDescent="0.25">
      <c r="A23" s="304"/>
      <c r="B23" s="297"/>
      <c r="C23" s="16" t="s">
        <v>13</v>
      </c>
      <c r="E23" s="89" t="s">
        <v>79</v>
      </c>
      <c r="F23" s="106" t="s">
        <v>123</v>
      </c>
      <c r="G23" s="89" t="s">
        <v>146</v>
      </c>
      <c r="H23" s="89" t="s">
        <v>173</v>
      </c>
      <c r="I23" s="125">
        <v>122</v>
      </c>
      <c r="J23" s="125"/>
      <c r="L23" s="89" t="s">
        <v>79</v>
      </c>
      <c r="M23" s="106" t="s">
        <v>123</v>
      </c>
      <c r="N23" s="89" t="s">
        <v>146</v>
      </c>
      <c r="O23" s="89" t="s">
        <v>195</v>
      </c>
      <c r="P23" s="79">
        <v>100</v>
      </c>
      <c r="Q23" s="79"/>
      <c r="S23" s="89" t="s">
        <v>79</v>
      </c>
      <c r="T23" s="106" t="s">
        <v>123</v>
      </c>
      <c r="U23" s="89" t="s">
        <v>146</v>
      </c>
      <c r="V23" s="89" t="s">
        <v>207</v>
      </c>
      <c r="W23" s="79">
        <v>147</v>
      </c>
      <c r="X23" s="79">
        <v>1</v>
      </c>
    </row>
    <row r="24" spans="1:24" x14ac:dyDescent="0.25">
      <c r="A24" s="304"/>
      <c r="B24" s="297"/>
      <c r="C24" s="16" t="s">
        <v>14</v>
      </c>
      <c r="E24" s="104" t="s">
        <v>78</v>
      </c>
      <c r="F24" s="105" t="s">
        <v>122</v>
      </c>
      <c r="G24" s="89" t="s">
        <v>146</v>
      </c>
      <c r="H24" s="89" t="s">
        <v>173</v>
      </c>
      <c r="I24" s="125">
        <v>103</v>
      </c>
      <c r="J24" s="125"/>
      <c r="L24" s="104" t="s">
        <v>78</v>
      </c>
      <c r="M24" s="105" t="s">
        <v>122</v>
      </c>
      <c r="N24" s="89" t="s">
        <v>146</v>
      </c>
      <c r="O24" s="89" t="s">
        <v>195</v>
      </c>
      <c r="P24" s="79">
        <v>85</v>
      </c>
      <c r="Q24" s="79"/>
      <c r="S24" s="104" t="s">
        <v>78</v>
      </c>
      <c r="T24" s="105" t="s">
        <v>122</v>
      </c>
      <c r="U24" s="89"/>
      <c r="V24" s="89" t="s">
        <v>207</v>
      </c>
      <c r="W24" s="79">
        <v>90</v>
      </c>
      <c r="X24" s="79">
        <v>1</v>
      </c>
    </row>
    <row r="25" spans="1:24" x14ac:dyDescent="0.25">
      <c r="A25" s="304"/>
      <c r="B25" s="297"/>
      <c r="C25" s="16" t="s">
        <v>15</v>
      </c>
      <c r="E25" s="52"/>
      <c r="F25" s="125"/>
      <c r="G25" s="89"/>
      <c r="H25" s="89"/>
      <c r="I25" s="125"/>
      <c r="J25" s="125"/>
      <c r="L25" s="52"/>
      <c r="M25" s="79"/>
      <c r="N25" s="89"/>
      <c r="O25" s="89"/>
      <c r="P25" s="79"/>
      <c r="Q25" s="79"/>
      <c r="S25" s="52"/>
      <c r="T25" s="79"/>
      <c r="U25" s="89"/>
      <c r="V25" s="89"/>
      <c r="W25" s="79"/>
      <c r="X25" s="79"/>
    </row>
    <row r="26" spans="1:24" x14ac:dyDescent="0.25">
      <c r="A26" s="304"/>
      <c r="B26" s="297"/>
      <c r="C26" s="16" t="s">
        <v>16</v>
      </c>
      <c r="E26" s="52" t="s">
        <v>498</v>
      </c>
      <c r="F26" s="103" t="s">
        <v>233</v>
      </c>
      <c r="G26" s="103" t="s">
        <v>146</v>
      </c>
      <c r="H26" s="89" t="s">
        <v>178</v>
      </c>
      <c r="I26" s="125">
        <v>100</v>
      </c>
      <c r="J26" s="125"/>
      <c r="L26" s="52" t="s">
        <v>498</v>
      </c>
      <c r="M26" s="103" t="s">
        <v>233</v>
      </c>
      <c r="N26" s="89" t="s">
        <v>146</v>
      </c>
      <c r="O26" s="89" t="s">
        <v>178</v>
      </c>
      <c r="P26" s="102">
        <v>100</v>
      </c>
      <c r="Q26" s="79"/>
      <c r="S26" s="52" t="s">
        <v>498</v>
      </c>
      <c r="T26" s="103" t="s">
        <v>233</v>
      </c>
      <c r="U26" s="93" t="s">
        <v>146</v>
      </c>
      <c r="V26" s="89" t="s">
        <v>172</v>
      </c>
      <c r="W26" s="102">
        <v>100</v>
      </c>
      <c r="X26" s="79">
        <v>1</v>
      </c>
    </row>
    <row r="27" spans="1:24" x14ac:dyDescent="0.25">
      <c r="A27" s="304"/>
      <c r="B27" s="297"/>
      <c r="C27" s="16" t="s">
        <v>17</v>
      </c>
      <c r="E27" s="104" t="s">
        <v>77</v>
      </c>
      <c r="F27" s="157" t="s">
        <v>234</v>
      </c>
      <c r="G27" s="89"/>
      <c r="H27" s="89" t="s">
        <v>176</v>
      </c>
      <c r="I27" s="125">
        <v>666</v>
      </c>
      <c r="J27" s="125"/>
      <c r="L27" s="132" t="s">
        <v>77</v>
      </c>
      <c r="M27" s="157" t="s">
        <v>234</v>
      </c>
      <c r="N27" s="89" t="s">
        <v>194</v>
      </c>
      <c r="O27" s="89" t="s">
        <v>171</v>
      </c>
      <c r="P27" s="125">
        <v>666</v>
      </c>
      <c r="Q27" s="125"/>
      <c r="S27" s="104" t="s">
        <v>77</v>
      </c>
      <c r="T27" s="157" t="s">
        <v>234</v>
      </c>
      <c r="U27" s="89" t="s">
        <v>194</v>
      </c>
      <c r="V27" s="89" t="s">
        <v>186</v>
      </c>
      <c r="W27" s="102">
        <v>666</v>
      </c>
      <c r="X27" s="79">
        <v>1</v>
      </c>
    </row>
    <row r="28" spans="1:24" x14ac:dyDescent="0.25">
      <c r="A28" s="304"/>
      <c r="B28" s="297"/>
      <c r="C28" s="35" t="s">
        <v>141</v>
      </c>
      <c r="E28" s="120" t="s">
        <v>153</v>
      </c>
      <c r="F28" s="48"/>
      <c r="G28" s="80" t="s">
        <v>149</v>
      </c>
      <c r="H28" s="119" t="s">
        <v>179</v>
      </c>
      <c r="I28" s="48" t="s">
        <v>154</v>
      </c>
      <c r="J28" s="48"/>
      <c r="L28" s="132" t="s">
        <v>200</v>
      </c>
      <c r="M28" s="125" t="s">
        <v>202</v>
      </c>
      <c r="N28" s="125" t="s">
        <v>145</v>
      </c>
      <c r="O28" s="89" t="s">
        <v>201</v>
      </c>
      <c r="P28" s="125" t="s">
        <v>100</v>
      </c>
      <c r="Q28" s="125"/>
      <c r="S28" s="145" t="s">
        <v>211</v>
      </c>
      <c r="T28" s="146" t="s">
        <v>212</v>
      </c>
      <c r="U28" s="147" t="s">
        <v>145</v>
      </c>
      <c r="V28" s="147" t="s">
        <v>213</v>
      </c>
      <c r="W28" s="146" t="s">
        <v>222</v>
      </c>
      <c r="X28" s="146">
        <v>3</v>
      </c>
    </row>
    <row r="29" spans="1:24" ht="15.75" thickBot="1" x14ac:dyDescent="0.3">
      <c r="A29" s="304"/>
      <c r="B29" s="297"/>
      <c r="C29" s="35" t="s">
        <v>141</v>
      </c>
      <c r="E29" s="52" t="s">
        <v>150</v>
      </c>
      <c r="F29" s="179"/>
      <c r="G29" s="179" t="s">
        <v>149</v>
      </c>
      <c r="H29" s="89" t="s">
        <v>180</v>
      </c>
      <c r="I29" s="179" t="s">
        <v>151</v>
      </c>
      <c r="J29" s="179"/>
      <c r="L29" s="125" t="s">
        <v>142</v>
      </c>
      <c r="M29" s="125"/>
      <c r="N29" s="125" t="s">
        <v>145</v>
      </c>
      <c r="O29" s="89" t="s">
        <v>199</v>
      </c>
      <c r="P29" s="125" t="s">
        <v>154</v>
      </c>
      <c r="Q29" s="125"/>
      <c r="S29" s="53"/>
      <c r="T29" s="47"/>
      <c r="U29" s="91"/>
      <c r="V29" s="91"/>
      <c r="W29" s="47"/>
      <c r="X29" s="47"/>
    </row>
    <row r="30" spans="1:24" ht="15.75" thickBot="1" x14ac:dyDescent="0.3">
      <c r="A30" s="304"/>
      <c r="B30" s="297"/>
      <c r="C30" s="35" t="s">
        <v>141</v>
      </c>
      <c r="E30" s="99"/>
      <c r="F30" s="101"/>
      <c r="G30" s="101"/>
      <c r="H30" s="100"/>
      <c r="I30" s="101"/>
      <c r="J30" s="101"/>
      <c r="L30" s="99" t="s">
        <v>153</v>
      </c>
      <c r="M30" s="101"/>
      <c r="N30" s="80" t="s">
        <v>145</v>
      </c>
      <c r="O30" s="100" t="s">
        <v>172</v>
      </c>
      <c r="P30" s="101" t="s">
        <v>139</v>
      </c>
      <c r="Q30" s="101"/>
      <c r="S30" s="99"/>
      <c r="T30" s="101"/>
      <c r="U30" s="100"/>
      <c r="V30" s="100"/>
      <c r="W30" s="101"/>
      <c r="X30" s="101"/>
    </row>
    <row r="31" spans="1:24" ht="18" thickBot="1" x14ac:dyDescent="0.3">
      <c r="A31" s="304"/>
      <c r="B31" s="297"/>
      <c r="C31" s="49" t="s">
        <v>93</v>
      </c>
      <c r="E31" s="99" t="s">
        <v>32</v>
      </c>
      <c r="F31" s="101" t="s">
        <v>94</v>
      </c>
      <c r="G31" s="100" t="s">
        <v>20</v>
      </c>
      <c r="H31" s="100" t="s">
        <v>116</v>
      </c>
      <c r="I31" s="101" t="s">
        <v>96</v>
      </c>
      <c r="J31" s="101" t="s">
        <v>23</v>
      </c>
      <c r="L31" s="99" t="s">
        <v>32</v>
      </c>
      <c r="M31" s="101" t="s">
        <v>94</v>
      </c>
      <c r="N31" s="100" t="s">
        <v>20</v>
      </c>
      <c r="O31" s="100" t="s">
        <v>116</v>
      </c>
      <c r="P31" s="101" t="s">
        <v>96</v>
      </c>
      <c r="Q31" s="101" t="s">
        <v>23</v>
      </c>
      <c r="S31" s="99" t="s">
        <v>32</v>
      </c>
      <c r="T31" s="101" t="s">
        <v>94</v>
      </c>
      <c r="U31" s="100" t="s">
        <v>20</v>
      </c>
      <c r="V31" s="100" t="s">
        <v>116</v>
      </c>
      <c r="W31" s="101" t="s">
        <v>96</v>
      </c>
      <c r="X31" s="101" t="s">
        <v>23</v>
      </c>
    </row>
    <row r="32" spans="1:24" x14ac:dyDescent="0.25">
      <c r="A32" s="304"/>
      <c r="B32" s="297"/>
      <c r="C32" s="44" t="s">
        <v>111</v>
      </c>
      <c r="E32" s="51"/>
      <c r="F32" s="80"/>
      <c r="G32" s="88"/>
      <c r="H32" s="88"/>
      <c r="I32" s="80"/>
      <c r="J32" s="80"/>
      <c r="L32" s="51"/>
      <c r="M32" s="80"/>
      <c r="N32" s="88"/>
      <c r="O32" s="88"/>
      <c r="P32" s="80"/>
      <c r="Q32" s="80"/>
      <c r="S32" s="51"/>
      <c r="T32" s="80"/>
      <c r="U32" s="88"/>
      <c r="V32" s="88"/>
      <c r="W32" s="80"/>
      <c r="X32" s="80"/>
    </row>
    <row r="33" spans="1:25" ht="15.75" thickBot="1" x14ac:dyDescent="0.3">
      <c r="A33" s="305"/>
      <c r="B33" s="298"/>
      <c r="C33" s="46" t="s">
        <v>112</v>
      </c>
      <c r="E33" s="53"/>
      <c r="F33" s="47"/>
      <c r="G33" s="89"/>
      <c r="H33" s="89"/>
      <c r="I33" s="47"/>
      <c r="J33" s="47"/>
      <c r="L33" s="53"/>
      <c r="M33" s="47"/>
      <c r="N33" s="89"/>
      <c r="O33" s="89"/>
      <c r="P33" s="47"/>
      <c r="Q33" s="47"/>
      <c r="S33" s="53"/>
      <c r="T33" s="47"/>
      <c r="U33" s="89"/>
      <c r="V33" s="89"/>
      <c r="W33" s="47"/>
      <c r="X33" s="47"/>
    </row>
    <row r="34" spans="1:25" ht="15.75" thickBot="1" x14ac:dyDescent="0.3">
      <c r="A34" s="17"/>
      <c r="B34" s="14"/>
      <c r="C34" s="14"/>
      <c r="E34" s="250"/>
      <c r="F34" s="251"/>
      <c r="G34" s="251"/>
      <c r="H34" s="251"/>
      <c r="I34" s="251"/>
      <c r="J34" s="251"/>
      <c r="L34" s="250"/>
      <c r="M34" s="251"/>
      <c r="N34" s="251"/>
      <c r="O34" s="251"/>
      <c r="P34" s="251"/>
      <c r="Q34" s="251"/>
      <c r="S34" s="250"/>
      <c r="T34" s="251"/>
      <c r="U34" s="251"/>
      <c r="V34" s="251"/>
      <c r="W34" s="251"/>
      <c r="X34" s="251"/>
    </row>
    <row r="35" spans="1:25" ht="60" customHeight="1" thickBot="1" x14ac:dyDescent="0.3">
      <c r="A35" s="269" t="s">
        <v>21</v>
      </c>
      <c r="B35" s="296" t="s">
        <v>107</v>
      </c>
      <c r="C35" s="49"/>
      <c r="E35" s="128" t="s">
        <v>32</v>
      </c>
      <c r="F35" s="82" t="s">
        <v>20</v>
      </c>
      <c r="G35" s="252" t="s">
        <v>97</v>
      </c>
      <c r="H35" s="253"/>
      <c r="I35" s="92" t="s">
        <v>23</v>
      </c>
      <c r="J35" s="81" t="s">
        <v>117</v>
      </c>
      <c r="L35" s="78" t="s">
        <v>32</v>
      </c>
      <c r="M35" s="82" t="s">
        <v>20</v>
      </c>
      <c r="N35" s="252" t="s">
        <v>97</v>
      </c>
      <c r="O35" s="253"/>
      <c r="P35" s="92" t="s">
        <v>23</v>
      </c>
      <c r="Q35" s="81" t="s">
        <v>117</v>
      </c>
      <c r="S35" s="78" t="s">
        <v>32</v>
      </c>
      <c r="T35" s="82" t="s">
        <v>20</v>
      </c>
      <c r="U35" s="252" t="s">
        <v>97</v>
      </c>
      <c r="V35" s="253"/>
      <c r="W35" s="92" t="s">
        <v>23</v>
      </c>
      <c r="X35" s="81" t="s">
        <v>117</v>
      </c>
    </row>
    <row r="36" spans="1:25" ht="17.25" customHeight="1" x14ac:dyDescent="0.25">
      <c r="A36" s="270"/>
      <c r="B36" s="297"/>
      <c r="C36" s="44" t="s">
        <v>24</v>
      </c>
      <c r="E36" s="129" t="s">
        <v>148</v>
      </c>
      <c r="F36" s="80" t="s">
        <v>149</v>
      </c>
      <c r="G36" s="254" t="s">
        <v>99</v>
      </c>
      <c r="H36" s="255"/>
      <c r="I36" s="121"/>
      <c r="J36" s="88" t="s">
        <v>185</v>
      </c>
      <c r="L36" s="110" t="s">
        <v>160</v>
      </c>
      <c r="M36" s="109" t="s">
        <v>145</v>
      </c>
      <c r="N36" s="254" t="s">
        <v>161</v>
      </c>
      <c r="O36" s="255"/>
      <c r="P36" s="88"/>
      <c r="Q36" s="119" t="s">
        <v>201</v>
      </c>
      <c r="S36" s="148" t="s">
        <v>214</v>
      </c>
      <c r="T36" s="147" t="s">
        <v>145</v>
      </c>
      <c r="U36" s="345" t="s">
        <v>215</v>
      </c>
      <c r="V36" s="346"/>
      <c r="W36" s="143">
        <v>1</v>
      </c>
      <c r="X36" s="143" t="s">
        <v>216</v>
      </c>
    </row>
    <row r="37" spans="1:25" ht="17.25" customHeight="1" x14ac:dyDescent="0.25">
      <c r="A37" s="270"/>
      <c r="B37" s="297"/>
      <c r="C37" s="44" t="s">
        <v>24</v>
      </c>
      <c r="E37" s="134"/>
      <c r="F37" s="80"/>
      <c r="G37" s="133"/>
      <c r="H37" s="134"/>
      <c r="I37" s="121"/>
      <c r="J37" s="152"/>
      <c r="L37" s="134"/>
      <c r="M37" s="138"/>
      <c r="N37" s="133"/>
      <c r="O37" s="134"/>
      <c r="P37" s="152"/>
      <c r="Q37" s="119"/>
      <c r="S37" s="148" t="s">
        <v>228</v>
      </c>
      <c r="T37" s="147" t="s">
        <v>145</v>
      </c>
      <c r="U37" s="153" t="s">
        <v>154</v>
      </c>
      <c r="V37" s="148"/>
      <c r="W37" s="154">
        <v>1</v>
      </c>
      <c r="X37" s="150" t="s">
        <v>218</v>
      </c>
    </row>
    <row r="38" spans="1:25" ht="17.25" customHeight="1" x14ac:dyDescent="0.25">
      <c r="A38" s="270"/>
      <c r="B38" s="297"/>
      <c r="C38" s="16" t="s">
        <v>24</v>
      </c>
      <c r="E38" s="127" t="s">
        <v>160</v>
      </c>
      <c r="F38" s="80" t="s">
        <v>149</v>
      </c>
      <c r="G38" s="256" t="s">
        <v>161</v>
      </c>
      <c r="H38" s="248"/>
      <c r="I38" s="122"/>
      <c r="J38" s="93" t="s">
        <v>181</v>
      </c>
      <c r="L38" s="127" t="s">
        <v>140</v>
      </c>
      <c r="M38" s="109" t="s">
        <v>145</v>
      </c>
      <c r="N38" s="256" t="s">
        <v>206</v>
      </c>
      <c r="O38" s="248"/>
      <c r="P38" s="93"/>
      <c r="Q38" s="89" t="s">
        <v>199</v>
      </c>
      <c r="S38" s="136" t="s">
        <v>229</v>
      </c>
      <c r="T38" s="147" t="s">
        <v>145</v>
      </c>
      <c r="U38" s="256" t="s">
        <v>230</v>
      </c>
      <c r="V38" s="248"/>
      <c r="W38" s="93">
        <v>1</v>
      </c>
      <c r="X38" s="89" t="s">
        <v>231</v>
      </c>
    </row>
    <row r="39" spans="1:25" ht="17.25" customHeight="1" x14ac:dyDescent="0.25">
      <c r="A39" s="270"/>
      <c r="B39" s="297"/>
      <c r="C39" s="16" t="s">
        <v>25</v>
      </c>
      <c r="E39" s="127" t="s">
        <v>152</v>
      </c>
      <c r="F39" s="80" t="s">
        <v>149</v>
      </c>
      <c r="G39" s="256" t="s">
        <v>158</v>
      </c>
      <c r="H39" s="248"/>
      <c r="I39" s="122"/>
      <c r="J39" s="93" t="s">
        <v>184</v>
      </c>
      <c r="L39" s="108" t="s">
        <v>205</v>
      </c>
      <c r="M39" s="109" t="s">
        <v>145</v>
      </c>
      <c r="N39" s="256" t="s">
        <v>151</v>
      </c>
      <c r="O39" s="248"/>
      <c r="P39" s="93"/>
      <c r="Q39" s="89" t="s">
        <v>199</v>
      </c>
      <c r="S39" s="149" t="s">
        <v>217</v>
      </c>
      <c r="T39" s="147" t="s">
        <v>145</v>
      </c>
      <c r="U39" s="347" t="s">
        <v>100</v>
      </c>
      <c r="V39" s="348"/>
      <c r="W39" s="143">
        <v>1</v>
      </c>
      <c r="X39" s="150" t="s">
        <v>218</v>
      </c>
    </row>
    <row r="40" spans="1:25" ht="17.25" customHeight="1" x14ac:dyDescent="0.25">
      <c r="A40" s="270"/>
      <c r="B40" s="297"/>
      <c r="C40" s="16" t="s">
        <v>25</v>
      </c>
      <c r="E40" s="136"/>
      <c r="F40" s="80"/>
      <c r="G40" s="135"/>
      <c r="H40" s="136"/>
      <c r="I40" s="122"/>
      <c r="J40" s="93"/>
      <c r="L40" s="136"/>
      <c r="M40" s="138"/>
      <c r="N40" s="135"/>
      <c r="O40" s="136"/>
      <c r="P40" s="93"/>
      <c r="Q40" s="89"/>
      <c r="S40" s="149" t="s">
        <v>98</v>
      </c>
      <c r="T40" s="147" t="s">
        <v>145</v>
      </c>
      <c r="U40" s="260" t="s">
        <v>223</v>
      </c>
      <c r="V40" s="260"/>
      <c r="W40" s="143">
        <v>1</v>
      </c>
      <c r="X40" s="147" t="s">
        <v>176</v>
      </c>
    </row>
    <row r="41" spans="1:25" ht="17.25" customHeight="1" x14ac:dyDescent="0.25">
      <c r="A41" s="270"/>
      <c r="B41" s="297"/>
      <c r="C41" s="16" t="s">
        <v>25</v>
      </c>
      <c r="E41" s="136"/>
      <c r="F41" s="80"/>
      <c r="G41" s="135"/>
      <c r="H41" s="136"/>
      <c r="I41" s="122"/>
      <c r="J41" s="93"/>
      <c r="L41" s="136"/>
      <c r="M41" s="138"/>
      <c r="N41" s="135"/>
      <c r="O41" s="136"/>
      <c r="P41" s="93"/>
      <c r="Q41" s="89"/>
      <c r="S41" s="149" t="s">
        <v>232</v>
      </c>
      <c r="T41" s="147" t="s">
        <v>145</v>
      </c>
      <c r="U41" s="151" t="s">
        <v>139</v>
      </c>
      <c r="V41" s="149"/>
      <c r="W41" s="143">
        <v>1</v>
      </c>
      <c r="X41" s="150" t="s">
        <v>199</v>
      </c>
    </row>
    <row r="42" spans="1:25" x14ac:dyDescent="0.25">
      <c r="A42" s="270"/>
      <c r="B42" s="297"/>
      <c r="C42" s="16" t="s">
        <v>25</v>
      </c>
      <c r="E42" s="127" t="s">
        <v>156</v>
      </c>
      <c r="F42" s="80" t="s">
        <v>149</v>
      </c>
      <c r="G42" s="256" t="s">
        <v>154</v>
      </c>
      <c r="H42" s="248"/>
      <c r="I42" s="122"/>
      <c r="J42" s="89" t="s">
        <v>183</v>
      </c>
      <c r="L42" s="75"/>
      <c r="M42" s="79"/>
      <c r="N42" s="256"/>
      <c r="O42" s="248"/>
      <c r="P42" s="89"/>
      <c r="Q42" s="89"/>
      <c r="S42" s="149" t="s">
        <v>219</v>
      </c>
      <c r="T42" s="147" t="s">
        <v>145</v>
      </c>
      <c r="U42" s="151" t="s">
        <v>221</v>
      </c>
      <c r="V42" s="149"/>
      <c r="W42" s="143">
        <v>2</v>
      </c>
      <c r="X42" s="150" t="s">
        <v>220</v>
      </c>
    </row>
    <row r="43" spans="1:25" x14ac:dyDescent="0.25">
      <c r="A43" s="270"/>
      <c r="B43" s="297"/>
      <c r="C43" s="16" t="s">
        <v>22</v>
      </c>
      <c r="E43" s="127" t="s">
        <v>155</v>
      </c>
      <c r="F43" s="80" t="s">
        <v>149</v>
      </c>
      <c r="G43" s="249" t="s">
        <v>157</v>
      </c>
      <c r="H43" s="249"/>
      <c r="I43" s="122"/>
      <c r="J43" s="89" t="s">
        <v>183</v>
      </c>
      <c r="L43" s="75" t="s">
        <v>101</v>
      </c>
      <c r="M43" s="125" t="s">
        <v>145</v>
      </c>
      <c r="N43" s="249" t="s">
        <v>203</v>
      </c>
      <c r="O43" s="249"/>
      <c r="P43" s="89"/>
      <c r="Q43" s="89" t="s">
        <v>204</v>
      </c>
      <c r="S43" s="157" t="s">
        <v>224</v>
      </c>
      <c r="T43" s="147" t="s">
        <v>145</v>
      </c>
      <c r="U43" s="260" t="s">
        <v>225</v>
      </c>
      <c r="V43" s="260"/>
      <c r="W43" s="147">
        <v>2</v>
      </c>
      <c r="X43" s="147" t="s">
        <v>226</v>
      </c>
    </row>
    <row r="44" spans="1:25" x14ac:dyDescent="0.25">
      <c r="A44" s="270"/>
      <c r="B44" s="297"/>
      <c r="C44" s="16" t="s">
        <v>22</v>
      </c>
      <c r="E44" s="127" t="s">
        <v>101</v>
      </c>
      <c r="F44" s="80" t="s">
        <v>149</v>
      </c>
      <c r="G44" s="256" t="s">
        <v>159</v>
      </c>
      <c r="H44" s="248"/>
      <c r="I44" s="122"/>
      <c r="J44" s="89" t="s">
        <v>182</v>
      </c>
      <c r="L44" s="75"/>
      <c r="M44" s="79"/>
      <c r="N44" s="256"/>
      <c r="O44" s="248"/>
      <c r="P44" s="89"/>
      <c r="Q44" s="94"/>
      <c r="S44" s="157" t="s">
        <v>101</v>
      </c>
      <c r="T44" s="147" t="s">
        <v>145</v>
      </c>
      <c r="U44" s="260" t="s">
        <v>203</v>
      </c>
      <c r="V44" s="260"/>
      <c r="W44" s="147">
        <v>1</v>
      </c>
      <c r="X44" s="147" t="s">
        <v>227</v>
      </c>
    </row>
    <row r="45" spans="1:25" ht="15.75" thickBot="1" x14ac:dyDescent="0.3">
      <c r="A45" s="270"/>
      <c r="B45" s="297"/>
      <c r="C45" s="46" t="s">
        <v>22</v>
      </c>
      <c r="E45" s="123"/>
      <c r="F45" s="47"/>
      <c r="G45" s="258"/>
      <c r="H45" s="259"/>
      <c r="I45" s="91"/>
      <c r="J45" s="90"/>
      <c r="L45" s="76"/>
      <c r="M45" s="47"/>
      <c r="N45" s="258"/>
      <c r="O45" s="259"/>
      <c r="P45" s="91"/>
      <c r="Q45" s="90"/>
      <c r="S45" s="155"/>
      <c r="T45" s="101"/>
      <c r="U45" s="261"/>
      <c r="V45" s="262"/>
      <c r="W45" s="100"/>
      <c r="X45" s="156"/>
    </row>
    <row r="46" spans="1:25" s="36" customFormat="1" ht="15.75" thickBot="1" x14ac:dyDescent="0.3">
      <c r="A46" s="271"/>
      <c r="B46" s="298"/>
      <c r="C46" s="49" t="s">
        <v>70</v>
      </c>
      <c r="D46" s="22"/>
      <c r="E46" s="257"/>
      <c r="F46" s="257"/>
      <c r="G46" s="257"/>
      <c r="H46" s="253"/>
      <c r="I46" s="100"/>
      <c r="J46" s="50"/>
      <c r="K46" s="37"/>
      <c r="L46" s="257"/>
      <c r="M46" s="257"/>
      <c r="N46" s="257"/>
      <c r="O46" s="253"/>
      <c r="P46" s="100"/>
      <c r="Q46" s="50"/>
      <c r="R46" s="37"/>
      <c r="S46" s="257"/>
      <c r="T46" s="257"/>
      <c r="U46" s="257"/>
      <c r="V46" s="253"/>
      <c r="W46" s="100"/>
      <c r="X46" s="50"/>
      <c r="Y46" s="37"/>
    </row>
    <row r="47" spans="1:25" ht="15.75" thickBot="1" x14ac:dyDescent="0.3">
      <c r="A47" s="11"/>
      <c r="B47" s="14"/>
      <c r="C47" s="14"/>
      <c r="E47" s="250"/>
      <c r="F47" s="251"/>
      <c r="G47" s="251"/>
      <c r="H47" s="251"/>
      <c r="I47" s="251"/>
      <c r="J47" s="251"/>
      <c r="L47" s="250"/>
      <c r="M47" s="251"/>
      <c r="N47" s="251"/>
      <c r="O47" s="251"/>
      <c r="P47" s="251"/>
      <c r="Q47" s="251"/>
      <c r="S47" s="250"/>
      <c r="T47" s="251"/>
      <c r="U47" s="251"/>
      <c r="V47" s="251"/>
      <c r="W47" s="251"/>
      <c r="X47" s="251"/>
    </row>
    <row r="48" spans="1:25" ht="15.75" thickBot="1" x14ac:dyDescent="0.3">
      <c r="A48" s="299" t="s">
        <v>26</v>
      </c>
      <c r="B48" s="300" t="s">
        <v>108</v>
      </c>
      <c r="C48" s="54"/>
      <c r="D48" s="64"/>
      <c r="E48" s="240" t="s">
        <v>9</v>
      </c>
      <c r="F48" s="241"/>
      <c r="G48" s="239" t="s">
        <v>10</v>
      </c>
      <c r="H48" s="240"/>
      <c r="I48" s="241"/>
      <c r="J48" s="77" t="s">
        <v>116</v>
      </c>
      <c r="K48" s="64" t="s">
        <v>9</v>
      </c>
      <c r="L48" s="240" t="s">
        <v>9</v>
      </c>
      <c r="M48" s="241"/>
      <c r="N48" s="239" t="s">
        <v>10</v>
      </c>
      <c r="O48" s="240"/>
      <c r="P48" s="241"/>
      <c r="Q48" s="77" t="s">
        <v>116</v>
      </c>
      <c r="R48" s="64"/>
      <c r="S48" s="240" t="s">
        <v>9</v>
      </c>
      <c r="T48" s="241"/>
      <c r="U48" s="239" t="s">
        <v>10</v>
      </c>
      <c r="V48" s="240"/>
      <c r="W48" s="241"/>
      <c r="X48" s="77" t="s">
        <v>116</v>
      </c>
      <c r="Y48" s="64"/>
    </row>
    <row r="49" spans="1:24" ht="15" customHeight="1" x14ac:dyDescent="0.25">
      <c r="A49" s="299"/>
      <c r="B49" s="301"/>
      <c r="C49" s="15" t="s">
        <v>27</v>
      </c>
      <c r="E49" s="263"/>
      <c r="F49" s="264"/>
      <c r="G49" s="242" t="s">
        <v>103</v>
      </c>
      <c r="H49" s="243"/>
      <c r="I49" s="244"/>
      <c r="J49" s="95" t="s">
        <v>186</v>
      </c>
      <c r="L49" s="263"/>
      <c r="M49" s="264"/>
      <c r="N49" s="242" t="s">
        <v>103</v>
      </c>
      <c r="O49" s="243"/>
      <c r="P49" s="244"/>
      <c r="Q49" s="95" t="s">
        <v>197</v>
      </c>
      <c r="S49" s="263"/>
      <c r="T49" s="264"/>
      <c r="U49" s="242" t="s">
        <v>103</v>
      </c>
      <c r="V49" s="243"/>
      <c r="W49" s="244"/>
      <c r="X49" s="95" t="s">
        <v>168</v>
      </c>
    </row>
    <row r="50" spans="1:24" x14ac:dyDescent="0.25">
      <c r="A50" s="299"/>
      <c r="B50" s="301"/>
      <c r="C50" s="15" t="s">
        <v>28</v>
      </c>
      <c r="E50" s="246"/>
      <c r="F50" s="247"/>
      <c r="G50" s="245"/>
      <c r="H50" s="246"/>
      <c r="I50" s="247"/>
      <c r="J50" s="96"/>
      <c r="L50" s="246"/>
      <c r="M50" s="247"/>
      <c r="N50" s="245"/>
      <c r="O50" s="246"/>
      <c r="P50" s="247"/>
      <c r="Q50" s="96"/>
      <c r="S50" s="246"/>
      <c r="T50" s="247"/>
      <c r="U50" s="245"/>
      <c r="V50" s="246"/>
      <c r="W50" s="247"/>
      <c r="X50" s="96"/>
    </row>
    <row r="51" spans="1:24" ht="15.75" thickBot="1" x14ac:dyDescent="0.3">
      <c r="A51" s="299"/>
      <c r="B51" s="302"/>
      <c r="C51" s="55" t="s">
        <v>29</v>
      </c>
      <c r="E51" s="265"/>
      <c r="F51" s="266"/>
      <c r="G51" s="295"/>
      <c r="H51" s="265"/>
      <c r="I51" s="266"/>
      <c r="J51" s="87"/>
      <c r="L51" s="265"/>
      <c r="M51" s="266"/>
      <c r="N51" s="295"/>
      <c r="O51" s="265"/>
      <c r="P51" s="266"/>
      <c r="Q51" s="87"/>
      <c r="S51" s="265"/>
      <c r="T51" s="266"/>
      <c r="U51" s="295"/>
      <c r="V51" s="265"/>
      <c r="W51" s="266"/>
      <c r="X51" s="87"/>
    </row>
    <row r="52" spans="1:24" ht="15.75" thickBot="1" x14ac:dyDescent="0.3">
      <c r="A52" s="11"/>
      <c r="B52" s="14"/>
      <c r="C52" s="14"/>
      <c r="E52" s="250"/>
      <c r="F52" s="251"/>
      <c r="G52" s="251"/>
      <c r="H52" s="251"/>
      <c r="I52" s="251"/>
      <c r="J52" s="251"/>
      <c r="L52" s="250"/>
      <c r="M52" s="251"/>
      <c r="N52" s="251"/>
      <c r="O52" s="251"/>
      <c r="P52" s="251"/>
      <c r="Q52" s="251"/>
      <c r="S52" s="250"/>
      <c r="T52" s="251"/>
      <c r="U52" s="251"/>
      <c r="V52" s="251"/>
      <c r="W52" s="251"/>
      <c r="X52" s="251"/>
    </row>
    <row r="53" spans="1:24" ht="15" customHeight="1" thickBot="1" x14ac:dyDescent="0.3">
      <c r="A53" s="283" t="s">
        <v>30</v>
      </c>
      <c r="B53" s="285" t="s">
        <v>109</v>
      </c>
      <c r="C53" s="63"/>
      <c r="E53" s="130" t="s">
        <v>9</v>
      </c>
      <c r="F53" s="267" t="s">
        <v>89</v>
      </c>
      <c r="G53" s="268"/>
      <c r="H53" s="288" t="s">
        <v>135</v>
      </c>
      <c r="I53" s="288"/>
      <c r="J53" s="288"/>
      <c r="L53" s="85" t="s">
        <v>9</v>
      </c>
      <c r="M53" s="267" t="s">
        <v>89</v>
      </c>
      <c r="N53" s="268"/>
      <c r="O53" s="288" t="s">
        <v>135</v>
      </c>
      <c r="P53" s="288"/>
      <c r="Q53" s="288"/>
      <c r="S53" s="85" t="s">
        <v>9</v>
      </c>
      <c r="T53" s="267" t="s">
        <v>89</v>
      </c>
      <c r="U53" s="268"/>
      <c r="V53" s="288" t="s">
        <v>135</v>
      </c>
      <c r="W53" s="288"/>
      <c r="X53" s="288"/>
    </row>
    <row r="54" spans="1:24" ht="15" customHeight="1" x14ac:dyDescent="0.25">
      <c r="A54" s="284"/>
      <c r="B54" s="286"/>
      <c r="C54" s="62" t="s">
        <v>34</v>
      </c>
      <c r="E54" s="131"/>
      <c r="F54" s="289">
        <v>6.8</v>
      </c>
      <c r="G54" s="290"/>
      <c r="H54" s="291">
        <v>159</v>
      </c>
      <c r="I54" s="291"/>
      <c r="J54" s="291"/>
      <c r="L54" s="84"/>
      <c r="M54" s="289">
        <v>5.6</v>
      </c>
      <c r="N54" s="290"/>
      <c r="O54" s="291">
        <v>139.5</v>
      </c>
      <c r="P54" s="291"/>
      <c r="Q54" s="291"/>
      <c r="S54" s="84"/>
      <c r="T54" s="289">
        <v>3.6</v>
      </c>
      <c r="U54" s="290"/>
      <c r="V54" s="291">
        <v>360</v>
      </c>
      <c r="W54" s="291"/>
      <c r="X54" s="291"/>
    </row>
    <row r="55" spans="1:24" ht="15.75" thickBot="1" x14ac:dyDescent="0.3">
      <c r="A55" s="284"/>
      <c r="B55" s="287"/>
      <c r="C55" s="61" t="s">
        <v>33</v>
      </c>
      <c r="E55" s="124"/>
      <c r="F55" s="292"/>
      <c r="G55" s="293"/>
      <c r="H55" s="294"/>
      <c r="I55" s="294"/>
      <c r="J55" s="294"/>
      <c r="L55" s="83"/>
      <c r="M55" s="292"/>
      <c r="N55" s="293"/>
      <c r="O55" s="294"/>
      <c r="P55" s="294"/>
      <c r="Q55" s="294"/>
      <c r="S55" s="83"/>
      <c r="T55" s="292"/>
      <c r="U55" s="293"/>
      <c r="V55" s="294"/>
      <c r="W55" s="294"/>
      <c r="X55" s="294"/>
    </row>
    <row r="56" spans="1:24" ht="15.75" thickBot="1" x14ac:dyDescent="0.3">
      <c r="A56" s="11"/>
      <c r="B56" s="14"/>
      <c r="C56" s="14"/>
      <c r="E56" s="250"/>
      <c r="F56" s="251"/>
      <c r="G56" s="251"/>
      <c r="H56" s="251"/>
      <c r="I56" s="251"/>
      <c r="J56" s="251"/>
      <c r="L56" s="250"/>
      <c r="M56" s="251"/>
      <c r="N56" s="251"/>
      <c r="O56" s="251"/>
      <c r="P56" s="251"/>
      <c r="Q56" s="251"/>
      <c r="S56" s="250"/>
      <c r="T56" s="251"/>
      <c r="U56" s="251"/>
      <c r="V56" s="251"/>
      <c r="W56" s="251"/>
      <c r="X56" s="251"/>
    </row>
    <row r="57" spans="1:24" ht="15" customHeight="1" x14ac:dyDescent="0.25">
      <c r="A57" s="269" t="s">
        <v>31</v>
      </c>
      <c r="B57" s="272" t="s">
        <v>114</v>
      </c>
      <c r="C57" s="60" t="s">
        <v>35</v>
      </c>
      <c r="E57" s="275">
        <v>71</v>
      </c>
      <c r="F57" s="276"/>
      <c r="G57" s="276"/>
      <c r="H57" s="276"/>
      <c r="I57" s="276"/>
      <c r="J57" s="276"/>
      <c r="L57" s="275">
        <v>60</v>
      </c>
      <c r="M57" s="276"/>
      <c r="N57" s="276"/>
      <c r="O57" s="276"/>
      <c r="P57" s="276"/>
      <c r="Q57" s="276"/>
      <c r="S57" s="275">
        <v>38</v>
      </c>
      <c r="T57" s="276"/>
      <c r="U57" s="276"/>
      <c r="V57" s="276"/>
      <c r="W57" s="276"/>
      <c r="X57" s="276"/>
    </row>
    <row r="58" spans="1:24" x14ac:dyDescent="0.25">
      <c r="A58" s="270"/>
      <c r="B58" s="273"/>
      <c r="C58" s="18" t="s">
        <v>71</v>
      </c>
      <c r="E58" s="248">
        <v>296</v>
      </c>
      <c r="F58" s="249"/>
      <c r="G58" s="249"/>
      <c r="H58" s="249"/>
      <c r="I58" s="249"/>
      <c r="J58" s="249"/>
      <c r="L58" s="248">
        <v>238</v>
      </c>
      <c r="M58" s="249"/>
      <c r="N58" s="249"/>
      <c r="O58" s="249"/>
      <c r="P58" s="249"/>
      <c r="Q58" s="249"/>
      <c r="S58" s="248">
        <v>370</v>
      </c>
      <c r="T58" s="249"/>
      <c r="U58" s="249"/>
      <c r="V58" s="249"/>
      <c r="W58" s="249"/>
      <c r="X58" s="249"/>
    </row>
    <row r="59" spans="1:24" x14ac:dyDescent="0.25">
      <c r="A59" s="270"/>
      <c r="B59" s="273"/>
      <c r="C59" s="18" t="s">
        <v>41</v>
      </c>
      <c r="E59" s="248">
        <v>103</v>
      </c>
      <c r="F59" s="249"/>
      <c r="G59" s="249"/>
      <c r="H59" s="249"/>
      <c r="I59" s="249"/>
      <c r="J59" s="249"/>
      <c r="L59" s="248">
        <v>81</v>
      </c>
      <c r="M59" s="249"/>
      <c r="N59" s="249"/>
      <c r="O59" s="249"/>
      <c r="P59" s="249"/>
      <c r="Q59" s="249"/>
      <c r="S59" s="248">
        <v>165</v>
      </c>
      <c r="T59" s="249"/>
      <c r="U59" s="249"/>
      <c r="V59" s="249"/>
      <c r="W59" s="249"/>
      <c r="X59" s="249"/>
    </row>
    <row r="60" spans="1:24" x14ac:dyDescent="0.25">
      <c r="A60" s="270"/>
      <c r="B60" s="273"/>
      <c r="C60" s="18" t="s">
        <v>42</v>
      </c>
      <c r="E60" s="248">
        <v>110</v>
      </c>
      <c r="F60" s="249"/>
      <c r="G60" s="249"/>
      <c r="H60" s="249"/>
      <c r="I60" s="249"/>
      <c r="J60" s="249"/>
      <c r="L60" s="248">
        <v>103</v>
      </c>
      <c r="M60" s="249"/>
      <c r="N60" s="249"/>
      <c r="O60" s="249"/>
      <c r="P60" s="249"/>
      <c r="Q60" s="249"/>
      <c r="S60" s="248">
        <v>104</v>
      </c>
      <c r="T60" s="249"/>
      <c r="U60" s="249"/>
      <c r="V60" s="249"/>
      <c r="W60" s="249"/>
      <c r="X60" s="249"/>
    </row>
    <row r="61" spans="1:24" x14ac:dyDescent="0.25">
      <c r="A61" s="270"/>
      <c r="B61" s="273"/>
      <c r="C61" s="16" t="s">
        <v>43</v>
      </c>
      <c r="E61" s="277"/>
      <c r="F61" s="278"/>
      <c r="G61" s="278"/>
      <c r="H61" s="278"/>
      <c r="I61" s="278"/>
      <c r="J61" s="278"/>
      <c r="L61" s="277"/>
      <c r="M61" s="278"/>
      <c r="N61" s="278"/>
      <c r="O61" s="278"/>
      <c r="P61" s="278"/>
      <c r="Q61" s="278"/>
      <c r="S61" s="277"/>
      <c r="T61" s="278"/>
      <c r="U61" s="278"/>
      <c r="V61" s="278"/>
      <c r="W61" s="278"/>
      <c r="X61" s="278"/>
    </row>
    <row r="62" spans="1:24" x14ac:dyDescent="0.25">
      <c r="A62" s="270"/>
      <c r="B62" s="273"/>
      <c r="C62" s="16" t="s">
        <v>44</v>
      </c>
      <c r="E62" s="277"/>
      <c r="F62" s="278"/>
      <c r="G62" s="278"/>
      <c r="H62" s="278"/>
      <c r="I62" s="278"/>
      <c r="J62" s="278"/>
      <c r="L62" s="277"/>
      <c r="M62" s="278"/>
      <c r="N62" s="278"/>
      <c r="O62" s="278"/>
      <c r="P62" s="278"/>
      <c r="Q62" s="278"/>
      <c r="S62" s="277"/>
      <c r="T62" s="278"/>
      <c r="U62" s="278"/>
      <c r="V62" s="278"/>
      <c r="W62" s="278"/>
      <c r="X62" s="278"/>
    </row>
    <row r="63" spans="1:24" x14ac:dyDescent="0.25">
      <c r="A63" s="270"/>
      <c r="B63" s="273"/>
      <c r="C63" s="18" t="s">
        <v>45</v>
      </c>
      <c r="E63" s="277">
        <v>12</v>
      </c>
      <c r="F63" s="278"/>
      <c r="G63" s="278"/>
      <c r="H63" s="278"/>
      <c r="I63" s="278"/>
      <c r="J63" s="278"/>
      <c r="L63" s="277">
        <v>10</v>
      </c>
      <c r="M63" s="278"/>
      <c r="N63" s="278"/>
      <c r="O63" s="278"/>
      <c r="P63" s="278"/>
      <c r="Q63" s="278"/>
      <c r="S63" s="277">
        <v>4</v>
      </c>
      <c r="T63" s="278"/>
      <c r="U63" s="278"/>
      <c r="V63" s="278"/>
      <c r="W63" s="278"/>
      <c r="X63" s="278"/>
    </row>
    <row r="64" spans="1:24" x14ac:dyDescent="0.25">
      <c r="A64" s="270"/>
      <c r="B64" s="273"/>
      <c r="C64" s="16" t="s">
        <v>46</v>
      </c>
      <c r="E64" s="248" t="s">
        <v>187</v>
      </c>
      <c r="F64" s="249"/>
      <c r="G64" s="249"/>
      <c r="H64" s="249"/>
      <c r="I64" s="249"/>
      <c r="J64" s="249"/>
      <c r="L64" s="248" t="s">
        <v>432</v>
      </c>
      <c r="M64" s="249"/>
      <c r="N64" s="249"/>
      <c r="O64" s="249"/>
      <c r="P64" s="249"/>
      <c r="Q64" s="249"/>
      <c r="S64" s="248" t="s">
        <v>192</v>
      </c>
      <c r="T64" s="249"/>
      <c r="U64" s="249"/>
      <c r="V64" s="249"/>
      <c r="W64" s="249"/>
      <c r="X64" s="249"/>
    </row>
    <row r="65" spans="1:25" ht="15" customHeight="1" x14ac:dyDescent="0.25">
      <c r="A65" s="270"/>
      <c r="B65" s="273"/>
      <c r="C65" s="281" t="s">
        <v>72</v>
      </c>
      <c r="D65" s="43"/>
      <c r="E65" s="277"/>
      <c r="F65" s="278"/>
      <c r="G65" s="278"/>
      <c r="H65" s="278"/>
      <c r="I65" s="278"/>
      <c r="J65" s="278"/>
      <c r="K65" s="38"/>
      <c r="L65" s="277"/>
      <c r="M65" s="278"/>
      <c r="N65" s="278"/>
      <c r="O65" s="278"/>
      <c r="P65" s="278"/>
      <c r="Q65" s="278"/>
      <c r="R65" s="38"/>
      <c r="S65" s="277"/>
      <c r="T65" s="278"/>
      <c r="U65" s="278"/>
      <c r="V65" s="278"/>
      <c r="W65" s="278"/>
      <c r="X65" s="278"/>
      <c r="Y65" s="38"/>
    </row>
    <row r="66" spans="1:25" ht="15.75" thickBot="1" x14ac:dyDescent="0.3">
      <c r="A66" s="271"/>
      <c r="B66" s="274"/>
      <c r="C66" s="282"/>
      <c r="D66" s="43"/>
      <c r="E66" s="279"/>
      <c r="F66" s="280"/>
      <c r="G66" s="280"/>
      <c r="H66" s="280"/>
      <c r="I66" s="280"/>
      <c r="J66" s="280"/>
      <c r="K66" s="38"/>
      <c r="L66" s="279"/>
      <c r="M66" s="280"/>
      <c r="N66" s="280"/>
      <c r="O66" s="280"/>
      <c r="P66" s="280"/>
      <c r="Q66" s="280"/>
      <c r="R66" s="38"/>
      <c r="S66" s="279"/>
      <c r="T66" s="280"/>
      <c r="U66" s="280"/>
      <c r="V66" s="280"/>
      <c r="W66" s="280"/>
      <c r="X66" s="280"/>
      <c r="Y66" s="38"/>
    </row>
  </sheetData>
  <mergeCells count="167">
    <mergeCell ref="E16:J16"/>
    <mergeCell ref="N39:O39"/>
    <mergeCell ref="G39:H39"/>
    <mergeCell ref="L15:P15"/>
    <mergeCell ref="S7:X7"/>
    <mergeCell ref="S9:X9"/>
    <mergeCell ref="S16:X16"/>
    <mergeCell ref="L7:Q7"/>
    <mergeCell ref="S8:X8"/>
    <mergeCell ref="L16:Q16"/>
    <mergeCell ref="L13:P13"/>
    <mergeCell ref="L14:P14"/>
    <mergeCell ref="E7:J7"/>
    <mergeCell ref="S34:X34"/>
    <mergeCell ref="U35:V35"/>
    <mergeCell ref="U36:V36"/>
    <mergeCell ref="U38:V38"/>
    <mergeCell ref="U39:V39"/>
    <mergeCell ref="E9:J9"/>
    <mergeCell ref="E10:J10"/>
    <mergeCell ref="E17:J17"/>
    <mergeCell ref="E18:J18"/>
    <mergeCell ref="E20:J20"/>
    <mergeCell ref="E34:J34"/>
    <mergeCell ref="A13:A15"/>
    <mergeCell ref="B13:B15"/>
    <mergeCell ref="S10:X10"/>
    <mergeCell ref="E12:J12"/>
    <mergeCell ref="S12:X12"/>
    <mergeCell ref="L8:Q8"/>
    <mergeCell ref="L9:Q9"/>
    <mergeCell ref="L10:Q10"/>
    <mergeCell ref="L12:Q12"/>
    <mergeCell ref="A8:A11"/>
    <mergeCell ref="B8:B11"/>
    <mergeCell ref="E11:J11"/>
    <mergeCell ref="L11:Q11"/>
    <mergeCell ref="S11:X11"/>
    <mergeCell ref="E8:J8"/>
    <mergeCell ref="S13:W13"/>
    <mergeCell ref="S14:W14"/>
    <mergeCell ref="S15:W15"/>
    <mergeCell ref="E13:I13"/>
    <mergeCell ref="E14:I14"/>
    <mergeCell ref="E15:I15"/>
    <mergeCell ref="A21:A33"/>
    <mergeCell ref="B21:B33"/>
    <mergeCell ref="A17:A19"/>
    <mergeCell ref="B17:B19"/>
    <mergeCell ref="S17:X17"/>
    <mergeCell ref="S18:X18"/>
    <mergeCell ref="L17:Q17"/>
    <mergeCell ref="L18:Q18"/>
    <mergeCell ref="L20:Q20"/>
    <mergeCell ref="L19:P19"/>
    <mergeCell ref="S19:W19"/>
    <mergeCell ref="S20:X20"/>
    <mergeCell ref="E19:I19"/>
    <mergeCell ref="A35:A46"/>
    <mergeCell ref="B35:B46"/>
    <mergeCell ref="L49:M49"/>
    <mergeCell ref="L50:M50"/>
    <mergeCell ref="A48:A51"/>
    <mergeCell ref="B48:B51"/>
    <mergeCell ref="E48:F48"/>
    <mergeCell ref="E49:F49"/>
    <mergeCell ref="E50:F50"/>
    <mergeCell ref="E51:F51"/>
    <mergeCell ref="G38:H38"/>
    <mergeCell ref="G44:H44"/>
    <mergeCell ref="G45:H45"/>
    <mergeCell ref="E47:J47"/>
    <mergeCell ref="G35:H35"/>
    <mergeCell ref="G48:I48"/>
    <mergeCell ref="G49:I49"/>
    <mergeCell ref="G43:H43"/>
    <mergeCell ref="G36:H36"/>
    <mergeCell ref="G42:H42"/>
    <mergeCell ref="E46:H46"/>
    <mergeCell ref="G50:I50"/>
    <mergeCell ref="L48:M48"/>
    <mergeCell ref="U51:W51"/>
    <mergeCell ref="E56:J56"/>
    <mergeCell ref="L51:M51"/>
    <mergeCell ref="L52:Q52"/>
    <mergeCell ref="M53:N53"/>
    <mergeCell ref="E52:J52"/>
    <mergeCell ref="N51:P51"/>
    <mergeCell ref="F55:G55"/>
    <mergeCell ref="H55:J55"/>
    <mergeCell ref="G51:I51"/>
    <mergeCell ref="M54:N54"/>
    <mergeCell ref="O54:Q54"/>
    <mergeCell ref="M55:N55"/>
    <mergeCell ref="O55:Q55"/>
    <mergeCell ref="L56:Q56"/>
    <mergeCell ref="S58:X58"/>
    <mergeCell ref="L59:Q59"/>
    <mergeCell ref="L63:Q63"/>
    <mergeCell ref="L64:Q64"/>
    <mergeCell ref="L57:Q57"/>
    <mergeCell ref="A53:A55"/>
    <mergeCell ref="B53:B55"/>
    <mergeCell ref="F53:G53"/>
    <mergeCell ref="H53:J53"/>
    <mergeCell ref="F54:G54"/>
    <mergeCell ref="H54:J54"/>
    <mergeCell ref="S62:X62"/>
    <mergeCell ref="V53:X53"/>
    <mergeCell ref="T54:U54"/>
    <mergeCell ref="V54:X54"/>
    <mergeCell ref="T55:U55"/>
    <mergeCell ref="V55:X55"/>
    <mergeCell ref="S56:X56"/>
    <mergeCell ref="L60:Q60"/>
    <mergeCell ref="L61:Q61"/>
    <mergeCell ref="L62:Q62"/>
    <mergeCell ref="S60:X60"/>
    <mergeCell ref="O53:Q53"/>
    <mergeCell ref="S49:T49"/>
    <mergeCell ref="S50:T50"/>
    <mergeCell ref="S51:T51"/>
    <mergeCell ref="S52:X52"/>
    <mergeCell ref="T53:U53"/>
    <mergeCell ref="A57:A66"/>
    <mergeCell ref="B57:B66"/>
    <mergeCell ref="S57:X57"/>
    <mergeCell ref="S59:X59"/>
    <mergeCell ref="S61:X61"/>
    <mergeCell ref="E57:J57"/>
    <mergeCell ref="E58:J58"/>
    <mergeCell ref="E59:J59"/>
    <mergeCell ref="E60:J60"/>
    <mergeCell ref="E61:J61"/>
    <mergeCell ref="E62:J62"/>
    <mergeCell ref="E63:J63"/>
    <mergeCell ref="E64:J64"/>
    <mergeCell ref="E65:J66"/>
    <mergeCell ref="C65:C66"/>
    <mergeCell ref="S65:X66"/>
    <mergeCell ref="S64:X64"/>
    <mergeCell ref="S63:X63"/>
    <mergeCell ref="L65:Q66"/>
    <mergeCell ref="N48:P48"/>
    <mergeCell ref="N49:P49"/>
    <mergeCell ref="N50:P50"/>
    <mergeCell ref="U48:W48"/>
    <mergeCell ref="U49:W49"/>
    <mergeCell ref="U50:W50"/>
    <mergeCell ref="L58:Q58"/>
    <mergeCell ref="L34:Q34"/>
    <mergeCell ref="N35:O35"/>
    <mergeCell ref="N36:O36"/>
    <mergeCell ref="N38:O38"/>
    <mergeCell ref="N42:O42"/>
    <mergeCell ref="N43:O43"/>
    <mergeCell ref="N44:O44"/>
    <mergeCell ref="S46:V46"/>
    <mergeCell ref="S47:X47"/>
    <mergeCell ref="N45:O45"/>
    <mergeCell ref="U40:V40"/>
    <mergeCell ref="U43:V43"/>
    <mergeCell ref="U44:V44"/>
    <mergeCell ref="U45:V45"/>
    <mergeCell ref="L46:O46"/>
    <mergeCell ref="L47:Q47"/>
    <mergeCell ref="S48:T48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1"/>
  <sheetViews>
    <sheetView zoomScale="60" zoomScaleNormal="60" workbookViewId="0">
      <pane xSplit="3" topLeftCell="D1" activePane="topRight" state="frozen"/>
      <selection pane="topRight" activeCell="AF22" sqref="AF22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1.42578125" style="4"/>
    <col min="5" max="5" width="35" style="4" bestFit="1" customWidth="1"/>
    <col min="6" max="7" width="11.42578125" style="4"/>
    <col min="8" max="8" width="25.85546875" style="4" bestFit="1" customWidth="1"/>
    <col min="9" max="9" width="28.140625" style="4" bestFit="1" customWidth="1"/>
    <col min="10" max="10" width="1.7109375" style="22" customWidth="1"/>
    <col min="11" max="11" width="8.5703125" style="4" bestFit="1" customWidth="1"/>
    <col min="12" max="12" width="35" style="4" bestFit="1" customWidth="1"/>
    <col min="13" max="14" width="9.28515625" style="4" customWidth="1"/>
    <col min="15" max="15" width="25.85546875" style="4" bestFit="1" customWidth="1"/>
    <col min="16" max="16" width="28.140625" style="4" bestFit="1" customWidth="1"/>
    <col min="17" max="17" width="1.7109375" style="22" customWidth="1"/>
    <col min="18" max="19" width="11.42578125" style="4"/>
    <col min="20" max="20" width="34.28515625" style="4" bestFit="1" customWidth="1"/>
    <col min="21" max="21" width="11.42578125" style="4"/>
    <col min="22" max="22" width="25.85546875" style="4" bestFit="1" customWidth="1"/>
    <col min="23" max="23" width="28.140625" style="4" bestFit="1" customWidth="1"/>
    <col min="24" max="24" width="1.7109375" style="7" customWidth="1"/>
    <col min="25" max="25" width="11.42578125" style="4"/>
    <col min="26" max="26" width="34.28515625" style="4" bestFit="1" customWidth="1"/>
    <col min="27" max="27" width="34.28515625" style="4" customWidth="1"/>
    <col min="28" max="28" width="11.42578125" style="4"/>
    <col min="29" max="29" width="25.85546875" style="4" bestFit="1" customWidth="1"/>
    <col min="30" max="30" width="28.140625" style="4" bestFit="1" customWidth="1"/>
    <col min="31" max="31" width="1.7109375" style="7" customWidth="1"/>
    <col min="32" max="32" width="11.42578125" style="4"/>
    <col min="33" max="33" width="35" style="4" bestFit="1" customWidth="1"/>
    <col min="34" max="34" width="34.28515625" style="4" bestFit="1" customWidth="1"/>
    <col min="35" max="35" width="11.42578125" style="4"/>
    <col min="36" max="36" width="25.85546875" style="4" bestFit="1" customWidth="1"/>
    <col min="37" max="37" width="28.140625" style="4" bestFit="1" customWidth="1"/>
    <col min="38" max="38" width="1.7109375" style="7" customWidth="1"/>
    <col min="39" max="16384" width="11.42578125" style="4"/>
  </cols>
  <sheetData>
    <row r="1" spans="1:38" ht="15.75" thickBot="1" x14ac:dyDescent="0.3"/>
    <row r="2" spans="1:38" ht="15.75" thickBot="1" x14ac:dyDescent="0.3">
      <c r="A2" s="20"/>
      <c r="B2" s="21" t="s">
        <v>39</v>
      </c>
      <c r="C2" s="21" t="s">
        <v>40</v>
      </c>
      <c r="D2" s="350" t="s">
        <v>47</v>
      </c>
      <c r="E2" s="344"/>
      <c r="F2" s="344"/>
      <c r="G2" s="344"/>
      <c r="H2" s="344"/>
      <c r="I2" s="344"/>
      <c r="J2" s="65"/>
      <c r="K2" s="351" t="s">
        <v>48</v>
      </c>
      <c r="L2" s="352"/>
      <c r="M2" s="352"/>
      <c r="N2" s="352"/>
      <c r="O2" s="352"/>
      <c r="P2" s="352"/>
      <c r="Q2" s="65"/>
      <c r="R2" s="351" t="s">
        <v>49</v>
      </c>
      <c r="S2" s="352"/>
      <c r="T2" s="352"/>
      <c r="U2" s="352"/>
      <c r="V2" s="352"/>
      <c r="W2" s="352"/>
      <c r="X2" s="66"/>
      <c r="Y2" s="351" t="s">
        <v>50</v>
      </c>
      <c r="Z2" s="352"/>
      <c r="AA2" s="352"/>
      <c r="AB2" s="352"/>
      <c r="AC2" s="352"/>
      <c r="AD2" s="352"/>
      <c r="AE2" s="66"/>
      <c r="AF2" s="343" t="s">
        <v>51</v>
      </c>
      <c r="AG2" s="344"/>
      <c r="AH2" s="344"/>
      <c r="AI2" s="344"/>
      <c r="AJ2" s="344"/>
      <c r="AK2" s="344"/>
      <c r="AL2" s="66"/>
    </row>
    <row r="3" spans="1:38" ht="15" customHeight="1" x14ac:dyDescent="0.25">
      <c r="A3" s="326" t="s">
        <v>38</v>
      </c>
      <c r="B3" s="329" t="s">
        <v>37</v>
      </c>
      <c r="C3" s="41" t="s">
        <v>2</v>
      </c>
      <c r="D3" s="322" t="s">
        <v>118</v>
      </c>
      <c r="E3" s="323"/>
      <c r="F3" s="323"/>
      <c r="G3" s="323"/>
      <c r="H3" s="323"/>
      <c r="I3" s="323"/>
      <c r="J3" s="23"/>
      <c r="K3" s="322" t="s">
        <v>125</v>
      </c>
      <c r="L3" s="323"/>
      <c r="M3" s="323"/>
      <c r="N3" s="323"/>
      <c r="O3" s="323"/>
      <c r="P3" s="323"/>
      <c r="Q3" s="23"/>
      <c r="R3" s="322" t="s">
        <v>118</v>
      </c>
      <c r="S3" s="323"/>
      <c r="T3" s="323"/>
      <c r="U3" s="323"/>
      <c r="V3" s="323"/>
      <c r="W3" s="323"/>
      <c r="Y3" s="322" t="s">
        <v>188</v>
      </c>
      <c r="Z3" s="323"/>
      <c r="AA3" s="323"/>
      <c r="AB3" s="323"/>
      <c r="AC3" s="323"/>
      <c r="AD3" s="323"/>
      <c r="AF3" s="322" t="s">
        <v>189</v>
      </c>
      <c r="AG3" s="323"/>
      <c r="AH3" s="323"/>
      <c r="AI3" s="323"/>
      <c r="AJ3" s="323"/>
      <c r="AK3" s="323"/>
    </row>
    <row r="4" spans="1:38" x14ac:dyDescent="0.25">
      <c r="A4" s="327"/>
      <c r="B4" s="330"/>
      <c r="C4" s="42" t="s">
        <v>3</v>
      </c>
      <c r="D4" s="324" t="s">
        <v>76</v>
      </c>
      <c r="E4" s="325"/>
      <c r="F4" s="325"/>
      <c r="G4" s="325"/>
      <c r="H4" s="325"/>
      <c r="I4" s="325"/>
      <c r="J4" s="23"/>
      <c r="K4" s="324" t="s">
        <v>76</v>
      </c>
      <c r="L4" s="325"/>
      <c r="M4" s="325"/>
      <c r="N4" s="325"/>
      <c r="O4" s="325"/>
      <c r="P4" s="325"/>
      <c r="Q4" s="23"/>
      <c r="R4" s="324" t="s">
        <v>76</v>
      </c>
      <c r="S4" s="325"/>
      <c r="T4" s="325"/>
      <c r="U4" s="325"/>
      <c r="V4" s="325"/>
      <c r="W4" s="325"/>
      <c r="Y4" s="324" t="s">
        <v>76</v>
      </c>
      <c r="Z4" s="325"/>
      <c r="AA4" s="325"/>
      <c r="AB4" s="325"/>
      <c r="AC4" s="325"/>
      <c r="AD4" s="325"/>
      <c r="AF4" s="324" t="s">
        <v>76</v>
      </c>
      <c r="AG4" s="325"/>
      <c r="AH4" s="325"/>
      <c r="AI4" s="325"/>
      <c r="AJ4" s="325"/>
      <c r="AK4" s="325"/>
    </row>
    <row r="5" spans="1:38" x14ac:dyDescent="0.25">
      <c r="A5" s="327"/>
      <c r="B5" s="330"/>
      <c r="C5" s="67" t="s">
        <v>110</v>
      </c>
      <c r="D5" s="321"/>
      <c r="E5" s="321"/>
      <c r="F5" s="321"/>
      <c r="G5" s="321"/>
      <c r="H5" s="321"/>
      <c r="I5" s="321"/>
      <c r="J5" s="8"/>
      <c r="K5" s="321"/>
      <c r="L5" s="321"/>
      <c r="M5" s="321"/>
      <c r="N5" s="321"/>
      <c r="O5" s="321"/>
      <c r="P5" s="321"/>
      <c r="Q5" s="69"/>
      <c r="R5" s="321"/>
      <c r="S5" s="321"/>
      <c r="T5" s="321"/>
      <c r="U5" s="321"/>
      <c r="V5" s="321"/>
      <c r="W5" s="321"/>
      <c r="X5" s="69"/>
      <c r="Y5" s="321"/>
      <c r="Z5" s="321"/>
      <c r="AA5" s="321"/>
      <c r="AB5" s="321"/>
      <c r="AC5" s="321"/>
      <c r="AD5" s="321"/>
      <c r="AE5" s="70"/>
      <c r="AF5" s="321"/>
      <c r="AG5" s="321"/>
      <c r="AH5" s="321"/>
      <c r="AI5" s="321"/>
      <c r="AJ5" s="321"/>
      <c r="AK5" s="321"/>
      <c r="AL5" s="70"/>
    </row>
    <row r="6" spans="1:38" ht="15.75" thickBot="1" x14ac:dyDescent="0.3">
      <c r="A6" s="328"/>
      <c r="B6" s="331"/>
      <c r="C6" s="59" t="s">
        <v>68</v>
      </c>
      <c r="D6" s="332"/>
      <c r="E6" s="333"/>
      <c r="F6" s="333"/>
      <c r="G6" s="333"/>
      <c r="H6" s="333"/>
      <c r="I6" s="334"/>
      <c r="J6" s="23"/>
      <c r="K6" s="332"/>
      <c r="L6" s="333"/>
      <c r="M6" s="333"/>
      <c r="N6" s="333"/>
      <c r="O6" s="333"/>
      <c r="P6" s="334"/>
      <c r="Q6" s="23"/>
      <c r="R6" s="332"/>
      <c r="S6" s="333"/>
      <c r="T6" s="333"/>
      <c r="U6" s="333"/>
      <c r="V6" s="333"/>
      <c r="W6" s="334"/>
      <c r="X6" s="34"/>
      <c r="Y6" s="332"/>
      <c r="Z6" s="333"/>
      <c r="AA6" s="333"/>
      <c r="AB6" s="333"/>
      <c r="AC6" s="333"/>
      <c r="AD6" s="334"/>
      <c r="AE6" s="34"/>
      <c r="AF6" s="332"/>
      <c r="AG6" s="333"/>
      <c r="AH6" s="333"/>
      <c r="AI6" s="333"/>
      <c r="AJ6" s="333"/>
      <c r="AK6" s="334"/>
    </row>
    <row r="7" spans="1:38" ht="15.75" thickBot="1" x14ac:dyDescent="0.3">
      <c r="A7" s="10"/>
      <c r="B7" s="12"/>
      <c r="C7" s="58"/>
      <c r="D7" s="250"/>
      <c r="E7" s="251"/>
      <c r="F7" s="251"/>
      <c r="G7" s="251"/>
      <c r="H7" s="251"/>
      <c r="I7" s="251"/>
      <c r="K7" s="250"/>
      <c r="L7" s="251"/>
      <c r="M7" s="251"/>
      <c r="N7" s="251"/>
      <c r="O7" s="251"/>
      <c r="P7" s="251"/>
      <c r="R7" s="250"/>
      <c r="S7" s="251"/>
      <c r="T7" s="251"/>
      <c r="U7" s="251"/>
      <c r="V7" s="251"/>
      <c r="W7" s="251"/>
      <c r="Y7" s="250"/>
      <c r="Z7" s="251"/>
      <c r="AA7" s="251"/>
      <c r="AB7" s="251"/>
      <c r="AC7" s="251"/>
      <c r="AD7" s="251"/>
      <c r="AF7" s="250"/>
      <c r="AG7" s="251"/>
      <c r="AH7" s="251"/>
      <c r="AI7" s="251"/>
      <c r="AJ7" s="251"/>
      <c r="AK7" s="251"/>
    </row>
    <row r="8" spans="1:38" ht="15" customHeight="1" x14ac:dyDescent="0.25">
      <c r="A8" s="319" t="s">
        <v>36</v>
      </c>
      <c r="B8" s="320" t="s">
        <v>104</v>
      </c>
      <c r="C8" s="56" t="s">
        <v>5</v>
      </c>
      <c r="D8" s="335" t="s">
        <v>143</v>
      </c>
      <c r="E8" s="336"/>
      <c r="F8" s="336"/>
      <c r="G8" s="336"/>
      <c r="H8" s="337"/>
      <c r="I8" s="98" t="s">
        <v>175</v>
      </c>
      <c r="K8" s="335" t="s">
        <v>132</v>
      </c>
      <c r="L8" s="336"/>
      <c r="M8" s="336"/>
      <c r="N8" s="336"/>
      <c r="O8" s="337"/>
      <c r="P8" s="98" t="s">
        <v>167</v>
      </c>
      <c r="R8" s="335" t="s">
        <v>143</v>
      </c>
      <c r="S8" s="336"/>
      <c r="T8" s="336"/>
      <c r="U8" s="336"/>
      <c r="V8" s="337"/>
      <c r="W8" s="98" t="s">
        <v>175</v>
      </c>
      <c r="Y8" s="335" t="s">
        <v>143</v>
      </c>
      <c r="Z8" s="336"/>
      <c r="AA8" s="336"/>
      <c r="AB8" s="336"/>
      <c r="AC8" s="337"/>
      <c r="AD8" s="98" t="s">
        <v>169</v>
      </c>
      <c r="AF8" s="335" t="s">
        <v>132</v>
      </c>
      <c r="AG8" s="336"/>
      <c r="AH8" s="336"/>
      <c r="AI8" s="336"/>
      <c r="AJ8" s="337"/>
      <c r="AK8" s="98" t="s">
        <v>209</v>
      </c>
    </row>
    <row r="9" spans="1:38" x14ac:dyDescent="0.25">
      <c r="A9" s="319"/>
      <c r="B9" s="320"/>
      <c r="C9" s="13" t="s">
        <v>6</v>
      </c>
      <c r="D9" s="338" t="s">
        <v>133</v>
      </c>
      <c r="E9" s="339"/>
      <c r="F9" s="339"/>
      <c r="G9" s="339"/>
      <c r="H9" s="340"/>
      <c r="I9" s="86" t="s">
        <v>174</v>
      </c>
      <c r="K9" s="338" t="s">
        <v>133</v>
      </c>
      <c r="L9" s="339"/>
      <c r="M9" s="339"/>
      <c r="N9" s="339"/>
      <c r="O9" s="340"/>
      <c r="P9" s="86" t="s">
        <v>166</v>
      </c>
      <c r="R9" s="338" t="s">
        <v>133</v>
      </c>
      <c r="S9" s="339"/>
      <c r="T9" s="339"/>
      <c r="U9" s="339"/>
      <c r="V9" s="340"/>
      <c r="W9" s="86" t="s">
        <v>174</v>
      </c>
      <c r="Y9" s="338" t="s">
        <v>133</v>
      </c>
      <c r="Z9" s="339"/>
      <c r="AA9" s="339"/>
      <c r="AB9" s="339"/>
      <c r="AC9" s="340"/>
      <c r="AD9" s="86" t="s">
        <v>196</v>
      </c>
      <c r="AF9" s="338" t="s">
        <v>133</v>
      </c>
      <c r="AG9" s="339"/>
      <c r="AH9" s="339"/>
      <c r="AI9" s="339"/>
      <c r="AJ9" s="340"/>
      <c r="AK9" s="86" t="s">
        <v>208</v>
      </c>
    </row>
    <row r="10" spans="1:38" ht="15.75" thickBot="1" x14ac:dyDescent="0.3">
      <c r="A10" s="319"/>
      <c r="B10" s="320"/>
      <c r="C10" s="57" t="s">
        <v>7</v>
      </c>
      <c r="D10" s="341"/>
      <c r="E10" s="342"/>
      <c r="F10" s="342"/>
      <c r="G10" s="342"/>
      <c r="H10" s="293"/>
      <c r="I10" s="97" t="s">
        <v>115</v>
      </c>
      <c r="K10" s="338" t="s">
        <v>137</v>
      </c>
      <c r="L10" s="339"/>
      <c r="M10" s="339"/>
      <c r="N10" s="339"/>
      <c r="O10" s="340"/>
      <c r="P10" s="97" t="s">
        <v>165</v>
      </c>
      <c r="R10" s="341"/>
      <c r="S10" s="342"/>
      <c r="T10" s="342"/>
      <c r="U10" s="342"/>
      <c r="V10" s="293"/>
      <c r="W10" s="97" t="s">
        <v>115</v>
      </c>
      <c r="Y10" s="341"/>
      <c r="Z10" s="342"/>
      <c r="AA10" s="342"/>
      <c r="AB10" s="342"/>
      <c r="AC10" s="293"/>
      <c r="AD10" s="97" t="s">
        <v>115</v>
      </c>
      <c r="AF10" s="341"/>
      <c r="AG10" s="342"/>
      <c r="AH10" s="342"/>
      <c r="AI10" s="342"/>
      <c r="AJ10" s="293"/>
      <c r="AK10" s="97" t="s">
        <v>115</v>
      </c>
    </row>
    <row r="11" spans="1:38" ht="15.75" thickBot="1" x14ac:dyDescent="0.3">
      <c r="A11" s="11"/>
      <c r="B11" s="14"/>
      <c r="C11" s="14"/>
      <c r="D11" s="250"/>
      <c r="E11" s="251"/>
      <c r="F11" s="251"/>
      <c r="G11" s="251"/>
      <c r="H11" s="251"/>
      <c r="I11" s="251"/>
      <c r="K11" s="250"/>
      <c r="L11" s="251"/>
      <c r="M11" s="251"/>
      <c r="N11" s="251"/>
      <c r="O11" s="251"/>
      <c r="P11" s="251"/>
      <c r="R11" s="250"/>
      <c r="S11" s="251"/>
      <c r="T11" s="251"/>
      <c r="U11" s="251"/>
      <c r="V11" s="251"/>
      <c r="W11" s="251"/>
      <c r="Y11" s="250"/>
      <c r="Z11" s="251"/>
      <c r="AA11" s="251"/>
      <c r="AB11" s="251"/>
      <c r="AC11" s="251"/>
      <c r="AD11" s="251"/>
      <c r="AF11" s="250"/>
      <c r="AG11" s="251"/>
      <c r="AH11" s="251"/>
      <c r="AI11" s="251"/>
      <c r="AJ11" s="251"/>
      <c r="AK11" s="251"/>
    </row>
    <row r="12" spans="1:38" ht="15" customHeight="1" x14ac:dyDescent="0.25">
      <c r="A12" s="306" t="s">
        <v>8</v>
      </c>
      <c r="B12" s="309" t="s">
        <v>105</v>
      </c>
      <c r="C12" s="54" t="s">
        <v>69</v>
      </c>
      <c r="D12" s="312"/>
      <c r="E12" s="313"/>
      <c r="F12" s="313"/>
      <c r="G12" s="313"/>
      <c r="H12" s="313"/>
      <c r="I12" s="313"/>
      <c r="K12" s="312"/>
      <c r="L12" s="313"/>
      <c r="M12" s="313"/>
      <c r="N12" s="313"/>
      <c r="O12" s="313"/>
      <c r="P12" s="313"/>
      <c r="R12" s="312"/>
      <c r="S12" s="313"/>
      <c r="T12" s="313"/>
      <c r="U12" s="313"/>
      <c r="V12" s="313"/>
      <c r="W12" s="313"/>
      <c r="Y12" s="312"/>
      <c r="Z12" s="313"/>
      <c r="AA12" s="313"/>
      <c r="AB12" s="313"/>
      <c r="AC12" s="313"/>
      <c r="AD12" s="313"/>
      <c r="AF12" s="312"/>
      <c r="AG12" s="313"/>
      <c r="AH12" s="313"/>
      <c r="AI12" s="313"/>
      <c r="AJ12" s="313"/>
      <c r="AK12" s="313"/>
    </row>
    <row r="13" spans="1:38" x14ac:dyDescent="0.25">
      <c r="A13" s="307"/>
      <c r="B13" s="310"/>
      <c r="C13" s="15" t="s">
        <v>80</v>
      </c>
      <c r="D13" s="314">
        <v>160</v>
      </c>
      <c r="E13" s="315"/>
      <c r="F13" s="315"/>
      <c r="G13" s="315"/>
      <c r="H13" s="315"/>
      <c r="I13" s="315"/>
      <c r="K13" s="314">
        <v>200</v>
      </c>
      <c r="L13" s="315"/>
      <c r="M13" s="315"/>
      <c r="N13" s="315"/>
      <c r="O13" s="315"/>
      <c r="P13" s="315"/>
      <c r="R13" s="314">
        <v>160</v>
      </c>
      <c r="S13" s="315"/>
      <c r="T13" s="315"/>
      <c r="U13" s="315"/>
      <c r="V13" s="315"/>
      <c r="W13" s="315"/>
      <c r="Y13" s="314">
        <v>160</v>
      </c>
      <c r="Z13" s="315"/>
      <c r="AA13" s="315"/>
      <c r="AB13" s="315"/>
      <c r="AC13" s="315"/>
      <c r="AD13" s="315"/>
      <c r="AF13" s="314">
        <v>3</v>
      </c>
      <c r="AG13" s="315"/>
      <c r="AH13" s="315"/>
      <c r="AI13" s="315"/>
      <c r="AJ13" s="315"/>
      <c r="AK13" s="315"/>
    </row>
    <row r="14" spans="1:38" ht="15.75" thickBot="1" x14ac:dyDescent="0.3">
      <c r="A14" s="308"/>
      <c r="B14" s="311"/>
      <c r="C14" s="55" t="s">
        <v>10</v>
      </c>
      <c r="D14" s="318" t="s">
        <v>138</v>
      </c>
      <c r="E14" s="265"/>
      <c r="F14" s="265"/>
      <c r="G14" s="265"/>
      <c r="H14" s="266"/>
      <c r="I14" s="87" t="s">
        <v>177</v>
      </c>
      <c r="K14" s="318" t="s">
        <v>138</v>
      </c>
      <c r="L14" s="265"/>
      <c r="M14" s="265"/>
      <c r="N14" s="265"/>
      <c r="O14" s="266"/>
      <c r="P14" s="87" t="s">
        <v>165</v>
      </c>
      <c r="R14" s="318" t="s">
        <v>138</v>
      </c>
      <c r="S14" s="265"/>
      <c r="T14" s="265"/>
      <c r="U14" s="265"/>
      <c r="V14" s="266"/>
      <c r="W14" s="87" t="s">
        <v>177</v>
      </c>
      <c r="Y14" s="318" t="s">
        <v>138</v>
      </c>
      <c r="Z14" s="265"/>
      <c r="AA14" s="265"/>
      <c r="AB14" s="265"/>
      <c r="AC14" s="266"/>
      <c r="AD14" s="87" t="s">
        <v>198</v>
      </c>
      <c r="AF14" s="318" t="s">
        <v>138</v>
      </c>
      <c r="AG14" s="265"/>
      <c r="AH14" s="265"/>
      <c r="AI14" s="265"/>
      <c r="AJ14" s="266"/>
      <c r="AK14" s="87" t="s">
        <v>170</v>
      </c>
    </row>
    <row r="15" spans="1:38" ht="15.75" thickBot="1" x14ac:dyDescent="0.3">
      <c r="A15" s="11"/>
      <c r="B15" s="14"/>
      <c r="C15" s="14"/>
      <c r="D15" s="316"/>
      <c r="E15" s="317"/>
      <c r="F15" s="317"/>
      <c r="G15" s="317"/>
      <c r="H15" s="317"/>
      <c r="I15" s="317"/>
      <c r="K15" s="316"/>
      <c r="L15" s="317"/>
      <c r="M15" s="317"/>
      <c r="N15" s="317"/>
      <c r="O15" s="317"/>
      <c r="P15" s="317"/>
      <c r="R15" s="316"/>
      <c r="S15" s="317"/>
      <c r="T15" s="317"/>
      <c r="U15" s="317"/>
      <c r="V15" s="317"/>
      <c r="W15" s="317"/>
      <c r="Y15" s="316"/>
      <c r="Z15" s="317"/>
      <c r="AA15" s="317"/>
      <c r="AB15" s="317"/>
      <c r="AC15" s="317"/>
      <c r="AD15" s="317"/>
      <c r="AF15" s="316"/>
      <c r="AG15" s="317"/>
      <c r="AH15" s="317"/>
      <c r="AI15" s="317"/>
      <c r="AJ15" s="317"/>
      <c r="AK15" s="317"/>
    </row>
    <row r="16" spans="1:38" ht="15.75" customHeight="1" thickBot="1" x14ac:dyDescent="0.3">
      <c r="A16" s="303" t="s">
        <v>11</v>
      </c>
      <c r="B16" s="296" t="s">
        <v>106</v>
      </c>
      <c r="C16" s="49" t="s">
        <v>95</v>
      </c>
      <c r="D16" s="99" t="s">
        <v>32</v>
      </c>
      <c r="E16" s="100" t="s">
        <v>73</v>
      </c>
      <c r="F16" s="100" t="s">
        <v>20</v>
      </c>
      <c r="G16" s="100" t="s">
        <v>116</v>
      </c>
      <c r="H16" s="101" t="s">
        <v>102</v>
      </c>
      <c r="I16" s="101" t="s">
        <v>23</v>
      </c>
      <c r="K16" s="99" t="s">
        <v>32</v>
      </c>
      <c r="L16" s="100" t="s">
        <v>73</v>
      </c>
      <c r="M16" s="100" t="s">
        <v>20</v>
      </c>
      <c r="N16" s="100" t="s">
        <v>116</v>
      </c>
      <c r="O16" s="101" t="s">
        <v>102</v>
      </c>
      <c r="P16" s="101" t="s">
        <v>23</v>
      </c>
      <c r="R16" s="99" t="s">
        <v>32</v>
      </c>
      <c r="S16" s="100" t="s">
        <v>73</v>
      </c>
      <c r="T16" s="100" t="s">
        <v>20</v>
      </c>
      <c r="U16" s="100" t="s">
        <v>116</v>
      </c>
      <c r="V16" s="101" t="s">
        <v>102</v>
      </c>
      <c r="W16" s="101" t="s">
        <v>23</v>
      </c>
      <c r="Y16" s="99" t="s">
        <v>32</v>
      </c>
      <c r="Z16" s="100" t="s">
        <v>73</v>
      </c>
      <c r="AA16" s="100" t="s">
        <v>20</v>
      </c>
      <c r="AB16" s="100" t="s">
        <v>116</v>
      </c>
      <c r="AC16" s="101" t="s">
        <v>102</v>
      </c>
      <c r="AD16" s="101" t="s">
        <v>23</v>
      </c>
      <c r="AF16" s="99" t="s">
        <v>32</v>
      </c>
      <c r="AG16" s="100" t="s">
        <v>73</v>
      </c>
      <c r="AH16" s="100" t="s">
        <v>20</v>
      </c>
      <c r="AI16" s="100" t="s">
        <v>116</v>
      </c>
      <c r="AJ16" s="101" t="s">
        <v>102</v>
      </c>
      <c r="AK16" s="101" t="s">
        <v>23</v>
      </c>
    </row>
    <row r="17" spans="1:37" ht="15" customHeight="1" x14ac:dyDescent="0.25">
      <c r="A17" s="304"/>
      <c r="B17" s="297"/>
      <c r="C17" s="44" t="s">
        <v>12</v>
      </c>
      <c r="D17" s="51" t="s">
        <v>119</v>
      </c>
      <c r="E17" s="45" t="s">
        <v>120</v>
      </c>
      <c r="F17" s="88" t="s">
        <v>147</v>
      </c>
      <c r="G17" s="88" t="s">
        <v>121</v>
      </c>
      <c r="H17" s="80" t="s">
        <v>124</v>
      </c>
      <c r="I17" s="80"/>
      <c r="K17" s="51"/>
      <c r="L17" s="45"/>
      <c r="M17" s="88"/>
      <c r="N17" s="88"/>
      <c r="O17" s="80"/>
      <c r="P17" s="80"/>
      <c r="R17" s="51" t="s">
        <v>119</v>
      </c>
      <c r="S17" s="45" t="s">
        <v>120</v>
      </c>
      <c r="T17" s="88" t="s">
        <v>147</v>
      </c>
      <c r="U17" s="88" t="s">
        <v>121</v>
      </c>
      <c r="V17" s="80" t="s">
        <v>124</v>
      </c>
      <c r="W17" s="80"/>
      <c r="Y17" s="51" t="s">
        <v>119</v>
      </c>
      <c r="Z17" s="45" t="s">
        <v>120</v>
      </c>
      <c r="AA17" s="88" t="s">
        <v>144</v>
      </c>
      <c r="AB17" s="88" t="s">
        <v>193</v>
      </c>
      <c r="AC17" s="80" t="s">
        <v>190</v>
      </c>
      <c r="AD17" s="80"/>
      <c r="AF17" s="51" t="s">
        <v>119</v>
      </c>
      <c r="AG17" s="45" t="s">
        <v>120</v>
      </c>
      <c r="AH17" s="88"/>
      <c r="AI17" s="143" t="s">
        <v>210</v>
      </c>
      <c r="AJ17" s="80" t="s">
        <v>191</v>
      </c>
      <c r="AK17" s="80">
        <v>3</v>
      </c>
    </row>
    <row r="18" spans="1:37" x14ac:dyDescent="0.25">
      <c r="A18" s="304"/>
      <c r="B18" s="297"/>
      <c r="C18" s="16" t="s">
        <v>13</v>
      </c>
      <c r="D18" s="89" t="s">
        <v>79</v>
      </c>
      <c r="E18" s="106" t="s">
        <v>123</v>
      </c>
      <c r="F18" s="89" t="s">
        <v>146</v>
      </c>
      <c r="G18" s="89" t="s">
        <v>173</v>
      </c>
      <c r="H18" s="107">
        <v>122</v>
      </c>
      <c r="I18" s="79"/>
      <c r="K18" s="89" t="s">
        <v>79</v>
      </c>
      <c r="L18" s="106" t="s">
        <v>123</v>
      </c>
      <c r="M18" s="93" t="s">
        <v>146</v>
      </c>
      <c r="N18" s="89" t="s">
        <v>173</v>
      </c>
      <c r="O18" s="125">
        <v>73</v>
      </c>
      <c r="P18" s="125"/>
      <c r="R18" s="89" t="s">
        <v>79</v>
      </c>
      <c r="S18" s="106" t="s">
        <v>123</v>
      </c>
      <c r="T18" s="89" t="s">
        <v>146</v>
      </c>
      <c r="U18" s="89" t="s">
        <v>173</v>
      </c>
      <c r="V18" s="138">
        <v>122</v>
      </c>
      <c r="W18" s="138"/>
      <c r="Y18" s="89" t="s">
        <v>79</v>
      </c>
      <c r="Z18" s="106" t="s">
        <v>123</v>
      </c>
      <c r="AA18" s="89" t="s">
        <v>146</v>
      </c>
      <c r="AB18" s="89" t="s">
        <v>195</v>
      </c>
      <c r="AC18" s="125">
        <v>100</v>
      </c>
      <c r="AD18" s="125"/>
      <c r="AF18" s="89" t="s">
        <v>79</v>
      </c>
      <c r="AG18" s="106" t="s">
        <v>123</v>
      </c>
      <c r="AH18" s="89" t="s">
        <v>146</v>
      </c>
      <c r="AI18" s="89" t="s">
        <v>207</v>
      </c>
      <c r="AJ18" s="138">
        <v>147</v>
      </c>
      <c r="AK18" s="138">
        <v>1</v>
      </c>
    </row>
    <row r="19" spans="1:37" x14ac:dyDescent="0.25">
      <c r="A19" s="304"/>
      <c r="B19" s="297"/>
      <c r="C19" s="16" t="s">
        <v>14</v>
      </c>
      <c r="D19" s="104" t="s">
        <v>78</v>
      </c>
      <c r="E19" s="105" t="s">
        <v>122</v>
      </c>
      <c r="F19" s="89" t="s">
        <v>146</v>
      </c>
      <c r="G19" s="89" t="s">
        <v>173</v>
      </c>
      <c r="H19" s="107">
        <v>103</v>
      </c>
      <c r="I19" s="79"/>
      <c r="K19" s="104" t="s">
        <v>78</v>
      </c>
      <c r="L19" s="105" t="s">
        <v>122</v>
      </c>
      <c r="M19" s="93" t="s">
        <v>146</v>
      </c>
      <c r="N19" s="89" t="s">
        <v>283</v>
      </c>
      <c r="O19" s="125">
        <v>105</v>
      </c>
      <c r="P19" s="125"/>
      <c r="R19" s="104" t="s">
        <v>78</v>
      </c>
      <c r="S19" s="105" t="s">
        <v>122</v>
      </c>
      <c r="T19" s="89" t="s">
        <v>146</v>
      </c>
      <c r="U19" s="89" t="s">
        <v>173</v>
      </c>
      <c r="V19" s="138">
        <v>103</v>
      </c>
      <c r="W19" s="138"/>
      <c r="Y19" s="104" t="s">
        <v>78</v>
      </c>
      <c r="Z19" s="105" t="s">
        <v>122</v>
      </c>
      <c r="AA19" s="89" t="s">
        <v>146</v>
      </c>
      <c r="AB19" s="89" t="s">
        <v>195</v>
      </c>
      <c r="AC19" s="125">
        <v>85</v>
      </c>
      <c r="AD19" s="125"/>
      <c r="AF19" s="104" t="s">
        <v>78</v>
      </c>
      <c r="AG19" s="105" t="s">
        <v>122</v>
      </c>
      <c r="AH19" s="89"/>
      <c r="AI19" s="89" t="s">
        <v>207</v>
      </c>
      <c r="AJ19" s="138">
        <v>90</v>
      </c>
      <c r="AK19" s="138">
        <v>1</v>
      </c>
    </row>
    <row r="20" spans="1:37" x14ac:dyDescent="0.25">
      <c r="A20" s="304"/>
      <c r="B20" s="297"/>
      <c r="C20" s="16" t="s">
        <v>15</v>
      </c>
      <c r="D20" s="52"/>
      <c r="E20" s="107"/>
      <c r="F20" s="89"/>
      <c r="G20" s="89"/>
      <c r="H20" s="107"/>
      <c r="I20" s="79"/>
      <c r="K20" s="52"/>
      <c r="L20" s="125"/>
      <c r="M20" s="89"/>
      <c r="N20" s="89"/>
      <c r="O20" s="125"/>
      <c r="P20" s="125"/>
      <c r="R20" s="52"/>
      <c r="S20" s="138"/>
      <c r="T20" s="89"/>
      <c r="U20" s="89"/>
      <c r="V20" s="138"/>
      <c r="W20" s="138"/>
      <c r="Y20" s="52"/>
      <c r="Z20" s="125"/>
      <c r="AA20" s="89"/>
      <c r="AB20" s="89"/>
      <c r="AC20" s="125"/>
      <c r="AD20" s="125"/>
      <c r="AF20" s="52"/>
      <c r="AG20" s="138"/>
      <c r="AH20" s="89"/>
      <c r="AI20" s="89"/>
      <c r="AJ20" s="138"/>
      <c r="AK20" s="138"/>
    </row>
    <row r="21" spans="1:37" x14ac:dyDescent="0.25">
      <c r="A21" s="304"/>
      <c r="B21" s="297"/>
      <c r="C21" s="16" t="s">
        <v>16</v>
      </c>
      <c r="D21" s="52" t="s">
        <v>498</v>
      </c>
      <c r="E21" s="103" t="s">
        <v>233</v>
      </c>
      <c r="F21" s="103" t="s">
        <v>146</v>
      </c>
      <c r="G21" s="89" t="s">
        <v>178</v>
      </c>
      <c r="H21" s="107">
        <v>100</v>
      </c>
      <c r="I21" s="79"/>
      <c r="K21" s="52" t="s">
        <v>498</v>
      </c>
      <c r="L21" s="103" t="s">
        <v>233</v>
      </c>
      <c r="M21" s="93" t="s">
        <v>146</v>
      </c>
      <c r="N21" s="89" t="s">
        <v>178</v>
      </c>
      <c r="O21" s="125">
        <v>100</v>
      </c>
      <c r="P21" s="125"/>
      <c r="R21" s="52" t="s">
        <v>498</v>
      </c>
      <c r="S21" s="103" t="s">
        <v>233</v>
      </c>
      <c r="T21" s="103" t="s">
        <v>146</v>
      </c>
      <c r="U21" s="89" t="s">
        <v>178</v>
      </c>
      <c r="V21" s="138">
        <v>100</v>
      </c>
      <c r="W21" s="138"/>
      <c r="Y21" s="52" t="s">
        <v>498</v>
      </c>
      <c r="Z21" s="103"/>
      <c r="AA21" s="89" t="s">
        <v>146</v>
      </c>
      <c r="AB21" s="89" t="s">
        <v>178</v>
      </c>
      <c r="AC21" s="125">
        <v>100</v>
      </c>
      <c r="AD21" s="125"/>
      <c r="AF21" s="52" t="s">
        <v>498</v>
      </c>
      <c r="AG21" s="103" t="s">
        <v>233</v>
      </c>
      <c r="AH21" s="93" t="s">
        <v>146</v>
      </c>
      <c r="AI21" s="89" t="s">
        <v>172</v>
      </c>
      <c r="AJ21" s="138">
        <v>100</v>
      </c>
      <c r="AK21" s="138">
        <v>1</v>
      </c>
    </row>
    <row r="22" spans="1:37" x14ac:dyDescent="0.25">
      <c r="A22" s="304"/>
      <c r="B22" s="297"/>
      <c r="C22" s="16" t="s">
        <v>17</v>
      </c>
      <c r="D22" s="104" t="s">
        <v>77</v>
      </c>
      <c r="E22" s="157" t="s">
        <v>234</v>
      </c>
      <c r="F22" s="89"/>
      <c r="G22" s="89" t="s">
        <v>176</v>
      </c>
      <c r="H22" s="107">
        <v>666</v>
      </c>
      <c r="I22" s="79"/>
      <c r="K22" s="104" t="s">
        <v>77</v>
      </c>
      <c r="L22" s="157" t="s">
        <v>234</v>
      </c>
      <c r="M22" s="89"/>
      <c r="N22" s="89" t="s">
        <v>186</v>
      </c>
      <c r="O22" s="125">
        <v>666</v>
      </c>
      <c r="P22" s="125"/>
      <c r="R22" s="104" t="s">
        <v>77</v>
      </c>
      <c r="S22" s="157" t="s">
        <v>234</v>
      </c>
      <c r="T22" s="89"/>
      <c r="U22" s="89" t="s">
        <v>176</v>
      </c>
      <c r="V22" s="138">
        <v>666</v>
      </c>
      <c r="W22" s="138"/>
      <c r="Y22" s="132" t="s">
        <v>77</v>
      </c>
      <c r="Z22" s="125"/>
      <c r="AA22" s="89" t="s">
        <v>194</v>
      </c>
      <c r="AB22" s="89" t="s">
        <v>171</v>
      </c>
      <c r="AC22" s="125">
        <v>666</v>
      </c>
      <c r="AD22" s="125"/>
      <c r="AF22" s="104" t="s">
        <v>77</v>
      </c>
      <c r="AG22" s="157" t="s">
        <v>234</v>
      </c>
      <c r="AH22" s="89" t="s">
        <v>194</v>
      </c>
      <c r="AI22" s="89" t="s">
        <v>186</v>
      </c>
      <c r="AJ22" s="138">
        <v>666</v>
      </c>
      <c r="AK22" s="138">
        <v>1</v>
      </c>
    </row>
    <row r="23" spans="1:37" x14ac:dyDescent="0.25">
      <c r="A23" s="304"/>
      <c r="B23" s="297"/>
      <c r="C23" s="35" t="s">
        <v>141</v>
      </c>
      <c r="D23" s="120" t="s">
        <v>153</v>
      </c>
      <c r="E23" s="48"/>
      <c r="F23" s="80" t="s">
        <v>149</v>
      </c>
      <c r="G23" s="119" t="s">
        <v>179</v>
      </c>
      <c r="H23" s="48" t="s">
        <v>154</v>
      </c>
      <c r="I23" s="48"/>
      <c r="K23" s="120"/>
      <c r="L23" s="48"/>
      <c r="M23" s="119"/>
      <c r="N23" s="119"/>
      <c r="O23" s="48"/>
      <c r="P23" s="48"/>
      <c r="R23" s="120" t="s">
        <v>153</v>
      </c>
      <c r="S23" s="48"/>
      <c r="T23" s="179" t="s">
        <v>149</v>
      </c>
      <c r="U23" s="119" t="s">
        <v>179</v>
      </c>
      <c r="V23" s="48" t="s">
        <v>154</v>
      </c>
      <c r="W23" s="48"/>
      <c r="Y23" s="132" t="s">
        <v>200</v>
      </c>
      <c r="Z23" s="125" t="s">
        <v>202</v>
      </c>
      <c r="AA23" s="125" t="s">
        <v>145</v>
      </c>
      <c r="AB23" s="89" t="s">
        <v>201</v>
      </c>
      <c r="AC23" s="125" t="s">
        <v>100</v>
      </c>
      <c r="AD23" s="125"/>
      <c r="AF23" s="145" t="s">
        <v>211</v>
      </c>
      <c r="AG23" s="146" t="s">
        <v>212</v>
      </c>
      <c r="AH23" s="147" t="s">
        <v>145</v>
      </c>
      <c r="AI23" s="147" t="s">
        <v>213</v>
      </c>
      <c r="AJ23" s="146" t="s">
        <v>222</v>
      </c>
      <c r="AK23" s="146">
        <v>3</v>
      </c>
    </row>
    <row r="24" spans="1:37" x14ac:dyDescent="0.25">
      <c r="A24" s="304"/>
      <c r="B24" s="297"/>
      <c r="C24" s="35" t="s">
        <v>141</v>
      </c>
      <c r="D24" s="52" t="s">
        <v>150</v>
      </c>
      <c r="E24" s="179"/>
      <c r="F24" s="179" t="s">
        <v>149</v>
      </c>
      <c r="G24" s="89" t="s">
        <v>180</v>
      </c>
      <c r="H24" s="179" t="s">
        <v>151</v>
      </c>
      <c r="I24" s="179"/>
      <c r="K24" s="52"/>
      <c r="L24" s="179"/>
      <c r="M24" s="89"/>
      <c r="N24" s="89"/>
      <c r="O24" s="179"/>
      <c r="P24" s="179"/>
      <c r="R24" s="52" t="s">
        <v>150</v>
      </c>
      <c r="S24" s="179"/>
      <c r="T24" s="80" t="s">
        <v>149</v>
      </c>
      <c r="U24" s="89" t="s">
        <v>180</v>
      </c>
      <c r="V24" s="179" t="s">
        <v>151</v>
      </c>
      <c r="W24" s="179"/>
      <c r="Y24" s="125" t="s">
        <v>142</v>
      </c>
      <c r="Z24" s="125"/>
      <c r="AA24" s="125" t="s">
        <v>145</v>
      </c>
      <c r="AB24" s="89" t="s">
        <v>199</v>
      </c>
      <c r="AC24" s="125" t="s">
        <v>154</v>
      </c>
      <c r="AD24" s="125"/>
      <c r="AF24" s="52"/>
      <c r="AG24" s="179"/>
      <c r="AH24" s="89"/>
      <c r="AI24" s="89"/>
      <c r="AJ24" s="179"/>
      <c r="AK24" s="179"/>
    </row>
    <row r="25" spans="1:37" ht="15.75" thickBot="1" x14ac:dyDescent="0.3">
      <c r="A25" s="304"/>
      <c r="B25" s="297"/>
      <c r="C25" s="35" t="s">
        <v>141</v>
      </c>
      <c r="D25" s="99"/>
      <c r="E25" s="101"/>
      <c r="F25" s="47"/>
      <c r="G25" s="100"/>
      <c r="H25" s="101"/>
      <c r="I25" s="101"/>
      <c r="K25" s="99"/>
      <c r="L25" s="101"/>
      <c r="M25" s="100"/>
      <c r="N25" s="100"/>
      <c r="O25" s="101"/>
      <c r="P25" s="101"/>
      <c r="R25" s="99"/>
      <c r="S25" s="101"/>
      <c r="T25" s="101"/>
      <c r="U25" s="100"/>
      <c r="V25" s="101"/>
      <c r="W25" s="101"/>
      <c r="Y25" s="99" t="s">
        <v>153</v>
      </c>
      <c r="Z25" s="101"/>
      <c r="AA25" s="47" t="s">
        <v>145</v>
      </c>
      <c r="AB25" s="100" t="s">
        <v>172</v>
      </c>
      <c r="AC25" s="101" t="s">
        <v>139</v>
      </c>
      <c r="AD25" s="101"/>
      <c r="AF25" s="99"/>
      <c r="AG25" s="101"/>
      <c r="AH25" s="100"/>
      <c r="AI25" s="100"/>
      <c r="AJ25" s="101"/>
      <c r="AK25" s="101"/>
    </row>
    <row r="26" spans="1:37" ht="18" thickBot="1" x14ac:dyDescent="0.3">
      <c r="A26" s="304"/>
      <c r="B26" s="297"/>
      <c r="C26" s="49" t="s">
        <v>93</v>
      </c>
      <c r="D26" s="99" t="s">
        <v>32</v>
      </c>
      <c r="E26" s="101" t="s">
        <v>94</v>
      </c>
      <c r="F26" s="100" t="s">
        <v>20</v>
      </c>
      <c r="G26" s="100" t="s">
        <v>116</v>
      </c>
      <c r="H26" s="101" t="s">
        <v>96</v>
      </c>
      <c r="I26" s="101" t="s">
        <v>23</v>
      </c>
      <c r="K26" s="99" t="s">
        <v>32</v>
      </c>
      <c r="L26" s="101" t="s">
        <v>94</v>
      </c>
      <c r="M26" s="100" t="s">
        <v>20</v>
      </c>
      <c r="N26" s="100" t="s">
        <v>116</v>
      </c>
      <c r="O26" s="101" t="s">
        <v>96</v>
      </c>
      <c r="P26" s="101" t="s">
        <v>23</v>
      </c>
      <c r="R26" s="99" t="s">
        <v>32</v>
      </c>
      <c r="S26" s="101" t="s">
        <v>94</v>
      </c>
      <c r="T26" s="100" t="s">
        <v>20</v>
      </c>
      <c r="U26" s="100" t="s">
        <v>116</v>
      </c>
      <c r="V26" s="101" t="s">
        <v>96</v>
      </c>
      <c r="W26" s="101" t="s">
        <v>23</v>
      </c>
      <c r="Y26" s="99" t="s">
        <v>32</v>
      </c>
      <c r="Z26" s="101" t="s">
        <v>94</v>
      </c>
      <c r="AA26" s="100" t="s">
        <v>20</v>
      </c>
      <c r="AB26" s="100" t="s">
        <v>116</v>
      </c>
      <c r="AC26" s="101" t="s">
        <v>96</v>
      </c>
      <c r="AD26" s="101" t="s">
        <v>23</v>
      </c>
      <c r="AF26" s="99" t="s">
        <v>32</v>
      </c>
      <c r="AG26" s="101" t="s">
        <v>94</v>
      </c>
      <c r="AH26" s="100" t="s">
        <v>20</v>
      </c>
      <c r="AI26" s="100" t="s">
        <v>116</v>
      </c>
      <c r="AJ26" s="101" t="s">
        <v>96</v>
      </c>
      <c r="AK26" s="101" t="s">
        <v>23</v>
      </c>
    </row>
    <row r="27" spans="1:37" x14ac:dyDescent="0.25">
      <c r="A27" s="304"/>
      <c r="B27" s="297"/>
      <c r="C27" s="44" t="s">
        <v>19</v>
      </c>
      <c r="D27" s="51"/>
      <c r="E27" s="80"/>
      <c r="F27" s="88"/>
      <c r="G27" s="88"/>
      <c r="H27" s="80"/>
      <c r="I27" s="80"/>
      <c r="K27" s="51"/>
      <c r="L27" s="80"/>
      <c r="M27" s="88"/>
      <c r="N27" s="88"/>
      <c r="O27" s="80"/>
      <c r="P27" s="80"/>
      <c r="R27" s="51"/>
      <c r="S27" s="80"/>
      <c r="T27" s="88"/>
      <c r="U27" s="88"/>
      <c r="V27" s="80"/>
      <c r="W27" s="80"/>
      <c r="Y27" s="51"/>
      <c r="Z27" s="80"/>
      <c r="AA27" s="88"/>
      <c r="AB27" s="88"/>
      <c r="AC27" s="80"/>
      <c r="AD27" s="80"/>
      <c r="AF27" s="51"/>
      <c r="AG27" s="80"/>
      <c r="AH27" s="88"/>
      <c r="AI27" s="88"/>
      <c r="AJ27" s="80"/>
      <c r="AK27" s="80"/>
    </row>
    <row r="28" spans="1:37" ht="15.75" thickBot="1" x14ac:dyDescent="0.3">
      <c r="A28" s="305"/>
      <c r="B28" s="298"/>
      <c r="C28" s="46" t="s">
        <v>18</v>
      </c>
      <c r="D28" s="53"/>
      <c r="E28" s="47"/>
      <c r="F28" s="89"/>
      <c r="G28" s="89"/>
      <c r="H28" s="47"/>
      <c r="I28" s="47"/>
      <c r="K28" s="53"/>
      <c r="L28" s="47"/>
      <c r="M28" s="89"/>
      <c r="N28" s="89"/>
      <c r="O28" s="47"/>
      <c r="P28" s="47"/>
      <c r="R28" s="53"/>
      <c r="S28" s="47"/>
      <c r="T28" s="89"/>
      <c r="U28" s="89"/>
      <c r="V28" s="47"/>
      <c r="W28" s="47"/>
      <c r="Y28" s="53"/>
      <c r="Z28" s="47"/>
      <c r="AA28" s="89"/>
      <c r="AB28" s="89"/>
      <c r="AC28" s="47"/>
      <c r="AD28" s="47"/>
      <c r="AF28" s="53"/>
      <c r="AG28" s="47"/>
      <c r="AH28" s="89"/>
      <c r="AI28" s="89"/>
      <c r="AJ28" s="47"/>
      <c r="AK28" s="47"/>
    </row>
    <row r="29" spans="1:37" ht="15.75" thickBot="1" x14ac:dyDescent="0.3">
      <c r="A29" s="17"/>
      <c r="B29" s="14"/>
      <c r="C29" s="14"/>
      <c r="D29" s="250"/>
      <c r="E29" s="251"/>
      <c r="F29" s="251"/>
      <c r="G29" s="251"/>
      <c r="H29" s="251"/>
      <c r="I29" s="251"/>
      <c r="K29" s="250"/>
      <c r="L29" s="251"/>
      <c r="M29" s="251"/>
      <c r="N29" s="251"/>
      <c r="O29" s="251"/>
      <c r="P29" s="251"/>
      <c r="R29" s="250"/>
      <c r="S29" s="251"/>
      <c r="T29" s="251"/>
      <c r="U29" s="251"/>
      <c r="V29" s="251"/>
      <c r="W29" s="251"/>
      <c r="Y29" s="250"/>
      <c r="Z29" s="251"/>
      <c r="AA29" s="251"/>
      <c r="AB29" s="251"/>
      <c r="AC29" s="251"/>
      <c r="AD29" s="251"/>
      <c r="AF29" s="250"/>
      <c r="AG29" s="251"/>
      <c r="AH29" s="251"/>
      <c r="AI29" s="251"/>
      <c r="AJ29" s="251"/>
      <c r="AK29" s="251"/>
    </row>
    <row r="30" spans="1:37" ht="60" customHeight="1" thickBot="1" x14ac:dyDescent="0.3">
      <c r="A30" s="269" t="s">
        <v>21</v>
      </c>
      <c r="B30" s="296" t="s">
        <v>107</v>
      </c>
      <c r="C30" s="49"/>
      <c r="D30" s="78" t="s">
        <v>32</v>
      </c>
      <c r="E30" s="82" t="s">
        <v>20</v>
      </c>
      <c r="F30" s="252" t="s">
        <v>97</v>
      </c>
      <c r="G30" s="253"/>
      <c r="H30" s="92" t="s">
        <v>23</v>
      </c>
      <c r="I30" s="81" t="s">
        <v>117</v>
      </c>
      <c r="K30" s="128" t="s">
        <v>32</v>
      </c>
      <c r="L30" s="82" t="s">
        <v>20</v>
      </c>
      <c r="M30" s="252" t="s">
        <v>97</v>
      </c>
      <c r="N30" s="253"/>
      <c r="O30" s="92" t="s">
        <v>23</v>
      </c>
      <c r="P30" s="81" t="s">
        <v>117</v>
      </c>
      <c r="R30" s="140" t="s">
        <v>32</v>
      </c>
      <c r="S30" s="82" t="s">
        <v>20</v>
      </c>
      <c r="T30" s="252" t="s">
        <v>97</v>
      </c>
      <c r="U30" s="253"/>
      <c r="V30" s="92" t="s">
        <v>23</v>
      </c>
      <c r="W30" s="81" t="s">
        <v>117</v>
      </c>
      <c r="Y30" s="128" t="s">
        <v>32</v>
      </c>
      <c r="Z30" s="82" t="s">
        <v>20</v>
      </c>
      <c r="AA30" s="252" t="s">
        <v>97</v>
      </c>
      <c r="AB30" s="253"/>
      <c r="AC30" s="92" t="s">
        <v>23</v>
      </c>
      <c r="AD30" s="81" t="s">
        <v>117</v>
      </c>
      <c r="AF30" s="140" t="s">
        <v>32</v>
      </c>
      <c r="AG30" s="82" t="s">
        <v>20</v>
      </c>
      <c r="AH30" s="252" t="s">
        <v>97</v>
      </c>
      <c r="AI30" s="253"/>
      <c r="AJ30" s="92" t="s">
        <v>23</v>
      </c>
      <c r="AK30" s="81" t="s">
        <v>117</v>
      </c>
    </row>
    <row r="31" spans="1:37" ht="17.25" customHeight="1" x14ac:dyDescent="0.25">
      <c r="A31" s="270"/>
      <c r="B31" s="297"/>
      <c r="C31" s="44" t="s">
        <v>24</v>
      </c>
      <c r="D31" s="116" t="s">
        <v>148</v>
      </c>
      <c r="E31" s="80" t="s">
        <v>149</v>
      </c>
      <c r="F31" s="254" t="s">
        <v>99</v>
      </c>
      <c r="G31" s="255"/>
      <c r="H31" s="121"/>
      <c r="I31" s="88" t="s">
        <v>185</v>
      </c>
      <c r="K31" s="129" t="s">
        <v>127</v>
      </c>
      <c r="L31" s="80" t="s">
        <v>134</v>
      </c>
      <c r="M31" s="254" t="s">
        <v>128</v>
      </c>
      <c r="N31" s="255"/>
      <c r="O31" s="88" t="s">
        <v>162</v>
      </c>
      <c r="P31" s="88"/>
      <c r="R31" s="134" t="s">
        <v>148</v>
      </c>
      <c r="S31" s="80" t="s">
        <v>149</v>
      </c>
      <c r="T31" s="254" t="s">
        <v>99</v>
      </c>
      <c r="U31" s="255"/>
      <c r="V31" s="121"/>
      <c r="W31" s="88" t="s">
        <v>185</v>
      </c>
      <c r="Y31" s="129" t="s">
        <v>160</v>
      </c>
      <c r="Z31" s="125" t="s">
        <v>145</v>
      </c>
      <c r="AA31" s="254" t="s">
        <v>161</v>
      </c>
      <c r="AB31" s="255"/>
      <c r="AC31" s="88"/>
      <c r="AD31" s="119" t="s">
        <v>201</v>
      </c>
      <c r="AF31" s="148" t="s">
        <v>214</v>
      </c>
      <c r="AG31" s="147" t="s">
        <v>145</v>
      </c>
      <c r="AH31" s="345" t="s">
        <v>215</v>
      </c>
      <c r="AI31" s="346"/>
      <c r="AJ31" s="143">
        <v>1</v>
      </c>
      <c r="AK31" s="143" t="s">
        <v>216</v>
      </c>
    </row>
    <row r="32" spans="1:37" ht="17.25" customHeight="1" x14ac:dyDescent="0.25">
      <c r="A32" s="270"/>
      <c r="B32" s="297"/>
      <c r="C32" s="44" t="s">
        <v>24</v>
      </c>
      <c r="D32" s="134"/>
      <c r="E32" s="80"/>
      <c r="F32" s="133"/>
      <c r="G32" s="134"/>
      <c r="H32" s="121"/>
      <c r="I32" s="152"/>
      <c r="K32" s="134"/>
      <c r="L32" s="80"/>
      <c r="M32" s="133"/>
      <c r="N32" s="134"/>
      <c r="O32" s="152"/>
      <c r="P32" s="88"/>
      <c r="R32" s="134"/>
      <c r="S32" s="80"/>
      <c r="T32" s="133"/>
      <c r="U32" s="134"/>
      <c r="V32" s="121"/>
      <c r="W32" s="152"/>
      <c r="Y32" s="134"/>
      <c r="Z32" s="138"/>
      <c r="AA32" s="133"/>
      <c r="AB32" s="134"/>
      <c r="AC32" s="152"/>
      <c r="AD32" s="119"/>
      <c r="AF32" s="148" t="s">
        <v>228</v>
      </c>
      <c r="AG32" s="147" t="s">
        <v>145</v>
      </c>
      <c r="AH32" s="153" t="s">
        <v>154</v>
      </c>
      <c r="AI32" s="148"/>
      <c r="AJ32" s="154">
        <v>1</v>
      </c>
      <c r="AK32" s="150" t="s">
        <v>218</v>
      </c>
    </row>
    <row r="33" spans="1:38" ht="17.25" customHeight="1" x14ac:dyDescent="0.25">
      <c r="A33" s="270"/>
      <c r="B33" s="297"/>
      <c r="C33" s="16" t="s">
        <v>24</v>
      </c>
      <c r="D33" s="114" t="s">
        <v>160</v>
      </c>
      <c r="E33" s="80" t="s">
        <v>149</v>
      </c>
      <c r="F33" s="256" t="s">
        <v>161</v>
      </c>
      <c r="G33" s="248"/>
      <c r="H33" s="122"/>
      <c r="I33" s="93" t="s">
        <v>181</v>
      </c>
      <c r="K33" s="127" t="s">
        <v>130</v>
      </c>
      <c r="L33" s="80" t="s">
        <v>134</v>
      </c>
      <c r="M33" s="256" t="s">
        <v>131</v>
      </c>
      <c r="N33" s="248"/>
      <c r="O33" s="93" t="s">
        <v>164</v>
      </c>
      <c r="P33" s="89"/>
      <c r="R33" s="136" t="s">
        <v>160</v>
      </c>
      <c r="S33" s="80" t="s">
        <v>149</v>
      </c>
      <c r="T33" s="256" t="s">
        <v>161</v>
      </c>
      <c r="U33" s="248"/>
      <c r="V33" s="122"/>
      <c r="W33" s="93" t="s">
        <v>181</v>
      </c>
      <c r="Y33" s="127" t="s">
        <v>140</v>
      </c>
      <c r="Z33" s="125" t="s">
        <v>145</v>
      </c>
      <c r="AA33" s="256" t="s">
        <v>206</v>
      </c>
      <c r="AB33" s="248"/>
      <c r="AC33" s="93"/>
      <c r="AD33" s="89" t="s">
        <v>199</v>
      </c>
      <c r="AF33" s="136" t="s">
        <v>229</v>
      </c>
      <c r="AG33" s="147" t="s">
        <v>145</v>
      </c>
      <c r="AH33" s="256" t="s">
        <v>230</v>
      </c>
      <c r="AI33" s="248"/>
      <c r="AJ33" s="93">
        <v>1</v>
      </c>
      <c r="AK33" s="89" t="s">
        <v>231</v>
      </c>
    </row>
    <row r="34" spans="1:38" ht="17.25" customHeight="1" x14ac:dyDescent="0.25">
      <c r="A34" s="270"/>
      <c r="B34" s="297"/>
      <c r="C34" s="16" t="s">
        <v>25</v>
      </c>
      <c r="D34" s="114" t="s">
        <v>152</v>
      </c>
      <c r="E34" s="80" t="s">
        <v>149</v>
      </c>
      <c r="F34" s="256" t="s">
        <v>158</v>
      </c>
      <c r="G34" s="248"/>
      <c r="H34" s="122"/>
      <c r="I34" s="93" t="s">
        <v>184</v>
      </c>
      <c r="K34" s="127"/>
      <c r="L34" s="80"/>
      <c r="M34" s="126"/>
      <c r="N34" s="127"/>
      <c r="O34" s="93"/>
      <c r="P34" s="89"/>
      <c r="R34" s="136" t="s">
        <v>152</v>
      </c>
      <c r="S34" s="80" t="s">
        <v>149</v>
      </c>
      <c r="T34" s="256" t="s">
        <v>158</v>
      </c>
      <c r="U34" s="248"/>
      <c r="V34" s="122"/>
      <c r="W34" s="93" t="s">
        <v>184</v>
      </c>
      <c r="Y34" s="127" t="s">
        <v>205</v>
      </c>
      <c r="Z34" s="125" t="s">
        <v>145</v>
      </c>
      <c r="AA34" s="256" t="s">
        <v>151</v>
      </c>
      <c r="AB34" s="248"/>
      <c r="AC34" s="93"/>
      <c r="AD34" s="89" t="s">
        <v>199</v>
      </c>
      <c r="AF34" s="149" t="s">
        <v>217</v>
      </c>
      <c r="AG34" s="147" t="s">
        <v>145</v>
      </c>
      <c r="AH34" s="347" t="s">
        <v>100</v>
      </c>
      <c r="AI34" s="348"/>
      <c r="AJ34" s="143">
        <v>1</v>
      </c>
      <c r="AK34" s="150" t="s">
        <v>218</v>
      </c>
    </row>
    <row r="35" spans="1:38" ht="17.25" customHeight="1" x14ac:dyDescent="0.25">
      <c r="A35" s="270"/>
      <c r="B35" s="297"/>
      <c r="C35" s="16" t="s">
        <v>25</v>
      </c>
      <c r="D35" s="136"/>
      <c r="E35" s="80"/>
      <c r="F35" s="135"/>
      <c r="G35" s="136"/>
      <c r="H35" s="122"/>
      <c r="I35" s="93"/>
      <c r="K35" s="136"/>
      <c r="L35" s="80"/>
      <c r="M35" s="135"/>
      <c r="N35" s="136"/>
      <c r="O35" s="93"/>
      <c r="P35" s="89"/>
      <c r="R35" s="136"/>
      <c r="S35" s="80"/>
      <c r="T35" s="135"/>
      <c r="U35" s="136"/>
      <c r="V35" s="122"/>
      <c r="W35" s="93"/>
      <c r="Y35" s="136"/>
      <c r="Z35" s="138"/>
      <c r="AA35" s="135"/>
      <c r="AB35" s="136"/>
      <c r="AC35" s="93"/>
      <c r="AD35" s="89"/>
      <c r="AF35" s="149" t="s">
        <v>98</v>
      </c>
      <c r="AG35" s="147" t="s">
        <v>145</v>
      </c>
      <c r="AH35" s="260" t="s">
        <v>223</v>
      </c>
      <c r="AI35" s="260"/>
      <c r="AJ35" s="143">
        <v>1</v>
      </c>
      <c r="AK35" s="147" t="s">
        <v>176</v>
      </c>
    </row>
    <row r="36" spans="1:38" ht="17.25" customHeight="1" x14ac:dyDescent="0.25">
      <c r="A36" s="270"/>
      <c r="B36" s="297"/>
      <c r="C36" s="16" t="s">
        <v>25</v>
      </c>
      <c r="D36" s="136"/>
      <c r="E36" s="80"/>
      <c r="F36" s="135"/>
      <c r="G36" s="136"/>
      <c r="H36" s="122"/>
      <c r="I36" s="93"/>
      <c r="K36" s="136"/>
      <c r="L36" s="80"/>
      <c r="M36" s="135"/>
      <c r="N36" s="136"/>
      <c r="O36" s="93"/>
      <c r="P36" s="89"/>
      <c r="R36" s="136"/>
      <c r="S36" s="80"/>
      <c r="T36" s="135"/>
      <c r="U36" s="136"/>
      <c r="V36" s="122"/>
      <c r="W36" s="93"/>
      <c r="Y36" s="136"/>
      <c r="Z36" s="138"/>
      <c r="AA36" s="135"/>
      <c r="AB36" s="136"/>
      <c r="AC36" s="93"/>
      <c r="AD36" s="89"/>
      <c r="AF36" s="149" t="s">
        <v>232</v>
      </c>
      <c r="AG36" s="147" t="s">
        <v>145</v>
      </c>
      <c r="AH36" s="151" t="s">
        <v>139</v>
      </c>
      <c r="AI36" s="149"/>
      <c r="AJ36" s="143">
        <v>1</v>
      </c>
      <c r="AK36" s="150" t="s">
        <v>199</v>
      </c>
    </row>
    <row r="37" spans="1:38" x14ac:dyDescent="0.25">
      <c r="A37" s="270"/>
      <c r="B37" s="297"/>
      <c r="C37" s="16" t="s">
        <v>25</v>
      </c>
      <c r="D37" s="114" t="s">
        <v>156</v>
      </c>
      <c r="E37" s="80" t="s">
        <v>149</v>
      </c>
      <c r="F37" s="256" t="s">
        <v>154</v>
      </c>
      <c r="G37" s="248"/>
      <c r="H37" s="122"/>
      <c r="I37" s="89" t="s">
        <v>183</v>
      </c>
      <c r="K37" s="127"/>
      <c r="L37" s="125"/>
      <c r="M37" s="256"/>
      <c r="N37" s="248"/>
      <c r="O37" s="89"/>
      <c r="P37" s="89"/>
      <c r="R37" s="136" t="s">
        <v>156</v>
      </c>
      <c r="S37" s="80" t="s">
        <v>149</v>
      </c>
      <c r="T37" s="256" t="s">
        <v>154</v>
      </c>
      <c r="U37" s="248"/>
      <c r="V37" s="122"/>
      <c r="W37" s="89" t="s">
        <v>183</v>
      </c>
      <c r="Y37" s="127"/>
      <c r="Z37" s="125"/>
      <c r="AA37" s="256"/>
      <c r="AB37" s="248"/>
      <c r="AC37" s="89"/>
      <c r="AD37" s="89"/>
      <c r="AF37" s="149" t="s">
        <v>219</v>
      </c>
      <c r="AG37" s="147" t="s">
        <v>145</v>
      </c>
      <c r="AH37" s="151" t="s">
        <v>221</v>
      </c>
      <c r="AI37" s="149"/>
      <c r="AJ37" s="143">
        <v>2</v>
      </c>
      <c r="AK37" s="150" t="s">
        <v>220</v>
      </c>
    </row>
    <row r="38" spans="1:38" x14ac:dyDescent="0.25">
      <c r="A38" s="270"/>
      <c r="B38" s="297"/>
      <c r="C38" s="16" t="s">
        <v>22</v>
      </c>
      <c r="D38" s="114" t="s">
        <v>155</v>
      </c>
      <c r="E38" s="80" t="s">
        <v>149</v>
      </c>
      <c r="F38" s="249" t="s">
        <v>157</v>
      </c>
      <c r="G38" s="249"/>
      <c r="H38" s="122"/>
      <c r="I38" s="89" t="s">
        <v>183</v>
      </c>
      <c r="K38" s="127" t="s">
        <v>98</v>
      </c>
      <c r="L38" s="80" t="s">
        <v>134</v>
      </c>
      <c r="M38" s="249" t="s">
        <v>129</v>
      </c>
      <c r="N38" s="249"/>
      <c r="O38" s="89" t="s">
        <v>163</v>
      </c>
      <c r="P38" s="89"/>
      <c r="R38" s="136" t="s">
        <v>155</v>
      </c>
      <c r="S38" s="80" t="s">
        <v>149</v>
      </c>
      <c r="T38" s="249" t="s">
        <v>157</v>
      </c>
      <c r="U38" s="249"/>
      <c r="V38" s="122"/>
      <c r="W38" s="89" t="s">
        <v>183</v>
      </c>
      <c r="Y38" s="127" t="s">
        <v>101</v>
      </c>
      <c r="Z38" s="125" t="s">
        <v>145</v>
      </c>
      <c r="AA38" s="249" t="s">
        <v>203</v>
      </c>
      <c r="AB38" s="249"/>
      <c r="AC38" s="89"/>
      <c r="AD38" s="89" t="s">
        <v>204</v>
      </c>
      <c r="AF38" s="157" t="s">
        <v>224</v>
      </c>
      <c r="AG38" s="147" t="s">
        <v>145</v>
      </c>
      <c r="AH38" s="260" t="s">
        <v>225</v>
      </c>
      <c r="AI38" s="260"/>
      <c r="AJ38" s="147">
        <v>2</v>
      </c>
      <c r="AK38" s="147" t="s">
        <v>226</v>
      </c>
    </row>
    <row r="39" spans="1:38" x14ac:dyDescent="0.25">
      <c r="A39" s="270"/>
      <c r="B39" s="297"/>
      <c r="C39" s="16" t="s">
        <v>22</v>
      </c>
      <c r="D39" s="114" t="s">
        <v>101</v>
      </c>
      <c r="E39" s="80" t="s">
        <v>149</v>
      </c>
      <c r="F39" s="256" t="s">
        <v>159</v>
      </c>
      <c r="G39" s="248"/>
      <c r="H39" s="122"/>
      <c r="I39" s="89" t="s">
        <v>182</v>
      </c>
      <c r="K39" s="127"/>
      <c r="L39" s="125"/>
      <c r="M39" s="256"/>
      <c r="N39" s="248"/>
      <c r="O39" s="89"/>
      <c r="P39" s="94"/>
      <c r="R39" s="136" t="s">
        <v>101</v>
      </c>
      <c r="S39" s="80" t="s">
        <v>149</v>
      </c>
      <c r="T39" s="256" t="s">
        <v>159</v>
      </c>
      <c r="U39" s="248"/>
      <c r="V39" s="122"/>
      <c r="W39" s="89" t="s">
        <v>182</v>
      </c>
      <c r="Y39" s="127"/>
      <c r="Z39" s="125"/>
      <c r="AA39" s="256"/>
      <c r="AB39" s="248"/>
      <c r="AC39" s="89"/>
      <c r="AD39" s="94"/>
      <c r="AF39" s="157" t="s">
        <v>101</v>
      </c>
      <c r="AG39" s="147" t="s">
        <v>145</v>
      </c>
      <c r="AH39" s="260" t="s">
        <v>203</v>
      </c>
      <c r="AI39" s="260"/>
      <c r="AJ39" s="147">
        <v>1</v>
      </c>
      <c r="AK39" s="147" t="s">
        <v>227</v>
      </c>
    </row>
    <row r="40" spans="1:38" ht="15.75" thickBot="1" x14ac:dyDescent="0.3">
      <c r="A40" s="270"/>
      <c r="B40" s="297"/>
      <c r="C40" s="46" t="s">
        <v>22</v>
      </c>
      <c r="D40" s="111"/>
      <c r="E40" s="47"/>
      <c r="F40" s="258"/>
      <c r="G40" s="259"/>
      <c r="H40" s="91"/>
      <c r="I40" s="90"/>
      <c r="K40" s="123"/>
      <c r="L40" s="47"/>
      <c r="M40" s="258"/>
      <c r="N40" s="259"/>
      <c r="O40" s="91"/>
      <c r="P40" s="90"/>
      <c r="R40" s="137"/>
      <c r="S40" s="47"/>
      <c r="T40" s="258"/>
      <c r="U40" s="259"/>
      <c r="V40" s="91"/>
      <c r="W40" s="90"/>
      <c r="Y40" s="123"/>
      <c r="Z40" s="47"/>
      <c r="AA40" s="258"/>
      <c r="AB40" s="259"/>
      <c r="AC40" s="91"/>
      <c r="AD40" s="90"/>
      <c r="AF40" s="155"/>
      <c r="AG40" s="101"/>
      <c r="AH40" s="261"/>
      <c r="AI40" s="262"/>
      <c r="AJ40" s="100"/>
      <c r="AK40" s="156"/>
    </row>
    <row r="41" spans="1:38" s="36" customFormat="1" ht="15.75" thickBot="1" x14ac:dyDescent="0.3">
      <c r="A41" s="271"/>
      <c r="B41" s="298"/>
      <c r="C41" s="49" t="s">
        <v>70</v>
      </c>
      <c r="D41" s="257"/>
      <c r="E41" s="257"/>
      <c r="F41" s="257"/>
      <c r="G41" s="253"/>
      <c r="H41" s="100"/>
      <c r="I41" s="50"/>
      <c r="J41" s="37"/>
      <c r="K41" s="257"/>
      <c r="L41" s="257"/>
      <c r="M41" s="257"/>
      <c r="N41" s="253"/>
      <c r="O41" s="100"/>
      <c r="P41" s="50"/>
      <c r="Q41" s="37"/>
      <c r="R41" s="257"/>
      <c r="S41" s="257"/>
      <c r="T41" s="257"/>
      <c r="U41" s="253"/>
      <c r="V41" s="100"/>
      <c r="W41" s="50"/>
      <c r="X41" s="37"/>
      <c r="Y41" s="257"/>
      <c r="Z41" s="257"/>
      <c r="AA41" s="257"/>
      <c r="AB41" s="253"/>
      <c r="AC41" s="100"/>
      <c r="AD41" s="50"/>
      <c r="AE41" s="37"/>
      <c r="AF41" s="257"/>
      <c r="AG41" s="257"/>
      <c r="AH41" s="257"/>
      <c r="AI41" s="253"/>
      <c r="AJ41" s="100"/>
      <c r="AK41" s="50"/>
      <c r="AL41" s="37"/>
    </row>
    <row r="42" spans="1:38" ht="15.75" thickBot="1" x14ac:dyDescent="0.3">
      <c r="A42" s="11"/>
      <c r="B42" s="14"/>
      <c r="C42" s="14"/>
      <c r="D42" s="250"/>
      <c r="E42" s="251"/>
      <c r="F42" s="251"/>
      <c r="G42" s="251"/>
      <c r="H42" s="251"/>
      <c r="I42" s="251"/>
      <c r="K42" s="250"/>
      <c r="L42" s="251"/>
      <c r="M42" s="251"/>
      <c r="N42" s="251"/>
      <c r="O42" s="251"/>
      <c r="P42" s="251"/>
      <c r="R42" s="250"/>
      <c r="S42" s="251"/>
      <c r="T42" s="251"/>
      <c r="U42" s="251"/>
      <c r="V42" s="251"/>
      <c r="W42" s="251"/>
      <c r="Y42" s="250"/>
      <c r="Z42" s="251"/>
      <c r="AA42" s="251"/>
      <c r="AB42" s="251"/>
      <c r="AC42" s="251"/>
      <c r="AD42" s="251"/>
      <c r="AF42" s="250"/>
      <c r="AG42" s="251"/>
      <c r="AH42" s="251"/>
      <c r="AI42" s="251"/>
      <c r="AJ42" s="251"/>
      <c r="AK42" s="251"/>
    </row>
    <row r="43" spans="1:38" ht="15.75" customHeight="1" thickBot="1" x14ac:dyDescent="0.3">
      <c r="A43" s="299" t="s">
        <v>26</v>
      </c>
      <c r="B43" s="300" t="s">
        <v>108</v>
      </c>
      <c r="C43" s="54"/>
      <c r="D43" s="240" t="s">
        <v>9</v>
      </c>
      <c r="E43" s="241"/>
      <c r="F43" s="239" t="s">
        <v>10</v>
      </c>
      <c r="G43" s="240"/>
      <c r="H43" s="241"/>
      <c r="I43" s="77" t="s">
        <v>116</v>
      </c>
      <c r="J43" s="64" t="s">
        <v>9</v>
      </c>
      <c r="K43" s="240" t="s">
        <v>9</v>
      </c>
      <c r="L43" s="241"/>
      <c r="M43" s="239" t="s">
        <v>10</v>
      </c>
      <c r="N43" s="240"/>
      <c r="O43" s="241"/>
      <c r="P43" s="77" t="s">
        <v>116</v>
      </c>
      <c r="Q43" s="64"/>
      <c r="R43" s="240" t="s">
        <v>9</v>
      </c>
      <c r="S43" s="241"/>
      <c r="T43" s="239" t="s">
        <v>10</v>
      </c>
      <c r="U43" s="240"/>
      <c r="V43" s="241"/>
      <c r="W43" s="77" t="s">
        <v>116</v>
      </c>
      <c r="X43" s="64"/>
      <c r="Y43" s="240" t="s">
        <v>9</v>
      </c>
      <c r="Z43" s="241"/>
      <c r="AA43" s="239" t="s">
        <v>10</v>
      </c>
      <c r="AB43" s="240"/>
      <c r="AC43" s="241"/>
      <c r="AD43" s="77" t="s">
        <v>116</v>
      </c>
      <c r="AE43" s="64"/>
      <c r="AF43" s="240" t="s">
        <v>9</v>
      </c>
      <c r="AG43" s="241"/>
      <c r="AH43" s="239" t="s">
        <v>10</v>
      </c>
      <c r="AI43" s="240"/>
      <c r="AJ43" s="241"/>
      <c r="AK43" s="77" t="s">
        <v>116</v>
      </c>
      <c r="AL43" s="64"/>
    </row>
    <row r="44" spans="1:38" ht="15" customHeight="1" x14ac:dyDescent="0.25">
      <c r="A44" s="299"/>
      <c r="B44" s="301"/>
      <c r="C44" s="15" t="s">
        <v>27</v>
      </c>
      <c r="D44" s="263"/>
      <c r="E44" s="264"/>
      <c r="F44" s="242" t="s">
        <v>103</v>
      </c>
      <c r="G44" s="243"/>
      <c r="H44" s="244"/>
      <c r="I44" s="95" t="s">
        <v>186</v>
      </c>
      <c r="K44" s="263"/>
      <c r="L44" s="264"/>
      <c r="M44" s="242" t="s">
        <v>103</v>
      </c>
      <c r="N44" s="243"/>
      <c r="O44" s="244"/>
      <c r="P44" s="95" t="s">
        <v>247</v>
      </c>
      <c r="R44" s="263"/>
      <c r="S44" s="264"/>
      <c r="T44" s="242" t="s">
        <v>103</v>
      </c>
      <c r="U44" s="243"/>
      <c r="V44" s="244"/>
      <c r="W44" s="95" t="s">
        <v>186</v>
      </c>
      <c r="Y44" s="263"/>
      <c r="Z44" s="264"/>
      <c r="AA44" s="242" t="s">
        <v>103</v>
      </c>
      <c r="AB44" s="243"/>
      <c r="AC44" s="244"/>
      <c r="AD44" s="95" t="s">
        <v>197</v>
      </c>
      <c r="AF44" s="263"/>
      <c r="AG44" s="264"/>
      <c r="AH44" s="242" t="s">
        <v>103</v>
      </c>
      <c r="AI44" s="243"/>
      <c r="AJ44" s="244"/>
      <c r="AK44" s="95" t="s">
        <v>168</v>
      </c>
    </row>
    <row r="45" spans="1:38" x14ac:dyDescent="0.25">
      <c r="A45" s="299"/>
      <c r="B45" s="301"/>
      <c r="C45" s="15" t="s">
        <v>28</v>
      </c>
      <c r="D45" s="246"/>
      <c r="E45" s="247"/>
      <c r="F45" s="245"/>
      <c r="G45" s="246"/>
      <c r="H45" s="247"/>
      <c r="I45" s="96"/>
      <c r="K45" s="246"/>
      <c r="L45" s="247"/>
      <c r="M45" s="245"/>
      <c r="N45" s="246"/>
      <c r="O45" s="247"/>
      <c r="P45" s="96"/>
      <c r="R45" s="246"/>
      <c r="S45" s="247"/>
      <c r="T45" s="245"/>
      <c r="U45" s="246"/>
      <c r="V45" s="247"/>
      <c r="W45" s="96"/>
      <c r="Y45" s="246"/>
      <c r="Z45" s="247"/>
      <c r="AA45" s="245"/>
      <c r="AB45" s="246"/>
      <c r="AC45" s="247"/>
      <c r="AD45" s="96"/>
      <c r="AF45" s="246"/>
      <c r="AG45" s="247"/>
      <c r="AH45" s="245"/>
      <c r="AI45" s="246"/>
      <c r="AJ45" s="247"/>
      <c r="AK45" s="96"/>
    </row>
    <row r="46" spans="1:38" ht="15.75" thickBot="1" x14ac:dyDescent="0.3">
      <c r="A46" s="299"/>
      <c r="B46" s="302"/>
      <c r="C46" s="55" t="s">
        <v>29</v>
      </c>
      <c r="D46" s="265"/>
      <c r="E46" s="266"/>
      <c r="F46" s="295"/>
      <c r="G46" s="265"/>
      <c r="H46" s="266"/>
      <c r="I46" s="87"/>
      <c r="K46" s="265"/>
      <c r="L46" s="266"/>
      <c r="M46" s="295"/>
      <c r="N46" s="265"/>
      <c r="O46" s="266"/>
      <c r="P46" s="87"/>
      <c r="R46" s="265"/>
      <c r="S46" s="266"/>
      <c r="T46" s="295"/>
      <c r="U46" s="265"/>
      <c r="V46" s="266"/>
      <c r="W46" s="87"/>
      <c r="Y46" s="265"/>
      <c r="Z46" s="266"/>
      <c r="AA46" s="295"/>
      <c r="AB46" s="265"/>
      <c r="AC46" s="266"/>
      <c r="AD46" s="87"/>
      <c r="AF46" s="265"/>
      <c r="AG46" s="266"/>
      <c r="AH46" s="295"/>
      <c r="AI46" s="265"/>
      <c r="AJ46" s="266"/>
      <c r="AK46" s="87"/>
    </row>
    <row r="47" spans="1:38" ht="15.75" thickBot="1" x14ac:dyDescent="0.3">
      <c r="A47" s="11"/>
      <c r="B47" s="14"/>
      <c r="C47" s="14"/>
      <c r="D47" s="250"/>
      <c r="E47" s="251"/>
      <c r="F47" s="251"/>
      <c r="G47" s="251"/>
      <c r="H47" s="251"/>
      <c r="I47" s="251"/>
      <c r="K47" s="250"/>
      <c r="L47" s="251"/>
      <c r="M47" s="251"/>
      <c r="N47" s="251"/>
      <c r="O47" s="251"/>
      <c r="P47" s="251"/>
      <c r="R47" s="250"/>
      <c r="S47" s="251"/>
      <c r="T47" s="251"/>
      <c r="U47" s="251"/>
      <c r="V47" s="251"/>
      <c r="W47" s="251"/>
      <c r="Y47" s="250"/>
      <c r="Z47" s="251"/>
      <c r="AA47" s="251"/>
      <c r="AB47" s="251"/>
      <c r="AC47" s="251"/>
      <c r="AD47" s="251"/>
      <c r="AF47" s="250"/>
      <c r="AG47" s="251"/>
      <c r="AH47" s="251"/>
      <c r="AI47" s="251"/>
      <c r="AJ47" s="251"/>
      <c r="AK47" s="251"/>
    </row>
    <row r="48" spans="1:38" ht="15" customHeight="1" thickBot="1" x14ac:dyDescent="0.3">
      <c r="A48" s="283" t="s">
        <v>30</v>
      </c>
      <c r="B48" s="285" t="s">
        <v>109</v>
      </c>
      <c r="C48" s="63"/>
      <c r="D48" s="85" t="s">
        <v>9</v>
      </c>
      <c r="E48" s="267" t="s">
        <v>89</v>
      </c>
      <c r="F48" s="268"/>
      <c r="G48" s="288" t="s">
        <v>135</v>
      </c>
      <c r="H48" s="288"/>
      <c r="I48" s="288"/>
      <c r="K48" s="130" t="s">
        <v>9</v>
      </c>
      <c r="L48" s="267" t="s">
        <v>89</v>
      </c>
      <c r="M48" s="268"/>
      <c r="N48" s="288" t="s">
        <v>135</v>
      </c>
      <c r="O48" s="288"/>
      <c r="P48" s="288"/>
      <c r="R48" s="141" t="s">
        <v>9</v>
      </c>
      <c r="S48" s="267" t="s">
        <v>89</v>
      </c>
      <c r="T48" s="268"/>
      <c r="U48" s="288" t="s">
        <v>135</v>
      </c>
      <c r="V48" s="288"/>
      <c r="W48" s="288"/>
      <c r="Y48" s="130" t="s">
        <v>9</v>
      </c>
      <c r="Z48" s="267" t="s">
        <v>89</v>
      </c>
      <c r="AA48" s="268"/>
      <c r="AB48" s="288" t="s">
        <v>135</v>
      </c>
      <c r="AC48" s="288"/>
      <c r="AD48" s="288"/>
      <c r="AF48" s="141" t="s">
        <v>9</v>
      </c>
      <c r="AG48" s="267" t="s">
        <v>89</v>
      </c>
      <c r="AH48" s="268"/>
      <c r="AI48" s="288" t="s">
        <v>135</v>
      </c>
      <c r="AJ48" s="288"/>
      <c r="AK48" s="288"/>
    </row>
    <row r="49" spans="1:38" ht="15" customHeight="1" x14ac:dyDescent="0.25">
      <c r="A49" s="284"/>
      <c r="B49" s="286"/>
      <c r="C49" s="62" t="s">
        <v>34</v>
      </c>
      <c r="D49" s="84"/>
      <c r="E49" s="289">
        <v>6.8</v>
      </c>
      <c r="F49" s="290"/>
      <c r="G49" s="291">
        <v>159</v>
      </c>
      <c r="H49" s="291"/>
      <c r="I49" s="291"/>
      <c r="K49" s="131"/>
      <c r="L49" s="289">
        <v>3</v>
      </c>
      <c r="M49" s="290"/>
      <c r="N49" s="291">
        <v>193</v>
      </c>
      <c r="O49" s="291"/>
      <c r="P49" s="291"/>
      <c r="R49" s="142"/>
      <c r="S49" s="289">
        <v>6.8</v>
      </c>
      <c r="T49" s="290"/>
      <c r="U49" s="291">
        <v>159</v>
      </c>
      <c r="V49" s="291"/>
      <c r="W49" s="291"/>
      <c r="Y49" s="131"/>
      <c r="Z49" s="289">
        <v>5.6</v>
      </c>
      <c r="AA49" s="290"/>
      <c r="AB49" s="291">
        <v>139.5</v>
      </c>
      <c r="AC49" s="291"/>
      <c r="AD49" s="291"/>
      <c r="AF49" s="142"/>
      <c r="AG49" s="289">
        <v>3.6</v>
      </c>
      <c r="AH49" s="290"/>
      <c r="AI49" s="291">
        <v>360</v>
      </c>
      <c r="AJ49" s="291"/>
      <c r="AK49" s="291"/>
    </row>
    <row r="50" spans="1:38" ht="15.75" thickBot="1" x14ac:dyDescent="0.3">
      <c r="A50" s="284"/>
      <c r="B50" s="287"/>
      <c r="C50" s="61" t="s">
        <v>33</v>
      </c>
      <c r="D50" s="83"/>
      <c r="E50" s="292"/>
      <c r="F50" s="293"/>
      <c r="G50" s="294"/>
      <c r="H50" s="294"/>
      <c r="I50" s="294"/>
      <c r="K50" s="124"/>
      <c r="L50" s="292"/>
      <c r="M50" s="293"/>
      <c r="N50" s="294"/>
      <c r="O50" s="294"/>
      <c r="P50" s="294"/>
      <c r="R50" s="139"/>
      <c r="S50" s="292"/>
      <c r="T50" s="293"/>
      <c r="U50" s="294"/>
      <c r="V50" s="294"/>
      <c r="W50" s="294"/>
      <c r="Y50" s="124"/>
      <c r="Z50" s="292"/>
      <c r="AA50" s="293"/>
      <c r="AB50" s="294"/>
      <c r="AC50" s="294"/>
      <c r="AD50" s="294"/>
      <c r="AF50" s="139"/>
      <c r="AG50" s="292"/>
      <c r="AH50" s="293"/>
      <c r="AI50" s="294"/>
      <c r="AJ50" s="294"/>
      <c r="AK50" s="294"/>
    </row>
    <row r="51" spans="1:38" ht="15.75" thickBot="1" x14ac:dyDescent="0.3">
      <c r="A51" s="11"/>
      <c r="B51" s="14"/>
      <c r="C51" s="14"/>
      <c r="D51" s="250"/>
      <c r="E51" s="251"/>
      <c r="F51" s="251"/>
      <c r="G51" s="251"/>
      <c r="H51" s="251"/>
      <c r="I51" s="251"/>
      <c r="K51" s="250"/>
      <c r="L51" s="251"/>
      <c r="M51" s="251"/>
      <c r="N51" s="251"/>
      <c r="O51" s="251"/>
      <c r="P51" s="251"/>
      <c r="R51" s="250"/>
      <c r="S51" s="251"/>
      <c r="T51" s="251"/>
      <c r="U51" s="251"/>
      <c r="V51" s="251"/>
      <c r="W51" s="251"/>
      <c r="Y51" s="250"/>
      <c r="Z51" s="251"/>
      <c r="AA51" s="251"/>
      <c r="AB51" s="251"/>
      <c r="AC51" s="251"/>
      <c r="AD51" s="251"/>
      <c r="AF51" s="250"/>
      <c r="AG51" s="251"/>
      <c r="AH51" s="251"/>
      <c r="AI51" s="251"/>
      <c r="AJ51" s="251"/>
      <c r="AK51" s="251"/>
    </row>
    <row r="52" spans="1:38" ht="15" customHeight="1" x14ac:dyDescent="0.25">
      <c r="A52" s="269" t="s">
        <v>31</v>
      </c>
      <c r="B52" s="272" t="s">
        <v>114</v>
      </c>
      <c r="C52" s="60" t="s">
        <v>35</v>
      </c>
      <c r="D52" s="275">
        <v>71</v>
      </c>
      <c r="E52" s="276"/>
      <c r="F52" s="276"/>
      <c r="G52" s="276"/>
      <c r="H52" s="276"/>
      <c r="I52" s="276"/>
      <c r="K52" s="275">
        <v>120</v>
      </c>
      <c r="L52" s="276"/>
      <c r="M52" s="276"/>
      <c r="N52" s="276"/>
      <c r="O52" s="276"/>
      <c r="P52" s="276"/>
      <c r="R52" s="275">
        <v>71</v>
      </c>
      <c r="S52" s="276"/>
      <c r="T52" s="276"/>
      <c r="U52" s="276"/>
      <c r="V52" s="276"/>
      <c r="W52" s="276"/>
      <c r="Y52" s="275">
        <v>60</v>
      </c>
      <c r="Z52" s="276"/>
      <c r="AA52" s="276"/>
      <c r="AB52" s="276"/>
      <c r="AC52" s="276"/>
      <c r="AD52" s="276"/>
      <c r="AF52" s="275">
        <v>38</v>
      </c>
      <c r="AG52" s="276"/>
      <c r="AH52" s="276"/>
      <c r="AI52" s="276"/>
      <c r="AJ52" s="276"/>
      <c r="AK52" s="276"/>
    </row>
    <row r="53" spans="1:38" x14ac:dyDescent="0.25">
      <c r="A53" s="270"/>
      <c r="B53" s="273"/>
      <c r="C53" s="18" t="s">
        <v>71</v>
      </c>
      <c r="D53" s="248">
        <v>296</v>
      </c>
      <c r="E53" s="249"/>
      <c r="F53" s="249"/>
      <c r="G53" s="249"/>
      <c r="H53" s="249"/>
      <c r="I53" s="249"/>
      <c r="K53" s="248">
        <v>131</v>
      </c>
      <c r="L53" s="249"/>
      <c r="M53" s="249"/>
      <c r="N53" s="249"/>
      <c r="O53" s="249"/>
      <c r="P53" s="249"/>
      <c r="R53" s="248">
        <v>296</v>
      </c>
      <c r="S53" s="249"/>
      <c r="T53" s="249"/>
      <c r="U53" s="249"/>
      <c r="V53" s="249"/>
      <c r="W53" s="249"/>
      <c r="Y53" s="248">
        <v>238</v>
      </c>
      <c r="Z53" s="249"/>
      <c r="AA53" s="249"/>
      <c r="AB53" s="249"/>
      <c r="AC53" s="249"/>
      <c r="AD53" s="249"/>
      <c r="AF53" s="248">
        <v>370</v>
      </c>
      <c r="AG53" s="249"/>
      <c r="AH53" s="249"/>
      <c r="AI53" s="249"/>
      <c r="AJ53" s="249"/>
      <c r="AK53" s="249"/>
    </row>
    <row r="54" spans="1:38" x14ac:dyDescent="0.25">
      <c r="A54" s="270"/>
      <c r="B54" s="273"/>
      <c r="C54" s="18" t="s">
        <v>41</v>
      </c>
      <c r="D54" s="248">
        <v>103</v>
      </c>
      <c r="E54" s="249"/>
      <c r="F54" s="249"/>
      <c r="G54" s="249"/>
      <c r="H54" s="249"/>
      <c r="I54" s="249"/>
      <c r="K54" s="248">
        <v>71</v>
      </c>
      <c r="L54" s="249"/>
      <c r="M54" s="249"/>
      <c r="N54" s="249"/>
      <c r="O54" s="249"/>
      <c r="P54" s="249"/>
      <c r="R54" s="248">
        <v>103</v>
      </c>
      <c r="S54" s="249"/>
      <c r="T54" s="249"/>
      <c r="U54" s="249"/>
      <c r="V54" s="249"/>
      <c r="W54" s="249"/>
      <c r="Y54" s="248">
        <v>81</v>
      </c>
      <c r="Z54" s="249"/>
      <c r="AA54" s="249"/>
      <c r="AB54" s="249"/>
      <c r="AC54" s="249"/>
      <c r="AD54" s="249"/>
      <c r="AF54" s="248">
        <v>165</v>
      </c>
      <c r="AG54" s="249"/>
      <c r="AH54" s="249"/>
      <c r="AI54" s="249"/>
      <c r="AJ54" s="249"/>
      <c r="AK54" s="249"/>
    </row>
    <row r="55" spans="1:38" x14ac:dyDescent="0.25">
      <c r="A55" s="270"/>
      <c r="B55" s="273"/>
      <c r="C55" s="18" t="s">
        <v>42</v>
      </c>
      <c r="D55" s="248">
        <v>110</v>
      </c>
      <c r="E55" s="249"/>
      <c r="F55" s="249"/>
      <c r="G55" s="249"/>
      <c r="H55" s="249"/>
      <c r="I55" s="249"/>
      <c r="K55" s="248">
        <v>93</v>
      </c>
      <c r="L55" s="249"/>
      <c r="M55" s="249"/>
      <c r="N55" s="249"/>
      <c r="O55" s="249"/>
      <c r="P55" s="249"/>
      <c r="R55" s="248">
        <v>110</v>
      </c>
      <c r="S55" s="249"/>
      <c r="T55" s="249"/>
      <c r="U55" s="249"/>
      <c r="V55" s="249"/>
      <c r="W55" s="249"/>
      <c r="Y55" s="248">
        <v>103</v>
      </c>
      <c r="Z55" s="249"/>
      <c r="AA55" s="249"/>
      <c r="AB55" s="249"/>
      <c r="AC55" s="249"/>
      <c r="AD55" s="249"/>
      <c r="AF55" s="248">
        <v>104</v>
      </c>
      <c r="AG55" s="249"/>
      <c r="AH55" s="249"/>
      <c r="AI55" s="249"/>
      <c r="AJ55" s="249"/>
      <c r="AK55" s="249"/>
    </row>
    <row r="56" spans="1:38" x14ac:dyDescent="0.25">
      <c r="A56" s="270"/>
      <c r="B56" s="273"/>
      <c r="C56" s="16" t="s">
        <v>43</v>
      </c>
      <c r="D56" s="277"/>
      <c r="E56" s="278"/>
      <c r="F56" s="278"/>
      <c r="G56" s="278"/>
      <c r="H56" s="278"/>
      <c r="I56" s="278"/>
      <c r="K56" s="277"/>
      <c r="L56" s="278"/>
      <c r="M56" s="278"/>
      <c r="N56" s="278"/>
      <c r="O56" s="278"/>
      <c r="P56" s="278"/>
      <c r="R56" s="277"/>
      <c r="S56" s="278"/>
      <c r="T56" s="278"/>
      <c r="U56" s="278"/>
      <c r="V56" s="278"/>
      <c r="W56" s="278"/>
      <c r="Y56" s="277"/>
      <c r="Z56" s="278"/>
      <c r="AA56" s="278"/>
      <c r="AB56" s="278"/>
      <c r="AC56" s="278"/>
      <c r="AD56" s="278"/>
      <c r="AF56" s="277"/>
      <c r="AG56" s="278"/>
      <c r="AH56" s="278"/>
      <c r="AI56" s="278"/>
      <c r="AJ56" s="278"/>
      <c r="AK56" s="278"/>
    </row>
    <row r="57" spans="1:38" x14ac:dyDescent="0.25">
      <c r="A57" s="270"/>
      <c r="B57" s="273"/>
      <c r="C57" s="16" t="s">
        <v>44</v>
      </c>
      <c r="D57" s="277"/>
      <c r="E57" s="278"/>
      <c r="F57" s="278"/>
      <c r="G57" s="278"/>
      <c r="H57" s="278"/>
      <c r="I57" s="278"/>
      <c r="K57" s="277"/>
      <c r="L57" s="278"/>
      <c r="M57" s="278"/>
      <c r="N57" s="278"/>
      <c r="O57" s="278"/>
      <c r="P57" s="278"/>
      <c r="R57" s="277"/>
      <c r="S57" s="278"/>
      <c r="T57" s="278"/>
      <c r="U57" s="278"/>
      <c r="V57" s="278"/>
      <c r="W57" s="278"/>
      <c r="Y57" s="277"/>
      <c r="Z57" s="278"/>
      <c r="AA57" s="278"/>
      <c r="AB57" s="278"/>
      <c r="AC57" s="278"/>
      <c r="AD57" s="278"/>
      <c r="AF57" s="277"/>
      <c r="AG57" s="278"/>
      <c r="AH57" s="278"/>
      <c r="AI57" s="278"/>
      <c r="AJ57" s="278"/>
      <c r="AK57" s="278"/>
    </row>
    <row r="58" spans="1:38" x14ac:dyDescent="0.25">
      <c r="A58" s="270"/>
      <c r="B58" s="273"/>
      <c r="C58" s="18" t="s">
        <v>45</v>
      </c>
      <c r="D58" s="277">
        <v>12</v>
      </c>
      <c r="E58" s="278"/>
      <c r="F58" s="278"/>
      <c r="G58" s="278"/>
      <c r="H58" s="278"/>
      <c r="I58" s="278"/>
      <c r="K58" s="349">
        <v>32</v>
      </c>
      <c r="L58" s="349"/>
      <c r="M58" s="349"/>
      <c r="N58" s="349"/>
      <c r="O58" s="349"/>
      <c r="P58" s="277"/>
      <c r="R58" s="277">
        <v>12</v>
      </c>
      <c r="S58" s="278"/>
      <c r="T58" s="278"/>
      <c r="U58" s="278"/>
      <c r="V58" s="278"/>
      <c r="W58" s="278"/>
      <c r="Y58" s="277">
        <v>10</v>
      </c>
      <c r="Z58" s="278"/>
      <c r="AA58" s="278"/>
      <c r="AB58" s="278"/>
      <c r="AC58" s="278"/>
      <c r="AD58" s="278"/>
      <c r="AF58" s="277">
        <v>4</v>
      </c>
      <c r="AG58" s="278"/>
      <c r="AH58" s="278"/>
      <c r="AI58" s="278"/>
      <c r="AJ58" s="278"/>
      <c r="AK58" s="278"/>
    </row>
    <row r="59" spans="1:38" x14ac:dyDescent="0.25">
      <c r="A59" s="270"/>
      <c r="B59" s="273"/>
      <c r="C59" s="16" t="s">
        <v>46</v>
      </c>
      <c r="D59" s="248" t="s">
        <v>187</v>
      </c>
      <c r="E59" s="249"/>
      <c r="F59" s="249"/>
      <c r="G59" s="249"/>
      <c r="H59" s="249"/>
      <c r="I59" s="249"/>
      <c r="K59" s="248" t="s">
        <v>248</v>
      </c>
      <c r="L59" s="249"/>
      <c r="M59" s="249"/>
      <c r="N59" s="249"/>
      <c r="O59" s="249"/>
      <c r="P59" s="249"/>
      <c r="R59" s="248" t="s">
        <v>187</v>
      </c>
      <c r="S59" s="249"/>
      <c r="T59" s="249"/>
      <c r="U59" s="249"/>
      <c r="V59" s="249"/>
      <c r="W59" s="249"/>
      <c r="Y59" s="248" t="s">
        <v>432</v>
      </c>
      <c r="Z59" s="249"/>
      <c r="AA59" s="249"/>
      <c r="AB59" s="249"/>
      <c r="AC59" s="249"/>
      <c r="AD59" s="249"/>
      <c r="AF59" s="248" t="s">
        <v>192</v>
      </c>
      <c r="AG59" s="249"/>
      <c r="AH59" s="249"/>
      <c r="AI59" s="249"/>
      <c r="AJ59" s="249"/>
      <c r="AK59" s="249"/>
    </row>
    <row r="60" spans="1:38" ht="15" customHeight="1" x14ac:dyDescent="0.25">
      <c r="A60" s="270"/>
      <c r="B60" s="273"/>
      <c r="C60" s="281" t="s">
        <v>72</v>
      </c>
      <c r="D60" s="277"/>
      <c r="E60" s="278"/>
      <c r="F60" s="278"/>
      <c r="G60" s="278"/>
      <c r="H60" s="278"/>
      <c r="I60" s="278"/>
      <c r="J60" s="38"/>
      <c r="K60" s="277" t="s">
        <v>136</v>
      </c>
      <c r="L60" s="278"/>
      <c r="M60" s="278"/>
      <c r="N60" s="278"/>
      <c r="O60" s="278"/>
      <c r="P60" s="278"/>
      <c r="Q60" s="38"/>
      <c r="R60" s="277"/>
      <c r="S60" s="278"/>
      <c r="T60" s="278"/>
      <c r="U60" s="278"/>
      <c r="V60" s="278"/>
      <c r="W60" s="278"/>
      <c r="X60" s="38"/>
      <c r="Y60" s="277"/>
      <c r="Z60" s="278"/>
      <c r="AA60" s="278"/>
      <c r="AB60" s="278"/>
      <c r="AC60" s="278"/>
      <c r="AD60" s="278"/>
      <c r="AE60" s="38"/>
      <c r="AF60" s="277"/>
      <c r="AG60" s="278"/>
      <c r="AH60" s="278"/>
      <c r="AI60" s="278"/>
      <c r="AJ60" s="278"/>
      <c r="AK60" s="278"/>
      <c r="AL60" s="38"/>
    </row>
    <row r="61" spans="1:38" ht="15.75" thickBot="1" x14ac:dyDescent="0.3">
      <c r="A61" s="271"/>
      <c r="B61" s="274"/>
      <c r="C61" s="282"/>
      <c r="D61" s="279"/>
      <c r="E61" s="280"/>
      <c r="F61" s="280"/>
      <c r="G61" s="280"/>
      <c r="H61" s="280"/>
      <c r="I61" s="280"/>
      <c r="J61" s="38"/>
      <c r="K61" s="279"/>
      <c r="L61" s="280"/>
      <c r="M61" s="280"/>
      <c r="N61" s="280"/>
      <c r="O61" s="280"/>
      <c r="P61" s="280"/>
      <c r="Q61" s="38"/>
      <c r="R61" s="279"/>
      <c r="S61" s="280"/>
      <c r="T61" s="280"/>
      <c r="U61" s="280"/>
      <c r="V61" s="280"/>
      <c r="W61" s="280"/>
      <c r="X61" s="38"/>
      <c r="Y61" s="279"/>
      <c r="Z61" s="280"/>
      <c r="AA61" s="280"/>
      <c r="AB61" s="280"/>
      <c r="AC61" s="280"/>
      <c r="AD61" s="280"/>
      <c r="AE61" s="38"/>
      <c r="AF61" s="279"/>
      <c r="AG61" s="280"/>
      <c r="AH61" s="280"/>
      <c r="AI61" s="280"/>
      <c r="AJ61" s="280"/>
      <c r="AK61" s="280"/>
      <c r="AL61" s="38"/>
    </row>
  </sheetData>
  <mergeCells count="266">
    <mergeCell ref="B16:B28"/>
    <mergeCell ref="AA40:AB40"/>
    <mergeCell ref="T33:U33"/>
    <mergeCell ref="AA33:AB33"/>
    <mergeCell ref="R29:W29"/>
    <mergeCell ref="Y29:AD29"/>
    <mergeCell ref="AH34:AI34"/>
    <mergeCell ref="AH35:AI35"/>
    <mergeCell ref="T31:U31"/>
    <mergeCell ref="AA31:AB31"/>
    <mergeCell ref="T30:U30"/>
    <mergeCell ref="AA30:AB30"/>
    <mergeCell ref="B30:B41"/>
    <mergeCell ref="F40:G40"/>
    <mergeCell ref="AH39:AI39"/>
    <mergeCell ref="AH40:AI40"/>
    <mergeCell ref="AH30:AI30"/>
    <mergeCell ref="AH31:AI31"/>
    <mergeCell ref="AH38:AI38"/>
    <mergeCell ref="AH33:AI33"/>
    <mergeCell ref="AF29:AK29"/>
    <mergeCell ref="F30:G30"/>
    <mergeCell ref="M30:N30"/>
    <mergeCell ref="T39:U39"/>
    <mergeCell ref="A16:A28"/>
    <mergeCell ref="M45:O45"/>
    <mergeCell ref="M46:O46"/>
    <mergeCell ref="K46:L46"/>
    <mergeCell ref="K44:L44"/>
    <mergeCell ref="M44:O44"/>
    <mergeCell ref="M43:O43"/>
    <mergeCell ref="F44:H44"/>
    <mergeCell ref="F39:G39"/>
    <mergeCell ref="D42:I42"/>
    <mergeCell ref="D41:G41"/>
    <mergeCell ref="M40:N40"/>
    <mergeCell ref="M39:N39"/>
    <mergeCell ref="K41:N41"/>
    <mergeCell ref="K42:P42"/>
    <mergeCell ref="K29:P29"/>
    <mergeCell ref="D29:I29"/>
    <mergeCell ref="F38:G38"/>
    <mergeCell ref="M38:N38"/>
    <mergeCell ref="K43:L43"/>
    <mergeCell ref="D43:E43"/>
    <mergeCell ref="F43:H43"/>
    <mergeCell ref="F34:G34"/>
    <mergeCell ref="A30:A41"/>
    <mergeCell ref="R41:U41"/>
    <mergeCell ref="T38:U38"/>
    <mergeCell ref="AA38:AB38"/>
    <mergeCell ref="AF42:AK42"/>
    <mergeCell ref="AF41:AI41"/>
    <mergeCell ref="AH43:AJ43"/>
    <mergeCell ref="AH44:AJ44"/>
    <mergeCell ref="Y44:Z44"/>
    <mergeCell ref="Y43:Z43"/>
    <mergeCell ref="T40:U40"/>
    <mergeCell ref="R42:W42"/>
    <mergeCell ref="Y42:AD42"/>
    <mergeCell ref="D2:I2"/>
    <mergeCell ref="K2:P2"/>
    <mergeCell ref="R2:W2"/>
    <mergeCell ref="Y2:AD2"/>
    <mergeCell ref="AF2:AK2"/>
    <mergeCell ref="A3:A6"/>
    <mergeCell ref="B3:B6"/>
    <mergeCell ref="D3:I3"/>
    <mergeCell ref="K3:P3"/>
    <mergeCell ref="R3:W3"/>
    <mergeCell ref="Y3:AD3"/>
    <mergeCell ref="D6:I6"/>
    <mergeCell ref="K6:P6"/>
    <mergeCell ref="R6:W6"/>
    <mergeCell ref="Y6:AD6"/>
    <mergeCell ref="AF6:AK6"/>
    <mergeCell ref="D7:I7"/>
    <mergeCell ref="K7:P7"/>
    <mergeCell ref="R7:W7"/>
    <mergeCell ref="Y7:AD7"/>
    <mergeCell ref="AF7:AK7"/>
    <mergeCell ref="AF3:AK3"/>
    <mergeCell ref="D4:I4"/>
    <mergeCell ref="K4:P4"/>
    <mergeCell ref="R4:W4"/>
    <mergeCell ref="Y4:AD4"/>
    <mergeCell ref="AF4:AK4"/>
    <mergeCell ref="D5:I5"/>
    <mergeCell ref="K5:P5"/>
    <mergeCell ref="R5:W5"/>
    <mergeCell ref="Y5:AD5"/>
    <mergeCell ref="AF5:AK5"/>
    <mergeCell ref="A8:A10"/>
    <mergeCell ref="B8:B10"/>
    <mergeCell ref="D8:H8"/>
    <mergeCell ref="D9:H9"/>
    <mergeCell ref="D10:H10"/>
    <mergeCell ref="K8:O8"/>
    <mergeCell ref="K9:O9"/>
    <mergeCell ref="K10:O10"/>
    <mergeCell ref="R8:V8"/>
    <mergeCell ref="R9:V9"/>
    <mergeCell ref="R10:V10"/>
    <mergeCell ref="D11:I11"/>
    <mergeCell ref="K11:P11"/>
    <mergeCell ref="R11:W11"/>
    <mergeCell ref="Y11:AD11"/>
    <mergeCell ref="AF11:AK11"/>
    <mergeCell ref="AF8:AJ8"/>
    <mergeCell ref="AF9:AJ9"/>
    <mergeCell ref="AF10:AJ10"/>
    <mergeCell ref="Y8:AC8"/>
    <mergeCell ref="Y9:AC9"/>
    <mergeCell ref="Y10:AC10"/>
    <mergeCell ref="A12:A14"/>
    <mergeCell ref="B12:B14"/>
    <mergeCell ref="D12:I12"/>
    <mergeCell ref="K12:P12"/>
    <mergeCell ref="R12:W12"/>
    <mergeCell ref="Y12:AD12"/>
    <mergeCell ref="D14:H14"/>
    <mergeCell ref="K14:O14"/>
    <mergeCell ref="R14:V14"/>
    <mergeCell ref="Y14:AC14"/>
    <mergeCell ref="D15:I15"/>
    <mergeCell ref="K15:P15"/>
    <mergeCell ref="R15:W15"/>
    <mergeCell ref="Y15:AD15"/>
    <mergeCell ref="AF15:AK15"/>
    <mergeCell ref="AF12:AK12"/>
    <mergeCell ref="D13:I13"/>
    <mergeCell ref="K13:P13"/>
    <mergeCell ref="R13:W13"/>
    <mergeCell ref="Y13:AD13"/>
    <mergeCell ref="AF13:AK13"/>
    <mergeCell ref="AF14:AJ14"/>
    <mergeCell ref="F37:G37"/>
    <mergeCell ref="M37:N37"/>
    <mergeCell ref="F33:G33"/>
    <mergeCell ref="M33:N33"/>
    <mergeCell ref="F31:G31"/>
    <mergeCell ref="M31:N31"/>
    <mergeCell ref="T34:U34"/>
    <mergeCell ref="AA34:AB34"/>
    <mergeCell ref="AF45:AG45"/>
    <mergeCell ref="AA45:AC45"/>
    <mergeCell ref="R45:S45"/>
    <mergeCell ref="Y45:Z45"/>
    <mergeCell ref="AF43:AG43"/>
    <mergeCell ref="AA43:AC43"/>
    <mergeCell ref="AA44:AC44"/>
    <mergeCell ref="T37:U37"/>
    <mergeCell ref="AA37:AB37"/>
    <mergeCell ref="AA39:AB39"/>
    <mergeCell ref="R43:S43"/>
    <mergeCell ref="T43:V43"/>
    <mergeCell ref="T44:V44"/>
    <mergeCell ref="R44:S44"/>
    <mergeCell ref="AF44:AG44"/>
    <mergeCell ref="Y41:AB41"/>
    <mergeCell ref="AA46:AC46"/>
    <mergeCell ref="AH45:AJ45"/>
    <mergeCell ref="AH46:AJ46"/>
    <mergeCell ref="AF46:AG46"/>
    <mergeCell ref="D45:E45"/>
    <mergeCell ref="K45:L45"/>
    <mergeCell ref="Y47:AD47"/>
    <mergeCell ref="AF47:AK47"/>
    <mergeCell ref="R46:S46"/>
    <mergeCell ref="Y46:Z46"/>
    <mergeCell ref="T46:V46"/>
    <mergeCell ref="R47:W47"/>
    <mergeCell ref="T45:V45"/>
    <mergeCell ref="K47:P47"/>
    <mergeCell ref="L49:M49"/>
    <mergeCell ref="AI48:AK48"/>
    <mergeCell ref="AG49:AH49"/>
    <mergeCell ref="AI49:AK49"/>
    <mergeCell ref="Z49:AA49"/>
    <mergeCell ref="AB49:AD49"/>
    <mergeCell ref="S48:T48"/>
    <mergeCell ref="U48:W48"/>
    <mergeCell ref="Z48:AA48"/>
    <mergeCell ref="AB48:AD48"/>
    <mergeCell ref="AG48:AH48"/>
    <mergeCell ref="S49:T49"/>
    <mergeCell ref="U49:W49"/>
    <mergeCell ref="N49:P49"/>
    <mergeCell ref="N48:P48"/>
    <mergeCell ref="L48:M48"/>
    <mergeCell ref="A48:A50"/>
    <mergeCell ref="B48:B50"/>
    <mergeCell ref="E48:F48"/>
    <mergeCell ref="G48:I48"/>
    <mergeCell ref="A43:A46"/>
    <mergeCell ref="B43:B46"/>
    <mergeCell ref="D46:E46"/>
    <mergeCell ref="F46:H46"/>
    <mergeCell ref="D47:I47"/>
    <mergeCell ref="F45:H45"/>
    <mergeCell ref="D44:E44"/>
    <mergeCell ref="E49:F49"/>
    <mergeCell ref="G49:I49"/>
    <mergeCell ref="AF56:AK56"/>
    <mergeCell ref="Y51:AD51"/>
    <mergeCell ref="AF51:AK51"/>
    <mergeCell ref="Z50:AA50"/>
    <mergeCell ref="AB50:AD50"/>
    <mergeCell ref="AG50:AH50"/>
    <mergeCell ref="AI50:AK50"/>
    <mergeCell ref="AF54:AK54"/>
    <mergeCell ref="AF55:AK55"/>
    <mergeCell ref="AF52:AK52"/>
    <mergeCell ref="A52:A61"/>
    <mergeCell ref="B52:B61"/>
    <mergeCell ref="D52:I52"/>
    <mergeCell ref="K52:P52"/>
    <mergeCell ref="R52:W52"/>
    <mergeCell ref="Y52:AD52"/>
    <mergeCell ref="D54:I54"/>
    <mergeCell ref="K54:P54"/>
    <mergeCell ref="R54:W54"/>
    <mergeCell ref="Y54:AD54"/>
    <mergeCell ref="D56:I56"/>
    <mergeCell ref="K56:P56"/>
    <mergeCell ref="R56:W56"/>
    <mergeCell ref="Y56:AD56"/>
    <mergeCell ref="D58:I58"/>
    <mergeCell ref="K58:P58"/>
    <mergeCell ref="R58:W58"/>
    <mergeCell ref="Y58:AD58"/>
    <mergeCell ref="C60:C61"/>
    <mergeCell ref="D55:I55"/>
    <mergeCell ref="K55:P55"/>
    <mergeCell ref="R55:W55"/>
    <mergeCell ref="Y55:AD55"/>
    <mergeCell ref="D53:I53"/>
    <mergeCell ref="AF58:AK58"/>
    <mergeCell ref="D57:I57"/>
    <mergeCell ref="K57:P57"/>
    <mergeCell ref="R57:W57"/>
    <mergeCell ref="Y57:AD57"/>
    <mergeCell ref="AF57:AK57"/>
    <mergeCell ref="D60:I61"/>
    <mergeCell ref="R60:W61"/>
    <mergeCell ref="Y60:AD61"/>
    <mergeCell ref="AF60:AK61"/>
    <mergeCell ref="D59:I59"/>
    <mergeCell ref="K59:P59"/>
    <mergeCell ref="R59:W59"/>
    <mergeCell ref="Y59:AD59"/>
    <mergeCell ref="AF59:AK59"/>
    <mergeCell ref="K60:P61"/>
    <mergeCell ref="K53:P53"/>
    <mergeCell ref="R53:W53"/>
    <mergeCell ref="Y53:AD53"/>
    <mergeCell ref="AF53:AK53"/>
    <mergeCell ref="E50:F50"/>
    <mergeCell ref="G50:I50"/>
    <mergeCell ref="L50:M50"/>
    <mergeCell ref="N50:P50"/>
    <mergeCell ref="S50:T50"/>
    <mergeCell ref="U50:W50"/>
    <mergeCell ref="D51:I51"/>
    <mergeCell ref="K51:P51"/>
    <mergeCell ref="R51:W51"/>
  </mergeCells>
  <pageMargins left="0.7" right="0.7" top="0.78740157499999996" bottom="0.78740157499999996" header="0.3" footer="0.3"/>
  <pageSetup paperSize="9" orientation="portrait" horizontalDpi="4294967294" verticalDpi="429496729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1"/>
  <sheetViews>
    <sheetView zoomScale="60" zoomScaleNormal="60" workbookViewId="0">
      <pane xSplit="3" topLeftCell="D1" activePane="topRight" state="frozen"/>
      <selection pane="topRight" activeCell="L17" sqref="L17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1.42578125" style="4"/>
    <col min="5" max="5" width="35" style="4" bestFit="1" customWidth="1"/>
    <col min="6" max="7" width="11.42578125" style="4"/>
    <col min="8" max="8" width="25.85546875" style="4" bestFit="1" customWidth="1"/>
    <col min="9" max="9" width="28.140625" style="4" bestFit="1" customWidth="1"/>
    <col min="10" max="10" width="1.7109375" style="22" customWidth="1"/>
    <col min="11" max="11" width="8.5703125" style="4" bestFit="1" customWidth="1"/>
    <col min="12" max="12" width="35" style="4" bestFit="1" customWidth="1"/>
    <col min="13" max="14" width="9.28515625" style="4" customWidth="1"/>
    <col min="15" max="15" width="25.85546875" style="4" bestFit="1" customWidth="1"/>
    <col min="16" max="16" width="28.140625" style="4" bestFit="1" customWidth="1"/>
    <col min="17" max="17" width="1.7109375" style="22" customWidth="1"/>
    <col min="18" max="19" width="11.42578125" style="4"/>
    <col min="20" max="20" width="34.28515625" style="4" bestFit="1" customWidth="1"/>
    <col min="21" max="21" width="11.42578125" style="4"/>
    <col min="22" max="22" width="25.85546875" style="4" bestFit="1" customWidth="1"/>
    <col min="23" max="23" width="28.140625" style="4" bestFit="1" customWidth="1"/>
    <col min="24" max="24" width="1.7109375" style="7" customWidth="1"/>
    <col min="25" max="25" width="11.42578125" style="4"/>
    <col min="26" max="26" width="34.28515625" style="4" bestFit="1" customWidth="1"/>
    <col min="27" max="27" width="34.28515625" style="4" customWidth="1"/>
    <col min="28" max="28" width="11.42578125" style="4"/>
    <col min="29" max="29" width="25.85546875" style="4" bestFit="1" customWidth="1"/>
    <col min="30" max="30" width="28.140625" style="4" bestFit="1" customWidth="1"/>
    <col min="31" max="31" width="1.7109375" style="7" customWidth="1"/>
    <col min="32" max="32" width="11.42578125" style="4"/>
    <col min="33" max="33" width="35" style="4" bestFit="1" customWidth="1"/>
    <col min="34" max="34" width="34.28515625" style="4" bestFit="1" customWidth="1"/>
    <col min="35" max="35" width="11.42578125" style="4"/>
    <col min="36" max="36" width="25.85546875" style="4" bestFit="1" customWidth="1"/>
    <col min="37" max="37" width="28.140625" style="4" bestFit="1" customWidth="1"/>
    <col min="38" max="38" width="1.7109375" style="7" customWidth="1"/>
    <col min="39" max="16384" width="11.42578125" style="4"/>
  </cols>
  <sheetData>
    <row r="1" spans="1:46" ht="15.75" thickBot="1" x14ac:dyDescent="0.3"/>
    <row r="2" spans="1:46" ht="15.75" thickBot="1" x14ac:dyDescent="0.3">
      <c r="A2" s="20"/>
      <c r="B2" s="21" t="s">
        <v>39</v>
      </c>
      <c r="C2" s="21" t="s">
        <v>40</v>
      </c>
      <c r="D2" s="357" t="s">
        <v>47</v>
      </c>
      <c r="E2" s="352"/>
      <c r="F2" s="352"/>
      <c r="G2" s="352"/>
      <c r="H2" s="352"/>
      <c r="I2" s="352"/>
      <c r="J2" s="65"/>
      <c r="K2" s="351" t="s">
        <v>48</v>
      </c>
      <c r="L2" s="352"/>
      <c r="M2" s="352"/>
      <c r="N2" s="352"/>
      <c r="O2" s="352"/>
      <c r="P2" s="352"/>
      <c r="Q2" s="65"/>
      <c r="R2" s="351" t="s">
        <v>49</v>
      </c>
      <c r="S2" s="352"/>
      <c r="T2" s="352"/>
      <c r="U2" s="352"/>
      <c r="V2" s="352"/>
      <c r="W2" s="352"/>
      <c r="X2" s="66"/>
      <c r="Y2" s="351" t="s">
        <v>50</v>
      </c>
      <c r="Z2" s="352"/>
      <c r="AA2" s="352"/>
      <c r="AB2" s="352"/>
      <c r="AC2" s="352"/>
      <c r="AD2" s="352"/>
      <c r="AE2" s="66"/>
      <c r="AF2" s="343" t="s">
        <v>51</v>
      </c>
      <c r="AG2" s="344"/>
      <c r="AH2" s="344"/>
      <c r="AI2" s="344"/>
      <c r="AJ2" s="344"/>
      <c r="AK2" s="344"/>
      <c r="AL2" s="66"/>
    </row>
    <row r="3" spans="1:46" ht="15" customHeight="1" x14ac:dyDescent="0.25">
      <c r="A3" s="326" t="s">
        <v>38</v>
      </c>
      <c r="B3" s="329" t="s">
        <v>37</v>
      </c>
      <c r="C3" s="41" t="s">
        <v>2</v>
      </c>
      <c r="D3" s="322" t="s">
        <v>118</v>
      </c>
      <c r="E3" s="323"/>
      <c r="F3" s="323"/>
      <c r="G3" s="323"/>
      <c r="H3" s="323"/>
      <c r="I3" s="323"/>
      <c r="J3" s="23"/>
      <c r="K3" s="322" t="s">
        <v>126</v>
      </c>
      <c r="L3" s="323"/>
      <c r="M3" s="323"/>
      <c r="N3" s="323"/>
      <c r="O3" s="323"/>
      <c r="P3" s="323"/>
      <c r="Q3" s="23"/>
      <c r="R3" s="322" t="s">
        <v>118</v>
      </c>
      <c r="S3" s="323"/>
      <c r="T3" s="323"/>
      <c r="U3" s="323"/>
      <c r="V3" s="323"/>
      <c r="W3" s="323"/>
      <c r="Y3" s="322" t="s">
        <v>188</v>
      </c>
      <c r="Z3" s="323"/>
      <c r="AA3" s="323"/>
      <c r="AB3" s="323"/>
      <c r="AC3" s="323"/>
      <c r="AD3" s="323"/>
      <c r="AF3" s="322" t="s">
        <v>189</v>
      </c>
      <c r="AG3" s="323"/>
      <c r="AH3" s="323"/>
      <c r="AI3" s="323"/>
      <c r="AJ3" s="323"/>
      <c r="AK3" s="323"/>
    </row>
    <row r="4" spans="1:46" x14ac:dyDescent="0.25">
      <c r="A4" s="327"/>
      <c r="B4" s="330"/>
      <c r="C4" s="42" t="s">
        <v>3</v>
      </c>
      <c r="D4" s="324" t="s">
        <v>76</v>
      </c>
      <c r="E4" s="325"/>
      <c r="F4" s="325"/>
      <c r="G4" s="325"/>
      <c r="H4" s="325"/>
      <c r="I4" s="325"/>
      <c r="J4" s="23"/>
      <c r="K4" s="324" t="s">
        <v>76</v>
      </c>
      <c r="L4" s="325"/>
      <c r="M4" s="325"/>
      <c r="N4" s="325"/>
      <c r="O4" s="325"/>
      <c r="P4" s="325"/>
      <c r="Q4" s="23"/>
      <c r="R4" s="324" t="s">
        <v>76</v>
      </c>
      <c r="S4" s="325"/>
      <c r="T4" s="325"/>
      <c r="U4" s="325"/>
      <c r="V4" s="325"/>
      <c r="W4" s="325"/>
      <c r="Y4" s="324" t="s">
        <v>76</v>
      </c>
      <c r="Z4" s="325"/>
      <c r="AA4" s="325"/>
      <c r="AB4" s="325"/>
      <c r="AC4" s="325"/>
      <c r="AD4" s="325"/>
      <c r="AF4" s="324" t="s">
        <v>76</v>
      </c>
      <c r="AG4" s="325"/>
      <c r="AH4" s="325"/>
      <c r="AI4" s="325"/>
      <c r="AJ4" s="325"/>
      <c r="AK4" s="325"/>
    </row>
    <row r="5" spans="1:46" x14ac:dyDescent="0.25">
      <c r="A5" s="327"/>
      <c r="B5" s="330"/>
      <c r="C5" s="67" t="s">
        <v>110</v>
      </c>
      <c r="D5" s="321"/>
      <c r="E5" s="321"/>
      <c r="F5" s="321"/>
      <c r="G5" s="321"/>
      <c r="H5" s="321"/>
      <c r="I5" s="321"/>
      <c r="J5" s="8"/>
      <c r="K5" s="321"/>
      <c r="L5" s="321"/>
      <c r="M5" s="321"/>
      <c r="N5" s="321"/>
      <c r="O5" s="321"/>
      <c r="P5" s="321"/>
      <c r="Q5" s="69"/>
      <c r="R5" s="321"/>
      <c r="S5" s="321"/>
      <c r="T5" s="321"/>
      <c r="U5" s="321"/>
      <c r="V5" s="321"/>
      <c r="W5" s="321"/>
      <c r="X5" s="69"/>
      <c r="Y5" s="321"/>
      <c r="Z5" s="321"/>
      <c r="AA5" s="321"/>
      <c r="AB5" s="321"/>
      <c r="AC5" s="321"/>
      <c r="AD5" s="321"/>
      <c r="AE5" s="70"/>
      <c r="AF5" s="321"/>
      <c r="AG5" s="321"/>
      <c r="AH5" s="321"/>
      <c r="AI5" s="321"/>
      <c r="AJ5" s="321"/>
      <c r="AK5" s="321"/>
      <c r="AL5" s="70"/>
    </row>
    <row r="6" spans="1:46" ht="15.75" thickBot="1" x14ac:dyDescent="0.3">
      <c r="A6" s="328"/>
      <c r="B6" s="331"/>
      <c r="C6" s="59" t="s">
        <v>68</v>
      </c>
      <c r="D6" s="332"/>
      <c r="E6" s="333"/>
      <c r="F6" s="333"/>
      <c r="G6" s="333"/>
      <c r="H6" s="333"/>
      <c r="I6" s="334"/>
      <c r="J6" s="23"/>
      <c r="K6" s="332"/>
      <c r="L6" s="333"/>
      <c r="M6" s="333"/>
      <c r="N6" s="333"/>
      <c r="O6" s="333"/>
      <c r="P6" s="334"/>
      <c r="Q6" s="23"/>
      <c r="R6" s="332"/>
      <c r="S6" s="333"/>
      <c r="T6" s="333"/>
      <c r="U6" s="333"/>
      <c r="V6" s="333"/>
      <c r="W6" s="334"/>
      <c r="X6" s="34"/>
      <c r="Y6" s="332"/>
      <c r="Z6" s="333"/>
      <c r="AA6" s="333"/>
      <c r="AB6" s="333"/>
      <c r="AC6" s="333"/>
      <c r="AD6" s="334"/>
      <c r="AE6" s="34"/>
      <c r="AF6" s="332"/>
      <c r="AG6" s="333"/>
      <c r="AH6" s="333"/>
      <c r="AI6" s="333"/>
      <c r="AJ6" s="333"/>
      <c r="AK6" s="334"/>
    </row>
    <row r="7" spans="1:46" ht="15.75" thickBot="1" x14ac:dyDescent="0.3">
      <c r="A7" s="10"/>
      <c r="B7" s="12"/>
      <c r="C7" s="58"/>
      <c r="D7" s="250"/>
      <c r="E7" s="251"/>
      <c r="F7" s="251"/>
      <c r="G7" s="251"/>
      <c r="H7" s="251"/>
      <c r="I7" s="251"/>
      <c r="K7" s="250"/>
      <c r="L7" s="251"/>
      <c r="M7" s="251"/>
      <c r="N7" s="251"/>
      <c r="O7" s="251"/>
      <c r="P7" s="251"/>
      <c r="R7" s="250"/>
      <c r="S7" s="251"/>
      <c r="T7" s="251"/>
      <c r="U7" s="251"/>
      <c r="V7" s="251"/>
      <c r="W7" s="251"/>
      <c r="Y7" s="250"/>
      <c r="Z7" s="251"/>
      <c r="AA7" s="251"/>
      <c r="AB7" s="251"/>
      <c r="AC7" s="251"/>
      <c r="AD7" s="251"/>
      <c r="AF7" s="250"/>
      <c r="AG7" s="251"/>
      <c r="AH7" s="251"/>
      <c r="AI7" s="251"/>
      <c r="AJ7" s="251"/>
      <c r="AK7" s="251"/>
    </row>
    <row r="8" spans="1:46" ht="15" customHeight="1" x14ac:dyDescent="0.25">
      <c r="A8" s="319" t="s">
        <v>36</v>
      </c>
      <c r="B8" s="320" t="s">
        <v>104</v>
      </c>
      <c r="C8" s="56" t="s">
        <v>5</v>
      </c>
      <c r="D8" s="335" t="s">
        <v>143</v>
      </c>
      <c r="E8" s="336"/>
      <c r="F8" s="336"/>
      <c r="G8" s="336"/>
      <c r="H8" s="337"/>
      <c r="I8" s="98" t="s">
        <v>175</v>
      </c>
      <c r="K8" s="335" t="s">
        <v>236</v>
      </c>
      <c r="L8" s="336"/>
      <c r="M8" s="336"/>
      <c r="N8" s="336"/>
      <c r="O8" s="337"/>
      <c r="P8" s="98" t="s">
        <v>235</v>
      </c>
      <c r="R8" s="335"/>
      <c r="S8" s="336"/>
      <c r="T8" s="336"/>
      <c r="U8" s="336"/>
      <c r="V8" s="337"/>
      <c r="W8" s="98"/>
      <c r="Y8" s="335" t="s">
        <v>143</v>
      </c>
      <c r="Z8" s="336"/>
      <c r="AA8" s="336"/>
      <c r="AB8" s="336"/>
      <c r="AC8" s="337"/>
      <c r="AD8" s="98" t="s">
        <v>169</v>
      </c>
      <c r="AF8" s="335" t="s">
        <v>132</v>
      </c>
      <c r="AG8" s="336"/>
      <c r="AH8" s="336"/>
      <c r="AI8" s="336"/>
      <c r="AJ8" s="337"/>
      <c r="AK8" s="98" t="s">
        <v>209</v>
      </c>
    </row>
    <row r="9" spans="1:46" x14ac:dyDescent="0.25">
      <c r="A9" s="319"/>
      <c r="B9" s="320"/>
      <c r="C9" s="13" t="s">
        <v>6</v>
      </c>
      <c r="D9" s="338" t="s">
        <v>133</v>
      </c>
      <c r="E9" s="339"/>
      <c r="F9" s="339"/>
      <c r="G9" s="339"/>
      <c r="H9" s="340"/>
      <c r="I9" s="86" t="s">
        <v>174</v>
      </c>
      <c r="K9" s="338" t="s">
        <v>237</v>
      </c>
      <c r="L9" s="339"/>
      <c r="M9" s="339"/>
      <c r="N9" s="339"/>
      <c r="O9" s="340"/>
      <c r="P9" s="86" t="s">
        <v>238</v>
      </c>
      <c r="R9" s="338" t="s">
        <v>133</v>
      </c>
      <c r="S9" s="339"/>
      <c r="T9" s="339"/>
      <c r="U9" s="339"/>
      <c r="V9" s="340"/>
      <c r="W9" s="86" t="s">
        <v>276</v>
      </c>
      <c r="Y9" s="338" t="s">
        <v>133</v>
      </c>
      <c r="Z9" s="339"/>
      <c r="AA9" s="339"/>
      <c r="AB9" s="339"/>
      <c r="AC9" s="340"/>
      <c r="AD9" s="86" t="s">
        <v>196</v>
      </c>
      <c r="AF9" s="338" t="s">
        <v>133</v>
      </c>
      <c r="AG9" s="339"/>
      <c r="AH9" s="339"/>
      <c r="AI9" s="339"/>
      <c r="AJ9" s="340"/>
      <c r="AK9" s="86" t="s">
        <v>208</v>
      </c>
    </row>
    <row r="10" spans="1:46" x14ac:dyDescent="0.25">
      <c r="A10" s="319"/>
      <c r="B10" s="320"/>
      <c r="C10" s="159" t="s">
        <v>7</v>
      </c>
      <c r="D10" s="160"/>
      <c r="E10" s="161"/>
      <c r="F10" s="161"/>
      <c r="G10" s="161"/>
      <c r="H10" s="162"/>
      <c r="I10" s="97" t="s">
        <v>116</v>
      </c>
      <c r="K10" s="163"/>
      <c r="L10" s="144"/>
      <c r="M10" s="161" t="s">
        <v>239</v>
      </c>
      <c r="N10" s="161"/>
      <c r="O10" s="162"/>
      <c r="P10" s="97" t="s">
        <v>240</v>
      </c>
      <c r="R10" s="160"/>
      <c r="S10" s="161"/>
      <c r="T10" s="161"/>
      <c r="U10" s="161"/>
      <c r="V10" s="162"/>
      <c r="W10" s="97"/>
      <c r="Y10" s="160"/>
      <c r="Z10" s="161"/>
      <c r="AA10" s="161"/>
      <c r="AB10" s="161"/>
      <c r="AC10" s="162"/>
      <c r="AD10" s="97"/>
      <c r="AF10" s="160"/>
      <c r="AG10" s="161"/>
      <c r="AH10" s="161"/>
      <c r="AI10" s="161"/>
      <c r="AJ10" s="162"/>
      <c r="AK10" s="97"/>
    </row>
    <row r="11" spans="1:46" s="168" customFormat="1" x14ac:dyDescent="0.25">
      <c r="D11" s="356"/>
      <c r="E11" s="356"/>
      <c r="F11" s="356"/>
      <c r="G11" s="356"/>
      <c r="H11" s="356"/>
      <c r="I11" s="356"/>
      <c r="J11" s="70"/>
      <c r="K11" s="356"/>
      <c r="L11" s="356"/>
      <c r="M11" s="356"/>
      <c r="N11" s="356"/>
      <c r="O11" s="356"/>
      <c r="P11" s="356"/>
      <c r="Q11" s="70"/>
      <c r="R11" s="356"/>
      <c r="S11" s="356"/>
      <c r="T11" s="356"/>
      <c r="U11" s="356"/>
      <c r="V11" s="356"/>
      <c r="W11" s="356"/>
      <c r="X11" s="70"/>
      <c r="Y11" s="356"/>
      <c r="Z11" s="356"/>
      <c r="AA11" s="356"/>
      <c r="AB11" s="356"/>
      <c r="AC11" s="356"/>
      <c r="AD11" s="356"/>
      <c r="AE11" s="70"/>
      <c r="AF11" s="356"/>
      <c r="AG11" s="356"/>
      <c r="AH11" s="356"/>
      <c r="AI11" s="356"/>
      <c r="AJ11" s="356"/>
      <c r="AK11" s="356"/>
      <c r="AL11" s="70"/>
      <c r="AM11" s="175"/>
      <c r="AN11" s="175"/>
      <c r="AO11" s="175"/>
      <c r="AP11" s="175"/>
      <c r="AQ11" s="175"/>
      <c r="AR11" s="175"/>
      <c r="AS11" s="175"/>
      <c r="AT11" s="175"/>
    </row>
    <row r="12" spans="1:46" ht="15" customHeight="1" x14ac:dyDescent="0.25">
      <c r="A12" s="306" t="s">
        <v>8</v>
      </c>
      <c r="B12" s="309" t="s">
        <v>105</v>
      </c>
      <c r="C12" s="167" t="s">
        <v>69</v>
      </c>
      <c r="D12" s="353"/>
      <c r="E12" s="354"/>
      <c r="F12" s="354"/>
      <c r="G12" s="354"/>
      <c r="H12" s="354"/>
      <c r="I12" s="354"/>
      <c r="K12" s="355" t="s">
        <v>433</v>
      </c>
      <c r="L12" s="354"/>
      <c r="M12" s="354"/>
      <c r="N12" s="354"/>
      <c r="O12" s="354"/>
      <c r="P12" s="354"/>
      <c r="R12" s="353"/>
      <c r="S12" s="354"/>
      <c r="T12" s="354"/>
      <c r="U12" s="354"/>
      <c r="V12" s="354"/>
      <c r="W12" s="354"/>
      <c r="Y12" s="353"/>
      <c r="Z12" s="354"/>
      <c r="AA12" s="354"/>
      <c r="AB12" s="354"/>
      <c r="AC12" s="354"/>
      <c r="AD12" s="354"/>
      <c r="AF12" s="353"/>
      <c r="AG12" s="354"/>
      <c r="AH12" s="354"/>
      <c r="AI12" s="354"/>
      <c r="AJ12" s="354"/>
      <c r="AK12" s="354"/>
    </row>
    <row r="13" spans="1:46" x14ac:dyDescent="0.25">
      <c r="A13" s="307"/>
      <c r="B13" s="310"/>
      <c r="C13" s="15" t="s">
        <v>80</v>
      </c>
      <c r="D13" s="314">
        <v>160</v>
      </c>
      <c r="E13" s="315"/>
      <c r="F13" s="315"/>
      <c r="G13" s="315"/>
      <c r="H13" s="315"/>
      <c r="I13" s="315"/>
      <c r="K13" s="314" t="s">
        <v>281</v>
      </c>
      <c r="L13" s="315"/>
      <c r="M13" s="315"/>
      <c r="N13" s="315"/>
      <c r="O13" s="315"/>
      <c r="P13" s="315"/>
      <c r="R13" s="314">
        <v>160</v>
      </c>
      <c r="S13" s="315"/>
      <c r="T13" s="315"/>
      <c r="U13" s="315"/>
      <c r="V13" s="315"/>
      <c r="W13" s="315"/>
      <c r="Y13" s="314">
        <v>160</v>
      </c>
      <c r="Z13" s="315"/>
      <c r="AA13" s="315"/>
      <c r="AB13" s="315"/>
      <c r="AC13" s="315"/>
      <c r="AD13" s="315"/>
      <c r="AF13" s="314">
        <v>3</v>
      </c>
      <c r="AG13" s="315"/>
      <c r="AH13" s="315"/>
      <c r="AI13" s="315"/>
      <c r="AJ13" s="315"/>
      <c r="AK13" s="315"/>
    </row>
    <row r="14" spans="1:46" ht="15.75" thickBot="1" x14ac:dyDescent="0.3">
      <c r="A14" s="308"/>
      <c r="B14" s="311"/>
      <c r="C14" s="55" t="s">
        <v>10</v>
      </c>
      <c r="D14" s="318" t="s">
        <v>138</v>
      </c>
      <c r="E14" s="265"/>
      <c r="F14" s="265"/>
      <c r="G14" s="265"/>
      <c r="H14" s="266"/>
      <c r="I14" s="87" t="s">
        <v>177</v>
      </c>
      <c r="K14" s="318" t="s">
        <v>243</v>
      </c>
      <c r="L14" s="265"/>
      <c r="M14" s="265"/>
      <c r="N14" s="265"/>
      <c r="O14" s="266"/>
      <c r="P14" s="87" t="s">
        <v>244</v>
      </c>
      <c r="R14" s="318" t="s">
        <v>138</v>
      </c>
      <c r="S14" s="265"/>
      <c r="T14" s="265"/>
      <c r="U14" s="265"/>
      <c r="V14" s="266"/>
      <c r="W14" s="87" t="s">
        <v>282</v>
      </c>
      <c r="Y14" s="318" t="s">
        <v>138</v>
      </c>
      <c r="Z14" s="265"/>
      <c r="AA14" s="265"/>
      <c r="AB14" s="265"/>
      <c r="AC14" s="266"/>
      <c r="AD14" s="87" t="s">
        <v>198</v>
      </c>
      <c r="AF14" s="318" t="s">
        <v>138</v>
      </c>
      <c r="AG14" s="265"/>
      <c r="AH14" s="265"/>
      <c r="AI14" s="265"/>
      <c r="AJ14" s="266"/>
      <c r="AK14" s="87" t="s">
        <v>170</v>
      </c>
    </row>
    <row r="15" spans="1:46" ht="15.75" thickBot="1" x14ac:dyDescent="0.3">
      <c r="A15" s="11"/>
      <c r="B15" s="14"/>
      <c r="C15" s="14"/>
      <c r="D15" s="316"/>
      <c r="E15" s="317"/>
      <c r="F15" s="317"/>
      <c r="G15" s="317"/>
      <c r="H15" s="317"/>
      <c r="I15" s="317"/>
      <c r="K15" s="316"/>
      <c r="L15" s="317"/>
      <c r="M15" s="317"/>
      <c r="N15" s="317"/>
      <c r="O15" s="317"/>
      <c r="P15" s="317"/>
      <c r="R15" s="316"/>
      <c r="S15" s="317"/>
      <c r="T15" s="317"/>
      <c r="U15" s="317"/>
      <c r="V15" s="317"/>
      <c r="W15" s="317"/>
      <c r="Y15" s="316"/>
      <c r="Z15" s="317"/>
      <c r="AA15" s="317"/>
      <c r="AB15" s="317"/>
      <c r="AC15" s="317"/>
      <c r="AD15" s="317"/>
      <c r="AF15" s="316"/>
      <c r="AG15" s="317"/>
      <c r="AH15" s="317"/>
      <c r="AI15" s="317"/>
      <c r="AJ15" s="317"/>
      <c r="AK15" s="317"/>
    </row>
    <row r="16" spans="1:46" ht="15.75" customHeight="1" thickBot="1" x14ac:dyDescent="0.3">
      <c r="A16" s="303" t="s">
        <v>11</v>
      </c>
      <c r="B16" s="296" t="s">
        <v>106</v>
      </c>
      <c r="C16" s="49" t="s">
        <v>95</v>
      </c>
      <c r="D16" s="99" t="s">
        <v>32</v>
      </c>
      <c r="E16" s="100" t="s">
        <v>73</v>
      </c>
      <c r="F16" s="100" t="s">
        <v>20</v>
      </c>
      <c r="G16" s="100" t="s">
        <v>116</v>
      </c>
      <c r="H16" s="101" t="s">
        <v>102</v>
      </c>
      <c r="I16" s="101" t="s">
        <v>23</v>
      </c>
      <c r="K16" s="99" t="s">
        <v>32</v>
      </c>
      <c r="L16" s="100" t="s">
        <v>73</v>
      </c>
      <c r="M16" s="100" t="s">
        <v>20</v>
      </c>
      <c r="N16" s="100" t="s">
        <v>116</v>
      </c>
      <c r="O16" s="101" t="s">
        <v>102</v>
      </c>
      <c r="P16" s="101" t="s">
        <v>23</v>
      </c>
      <c r="R16" s="99" t="s">
        <v>32</v>
      </c>
      <c r="S16" s="100" t="s">
        <v>73</v>
      </c>
      <c r="T16" s="100" t="s">
        <v>20</v>
      </c>
      <c r="U16" s="100" t="s">
        <v>116</v>
      </c>
      <c r="V16" s="101" t="s">
        <v>102</v>
      </c>
      <c r="W16" s="101" t="s">
        <v>23</v>
      </c>
      <c r="Y16" s="99" t="s">
        <v>32</v>
      </c>
      <c r="Z16" s="100" t="s">
        <v>73</v>
      </c>
      <c r="AA16" s="100" t="s">
        <v>20</v>
      </c>
      <c r="AB16" s="100" t="s">
        <v>116</v>
      </c>
      <c r="AC16" s="101" t="s">
        <v>102</v>
      </c>
      <c r="AD16" s="101" t="s">
        <v>23</v>
      </c>
      <c r="AF16" s="99" t="s">
        <v>32</v>
      </c>
      <c r="AG16" s="100" t="s">
        <v>73</v>
      </c>
      <c r="AH16" s="100" t="s">
        <v>20</v>
      </c>
      <c r="AI16" s="100" t="s">
        <v>116</v>
      </c>
      <c r="AJ16" s="101" t="s">
        <v>102</v>
      </c>
      <c r="AK16" s="101" t="s">
        <v>23</v>
      </c>
    </row>
    <row r="17" spans="1:37" ht="15" customHeight="1" x14ac:dyDescent="0.25">
      <c r="A17" s="304"/>
      <c r="B17" s="297"/>
      <c r="C17" s="44" t="s">
        <v>12</v>
      </c>
      <c r="D17" s="51" t="s">
        <v>119</v>
      </c>
      <c r="E17" s="45" t="s">
        <v>120</v>
      </c>
      <c r="F17" s="88" t="s">
        <v>147</v>
      </c>
      <c r="G17" s="88" t="s">
        <v>121</v>
      </c>
      <c r="H17" s="80" t="s">
        <v>124</v>
      </c>
      <c r="I17" s="80"/>
      <c r="K17" s="169" t="s">
        <v>245</v>
      </c>
      <c r="L17" s="45" t="s">
        <v>246</v>
      </c>
      <c r="M17" s="88" t="s">
        <v>242</v>
      </c>
      <c r="N17" s="164">
        <v>44091</v>
      </c>
      <c r="O17" s="80" t="s">
        <v>241</v>
      </c>
      <c r="P17" s="80">
        <v>1</v>
      </c>
      <c r="R17" s="51" t="s">
        <v>119</v>
      </c>
      <c r="S17" s="45" t="s">
        <v>120</v>
      </c>
      <c r="T17" s="88" t="s">
        <v>147</v>
      </c>
      <c r="U17" s="88" t="s">
        <v>121</v>
      </c>
      <c r="V17" s="80" t="s">
        <v>124</v>
      </c>
      <c r="W17" s="80"/>
      <c r="Y17" s="51" t="s">
        <v>119</v>
      </c>
      <c r="Z17" s="45" t="s">
        <v>120</v>
      </c>
      <c r="AA17" s="88" t="s">
        <v>144</v>
      </c>
      <c r="AB17" s="88" t="s">
        <v>193</v>
      </c>
      <c r="AC17" s="80" t="s">
        <v>190</v>
      </c>
      <c r="AD17" s="80"/>
      <c r="AF17" s="51" t="s">
        <v>119</v>
      </c>
      <c r="AG17" s="45" t="s">
        <v>120</v>
      </c>
      <c r="AH17" s="88"/>
      <c r="AI17" s="143" t="s">
        <v>210</v>
      </c>
      <c r="AJ17" s="80" t="s">
        <v>191</v>
      </c>
      <c r="AK17" s="80">
        <v>3</v>
      </c>
    </row>
    <row r="18" spans="1:37" x14ac:dyDescent="0.25">
      <c r="A18" s="304"/>
      <c r="B18" s="297"/>
      <c r="C18" s="16" t="s">
        <v>13</v>
      </c>
      <c r="D18" s="89" t="s">
        <v>79</v>
      </c>
      <c r="E18" s="106" t="s">
        <v>123</v>
      </c>
      <c r="F18" s="89" t="s">
        <v>146</v>
      </c>
      <c r="G18" s="89" t="s">
        <v>173</v>
      </c>
      <c r="H18" s="113">
        <v>122</v>
      </c>
      <c r="I18" s="113"/>
      <c r="K18" s="89"/>
      <c r="L18" s="106"/>
      <c r="M18" s="89"/>
      <c r="N18" s="89"/>
      <c r="O18" s="113"/>
      <c r="P18" s="113"/>
      <c r="R18" s="89" t="s">
        <v>79</v>
      </c>
      <c r="S18" s="106" t="s">
        <v>123</v>
      </c>
      <c r="T18" s="89" t="s">
        <v>146</v>
      </c>
      <c r="U18" s="89" t="s">
        <v>173</v>
      </c>
      <c r="V18" s="138">
        <v>122</v>
      </c>
      <c r="W18" s="138"/>
      <c r="Y18" s="89" t="s">
        <v>79</v>
      </c>
      <c r="Z18" s="106" t="s">
        <v>123</v>
      </c>
      <c r="AA18" s="89" t="s">
        <v>146</v>
      </c>
      <c r="AB18" s="89" t="s">
        <v>195</v>
      </c>
      <c r="AC18" s="125">
        <v>100</v>
      </c>
      <c r="AD18" s="125"/>
      <c r="AF18" s="89" t="s">
        <v>79</v>
      </c>
      <c r="AG18" s="106" t="s">
        <v>123</v>
      </c>
      <c r="AH18" s="89" t="s">
        <v>146</v>
      </c>
      <c r="AI18" s="89" t="s">
        <v>207</v>
      </c>
      <c r="AJ18" s="138">
        <v>147</v>
      </c>
      <c r="AK18" s="138">
        <v>1</v>
      </c>
    </row>
    <row r="19" spans="1:37" x14ac:dyDescent="0.25">
      <c r="A19" s="304"/>
      <c r="B19" s="297"/>
      <c r="C19" s="16" t="s">
        <v>14</v>
      </c>
      <c r="D19" s="104" t="s">
        <v>78</v>
      </c>
      <c r="E19" s="105" t="s">
        <v>122</v>
      </c>
      <c r="F19" s="89" t="s">
        <v>146</v>
      </c>
      <c r="G19" s="89" t="s">
        <v>173</v>
      </c>
      <c r="H19" s="113">
        <v>103</v>
      </c>
      <c r="I19" s="113"/>
      <c r="K19" s="104"/>
      <c r="L19" s="105"/>
      <c r="M19" s="89"/>
      <c r="N19" s="89"/>
      <c r="O19" s="113"/>
      <c r="P19" s="113"/>
      <c r="R19" s="104" t="s">
        <v>78</v>
      </c>
      <c r="S19" s="105" t="s">
        <v>122</v>
      </c>
      <c r="T19" s="89" t="s">
        <v>146</v>
      </c>
      <c r="U19" s="89" t="s">
        <v>173</v>
      </c>
      <c r="V19" s="138">
        <v>103</v>
      </c>
      <c r="W19" s="138"/>
      <c r="Y19" s="104" t="s">
        <v>78</v>
      </c>
      <c r="Z19" s="105" t="s">
        <v>122</v>
      </c>
      <c r="AA19" s="89" t="s">
        <v>146</v>
      </c>
      <c r="AB19" s="89" t="s">
        <v>195</v>
      </c>
      <c r="AC19" s="125">
        <v>85</v>
      </c>
      <c r="AD19" s="125"/>
      <c r="AF19" s="104" t="s">
        <v>78</v>
      </c>
      <c r="AG19" s="105" t="s">
        <v>122</v>
      </c>
      <c r="AH19" s="89"/>
      <c r="AI19" s="89" t="s">
        <v>207</v>
      </c>
      <c r="AJ19" s="138">
        <v>90</v>
      </c>
      <c r="AK19" s="138">
        <v>1</v>
      </c>
    </row>
    <row r="20" spans="1:37" x14ac:dyDescent="0.25">
      <c r="A20" s="304"/>
      <c r="B20" s="297"/>
      <c r="C20" s="16" t="s">
        <v>15</v>
      </c>
      <c r="D20" s="52"/>
      <c r="E20" s="113"/>
      <c r="F20" s="89"/>
      <c r="G20" s="89"/>
      <c r="H20" s="113"/>
      <c r="I20" s="113"/>
      <c r="K20" s="52"/>
      <c r="L20" s="132"/>
      <c r="M20" s="89"/>
      <c r="N20" s="89"/>
      <c r="O20" s="113"/>
      <c r="P20" s="113"/>
      <c r="R20" s="52"/>
      <c r="S20" s="138"/>
      <c r="T20" s="89"/>
      <c r="U20" s="89"/>
      <c r="V20" s="138"/>
      <c r="W20" s="138"/>
      <c r="Y20" s="52"/>
      <c r="Z20" s="125"/>
      <c r="AA20" s="89"/>
      <c r="AB20" s="89"/>
      <c r="AC20" s="125"/>
      <c r="AD20" s="125"/>
      <c r="AF20" s="52"/>
      <c r="AG20" s="138"/>
      <c r="AH20" s="89"/>
      <c r="AI20" s="89"/>
      <c r="AJ20" s="138"/>
      <c r="AK20" s="138"/>
    </row>
    <row r="21" spans="1:37" x14ac:dyDescent="0.25">
      <c r="A21" s="304"/>
      <c r="B21" s="297"/>
      <c r="C21" s="16" t="s">
        <v>16</v>
      </c>
      <c r="D21" s="52" t="s">
        <v>498</v>
      </c>
      <c r="E21" s="103"/>
      <c r="F21" s="103" t="s">
        <v>146</v>
      </c>
      <c r="G21" s="89" t="s">
        <v>178</v>
      </c>
      <c r="H21" s="113">
        <v>100</v>
      </c>
      <c r="I21" s="113"/>
      <c r="K21" s="52"/>
      <c r="L21" s="103"/>
      <c r="M21" s="89"/>
      <c r="N21" s="89"/>
      <c r="O21" s="113"/>
      <c r="P21" s="113"/>
      <c r="R21" s="52" t="s">
        <v>498</v>
      </c>
      <c r="S21" s="103"/>
      <c r="T21" s="103" t="s">
        <v>146</v>
      </c>
      <c r="U21" s="89" t="s">
        <v>178</v>
      </c>
      <c r="V21" s="138">
        <v>100</v>
      </c>
      <c r="W21" s="138"/>
      <c r="Y21" s="52" t="s">
        <v>498</v>
      </c>
      <c r="Z21" s="103" t="s">
        <v>233</v>
      </c>
      <c r="AA21" s="89" t="s">
        <v>146</v>
      </c>
      <c r="AB21" s="89" t="s">
        <v>178</v>
      </c>
      <c r="AC21" s="125">
        <v>100</v>
      </c>
      <c r="AD21" s="125"/>
      <c r="AF21" s="52" t="s">
        <v>498</v>
      </c>
      <c r="AG21" s="103" t="s">
        <v>233</v>
      </c>
      <c r="AH21" s="93" t="s">
        <v>146</v>
      </c>
      <c r="AI21" s="89" t="s">
        <v>172</v>
      </c>
      <c r="AJ21" s="138">
        <v>100</v>
      </c>
      <c r="AK21" s="138">
        <v>1</v>
      </c>
    </row>
    <row r="22" spans="1:37" x14ac:dyDescent="0.25">
      <c r="A22" s="304"/>
      <c r="B22" s="297"/>
      <c r="C22" s="16" t="s">
        <v>17</v>
      </c>
      <c r="D22" s="104" t="s">
        <v>77</v>
      </c>
      <c r="E22" s="113"/>
      <c r="F22" s="89"/>
      <c r="G22" s="89" t="s">
        <v>176</v>
      </c>
      <c r="H22" s="113">
        <v>666</v>
      </c>
      <c r="I22" s="113"/>
      <c r="K22" s="104" t="s">
        <v>77</v>
      </c>
      <c r="L22" s="182"/>
      <c r="M22" s="89"/>
      <c r="N22" s="89" t="s">
        <v>286</v>
      </c>
      <c r="O22" s="182">
        <v>666</v>
      </c>
      <c r="P22" s="113"/>
      <c r="R22" s="104" t="s">
        <v>77</v>
      </c>
      <c r="S22" s="138"/>
      <c r="T22" s="89"/>
      <c r="U22" s="89" t="s">
        <v>176</v>
      </c>
      <c r="V22" s="138">
        <v>666</v>
      </c>
      <c r="W22" s="138"/>
      <c r="Y22" s="132" t="s">
        <v>77</v>
      </c>
      <c r="Z22" s="157" t="s">
        <v>234</v>
      </c>
      <c r="AA22" s="89" t="s">
        <v>194</v>
      </c>
      <c r="AB22" s="89" t="s">
        <v>171</v>
      </c>
      <c r="AC22" s="125">
        <v>666</v>
      </c>
      <c r="AD22" s="125"/>
      <c r="AF22" s="104" t="s">
        <v>77</v>
      </c>
      <c r="AG22" s="157" t="s">
        <v>234</v>
      </c>
      <c r="AH22" s="89" t="s">
        <v>194</v>
      </c>
      <c r="AI22" s="89" t="s">
        <v>186</v>
      </c>
      <c r="AJ22" s="138">
        <v>666</v>
      </c>
      <c r="AK22" s="138">
        <v>1</v>
      </c>
    </row>
    <row r="23" spans="1:37" x14ac:dyDescent="0.25">
      <c r="A23" s="304"/>
      <c r="B23" s="297"/>
      <c r="C23" s="35" t="s">
        <v>141</v>
      </c>
      <c r="D23" s="120" t="s">
        <v>153</v>
      </c>
      <c r="E23" s="48"/>
      <c r="F23" s="179" t="s">
        <v>149</v>
      </c>
      <c r="G23" s="119" t="s">
        <v>179</v>
      </c>
      <c r="H23" s="48" t="s">
        <v>154</v>
      </c>
      <c r="I23" s="48"/>
      <c r="K23" s="120"/>
      <c r="L23" s="165"/>
      <c r="M23" s="89"/>
      <c r="N23" s="119"/>
      <c r="O23" s="48"/>
      <c r="P23" s="48"/>
      <c r="R23" s="120" t="s">
        <v>153</v>
      </c>
      <c r="S23" s="48"/>
      <c r="T23" s="179" t="s">
        <v>149</v>
      </c>
      <c r="U23" s="119" t="s">
        <v>179</v>
      </c>
      <c r="V23" s="48" t="s">
        <v>154</v>
      </c>
      <c r="W23" s="48"/>
      <c r="Y23" s="132" t="s">
        <v>200</v>
      </c>
      <c r="Z23" s="125" t="s">
        <v>202</v>
      </c>
      <c r="AA23" s="125" t="s">
        <v>145</v>
      </c>
      <c r="AB23" s="89" t="s">
        <v>201</v>
      </c>
      <c r="AC23" s="125" t="s">
        <v>100</v>
      </c>
      <c r="AD23" s="125"/>
      <c r="AF23" s="145" t="s">
        <v>211</v>
      </c>
      <c r="AG23" s="146" t="s">
        <v>212</v>
      </c>
      <c r="AH23" s="147" t="s">
        <v>145</v>
      </c>
      <c r="AI23" s="147" t="s">
        <v>213</v>
      </c>
      <c r="AJ23" s="146" t="s">
        <v>222</v>
      </c>
      <c r="AK23" s="146">
        <v>3</v>
      </c>
    </row>
    <row r="24" spans="1:37" x14ac:dyDescent="0.25">
      <c r="A24" s="304"/>
      <c r="B24" s="297"/>
      <c r="C24" s="35" t="s">
        <v>141</v>
      </c>
      <c r="D24" s="52" t="s">
        <v>150</v>
      </c>
      <c r="E24" s="179"/>
      <c r="F24" s="80" t="s">
        <v>149</v>
      </c>
      <c r="G24" s="89" t="s">
        <v>180</v>
      </c>
      <c r="H24" s="179" t="s">
        <v>151</v>
      </c>
      <c r="I24" s="179"/>
      <c r="K24" s="52"/>
      <c r="L24" s="132"/>
      <c r="M24" s="179"/>
      <c r="N24" s="89"/>
      <c r="O24" s="179"/>
      <c r="P24" s="179"/>
      <c r="R24" s="52" t="s">
        <v>150</v>
      </c>
      <c r="S24" s="179"/>
      <c r="T24" s="80" t="s">
        <v>149</v>
      </c>
      <c r="U24" s="89" t="s">
        <v>180</v>
      </c>
      <c r="V24" s="179" t="s">
        <v>151</v>
      </c>
      <c r="W24" s="179"/>
      <c r="Y24" s="125" t="s">
        <v>142</v>
      </c>
      <c r="Z24" s="125"/>
      <c r="AA24" s="125" t="s">
        <v>145</v>
      </c>
      <c r="AB24" s="89" t="s">
        <v>199</v>
      </c>
      <c r="AC24" s="125" t="s">
        <v>154</v>
      </c>
      <c r="AD24" s="125"/>
      <c r="AF24" s="52"/>
      <c r="AG24" s="179"/>
      <c r="AH24" s="89"/>
      <c r="AI24" s="89"/>
      <c r="AJ24" s="179"/>
      <c r="AK24" s="179"/>
    </row>
    <row r="25" spans="1:37" ht="15.75" thickBot="1" x14ac:dyDescent="0.3">
      <c r="A25" s="304"/>
      <c r="B25" s="297"/>
      <c r="C25" s="35" t="s">
        <v>141</v>
      </c>
      <c r="D25" s="99"/>
      <c r="E25" s="101"/>
      <c r="F25" s="47"/>
      <c r="G25" s="100"/>
      <c r="H25" s="101"/>
      <c r="I25" s="101"/>
      <c r="K25" s="99"/>
      <c r="L25" s="101"/>
      <c r="M25" s="47"/>
      <c r="N25" s="100"/>
      <c r="O25" s="101"/>
      <c r="P25" s="101"/>
      <c r="R25" s="99"/>
      <c r="S25" s="101"/>
      <c r="T25" s="101"/>
      <c r="U25" s="100"/>
      <c r="V25" s="101"/>
      <c r="W25" s="101"/>
      <c r="Y25" s="99" t="s">
        <v>153</v>
      </c>
      <c r="Z25" s="101"/>
      <c r="AA25" s="47" t="s">
        <v>145</v>
      </c>
      <c r="AB25" s="100" t="s">
        <v>172</v>
      </c>
      <c r="AC25" s="101" t="s">
        <v>139</v>
      </c>
      <c r="AD25" s="101"/>
      <c r="AF25" s="99"/>
      <c r="AG25" s="101"/>
      <c r="AH25" s="100"/>
      <c r="AI25" s="100"/>
      <c r="AJ25" s="101"/>
      <c r="AK25" s="101"/>
    </row>
    <row r="26" spans="1:37" ht="18" thickBot="1" x14ac:dyDescent="0.3">
      <c r="A26" s="304"/>
      <c r="B26" s="297"/>
      <c r="C26" s="49" t="s">
        <v>93</v>
      </c>
      <c r="D26" s="99" t="s">
        <v>32</v>
      </c>
      <c r="E26" s="101" t="s">
        <v>94</v>
      </c>
      <c r="F26" s="100" t="s">
        <v>20</v>
      </c>
      <c r="G26" s="100" t="s">
        <v>116</v>
      </c>
      <c r="H26" s="101" t="s">
        <v>96</v>
      </c>
      <c r="I26" s="101" t="s">
        <v>23</v>
      </c>
      <c r="K26" s="99" t="s">
        <v>32</v>
      </c>
      <c r="L26" s="101" t="s">
        <v>94</v>
      </c>
      <c r="M26" s="100" t="s">
        <v>20</v>
      </c>
      <c r="N26" s="100" t="s">
        <v>116</v>
      </c>
      <c r="O26" s="101" t="s">
        <v>96</v>
      </c>
      <c r="P26" s="101" t="s">
        <v>23</v>
      </c>
      <c r="R26" s="99" t="s">
        <v>32</v>
      </c>
      <c r="S26" s="101" t="s">
        <v>94</v>
      </c>
      <c r="T26" s="100" t="s">
        <v>20</v>
      </c>
      <c r="U26" s="100" t="s">
        <v>116</v>
      </c>
      <c r="V26" s="101" t="s">
        <v>96</v>
      </c>
      <c r="W26" s="101" t="s">
        <v>23</v>
      </c>
      <c r="Y26" s="99" t="s">
        <v>32</v>
      </c>
      <c r="Z26" s="101" t="s">
        <v>94</v>
      </c>
      <c r="AA26" s="100" t="s">
        <v>20</v>
      </c>
      <c r="AB26" s="100" t="s">
        <v>116</v>
      </c>
      <c r="AC26" s="101" t="s">
        <v>96</v>
      </c>
      <c r="AD26" s="101" t="s">
        <v>23</v>
      </c>
      <c r="AF26" s="99" t="s">
        <v>32</v>
      </c>
      <c r="AG26" s="101" t="s">
        <v>94</v>
      </c>
      <c r="AH26" s="100" t="s">
        <v>20</v>
      </c>
      <c r="AI26" s="100" t="s">
        <v>116</v>
      </c>
      <c r="AJ26" s="101" t="s">
        <v>96</v>
      </c>
      <c r="AK26" s="101" t="s">
        <v>23</v>
      </c>
    </row>
    <row r="27" spans="1:37" x14ac:dyDescent="0.25">
      <c r="A27" s="304"/>
      <c r="B27" s="297"/>
      <c r="C27" s="44" t="s">
        <v>19</v>
      </c>
      <c r="D27" s="51"/>
      <c r="E27" s="80"/>
      <c r="F27" s="88"/>
      <c r="G27" s="88"/>
      <c r="H27" s="80"/>
      <c r="I27" s="80"/>
      <c r="K27" s="51"/>
      <c r="L27" s="80"/>
      <c r="M27" s="88"/>
      <c r="N27" s="88"/>
      <c r="O27" s="80"/>
      <c r="P27" s="80"/>
      <c r="R27" s="51"/>
      <c r="S27" s="80"/>
      <c r="T27" s="88"/>
      <c r="U27" s="88"/>
      <c r="V27" s="80"/>
      <c r="W27" s="80"/>
      <c r="Y27" s="51"/>
      <c r="Z27" s="80"/>
      <c r="AA27" s="88"/>
      <c r="AB27" s="88"/>
      <c r="AC27" s="80"/>
      <c r="AD27" s="80"/>
      <c r="AF27" s="51"/>
      <c r="AG27" s="80"/>
      <c r="AH27" s="88"/>
      <c r="AI27" s="88"/>
      <c r="AJ27" s="80"/>
      <c r="AK27" s="80"/>
    </row>
    <row r="28" spans="1:37" ht="15.75" thickBot="1" x14ac:dyDescent="0.3">
      <c r="A28" s="305"/>
      <c r="B28" s="298"/>
      <c r="C28" s="46" t="s">
        <v>18</v>
      </c>
      <c r="D28" s="53"/>
      <c r="E28" s="47"/>
      <c r="F28" s="91"/>
      <c r="G28" s="91"/>
      <c r="H28" s="47"/>
      <c r="I28" s="47"/>
      <c r="K28" s="53"/>
      <c r="L28" s="47"/>
      <c r="M28" s="91"/>
      <c r="N28" s="91"/>
      <c r="O28" s="47"/>
      <c r="P28" s="47"/>
      <c r="R28" s="53"/>
      <c r="S28" s="47"/>
      <c r="T28" s="91"/>
      <c r="U28" s="91"/>
      <c r="V28" s="47"/>
      <c r="W28" s="47"/>
      <c r="Y28" s="53"/>
      <c r="Z28" s="47"/>
      <c r="AA28" s="91"/>
      <c r="AB28" s="91"/>
      <c r="AC28" s="47"/>
      <c r="AD28" s="47"/>
      <c r="AE28" s="64"/>
      <c r="AF28" s="53"/>
      <c r="AG28" s="47"/>
      <c r="AH28" s="91"/>
      <c r="AI28" s="91"/>
      <c r="AJ28" s="47"/>
      <c r="AK28" s="47"/>
    </row>
    <row r="29" spans="1:37" ht="15.75" thickBot="1" x14ac:dyDescent="0.3">
      <c r="A29" s="17"/>
      <c r="B29" s="14"/>
      <c r="C29" s="14"/>
      <c r="D29" s="250"/>
      <c r="E29" s="251"/>
      <c r="F29" s="251"/>
      <c r="G29" s="251"/>
      <c r="H29" s="251"/>
      <c r="I29" s="251"/>
      <c r="K29" s="250"/>
      <c r="L29" s="251"/>
      <c r="M29" s="251"/>
      <c r="N29" s="251"/>
      <c r="O29" s="251"/>
      <c r="P29" s="251"/>
      <c r="R29" s="250"/>
      <c r="S29" s="251"/>
      <c r="T29" s="251"/>
      <c r="U29" s="251"/>
      <c r="V29" s="251"/>
      <c r="W29" s="251"/>
      <c r="Y29" s="250"/>
      <c r="Z29" s="251"/>
      <c r="AA29" s="251"/>
      <c r="AB29" s="251"/>
      <c r="AC29" s="251"/>
      <c r="AD29" s="251"/>
      <c r="AF29" s="250"/>
      <c r="AG29" s="251"/>
      <c r="AH29" s="251"/>
      <c r="AI29" s="251"/>
      <c r="AJ29" s="251"/>
      <c r="AK29" s="251"/>
    </row>
    <row r="30" spans="1:37" ht="60" customHeight="1" thickBot="1" x14ac:dyDescent="0.3">
      <c r="A30" s="269" t="s">
        <v>21</v>
      </c>
      <c r="B30" s="296" t="s">
        <v>107</v>
      </c>
      <c r="C30" s="49"/>
      <c r="D30" s="115" t="s">
        <v>32</v>
      </c>
      <c r="E30" s="82" t="s">
        <v>20</v>
      </c>
      <c r="F30" s="252" t="s">
        <v>97</v>
      </c>
      <c r="G30" s="253"/>
      <c r="H30" s="92" t="s">
        <v>23</v>
      </c>
      <c r="I30" s="81" t="s">
        <v>117</v>
      </c>
      <c r="K30" s="115" t="s">
        <v>32</v>
      </c>
      <c r="L30" s="82" t="s">
        <v>20</v>
      </c>
      <c r="M30" s="252" t="s">
        <v>97</v>
      </c>
      <c r="N30" s="253"/>
      <c r="O30" s="92" t="s">
        <v>23</v>
      </c>
      <c r="P30" s="81" t="s">
        <v>117</v>
      </c>
      <c r="R30" s="140" t="s">
        <v>32</v>
      </c>
      <c r="S30" s="82" t="s">
        <v>20</v>
      </c>
      <c r="T30" s="252" t="s">
        <v>97</v>
      </c>
      <c r="U30" s="253"/>
      <c r="V30" s="92" t="s">
        <v>23</v>
      </c>
      <c r="W30" s="81" t="s">
        <v>117</v>
      </c>
      <c r="Y30" s="128" t="s">
        <v>32</v>
      </c>
      <c r="Z30" s="82" t="s">
        <v>20</v>
      </c>
      <c r="AA30" s="252" t="s">
        <v>97</v>
      </c>
      <c r="AB30" s="253"/>
      <c r="AC30" s="92" t="s">
        <v>23</v>
      </c>
      <c r="AD30" s="81" t="s">
        <v>117</v>
      </c>
      <c r="AF30" s="140" t="s">
        <v>32</v>
      </c>
      <c r="AG30" s="82" t="s">
        <v>20</v>
      </c>
      <c r="AH30" s="252" t="s">
        <v>97</v>
      </c>
      <c r="AI30" s="253"/>
      <c r="AJ30" s="92" t="s">
        <v>23</v>
      </c>
      <c r="AK30" s="81" t="s">
        <v>117</v>
      </c>
    </row>
    <row r="31" spans="1:37" ht="17.25" customHeight="1" x14ac:dyDescent="0.25">
      <c r="A31" s="270"/>
      <c r="B31" s="297"/>
      <c r="C31" s="44" t="s">
        <v>24</v>
      </c>
      <c r="D31" s="116" t="s">
        <v>148</v>
      </c>
      <c r="E31" s="80" t="s">
        <v>149</v>
      </c>
      <c r="F31" s="254" t="s">
        <v>99</v>
      </c>
      <c r="G31" s="255"/>
      <c r="H31" s="121"/>
      <c r="I31" s="88" t="s">
        <v>185</v>
      </c>
      <c r="K31" s="177" t="s">
        <v>277</v>
      </c>
      <c r="L31" s="180" t="s">
        <v>278</v>
      </c>
      <c r="M31" s="345">
        <v>2</v>
      </c>
      <c r="N31" s="346"/>
      <c r="O31" s="143">
        <v>1</v>
      </c>
      <c r="P31" s="143" t="s">
        <v>280</v>
      </c>
      <c r="R31" s="134" t="s">
        <v>148</v>
      </c>
      <c r="S31" s="80" t="s">
        <v>149</v>
      </c>
      <c r="T31" s="254" t="s">
        <v>99</v>
      </c>
      <c r="U31" s="255"/>
      <c r="V31" s="121"/>
      <c r="W31" s="88" t="s">
        <v>185</v>
      </c>
      <c r="Y31" s="129" t="s">
        <v>160</v>
      </c>
      <c r="Z31" s="125" t="s">
        <v>145</v>
      </c>
      <c r="AA31" s="254" t="s">
        <v>161</v>
      </c>
      <c r="AB31" s="255"/>
      <c r="AC31" s="88"/>
      <c r="AD31" s="119" t="s">
        <v>201</v>
      </c>
      <c r="AF31" s="148" t="s">
        <v>214</v>
      </c>
      <c r="AG31" s="147" t="s">
        <v>145</v>
      </c>
      <c r="AH31" s="345" t="s">
        <v>215</v>
      </c>
      <c r="AI31" s="346"/>
      <c r="AJ31" s="143">
        <v>1</v>
      </c>
      <c r="AK31" s="143" t="s">
        <v>216</v>
      </c>
    </row>
    <row r="32" spans="1:37" ht="17.25" customHeight="1" x14ac:dyDescent="0.25">
      <c r="A32" s="270"/>
      <c r="B32" s="297"/>
      <c r="C32" s="44" t="s">
        <v>24</v>
      </c>
      <c r="D32" s="134"/>
      <c r="E32" s="80"/>
      <c r="F32" s="133"/>
      <c r="G32" s="134"/>
      <c r="H32" s="121"/>
      <c r="I32" s="152"/>
      <c r="K32" s="178" t="s">
        <v>279</v>
      </c>
      <c r="L32" s="180" t="s">
        <v>278</v>
      </c>
      <c r="M32" s="347">
        <v>0.2</v>
      </c>
      <c r="N32" s="348"/>
      <c r="O32" s="143">
        <v>1</v>
      </c>
      <c r="P32" s="143" t="s">
        <v>280</v>
      </c>
      <c r="R32" s="134"/>
      <c r="S32" s="80"/>
      <c r="T32" s="133"/>
      <c r="U32" s="134"/>
      <c r="V32" s="121"/>
      <c r="W32" s="152"/>
      <c r="Y32" s="134"/>
      <c r="Z32" s="138"/>
      <c r="AA32" s="133"/>
      <c r="AB32" s="134"/>
      <c r="AC32" s="152"/>
      <c r="AD32" s="119"/>
      <c r="AF32" s="148" t="s">
        <v>228</v>
      </c>
      <c r="AG32" s="147" t="s">
        <v>145</v>
      </c>
      <c r="AH32" s="153" t="s">
        <v>154</v>
      </c>
      <c r="AI32" s="148"/>
      <c r="AJ32" s="154">
        <v>1</v>
      </c>
      <c r="AK32" s="150" t="s">
        <v>218</v>
      </c>
    </row>
    <row r="33" spans="1:38" ht="17.25" customHeight="1" x14ac:dyDescent="0.25">
      <c r="A33" s="270"/>
      <c r="B33" s="297"/>
      <c r="C33" s="16" t="s">
        <v>24</v>
      </c>
      <c r="D33" s="114" t="s">
        <v>160</v>
      </c>
      <c r="E33" s="80" t="s">
        <v>149</v>
      </c>
      <c r="F33" s="256" t="s">
        <v>161</v>
      </c>
      <c r="G33" s="248"/>
      <c r="H33" s="122"/>
      <c r="I33" s="93" t="s">
        <v>181</v>
      </c>
      <c r="K33" s="114"/>
      <c r="L33" s="113"/>
      <c r="M33" s="256"/>
      <c r="N33" s="248"/>
      <c r="O33" s="93"/>
      <c r="P33" s="89"/>
      <c r="R33" s="136" t="s">
        <v>160</v>
      </c>
      <c r="S33" s="80" t="s">
        <v>149</v>
      </c>
      <c r="T33" s="256" t="s">
        <v>161</v>
      </c>
      <c r="U33" s="248"/>
      <c r="V33" s="122"/>
      <c r="W33" s="93" t="s">
        <v>181</v>
      </c>
      <c r="Y33" s="127" t="s">
        <v>140</v>
      </c>
      <c r="Z33" s="125" t="s">
        <v>145</v>
      </c>
      <c r="AA33" s="256" t="s">
        <v>206</v>
      </c>
      <c r="AB33" s="248"/>
      <c r="AC33" s="93"/>
      <c r="AD33" s="89" t="s">
        <v>199</v>
      </c>
      <c r="AF33" s="136" t="s">
        <v>229</v>
      </c>
      <c r="AG33" s="147" t="s">
        <v>145</v>
      </c>
      <c r="AH33" s="256" t="s">
        <v>230</v>
      </c>
      <c r="AI33" s="248"/>
      <c r="AJ33" s="93">
        <v>1</v>
      </c>
      <c r="AK33" s="89" t="s">
        <v>231</v>
      </c>
    </row>
    <row r="34" spans="1:38" ht="17.25" customHeight="1" x14ac:dyDescent="0.25">
      <c r="A34" s="270"/>
      <c r="B34" s="297"/>
      <c r="C34" s="16" t="s">
        <v>25</v>
      </c>
      <c r="D34" s="114" t="s">
        <v>152</v>
      </c>
      <c r="E34" s="80" t="s">
        <v>149</v>
      </c>
      <c r="F34" s="256" t="s">
        <v>158</v>
      </c>
      <c r="G34" s="248"/>
      <c r="H34" s="122"/>
      <c r="I34" s="93" t="s">
        <v>184</v>
      </c>
      <c r="K34" s="114"/>
      <c r="L34" s="113"/>
      <c r="M34" s="256"/>
      <c r="N34" s="248"/>
      <c r="O34" s="93"/>
      <c r="P34" s="89"/>
      <c r="R34" s="136" t="s">
        <v>152</v>
      </c>
      <c r="S34" s="80" t="s">
        <v>149</v>
      </c>
      <c r="T34" s="256" t="s">
        <v>158</v>
      </c>
      <c r="U34" s="248"/>
      <c r="V34" s="122"/>
      <c r="W34" s="93" t="s">
        <v>184</v>
      </c>
      <c r="Y34" s="127" t="s">
        <v>205</v>
      </c>
      <c r="Z34" s="125" t="s">
        <v>145</v>
      </c>
      <c r="AA34" s="256" t="s">
        <v>151</v>
      </c>
      <c r="AB34" s="248"/>
      <c r="AC34" s="93"/>
      <c r="AD34" s="89" t="s">
        <v>199</v>
      </c>
      <c r="AF34" s="149" t="s">
        <v>217</v>
      </c>
      <c r="AG34" s="147" t="s">
        <v>145</v>
      </c>
      <c r="AH34" s="347" t="s">
        <v>100</v>
      </c>
      <c r="AI34" s="348"/>
      <c r="AJ34" s="143">
        <v>1</v>
      </c>
      <c r="AK34" s="150" t="s">
        <v>218</v>
      </c>
    </row>
    <row r="35" spans="1:38" ht="17.25" customHeight="1" x14ac:dyDescent="0.25">
      <c r="A35" s="270"/>
      <c r="B35" s="297"/>
      <c r="C35" s="16" t="s">
        <v>25</v>
      </c>
      <c r="D35" s="136"/>
      <c r="E35" s="80"/>
      <c r="F35" s="135"/>
      <c r="G35" s="136"/>
      <c r="H35" s="122"/>
      <c r="I35" s="93"/>
      <c r="K35" s="136"/>
      <c r="L35" s="138"/>
      <c r="M35" s="135"/>
      <c r="N35" s="136"/>
      <c r="O35" s="93"/>
      <c r="P35" s="89"/>
      <c r="R35" s="136"/>
      <c r="S35" s="80"/>
      <c r="T35" s="135"/>
      <c r="U35" s="136"/>
      <c r="V35" s="122"/>
      <c r="W35" s="93"/>
      <c r="Y35" s="136"/>
      <c r="Z35" s="138"/>
      <c r="AA35" s="135"/>
      <c r="AB35" s="136"/>
      <c r="AC35" s="93"/>
      <c r="AD35" s="89"/>
      <c r="AF35" s="149" t="s">
        <v>98</v>
      </c>
      <c r="AG35" s="147" t="s">
        <v>145</v>
      </c>
      <c r="AH35" s="260" t="s">
        <v>223</v>
      </c>
      <c r="AI35" s="260"/>
      <c r="AJ35" s="143">
        <v>1</v>
      </c>
      <c r="AK35" s="147" t="s">
        <v>176</v>
      </c>
    </row>
    <row r="36" spans="1:38" ht="17.25" customHeight="1" x14ac:dyDescent="0.25">
      <c r="A36" s="270"/>
      <c r="B36" s="297"/>
      <c r="C36" s="16" t="s">
        <v>25</v>
      </c>
      <c r="D36" s="136"/>
      <c r="E36" s="80"/>
      <c r="F36" s="135"/>
      <c r="G36" s="136"/>
      <c r="H36" s="122"/>
      <c r="I36" s="93"/>
      <c r="K36" s="136"/>
      <c r="L36" s="138"/>
      <c r="M36" s="135"/>
      <c r="N36" s="136"/>
      <c r="O36" s="93"/>
      <c r="P36" s="89"/>
      <c r="R36" s="136"/>
      <c r="S36" s="80"/>
      <c r="T36" s="135"/>
      <c r="U36" s="136"/>
      <c r="V36" s="122"/>
      <c r="W36" s="93"/>
      <c r="Y36" s="136"/>
      <c r="Z36" s="138"/>
      <c r="AA36" s="135"/>
      <c r="AB36" s="136"/>
      <c r="AC36" s="93"/>
      <c r="AD36" s="89"/>
      <c r="AF36" s="149" t="s">
        <v>232</v>
      </c>
      <c r="AG36" s="147" t="s">
        <v>145</v>
      </c>
      <c r="AH36" s="151" t="s">
        <v>139</v>
      </c>
      <c r="AI36" s="149"/>
      <c r="AJ36" s="143">
        <v>1</v>
      </c>
      <c r="AK36" s="150" t="s">
        <v>199</v>
      </c>
    </row>
    <row r="37" spans="1:38" x14ac:dyDescent="0.25">
      <c r="A37" s="270"/>
      <c r="B37" s="297"/>
      <c r="C37" s="16" t="s">
        <v>25</v>
      </c>
      <c r="D37" s="114" t="s">
        <v>156</v>
      </c>
      <c r="E37" s="80" t="s">
        <v>149</v>
      </c>
      <c r="F37" s="256" t="s">
        <v>154</v>
      </c>
      <c r="G37" s="248"/>
      <c r="H37" s="122"/>
      <c r="I37" s="89" t="s">
        <v>183</v>
      </c>
      <c r="K37" s="114"/>
      <c r="L37" s="113"/>
      <c r="M37" s="256"/>
      <c r="N37" s="248"/>
      <c r="O37" s="89"/>
      <c r="P37" s="89"/>
      <c r="R37" s="136" t="s">
        <v>156</v>
      </c>
      <c r="S37" s="80" t="s">
        <v>149</v>
      </c>
      <c r="T37" s="256" t="s">
        <v>154</v>
      </c>
      <c r="U37" s="248"/>
      <c r="V37" s="122"/>
      <c r="W37" s="89" t="s">
        <v>183</v>
      </c>
      <c r="Y37" s="127"/>
      <c r="Z37" s="125"/>
      <c r="AA37" s="256"/>
      <c r="AB37" s="248"/>
      <c r="AC37" s="89"/>
      <c r="AD37" s="89"/>
      <c r="AF37" s="149" t="s">
        <v>219</v>
      </c>
      <c r="AG37" s="147" t="s">
        <v>145</v>
      </c>
      <c r="AH37" s="151" t="s">
        <v>221</v>
      </c>
      <c r="AI37" s="149"/>
      <c r="AJ37" s="143">
        <v>2</v>
      </c>
      <c r="AK37" s="150" t="s">
        <v>220</v>
      </c>
    </row>
    <row r="38" spans="1:38" x14ac:dyDescent="0.25">
      <c r="A38" s="270"/>
      <c r="B38" s="297"/>
      <c r="C38" s="16" t="s">
        <v>22</v>
      </c>
      <c r="D38" s="114" t="s">
        <v>155</v>
      </c>
      <c r="E38" s="80" t="s">
        <v>149</v>
      </c>
      <c r="F38" s="249" t="s">
        <v>157</v>
      </c>
      <c r="G38" s="249"/>
      <c r="H38" s="122"/>
      <c r="I38" s="89" t="s">
        <v>183</v>
      </c>
      <c r="K38" s="114"/>
      <c r="L38" s="113"/>
      <c r="M38" s="249"/>
      <c r="N38" s="249"/>
      <c r="O38" s="89"/>
      <c r="P38" s="89"/>
      <c r="R38" s="136" t="s">
        <v>155</v>
      </c>
      <c r="S38" s="80" t="s">
        <v>149</v>
      </c>
      <c r="T38" s="249" t="s">
        <v>157</v>
      </c>
      <c r="U38" s="249"/>
      <c r="V38" s="122"/>
      <c r="W38" s="89" t="s">
        <v>183</v>
      </c>
      <c r="Y38" s="127" t="s">
        <v>101</v>
      </c>
      <c r="Z38" s="125" t="s">
        <v>145</v>
      </c>
      <c r="AA38" s="249" t="s">
        <v>203</v>
      </c>
      <c r="AB38" s="249"/>
      <c r="AC38" s="89"/>
      <c r="AD38" s="89" t="s">
        <v>204</v>
      </c>
      <c r="AF38" s="157" t="s">
        <v>224</v>
      </c>
      <c r="AG38" s="147" t="s">
        <v>145</v>
      </c>
      <c r="AH38" s="260" t="s">
        <v>225</v>
      </c>
      <c r="AI38" s="260"/>
      <c r="AJ38" s="147">
        <v>2</v>
      </c>
      <c r="AK38" s="147" t="s">
        <v>226</v>
      </c>
    </row>
    <row r="39" spans="1:38" x14ac:dyDescent="0.25">
      <c r="A39" s="270"/>
      <c r="B39" s="297"/>
      <c r="C39" s="16" t="s">
        <v>22</v>
      </c>
      <c r="D39" s="114" t="s">
        <v>101</v>
      </c>
      <c r="E39" s="80" t="s">
        <v>149</v>
      </c>
      <c r="F39" s="256" t="s">
        <v>159</v>
      </c>
      <c r="G39" s="248"/>
      <c r="H39" s="122"/>
      <c r="I39" s="89" t="s">
        <v>182</v>
      </c>
      <c r="K39" s="114"/>
      <c r="L39" s="113"/>
      <c r="M39" s="256"/>
      <c r="N39" s="248"/>
      <c r="O39" s="89"/>
      <c r="P39" s="94"/>
      <c r="R39" s="136" t="s">
        <v>101</v>
      </c>
      <c r="S39" s="80" t="s">
        <v>149</v>
      </c>
      <c r="T39" s="256" t="s">
        <v>159</v>
      </c>
      <c r="U39" s="248"/>
      <c r="V39" s="122"/>
      <c r="W39" s="89" t="s">
        <v>182</v>
      </c>
      <c r="Y39" s="127"/>
      <c r="Z39" s="125"/>
      <c r="AA39" s="256"/>
      <c r="AB39" s="248"/>
      <c r="AC39" s="89"/>
      <c r="AD39" s="94"/>
      <c r="AF39" s="157" t="s">
        <v>101</v>
      </c>
      <c r="AG39" s="147" t="s">
        <v>145</v>
      </c>
      <c r="AH39" s="260" t="s">
        <v>203</v>
      </c>
      <c r="AI39" s="260"/>
      <c r="AJ39" s="147">
        <v>1</v>
      </c>
      <c r="AK39" s="147" t="s">
        <v>227</v>
      </c>
    </row>
    <row r="40" spans="1:38" ht="15.75" thickBot="1" x14ac:dyDescent="0.3">
      <c r="A40" s="270"/>
      <c r="B40" s="297"/>
      <c r="C40" s="46" t="s">
        <v>22</v>
      </c>
      <c r="D40" s="111"/>
      <c r="E40" s="47"/>
      <c r="F40" s="258"/>
      <c r="G40" s="259"/>
      <c r="H40" s="91"/>
      <c r="I40" s="90"/>
      <c r="K40" s="111"/>
      <c r="L40" s="47"/>
      <c r="M40" s="258"/>
      <c r="N40" s="259"/>
      <c r="O40" s="91"/>
      <c r="P40" s="90"/>
      <c r="R40" s="137"/>
      <c r="S40" s="47"/>
      <c r="T40" s="258"/>
      <c r="U40" s="259"/>
      <c r="V40" s="91"/>
      <c r="W40" s="90"/>
      <c r="Y40" s="123"/>
      <c r="Z40" s="47"/>
      <c r="AA40" s="258"/>
      <c r="AB40" s="259"/>
      <c r="AC40" s="91"/>
      <c r="AD40" s="90"/>
      <c r="AF40" s="155"/>
      <c r="AG40" s="101"/>
      <c r="AH40" s="261"/>
      <c r="AI40" s="262"/>
      <c r="AJ40" s="100"/>
      <c r="AK40" s="156"/>
    </row>
    <row r="41" spans="1:38" ht="15.75" thickBot="1" x14ac:dyDescent="0.3">
      <c r="A41" s="270"/>
      <c r="B41" s="297"/>
      <c r="C41" s="49" t="s">
        <v>70</v>
      </c>
      <c r="D41" s="166"/>
      <c r="E41" s="166"/>
      <c r="F41" s="166"/>
      <c r="G41" s="158"/>
      <c r="H41" s="100"/>
      <c r="I41" s="156"/>
      <c r="K41" s="257"/>
      <c r="L41" s="257"/>
      <c r="M41" s="257"/>
      <c r="N41" s="253"/>
      <c r="O41" s="100"/>
      <c r="P41" s="156"/>
      <c r="R41" s="166"/>
      <c r="S41" s="166"/>
      <c r="T41" s="166"/>
      <c r="U41" s="158"/>
      <c r="V41" s="100"/>
      <c r="W41" s="156"/>
      <c r="Y41" s="166"/>
      <c r="Z41" s="166"/>
      <c r="AA41" s="166"/>
      <c r="AB41" s="158"/>
      <c r="AC41" s="100"/>
      <c r="AD41" s="156"/>
      <c r="AF41" s="166"/>
      <c r="AG41" s="166"/>
      <c r="AH41" s="166"/>
      <c r="AI41" s="158"/>
      <c r="AJ41" s="100"/>
      <c r="AK41" s="156"/>
    </row>
    <row r="42" spans="1:38" ht="15.75" thickBot="1" x14ac:dyDescent="0.3">
      <c r="A42" s="11"/>
      <c r="B42" s="14"/>
      <c r="C42" s="14"/>
      <c r="D42" s="250"/>
      <c r="E42" s="251"/>
      <c r="F42" s="251"/>
      <c r="G42" s="251"/>
      <c r="H42" s="251"/>
      <c r="I42" s="251"/>
      <c r="K42" s="250"/>
      <c r="L42" s="251"/>
      <c r="M42" s="251"/>
      <c r="N42" s="251"/>
      <c r="O42" s="251"/>
      <c r="P42" s="251"/>
      <c r="R42" s="250"/>
      <c r="S42" s="251"/>
      <c r="T42" s="251"/>
      <c r="U42" s="251"/>
      <c r="V42" s="251"/>
      <c r="W42" s="251"/>
      <c r="Y42" s="250"/>
      <c r="Z42" s="251"/>
      <c r="AA42" s="251"/>
      <c r="AB42" s="251"/>
      <c r="AC42" s="251"/>
      <c r="AD42" s="251"/>
      <c r="AF42" s="250"/>
      <c r="AG42" s="251"/>
      <c r="AH42" s="251"/>
      <c r="AI42" s="251"/>
      <c r="AJ42" s="251"/>
      <c r="AK42" s="251"/>
    </row>
    <row r="43" spans="1:38" ht="15.75" customHeight="1" thickBot="1" x14ac:dyDescent="0.3">
      <c r="A43" s="299" t="s">
        <v>26</v>
      </c>
      <c r="B43" s="300" t="s">
        <v>108</v>
      </c>
      <c r="C43" s="54"/>
      <c r="D43" s="240" t="s">
        <v>9</v>
      </c>
      <c r="E43" s="241"/>
      <c r="F43" s="239" t="s">
        <v>10</v>
      </c>
      <c r="G43" s="240"/>
      <c r="H43" s="241"/>
      <c r="I43" s="77" t="s">
        <v>116</v>
      </c>
      <c r="J43" s="64" t="s">
        <v>9</v>
      </c>
      <c r="K43" s="240" t="s">
        <v>9</v>
      </c>
      <c r="L43" s="241"/>
      <c r="M43" s="239" t="s">
        <v>10</v>
      </c>
      <c r="N43" s="240"/>
      <c r="O43" s="241"/>
      <c r="P43" s="77" t="s">
        <v>116</v>
      </c>
      <c r="Q43" s="64"/>
      <c r="R43" s="240" t="s">
        <v>9</v>
      </c>
      <c r="S43" s="241"/>
      <c r="T43" s="239" t="s">
        <v>10</v>
      </c>
      <c r="U43" s="240"/>
      <c r="V43" s="241"/>
      <c r="W43" s="77" t="s">
        <v>116</v>
      </c>
      <c r="X43" s="64"/>
      <c r="Y43" s="240" t="s">
        <v>9</v>
      </c>
      <c r="Z43" s="241"/>
      <c r="AA43" s="239" t="s">
        <v>10</v>
      </c>
      <c r="AB43" s="240"/>
      <c r="AC43" s="241"/>
      <c r="AD43" s="77" t="s">
        <v>116</v>
      </c>
      <c r="AE43" s="64"/>
      <c r="AF43" s="240" t="s">
        <v>9</v>
      </c>
      <c r="AG43" s="241"/>
      <c r="AH43" s="239" t="s">
        <v>10</v>
      </c>
      <c r="AI43" s="240"/>
      <c r="AJ43" s="241"/>
      <c r="AK43" s="77" t="s">
        <v>116</v>
      </c>
      <c r="AL43" s="64"/>
    </row>
    <row r="44" spans="1:38" ht="15" customHeight="1" x14ac:dyDescent="0.25">
      <c r="A44" s="299"/>
      <c r="B44" s="301"/>
      <c r="C44" s="15" t="s">
        <v>27</v>
      </c>
      <c r="D44" s="263"/>
      <c r="E44" s="264"/>
      <c r="F44" s="242" t="s">
        <v>103</v>
      </c>
      <c r="G44" s="243"/>
      <c r="H44" s="244"/>
      <c r="I44" s="95" t="s">
        <v>186</v>
      </c>
      <c r="K44" s="263" t="s">
        <v>27</v>
      </c>
      <c r="L44" s="264"/>
      <c r="M44" s="242" t="s">
        <v>103</v>
      </c>
      <c r="N44" s="243"/>
      <c r="O44" s="244"/>
      <c r="P44" s="181">
        <v>44097</v>
      </c>
      <c r="R44" s="263"/>
      <c r="S44" s="264"/>
      <c r="T44" s="242" t="s">
        <v>103</v>
      </c>
      <c r="U44" s="243"/>
      <c r="V44" s="244"/>
      <c r="W44" s="95" t="s">
        <v>186</v>
      </c>
      <c r="Y44" s="263"/>
      <c r="Z44" s="264"/>
      <c r="AA44" s="242" t="s">
        <v>103</v>
      </c>
      <c r="AB44" s="243"/>
      <c r="AC44" s="244"/>
      <c r="AD44" s="95" t="s">
        <v>197</v>
      </c>
      <c r="AF44" s="263"/>
      <c r="AG44" s="264"/>
      <c r="AH44" s="242" t="s">
        <v>103</v>
      </c>
      <c r="AI44" s="243"/>
      <c r="AJ44" s="244"/>
      <c r="AK44" s="95" t="s">
        <v>168</v>
      </c>
    </row>
    <row r="45" spans="1:38" x14ac:dyDescent="0.25">
      <c r="A45" s="299"/>
      <c r="B45" s="301"/>
      <c r="C45" s="15" t="s">
        <v>28</v>
      </c>
      <c r="D45" s="246"/>
      <c r="E45" s="247"/>
      <c r="F45" s="245"/>
      <c r="G45" s="246"/>
      <c r="H45" s="247"/>
      <c r="I45" s="96"/>
      <c r="K45" s="246"/>
      <c r="L45" s="247"/>
      <c r="M45" s="245"/>
      <c r="N45" s="246"/>
      <c r="O45" s="247"/>
      <c r="P45" s="96"/>
      <c r="R45" s="246"/>
      <c r="S45" s="247"/>
      <c r="T45" s="245"/>
      <c r="U45" s="246"/>
      <c r="V45" s="247"/>
      <c r="W45" s="96"/>
      <c r="Y45" s="246"/>
      <c r="Z45" s="247"/>
      <c r="AA45" s="245"/>
      <c r="AB45" s="246"/>
      <c r="AC45" s="247"/>
      <c r="AD45" s="96"/>
      <c r="AF45" s="246"/>
      <c r="AG45" s="247"/>
      <c r="AH45" s="245"/>
      <c r="AI45" s="246"/>
      <c r="AJ45" s="247"/>
      <c r="AK45" s="96"/>
    </row>
    <row r="46" spans="1:38" ht="15.75" thickBot="1" x14ac:dyDescent="0.3">
      <c r="A46" s="299"/>
      <c r="B46" s="302"/>
      <c r="C46" s="55" t="s">
        <v>29</v>
      </c>
      <c r="D46" s="265"/>
      <c r="E46" s="266"/>
      <c r="F46" s="295"/>
      <c r="G46" s="265"/>
      <c r="H46" s="266"/>
      <c r="I46" s="87"/>
      <c r="K46" s="265"/>
      <c r="L46" s="266"/>
      <c r="M46" s="295"/>
      <c r="N46" s="265"/>
      <c r="O46" s="266"/>
      <c r="P46" s="87"/>
      <c r="R46" s="265"/>
      <c r="S46" s="266"/>
      <c r="T46" s="295"/>
      <c r="U46" s="265"/>
      <c r="V46" s="266"/>
      <c r="W46" s="87"/>
      <c r="Y46" s="265"/>
      <c r="Z46" s="266"/>
      <c r="AA46" s="295"/>
      <c r="AB46" s="265"/>
      <c r="AC46" s="266"/>
      <c r="AD46" s="87"/>
      <c r="AF46" s="265"/>
      <c r="AG46" s="266"/>
      <c r="AH46" s="295"/>
      <c r="AI46" s="265"/>
      <c r="AJ46" s="266"/>
      <c r="AK46" s="87"/>
    </row>
    <row r="47" spans="1:38" ht="15.75" thickBot="1" x14ac:dyDescent="0.3">
      <c r="A47" s="11"/>
      <c r="B47" s="14"/>
      <c r="C47" s="14"/>
      <c r="D47" s="250"/>
      <c r="E47" s="251"/>
      <c r="F47" s="251"/>
      <c r="G47" s="251"/>
      <c r="H47" s="251"/>
      <c r="I47" s="251"/>
      <c r="K47" s="250"/>
      <c r="L47" s="251"/>
      <c r="M47" s="251"/>
      <c r="N47" s="251"/>
      <c r="O47" s="251"/>
      <c r="P47" s="251"/>
      <c r="R47" s="250"/>
      <c r="S47" s="251"/>
      <c r="T47" s="251"/>
      <c r="U47" s="251"/>
      <c r="V47" s="251"/>
      <c r="W47" s="251"/>
      <c r="Y47" s="250"/>
      <c r="Z47" s="251"/>
      <c r="AA47" s="251"/>
      <c r="AB47" s="251"/>
      <c r="AC47" s="251"/>
      <c r="AD47" s="251"/>
      <c r="AF47" s="250"/>
      <c r="AG47" s="251"/>
      <c r="AH47" s="251"/>
      <c r="AI47" s="251"/>
      <c r="AJ47" s="251"/>
      <c r="AK47" s="251"/>
    </row>
    <row r="48" spans="1:38" ht="15" customHeight="1" thickBot="1" x14ac:dyDescent="0.3">
      <c r="A48" s="283" t="s">
        <v>30</v>
      </c>
      <c r="B48" s="285" t="s">
        <v>109</v>
      </c>
      <c r="C48" s="63"/>
      <c r="D48" s="117" t="s">
        <v>9</v>
      </c>
      <c r="E48" s="267" t="s">
        <v>89</v>
      </c>
      <c r="F48" s="268"/>
      <c r="G48" s="288" t="s">
        <v>135</v>
      </c>
      <c r="H48" s="288"/>
      <c r="I48" s="288"/>
      <c r="K48" s="117" t="s">
        <v>9</v>
      </c>
      <c r="L48" s="267" t="s">
        <v>89</v>
      </c>
      <c r="M48" s="268"/>
      <c r="N48" s="288" t="s">
        <v>135</v>
      </c>
      <c r="O48" s="288"/>
      <c r="P48" s="288"/>
      <c r="R48" s="141" t="s">
        <v>9</v>
      </c>
      <c r="S48" s="267" t="s">
        <v>89</v>
      </c>
      <c r="T48" s="268"/>
      <c r="U48" s="288" t="s">
        <v>135</v>
      </c>
      <c r="V48" s="288"/>
      <c r="W48" s="288"/>
      <c r="Y48" s="130" t="s">
        <v>9</v>
      </c>
      <c r="Z48" s="267" t="s">
        <v>89</v>
      </c>
      <c r="AA48" s="268"/>
      <c r="AB48" s="288" t="s">
        <v>135</v>
      </c>
      <c r="AC48" s="288"/>
      <c r="AD48" s="288"/>
      <c r="AF48" s="141" t="s">
        <v>9</v>
      </c>
      <c r="AG48" s="267" t="s">
        <v>89</v>
      </c>
      <c r="AH48" s="268"/>
      <c r="AI48" s="288" t="s">
        <v>135</v>
      </c>
      <c r="AJ48" s="288"/>
      <c r="AK48" s="288"/>
    </row>
    <row r="49" spans="1:38" ht="15" customHeight="1" x14ac:dyDescent="0.25">
      <c r="A49" s="284"/>
      <c r="B49" s="286"/>
      <c r="C49" s="62" t="s">
        <v>34</v>
      </c>
      <c r="D49" s="118"/>
      <c r="E49" s="289">
        <v>6.8</v>
      </c>
      <c r="F49" s="290"/>
      <c r="G49" s="291">
        <v>159</v>
      </c>
      <c r="H49" s="291"/>
      <c r="I49" s="291"/>
      <c r="K49" s="118"/>
      <c r="L49" s="289">
        <v>2.7</v>
      </c>
      <c r="M49" s="290"/>
      <c r="N49" s="291">
        <v>359.2</v>
      </c>
      <c r="O49" s="291"/>
      <c r="P49" s="291"/>
      <c r="R49" s="142"/>
      <c r="S49" s="289">
        <v>6.8</v>
      </c>
      <c r="T49" s="290"/>
      <c r="U49" s="291">
        <v>159</v>
      </c>
      <c r="V49" s="291"/>
      <c r="W49" s="291"/>
      <c r="Y49" s="131"/>
      <c r="Z49" s="289">
        <v>5.6</v>
      </c>
      <c r="AA49" s="290"/>
      <c r="AB49" s="291">
        <v>139.5</v>
      </c>
      <c r="AC49" s="291"/>
      <c r="AD49" s="291"/>
      <c r="AF49" s="142"/>
      <c r="AG49" s="289">
        <v>3.6</v>
      </c>
      <c r="AH49" s="290"/>
      <c r="AI49" s="291">
        <v>360</v>
      </c>
      <c r="AJ49" s="291"/>
      <c r="AK49" s="291"/>
    </row>
    <row r="50" spans="1:38" ht="15.75" thickBot="1" x14ac:dyDescent="0.3">
      <c r="A50" s="284"/>
      <c r="B50" s="287"/>
      <c r="C50" s="61" t="s">
        <v>33</v>
      </c>
      <c r="D50" s="112"/>
      <c r="E50" s="292"/>
      <c r="F50" s="293"/>
      <c r="G50" s="294"/>
      <c r="H50" s="294"/>
      <c r="I50" s="294"/>
      <c r="K50" s="112"/>
      <c r="L50" s="292"/>
      <c r="M50" s="293"/>
      <c r="N50" s="294"/>
      <c r="O50" s="294"/>
      <c r="P50" s="294"/>
      <c r="R50" s="139"/>
      <c r="S50" s="292"/>
      <c r="T50" s="293"/>
      <c r="U50" s="294"/>
      <c r="V50" s="294"/>
      <c r="W50" s="294"/>
      <c r="Y50" s="124"/>
      <c r="Z50" s="292"/>
      <c r="AA50" s="293"/>
      <c r="AB50" s="294"/>
      <c r="AC50" s="294"/>
      <c r="AD50" s="294"/>
      <c r="AF50" s="139"/>
      <c r="AG50" s="292"/>
      <c r="AH50" s="293"/>
      <c r="AI50" s="294"/>
      <c r="AJ50" s="294"/>
      <c r="AK50" s="294"/>
    </row>
    <row r="51" spans="1:38" ht="15.75" thickBot="1" x14ac:dyDescent="0.3">
      <c r="A51" s="11"/>
      <c r="B51" s="14"/>
      <c r="C51" s="14"/>
      <c r="D51" s="250"/>
      <c r="E51" s="251"/>
      <c r="F51" s="251"/>
      <c r="G51" s="251"/>
      <c r="H51" s="251"/>
      <c r="I51" s="251"/>
      <c r="K51" s="250"/>
      <c r="L51" s="251"/>
      <c r="M51" s="251"/>
      <c r="N51" s="251"/>
      <c r="O51" s="251"/>
      <c r="P51" s="251"/>
      <c r="R51" s="250"/>
      <c r="S51" s="251"/>
      <c r="T51" s="251"/>
      <c r="U51" s="251"/>
      <c r="V51" s="251"/>
      <c r="W51" s="251"/>
      <c r="Y51" s="250"/>
      <c r="Z51" s="251"/>
      <c r="AA51" s="251"/>
      <c r="AB51" s="251"/>
      <c r="AC51" s="251"/>
      <c r="AD51" s="251"/>
      <c r="AF51" s="250"/>
      <c r="AG51" s="251"/>
      <c r="AH51" s="251"/>
      <c r="AI51" s="251"/>
      <c r="AJ51" s="251"/>
      <c r="AK51" s="251"/>
    </row>
    <row r="52" spans="1:38" ht="15" customHeight="1" x14ac:dyDescent="0.25">
      <c r="A52" s="269" t="s">
        <v>31</v>
      </c>
      <c r="B52" s="272" t="s">
        <v>114</v>
      </c>
      <c r="C52" s="60" t="s">
        <v>35</v>
      </c>
      <c r="D52" s="275">
        <v>71</v>
      </c>
      <c r="E52" s="276"/>
      <c r="F52" s="276"/>
      <c r="G52" s="276"/>
      <c r="H52" s="276"/>
      <c r="I52" s="276"/>
      <c r="K52" s="275">
        <v>279</v>
      </c>
      <c r="L52" s="276"/>
      <c r="M52" s="276"/>
      <c r="N52" s="276"/>
      <c r="O52" s="276"/>
      <c r="P52" s="276"/>
      <c r="R52" s="275">
        <v>71</v>
      </c>
      <c r="S52" s="276"/>
      <c r="T52" s="276"/>
      <c r="U52" s="276"/>
      <c r="V52" s="276"/>
      <c r="W52" s="276"/>
      <c r="Y52" s="275">
        <v>60</v>
      </c>
      <c r="Z52" s="276"/>
      <c r="AA52" s="276"/>
      <c r="AB52" s="276"/>
      <c r="AC52" s="276"/>
      <c r="AD52" s="276"/>
      <c r="AF52" s="275">
        <v>38</v>
      </c>
      <c r="AG52" s="276"/>
      <c r="AH52" s="276"/>
      <c r="AI52" s="276"/>
      <c r="AJ52" s="276"/>
      <c r="AK52" s="276"/>
    </row>
    <row r="53" spans="1:38" x14ac:dyDescent="0.25">
      <c r="A53" s="270"/>
      <c r="B53" s="273"/>
      <c r="C53" s="18" t="s">
        <v>71</v>
      </c>
      <c r="D53" s="248">
        <v>296</v>
      </c>
      <c r="E53" s="249"/>
      <c r="F53" s="249"/>
      <c r="G53" s="249"/>
      <c r="H53" s="249"/>
      <c r="I53" s="249"/>
      <c r="K53" s="248">
        <v>153</v>
      </c>
      <c r="L53" s="249"/>
      <c r="M53" s="249"/>
      <c r="N53" s="249"/>
      <c r="O53" s="249"/>
      <c r="P53" s="249"/>
      <c r="R53" s="248">
        <v>296</v>
      </c>
      <c r="S53" s="249"/>
      <c r="T53" s="249"/>
      <c r="U53" s="249"/>
      <c r="V53" s="249"/>
      <c r="W53" s="249"/>
      <c r="Y53" s="248">
        <v>238</v>
      </c>
      <c r="Z53" s="249"/>
      <c r="AA53" s="249"/>
      <c r="AB53" s="249"/>
      <c r="AC53" s="249"/>
      <c r="AD53" s="249"/>
      <c r="AF53" s="248">
        <v>370</v>
      </c>
      <c r="AG53" s="249"/>
      <c r="AH53" s="249"/>
      <c r="AI53" s="249"/>
      <c r="AJ53" s="249"/>
      <c r="AK53" s="249"/>
    </row>
    <row r="54" spans="1:38" x14ac:dyDescent="0.25">
      <c r="A54" s="270"/>
      <c r="B54" s="273"/>
      <c r="C54" s="18" t="s">
        <v>41</v>
      </c>
      <c r="D54" s="248">
        <v>103</v>
      </c>
      <c r="E54" s="249"/>
      <c r="F54" s="249"/>
      <c r="G54" s="249"/>
      <c r="H54" s="249"/>
      <c r="I54" s="249"/>
      <c r="K54" s="348">
        <v>113</v>
      </c>
      <c r="L54" s="260"/>
      <c r="M54" s="260"/>
      <c r="N54" s="260"/>
      <c r="O54" s="260"/>
      <c r="P54" s="260"/>
      <c r="R54" s="248">
        <v>103</v>
      </c>
      <c r="S54" s="249"/>
      <c r="T54" s="249"/>
      <c r="U54" s="249"/>
      <c r="V54" s="249"/>
      <c r="W54" s="249"/>
      <c r="Y54" s="248">
        <v>81</v>
      </c>
      <c r="Z54" s="249"/>
      <c r="AA54" s="249"/>
      <c r="AB54" s="249"/>
      <c r="AC54" s="249"/>
      <c r="AD54" s="249"/>
      <c r="AF54" s="248">
        <v>165</v>
      </c>
      <c r="AG54" s="249"/>
      <c r="AH54" s="249"/>
      <c r="AI54" s="249"/>
      <c r="AJ54" s="249"/>
      <c r="AK54" s="249"/>
    </row>
    <row r="55" spans="1:38" x14ac:dyDescent="0.25">
      <c r="A55" s="270"/>
      <c r="B55" s="273"/>
      <c r="C55" s="18" t="s">
        <v>42</v>
      </c>
      <c r="D55" s="248">
        <v>110</v>
      </c>
      <c r="E55" s="249"/>
      <c r="F55" s="249"/>
      <c r="G55" s="249"/>
      <c r="H55" s="249"/>
      <c r="I55" s="249"/>
      <c r="K55" s="248">
        <v>89</v>
      </c>
      <c r="L55" s="249"/>
      <c r="M55" s="249"/>
      <c r="N55" s="249"/>
      <c r="O55" s="249"/>
      <c r="P55" s="249"/>
      <c r="R55" s="248">
        <v>80</v>
      </c>
      <c r="S55" s="249"/>
      <c r="T55" s="249"/>
      <c r="U55" s="249"/>
      <c r="V55" s="249"/>
      <c r="W55" s="249"/>
      <c r="Y55" s="248">
        <v>103</v>
      </c>
      <c r="Z55" s="249"/>
      <c r="AA55" s="249"/>
      <c r="AB55" s="249"/>
      <c r="AC55" s="249"/>
      <c r="AD55" s="249"/>
      <c r="AF55" s="248">
        <v>104</v>
      </c>
      <c r="AG55" s="249"/>
      <c r="AH55" s="249"/>
      <c r="AI55" s="249"/>
      <c r="AJ55" s="249"/>
      <c r="AK55" s="249"/>
    </row>
    <row r="56" spans="1:38" x14ac:dyDescent="0.25">
      <c r="A56" s="270"/>
      <c r="B56" s="273"/>
      <c r="C56" s="16" t="s">
        <v>43</v>
      </c>
      <c r="D56" s="277"/>
      <c r="E56" s="278"/>
      <c r="F56" s="278"/>
      <c r="G56" s="278"/>
      <c r="H56" s="278"/>
      <c r="I56" s="278"/>
      <c r="K56" s="277"/>
      <c r="L56" s="278"/>
      <c r="M56" s="278"/>
      <c r="N56" s="278"/>
      <c r="O56" s="278"/>
      <c r="P56" s="278"/>
      <c r="R56" s="277"/>
      <c r="S56" s="278"/>
      <c r="T56" s="278"/>
      <c r="U56" s="278"/>
      <c r="V56" s="278"/>
      <c r="W56" s="278"/>
      <c r="Y56" s="277"/>
      <c r="Z56" s="278"/>
      <c r="AA56" s="278"/>
      <c r="AB56" s="278"/>
      <c r="AC56" s="278"/>
      <c r="AD56" s="278"/>
      <c r="AF56" s="277"/>
      <c r="AG56" s="278"/>
      <c r="AH56" s="278"/>
      <c r="AI56" s="278"/>
      <c r="AJ56" s="278"/>
      <c r="AK56" s="278"/>
    </row>
    <row r="57" spans="1:38" x14ac:dyDescent="0.25">
      <c r="A57" s="270"/>
      <c r="B57" s="273"/>
      <c r="C57" s="16" t="s">
        <v>44</v>
      </c>
      <c r="D57" s="277"/>
      <c r="E57" s="278"/>
      <c r="F57" s="278"/>
      <c r="G57" s="278"/>
      <c r="H57" s="278"/>
      <c r="I57" s="278"/>
      <c r="K57" s="277"/>
      <c r="L57" s="278"/>
      <c r="M57" s="278"/>
      <c r="N57" s="278"/>
      <c r="O57" s="278"/>
      <c r="P57" s="278"/>
      <c r="R57" s="277"/>
      <c r="S57" s="278"/>
      <c r="T57" s="278"/>
      <c r="U57" s="278"/>
      <c r="V57" s="278"/>
      <c r="W57" s="278"/>
      <c r="Y57" s="277"/>
      <c r="Z57" s="278"/>
      <c r="AA57" s="278"/>
      <c r="AB57" s="278"/>
      <c r="AC57" s="278"/>
      <c r="AD57" s="278"/>
      <c r="AF57" s="277"/>
      <c r="AG57" s="278"/>
      <c r="AH57" s="278"/>
      <c r="AI57" s="278"/>
      <c r="AJ57" s="278"/>
      <c r="AK57" s="278"/>
    </row>
    <row r="58" spans="1:38" x14ac:dyDescent="0.25">
      <c r="A58" s="270"/>
      <c r="B58" s="273"/>
      <c r="C58" s="18" t="s">
        <v>45</v>
      </c>
      <c r="D58" s="277">
        <v>12</v>
      </c>
      <c r="E58" s="278"/>
      <c r="F58" s="278"/>
      <c r="G58" s="278"/>
      <c r="H58" s="278"/>
      <c r="I58" s="278"/>
      <c r="K58" s="277">
        <v>16</v>
      </c>
      <c r="L58" s="278"/>
      <c r="M58" s="278"/>
      <c r="N58" s="278"/>
      <c r="O58" s="278"/>
      <c r="P58" s="278"/>
      <c r="R58" s="277">
        <v>12</v>
      </c>
      <c r="S58" s="278"/>
      <c r="T58" s="278"/>
      <c r="U58" s="278"/>
      <c r="V58" s="278"/>
      <c r="W58" s="278"/>
      <c r="Y58" s="277">
        <v>10</v>
      </c>
      <c r="Z58" s="278"/>
      <c r="AA58" s="278"/>
      <c r="AB58" s="278"/>
      <c r="AC58" s="278"/>
      <c r="AD58" s="278"/>
      <c r="AF58" s="277">
        <v>4</v>
      </c>
      <c r="AG58" s="278"/>
      <c r="AH58" s="278"/>
      <c r="AI58" s="278"/>
      <c r="AJ58" s="278"/>
      <c r="AK58" s="278"/>
    </row>
    <row r="59" spans="1:38" x14ac:dyDescent="0.25">
      <c r="A59" s="270"/>
      <c r="B59" s="273"/>
      <c r="C59" s="16" t="s">
        <v>46</v>
      </c>
      <c r="D59" s="248" t="s">
        <v>187</v>
      </c>
      <c r="E59" s="249"/>
      <c r="F59" s="249"/>
      <c r="G59" s="249"/>
      <c r="H59" s="249"/>
      <c r="I59" s="249"/>
      <c r="K59" s="248" t="s">
        <v>287</v>
      </c>
      <c r="L59" s="249"/>
      <c r="M59" s="249"/>
      <c r="N59" s="249"/>
      <c r="O59" s="249"/>
      <c r="P59" s="249"/>
      <c r="R59" s="248" t="s">
        <v>288</v>
      </c>
      <c r="S59" s="249"/>
      <c r="T59" s="249"/>
      <c r="U59" s="249"/>
      <c r="V59" s="249"/>
      <c r="W59" s="249"/>
      <c r="Y59" s="248" t="s">
        <v>432</v>
      </c>
      <c r="Z59" s="249"/>
      <c r="AA59" s="249"/>
      <c r="AB59" s="249"/>
      <c r="AC59" s="249"/>
      <c r="AD59" s="249"/>
      <c r="AF59" s="248" t="s">
        <v>192</v>
      </c>
      <c r="AG59" s="249"/>
      <c r="AH59" s="249"/>
      <c r="AI59" s="249"/>
      <c r="AJ59" s="249"/>
      <c r="AK59" s="249"/>
    </row>
    <row r="60" spans="1:38" ht="15" customHeight="1" x14ac:dyDescent="0.25">
      <c r="A60" s="270"/>
      <c r="B60" s="273"/>
      <c r="C60" s="281" t="s">
        <v>72</v>
      </c>
      <c r="D60" s="277"/>
      <c r="E60" s="278"/>
      <c r="F60" s="278"/>
      <c r="G60" s="278"/>
      <c r="H60" s="278"/>
      <c r="I60" s="278"/>
      <c r="J60" s="38"/>
      <c r="K60" s="277"/>
      <c r="L60" s="278"/>
      <c r="M60" s="278"/>
      <c r="N60" s="278"/>
      <c r="O60" s="278"/>
      <c r="P60" s="278"/>
      <c r="Q60" s="38"/>
      <c r="R60" s="277"/>
      <c r="S60" s="278"/>
      <c r="T60" s="278"/>
      <c r="U60" s="278"/>
      <c r="V60" s="278"/>
      <c r="W60" s="278"/>
      <c r="X60" s="38"/>
      <c r="Y60" s="277"/>
      <c r="Z60" s="278"/>
      <c r="AA60" s="278"/>
      <c r="AB60" s="278"/>
      <c r="AC60" s="278"/>
      <c r="AD60" s="278"/>
      <c r="AE60" s="38"/>
      <c r="AF60" s="277"/>
      <c r="AG60" s="278"/>
      <c r="AH60" s="278"/>
      <c r="AI60" s="278"/>
      <c r="AJ60" s="278"/>
      <c r="AK60" s="278"/>
      <c r="AL60" s="38"/>
    </row>
    <row r="61" spans="1:38" ht="15.75" thickBot="1" x14ac:dyDescent="0.3">
      <c r="A61" s="271"/>
      <c r="B61" s="274"/>
      <c r="C61" s="282"/>
      <c r="D61" s="279"/>
      <c r="E61" s="280"/>
      <c r="F61" s="280"/>
      <c r="G61" s="280"/>
      <c r="H61" s="280"/>
      <c r="I61" s="280"/>
      <c r="J61" s="38"/>
      <c r="K61" s="279"/>
      <c r="L61" s="280"/>
      <c r="M61" s="280"/>
      <c r="N61" s="280"/>
      <c r="O61" s="280"/>
      <c r="P61" s="280"/>
      <c r="Q61" s="38"/>
      <c r="R61" s="279"/>
      <c r="S61" s="280"/>
      <c r="T61" s="280"/>
      <c r="U61" s="280"/>
      <c r="V61" s="280"/>
      <c r="W61" s="280"/>
      <c r="X61" s="38"/>
      <c r="Y61" s="279"/>
      <c r="Z61" s="280"/>
      <c r="AA61" s="280"/>
      <c r="AB61" s="280"/>
      <c r="AC61" s="280"/>
      <c r="AD61" s="280"/>
      <c r="AE61" s="38"/>
      <c r="AF61" s="279"/>
      <c r="AG61" s="280"/>
      <c r="AH61" s="280"/>
      <c r="AI61" s="280"/>
      <c r="AJ61" s="280"/>
      <c r="AK61" s="280"/>
      <c r="AL61" s="38"/>
    </row>
  </sheetData>
  <mergeCells count="259">
    <mergeCell ref="AF54:AK54"/>
    <mergeCell ref="AG49:AH49"/>
    <mergeCell ref="AG50:AH50"/>
    <mergeCell ref="AI50:AK50"/>
    <mergeCell ref="AF52:AK52"/>
    <mergeCell ref="AF56:AK56"/>
    <mergeCell ref="AF58:AK58"/>
    <mergeCell ref="AF55:AK55"/>
    <mergeCell ref="K41:N41"/>
    <mergeCell ref="AF47:AK47"/>
    <mergeCell ref="AH46:AJ46"/>
    <mergeCell ref="Z50:AA50"/>
    <mergeCell ref="AB50:AD50"/>
    <mergeCell ref="Y47:AD47"/>
    <mergeCell ref="Z48:AA48"/>
    <mergeCell ref="AB48:AD48"/>
    <mergeCell ref="AF51:AK51"/>
    <mergeCell ref="AI49:AK49"/>
    <mergeCell ref="AG48:AH48"/>
    <mergeCell ref="AI48:AK48"/>
    <mergeCell ref="Z49:AA49"/>
    <mergeCell ref="AB49:AD49"/>
    <mergeCell ref="AH35:AI35"/>
    <mergeCell ref="AH38:AI38"/>
    <mergeCell ref="AH39:AI39"/>
    <mergeCell ref="AH40:AI40"/>
    <mergeCell ref="AF42:AK42"/>
    <mergeCell ref="AF44:AG44"/>
    <mergeCell ref="AH44:AJ44"/>
    <mergeCell ref="AF45:AG45"/>
    <mergeCell ref="AH45:AJ45"/>
    <mergeCell ref="AH43:AJ43"/>
    <mergeCell ref="Y8:AC8"/>
    <mergeCell ref="Y9:AC9"/>
    <mergeCell ref="Y14:AC14"/>
    <mergeCell ref="Y11:AD11"/>
    <mergeCell ref="AH33:AI33"/>
    <mergeCell ref="AA34:AB34"/>
    <mergeCell ref="AH31:AI31"/>
    <mergeCell ref="AF11:AK11"/>
    <mergeCell ref="AF8:AJ8"/>
    <mergeCell ref="AF9:AJ9"/>
    <mergeCell ref="AF15:AK15"/>
    <mergeCell ref="AF12:AK12"/>
    <mergeCell ref="AF13:AK13"/>
    <mergeCell ref="AF14:AJ14"/>
    <mergeCell ref="AH30:AI30"/>
    <mergeCell ref="AH34:AI34"/>
    <mergeCell ref="M38:N38"/>
    <mergeCell ref="T38:U38"/>
    <mergeCell ref="AA38:AB38"/>
    <mergeCell ref="T37:U37"/>
    <mergeCell ref="F31:G31"/>
    <mergeCell ref="M31:N31"/>
    <mergeCell ref="F39:G39"/>
    <mergeCell ref="M39:N39"/>
    <mergeCell ref="AA37:AB37"/>
    <mergeCell ref="T33:U33"/>
    <mergeCell ref="AA33:AB33"/>
    <mergeCell ref="M34:N34"/>
    <mergeCell ref="T34:U34"/>
    <mergeCell ref="F34:G34"/>
    <mergeCell ref="AA31:AB31"/>
    <mergeCell ref="T31:U31"/>
    <mergeCell ref="M32:N32"/>
    <mergeCell ref="D2:I2"/>
    <mergeCell ref="K2:P2"/>
    <mergeCell ref="R2:W2"/>
    <mergeCell ref="Y2:AD2"/>
    <mergeCell ref="AF2:AK2"/>
    <mergeCell ref="A3:A6"/>
    <mergeCell ref="B3:B6"/>
    <mergeCell ref="D3:I3"/>
    <mergeCell ref="K3:P3"/>
    <mergeCell ref="R3:W3"/>
    <mergeCell ref="Y3:AD3"/>
    <mergeCell ref="D6:I6"/>
    <mergeCell ref="K6:P6"/>
    <mergeCell ref="R6:W6"/>
    <mergeCell ref="Y6:AD6"/>
    <mergeCell ref="AF6:AK6"/>
    <mergeCell ref="D7:I7"/>
    <mergeCell ref="K7:P7"/>
    <mergeCell ref="R7:W7"/>
    <mergeCell ref="Y7:AD7"/>
    <mergeCell ref="AF7:AK7"/>
    <mergeCell ref="AF3:AK3"/>
    <mergeCell ref="D4:I4"/>
    <mergeCell ref="K4:P4"/>
    <mergeCell ref="R4:W4"/>
    <mergeCell ref="Y4:AD4"/>
    <mergeCell ref="AF4:AK4"/>
    <mergeCell ref="D5:I5"/>
    <mergeCell ref="K5:P5"/>
    <mergeCell ref="R5:W5"/>
    <mergeCell ref="Y5:AD5"/>
    <mergeCell ref="AF5:AK5"/>
    <mergeCell ref="A8:A10"/>
    <mergeCell ref="B8:B10"/>
    <mergeCell ref="D8:H8"/>
    <mergeCell ref="D9:H9"/>
    <mergeCell ref="R8:V8"/>
    <mergeCell ref="R9:V9"/>
    <mergeCell ref="D11:I11"/>
    <mergeCell ref="K11:P11"/>
    <mergeCell ref="R11:W11"/>
    <mergeCell ref="K8:O8"/>
    <mergeCell ref="K9:O9"/>
    <mergeCell ref="A12:A14"/>
    <mergeCell ref="B12:B14"/>
    <mergeCell ref="D12:I12"/>
    <mergeCell ref="K12:P12"/>
    <mergeCell ref="R12:W12"/>
    <mergeCell ref="Y12:AD12"/>
    <mergeCell ref="D14:H14"/>
    <mergeCell ref="R14:V14"/>
    <mergeCell ref="D15:I15"/>
    <mergeCell ref="K15:P15"/>
    <mergeCell ref="R15:W15"/>
    <mergeCell ref="Y15:AD15"/>
    <mergeCell ref="D13:I13"/>
    <mergeCell ref="K13:P13"/>
    <mergeCell ref="R13:W13"/>
    <mergeCell ref="Y13:AD13"/>
    <mergeCell ref="K14:O14"/>
    <mergeCell ref="K29:P29"/>
    <mergeCell ref="R29:W29"/>
    <mergeCell ref="Y29:AD29"/>
    <mergeCell ref="A16:A28"/>
    <mergeCell ref="B16:B28"/>
    <mergeCell ref="D29:I29"/>
    <mergeCell ref="AF29:AK29"/>
    <mergeCell ref="A30:A41"/>
    <mergeCell ref="B30:B41"/>
    <mergeCell ref="F30:G30"/>
    <mergeCell ref="M30:N30"/>
    <mergeCell ref="F37:G37"/>
    <mergeCell ref="M37:N37"/>
    <mergeCell ref="F33:G33"/>
    <mergeCell ref="M33:N33"/>
    <mergeCell ref="F40:G40"/>
    <mergeCell ref="M40:N40"/>
    <mergeCell ref="AA40:AB40"/>
    <mergeCell ref="T30:U30"/>
    <mergeCell ref="AA30:AB30"/>
    <mergeCell ref="T39:U39"/>
    <mergeCell ref="T40:U40"/>
    <mergeCell ref="AA39:AB39"/>
    <mergeCell ref="F38:G38"/>
    <mergeCell ref="D42:I42"/>
    <mergeCell ref="D45:E45"/>
    <mergeCell ref="AF46:AG46"/>
    <mergeCell ref="F43:H43"/>
    <mergeCell ref="F44:H44"/>
    <mergeCell ref="F45:H45"/>
    <mergeCell ref="T46:V46"/>
    <mergeCell ref="AF43:AG43"/>
    <mergeCell ref="D43:E43"/>
    <mergeCell ref="T43:V43"/>
    <mergeCell ref="T44:V44"/>
    <mergeCell ref="AA45:AC45"/>
    <mergeCell ref="K42:P42"/>
    <mergeCell ref="R42:W42"/>
    <mergeCell ref="Y42:AD42"/>
    <mergeCell ref="K45:L45"/>
    <mergeCell ref="M45:O45"/>
    <mergeCell ref="R45:S45"/>
    <mergeCell ref="T45:V45"/>
    <mergeCell ref="R46:S46"/>
    <mergeCell ref="Y46:Z46"/>
    <mergeCell ref="AA43:AC43"/>
    <mergeCell ref="AA44:AC44"/>
    <mergeCell ref="AA46:AC46"/>
    <mergeCell ref="A43:A46"/>
    <mergeCell ref="B43:B46"/>
    <mergeCell ref="K43:L43"/>
    <mergeCell ref="D46:E46"/>
    <mergeCell ref="K46:L46"/>
    <mergeCell ref="Y45:Z45"/>
    <mergeCell ref="F46:H46"/>
    <mergeCell ref="M43:O43"/>
    <mergeCell ref="M44:O44"/>
    <mergeCell ref="M46:O46"/>
    <mergeCell ref="D44:E44"/>
    <mergeCell ref="K44:L44"/>
    <mergeCell ref="R44:S44"/>
    <mergeCell ref="Y44:Z44"/>
    <mergeCell ref="R43:S43"/>
    <mergeCell ref="Y43:Z43"/>
    <mergeCell ref="A48:A50"/>
    <mergeCell ref="B48:B50"/>
    <mergeCell ref="E48:F48"/>
    <mergeCell ref="G48:I48"/>
    <mergeCell ref="L48:M48"/>
    <mergeCell ref="N48:P48"/>
    <mergeCell ref="D47:I47"/>
    <mergeCell ref="K47:P47"/>
    <mergeCell ref="R47:W47"/>
    <mergeCell ref="E49:F49"/>
    <mergeCell ref="L50:M50"/>
    <mergeCell ref="N50:P50"/>
    <mergeCell ref="S50:T50"/>
    <mergeCell ref="U50:W50"/>
    <mergeCell ref="S48:T48"/>
    <mergeCell ref="U48:W48"/>
    <mergeCell ref="L49:M49"/>
    <mergeCell ref="N49:P49"/>
    <mergeCell ref="S49:T49"/>
    <mergeCell ref="U49:W49"/>
    <mergeCell ref="E50:F50"/>
    <mergeCell ref="G50:I50"/>
    <mergeCell ref="G49:I49"/>
    <mergeCell ref="D53:I53"/>
    <mergeCell ref="K53:P53"/>
    <mergeCell ref="R53:W53"/>
    <mergeCell ref="Y53:AD53"/>
    <mergeCell ref="AF53:AK53"/>
    <mergeCell ref="D51:I51"/>
    <mergeCell ref="K51:P51"/>
    <mergeCell ref="R51:W51"/>
    <mergeCell ref="Y51:AD51"/>
    <mergeCell ref="A52:A61"/>
    <mergeCell ref="B52:B61"/>
    <mergeCell ref="D52:I52"/>
    <mergeCell ref="K52:P52"/>
    <mergeCell ref="R52:W52"/>
    <mergeCell ref="Y52:AD52"/>
    <mergeCell ref="D54:I54"/>
    <mergeCell ref="K54:P54"/>
    <mergeCell ref="R54:W54"/>
    <mergeCell ref="Y54:AD54"/>
    <mergeCell ref="D56:I56"/>
    <mergeCell ref="K56:P56"/>
    <mergeCell ref="R56:W56"/>
    <mergeCell ref="Y56:AD56"/>
    <mergeCell ref="C60:C61"/>
    <mergeCell ref="D60:I61"/>
    <mergeCell ref="D57:I57"/>
    <mergeCell ref="K57:P57"/>
    <mergeCell ref="R57:W57"/>
    <mergeCell ref="D55:I55"/>
    <mergeCell ref="K55:P55"/>
    <mergeCell ref="R55:W55"/>
    <mergeCell ref="Y55:AD55"/>
    <mergeCell ref="D59:I59"/>
    <mergeCell ref="K59:P59"/>
    <mergeCell ref="R59:W59"/>
    <mergeCell ref="Y59:AD59"/>
    <mergeCell ref="D58:I58"/>
    <mergeCell ref="Y57:AD57"/>
    <mergeCell ref="AF57:AK57"/>
    <mergeCell ref="K60:P61"/>
    <mergeCell ref="R60:W61"/>
    <mergeCell ref="Y60:AD61"/>
    <mergeCell ref="K58:P58"/>
    <mergeCell ref="R58:W58"/>
    <mergeCell ref="Y58:AD58"/>
    <mergeCell ref="AF59:AK59"/>
    <mergeCell ref="AF60:AK61"/>
  </mergeCells>
  <pageMargins left="0.7" right="0.7" top="0.78740157499999996" bottom="0.78740157499999996" header="0.3" footer="0.3"/>
  <pageSetup paperSize="9" orientation="portrait" horizontalDpi="4294967294" verticalDpi="4294967294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C33" sqref="C33"/>
    </sheetView>
  </sheetViews>
  <sheetFormatPr baseColWidth="10" defaultColWidth="11.42578125" defaultRowHeight="15" x14ac:dyDescent="0.25"/>
  <cols>
    <col min="1" max="1" width="16.42578125" bestFit="1" customWidth="1"/>
    <col min="5" max="5" width="14.85546875" bestFit="1" customWidth="1"/>
    <col min="9" max="9" width="14.85546875" bestFit="1" customWidth="1"/>
    <col min="13" max="13" width="14.85546875" bestFit="1" customWidth="1"/>
    <col min="17" max="17" width="14.85546875" bestFit="1" customWidth="1"/>
    <col min="21" max="21" width="14.85546875" bestFit="1" customWidth="1"/>
  </cols>
  <sheetData>
    <row r="5" spans="1:23" x14ac:dyDescent="0.25">
      <c r="A5" s="230" t="s">
        <v>113</v>
      </c>
      <c r="B5" s="230"/>
      <c r="C5" s="230"/>
      <c r="E5" s="230" t="s">
        <v>271</v>
      </c>
      <c r="F5" s="230"/>
      <c r="G5" s="230"/>
      <c r="I5" s="230" t="s">
        <v>272</v>
      </c>
      <c r="J5" s="230"/>
      <c r="K5" s="230"/>
      <c r="M5" s="230" t="s">
        <v>273</v>
      </c>
      <c r="N5" s="230"/>
      <c r="O5" s="230"/>
      <c r="Q5" s="230" t="s">
        <v>274</v>
      </c>
      <c r="R5" s="230"/>
      <c r="S5" s="230"/>
      <c r="U5" s="230"/>
      <c r="V5" s="230"/>
      <c r="W5" s="230"/>
    </row>
    <row r="6" spans="1:23" x14ac:dyDescent="0.25">
      <c r="A6" s="4" t="s">
        <v>91</v>
      </c>
      <c r="B6" s="4" t="s">
        <v>74</v>
      </c>
      <c r="C6" s="4" t="s">
        <v>90</v>
      </c>
      <c r="E6" s="4" t="s">
        <v>91</v>
      </c>
      <c r="F6" s="4" t="s">
        <v>74</v>
      </c>
      <c r="G6" s="4" t="s">
        <v>90</v>
      </c>
      <c r="I6" s="4" t="s">
        <v>91</v>
      </c>
      <c r="J6" s="4" t="s">
        <v>74</v>
      </c>
      <c r="K6" s="4" t="s">
        <v>90</v>
      </c>
      <c r="M6" s="4" t="s">
        <v>91</v>
      </c>
      <c r="N6" s="4" t="s">
        <v>74</v>
      </c>
      <c r="O6" s="4" t="s">
        <v>90</v>
      </c>
      <c r="Q6" s="4" t="s">
        <v>91</v>
      </c>
      <c r="R6" s="4" t="s">
        <v>74</v>
      </c>
      <c r="S6" s="4" t="s">
        <v>90</v>
      </c>
      <c r="U6" s="4"/>
      <c r="V6" s="4"/>
      <c r="W6" s="4"/>
    </row>
    <row r="7" spans="1:23" x14ac:dyDescent="0.25">
      <c r="A7" s="4">
        <v>1</v>
      </c>
      <c r="B7" s="4">
        <v>2009</v>
      </c>
      <c r="C7" s="74">
        <v>2.7800000000000002</v>
      </c>
      <c r="E7" s="4">
        <v>1</v>
      </c>
      <c r="F7" s="4">
        <v>2010</v>
      </c>
      <c r="G7" s="4">
        <v>5.89</v>
      </c>
      <c r="I7" s="4">
        <v>1</v>
      </c>
      <c r="J7" s="175">
        <v>2010</v>
      </c>
      <c r="K7" s="175">
        <v>6.4</v>
      </c>
      <c r="M7" s="4">
        <v>1</v>
      </c>
      <c r="N7" s="175">
        <v>2010</v>
      </c>
      <c r="O7" s="4">
        <v>3.78</v>
      </c>
      <c r="Q7" s="4">
        <v>1</v>
      </c>
      <c r="R7" s="175">
        <v>2010</v>
      </c>
      <c r="S7" s="4">
        <v>2.41</v>
      </c>
      <c r="U7" s="4"/>
      <c r="V7" s="4"/>
      <c r="W7" s="4"/>
    </row>
    <row r="8" spans="1:23" x14ac:dyDescent="0.25">
      <c r="A8" s="4">
        <v>2</v>
      </c>
      <c r="B8" s="4">
        <v>2010</v>
      </c>
      <c r="C8" s="74">
        <v>2.52</v>
      </c>
      <c r="E8" s="4">
        <v>2</v>
      </c>
      <c r="F8" s="4">
        <v>2011</v>
      </c>
      <c r="G8" s="4">
        <v>4.54</v>
      </c>
      <c r="I8" s="4">
        <v>2</v>
      </c>
      <c r="J8" s="175">
        <v>2011</v>
      </c>
      <c r="K8" s="175">
        <v>3.87</v>
      </c>
      <c r="M8" s="4">
        <v>2</v>
      </c>
      <c r="N8" s="175">
        <v>2011</v>
      </c>
      <c r="O8" s="4">
        <v>1.82</v>
      </c>
      <c r="Q8" s="4">
        <v>2</v>
      </c>
      <c r="R8" s="175">
        <v>2011</v>
      </c>
      <c r="S8" s="4">
        <v>1.98</v>
      </c>
      <c r="U8" s="4"/>
      <c r="V8" s="4"/>
      <c r="W8" s="4"/>
    </row>
    <row r="9" spans="1:23" x14ac:dyDescent="0.25">
      <c r="A9" s="4">
        <v>3</v>
      </c>
      <c r="B9" s="4">
        <v>2011</v>
      </c>
      <c r="C9" s="74">
        <v>2.27</v>
      </c>
      <c r="E9" s="4">
        <v>3</v>
      </c>
      <c r="F9" s="4">
        <v>2012</v>
      </c>
      <c r="G9" s="4">
        <v>5.38</v>
      </c>
      <c r="I9" s="4">
        <v>3</v>
      </c>
      <c r="J9" s="175">
        <v>2012</v>
      </c>
      <c r="K9" s="74">
        <v>4.7</v>
      </c>
      <c r="M9" s="4">
        <v>3</v>
      </c>
      <c r="N9" s="175">
        <v>2012</v>
      </c>
      <c r="O9" s="4">
        <v>3.02</v>
      </c>
      <c r="Q9" s="4">
        <v>3</v>
      </c>
      <c r="R9" s="175">
        <v>2012</v>
      </c>
      <c r="S9" s="4">
        <v>2.91</v>
      </c>
      <c r="U9" s="4"/>
      <c r="V9" s="4"/>
      <c r="W9" s="4"/>
    </row>
    <row r="10" spans="1:23" x14ac:dyDescent="0.25">
      <c r="A10" s="4">
        <v>4</v>
      </c>
      <c r="B10" s="4">
        <v>2012</v>
      </c>
      <c r="C10" s="74">
        <v>3.79</v>
      </c>
      <c r="E10" s="4">
        <v>4</v>
      </c>
      <c r="F10" s="4">
        <v>2013</v>
      </c>
      <c r="G10" s="4">
        <v>7.28</v>
      </c>
      <c r="I10" s="4">
        <v>4</v>
      </c>
      <c r="J10" s="175">
        <v>2013</v>
      </c>
      <c r="K10" s="4">
        <v>6.72</v>
      </c>
      <c r="M10" s="4">
        <v>4</v>
      </c>
      <c r="N10" s="175">
        <v>2013</v>
      </c>
      <c r="O10" s="4">
        <v>4.04</v>
      </c>
      <c r="Q10" s="4">
        <v>4</v>
      </c>
      <c r="R10" s="175">
        <v>2013</v>
      </c>
      <c r="S10" s="4">
        <v>3.04</v>
      </c>
      <c r="U10" s="4"/>
      <c r="V10" s="4"/>
      <c r="W10" s="4"/>
    </row>
    <row r="11" spans="1:23" x14ac:dyDescent="0.25">
      <c r="A11" s="4">
        <v>5</v>
      </c>
      <c r="B11" s="4">
        <v>2013</v>
      </c>
      <c r="C11" s="74">
        <v>2.95</v>
      </c>
      <c r="E11" s="4">
        <v>5</v>
      </c>
      <c r="F11" s="4">
        <v>2014</v>
      </c>
      <c r="G11" s="4">
        <v>7.94</v>
      </c>
      <c r="I11" s="4">
        <v>5</v>
      </c>
      <c r="J11" s="175">
        <v>2014</v>
      </c>
      <c r="K11" s="4">
        <v>7.74</v>
      </c>
      <c r="M11" s="4">
        <v>5</v>
      </c>
      <c r="N11" s="175">
        <v>2014</v>
      </c>
      <c r="O11" s="4">
        <v>4.4400000000000004</v>
      </c>
      <c r="Q11" s="4">
        <v>5</v>
      </c>
      <c r="R11" s="175">
        <v>2014</v>
      </c>
      <c r="S11" s="4">
        <v>3.78</v>
      </c>
      <c r="U11" s="4"/>
      <c r="V11" s="4"/>
      <c r="W11" s="4"/>
    </row>
    <row r="12" spans="1:23" x14ac:dyDescent="0.25">
      <c r="A12" s="4">
        <v>6</v>
      </c>
      <c r="B12" s="4">
        <v>2014</v>
      </c>
      <c r="C12" s="74">
        <v>3.0950000000000002</v>
      </c>
      <c r="E12" s="4">
        <v>6</v>
      </c>
      <c r="F12" s="4">
        <v>2015</v>
      </c>
      <c r="G12" s="4">
        <v>6.29</v>
      </c>
      <c r="I12" s="4">
        <v>6</v>
      </c>
      <c r="J12" s="175">
        <v>2015</v>
      </c>
      <c r="K12" s="4">
        <v>7.29</v>
      </c>
      <c r="M12" s="4">
        <v>6</v>
      </c>
      <c r="N12" s="175">
        <v>2015</v>
      </c>
      <c r="O12" s="4">
        <v>3.64</v>
      </c>
      <c r="Q12" s="4">
        <v>6</v>
      </c>
      <c r="R12" s="175">
        <v>2015</v>
      </c>
      <c r="S12" s="4">
        <v>2.82</v>
      </c>
      <c r="U12" s="4"/>
      <c r="V12" s="4"/>
      <c r="W12" s="4"/>
    </row>
    <row r="13" spans="1:23" x14ac:dyDescent="0.25">
      <c r="A13" s="4">
        <v>7</v>
      </c>
      <c r="B13" s="4">
        <v>2015</v>
      </c>
      <c r="C13" s="74">
        <v>2.4</v>
      </c>
      <c r="E13" s="4">
        <v>7</v>
      </c>
      <c r="F13" s="4">
        <v>2016</v>
      </c>
      <c r="G13" s="4">
        <v>6.57</v>
      </c>
      <c r="I13" s="4">
        <v>7</v>
      </c>
      <c r="J13" s="175">
        <v>2016</v>
      </c>
      <c r="K13" s="4">
        <v>5.82</v>
      </c>
      <c r="M13" s="4">
        <v>7</v>
      </c>
      <c r="N13" s="175">
        <v>2016</v>
      </c>
      <c r="O13" s="4">
        <v>2.4700000000000002</v>
      </c>
      <c r="Q13" s="4">
        <v>7</v>
      </c>
      <c r="R13" s="175">
        <v>2016</v>
      </c>
      <c r="S13" s="4">
        <v>3.27</v>
      </c>
      <c r="U13" s="4"/>
      <c r="V13" s="4"/>
      <c r="W13" s="4"/>
    </row>
    <row r="14" spans="1:23" x14ac:dyDescent="0.25">
      <c r="A14" s="4">
        <v>8</v>
      </c>
      <c r="B14" s="4">
        <v>2016</v>
      </c>
      <c r="C14" s="74">
        <v>4.4799999999999995</v>
      </c>
      <c r="E14" s="4">
        <v>8</v>
      </c>
      <c r="F14" s="4">
        <v>2017</v>
      </c>
      <c r="G14" s="4">
        <v>6.38</v>
      </c>
      <c r="I14" s="4">
        <v>8</v>
      </c>
      <c r="J14" s="175">
        <v>2017</v>
      </c>
      <c r="K14" s="4">
        <v>6.95</v>
      </c>
      <c r="M14" s="4">
        <v>8</v>
      </c>
      <c r="N14" s="175">
        <v>2017</v>
      </c>
      <c r="O14" s="4">
        <v>2.5099999999999998</v>
      </c>
      <c r="Q14" s="4">
        <v>8</v>
      </c>
      <c r="R14" s="175">
        <v>2017</v>
      </c>
      <c r="S14" s="4">
        <v>3.48</v>
      </c>
      <c r="U14" s="4"/>
      <c r="V14" s="4"/>
      <c r="W14" s="4"/>
    </row>
    <row r="15" spans="1:23" x14ac:dyDescent="0.25">
      <c r="A15" s="4">
        <v>9</v>
      </c>
      <c r="B15" s="4">
        <v>2017</v>
      </c>
      <c r="C15" s="74">
        <v>2.17</v>
      </c>
      <c r="E15" s="4">
        <v>9</v>
      </c>
      <c r="F15" s="4">
        <v>2018</v>
      </c>
      <c r="G15" s="4">
        <v>5.38</v>
      </c>
      <c r="I15" s="4">
        <v>9</v>
      </c>
      <c r="J15" s="175">
        <v>2018</v>
      </c>
      <c r="K15" s="4">
        <v>5.34</v>
      </c>
      <c r="M15" s="4">
        <v>9</v>
      </c>
      <c r="N15" s="175">
        <v>2018</v>
      </c>
      <c r="O15" s="4">
        <v>2.57</v>
      </c>
      <c r="Q15" s="4">
        <v>9</v>
      </c>
      <c r="R15" s="175">
        <v>2018</v>
      </c>
      <c r="S15" s="4">
        <v>2.19</v>
      </c>
      <c r="U15" s="4"/>
      <c r="V15" s="4"/>
      <c r="W15" s="4"/>
    </row>
    <row r="16" spans="1:23" x14ac:dyDescent="0.25">
      <c r="A16" s="4">
        <v>10</v>
      </c>
      <c r="B16" s="4">
        <v>2018</v>
      </c>
      <c r="C16" s="74">
        <v>3.0100000000000002</v>
      </c>
      <c r="E16" s="4">
        <v>10</v>
      </c>
      <c r="F16" s="4">
        <v>2019</v>
      </c>
      <c r="G16" s="4">
        <v>6.21</v>
      </c>
      <c r="I16" s="4">
        <v>10</v>
      </c>
      <c r="J16" s="175">
        <v>2019</v>
      </c>
      <c r="K16" s="4">
        <v>6.34</v>
      </c>
      <c r="M16" s="4">
        <v>10</v>
      </c>
      <c r="N16" s="175">
        <v>2019</v>
      </c>
      <c r="O16" s="4">
        <v>2.31</v>
      </c>
      <c r="Q16" s="4">
        <v>10</v>
      </c>
      <c r="R16" s="175">
        <v>2019</v>
      </c>
      <c r="S16" s="4">
        <v>3.53</v>
      </c>
      <c r="U16" s="4"/>
      <c r="V16" s="4"/>
      <c r="W16" s="4"/>
    </row>
    <row r="17" spans="1:23" x14ac:dyDescent="0.25">
      <c r="C17" s="184">
        <f>_xlfn.STDEV.P(C7:C16)/AVERAGE(C7:C16)</f>
        <v>0.23163174288024402</v>
      </c>
      <c r="G17" s="184">
        <f>_xlfn.STDEV.P(G7:G16)/AVERAGE(G7:G16)</f>
        <v>0.14961672129034928</v>
      </c>
      <c r="K17" s="184">
        <f>_xlfn.STDEV.P(K7:K16)/AVERAGE(K7:K16)</f>
        <v>0.18600852255169334</v>
      </c>
      <c r="O17" s="184">
        <f>_xlfn.STDEV.P(O7:O16)/AVERAGE(O7:O16)</f>
        <v>0.26773462938907272</v>
      </c>
      <c r="S17" s="184">
        <f>_xlfn.STDEV.P(S7:S16)/AVERAGE(S7:S16)</f>
        <v>0.19367706514099334</v>
      </c>
    </row>
    <row r="20" spans="1:23" x14ac:dyDescent="0.25">
      <c r="A20" s="230" t="s">
        <v>275</v>
      </c>
      <c r="B20" s="230"/>
      <c r="C20" s="230"/>
      <c r="D20" s="4"/>
      <c r="E20" s="230" t="s">
        <v>92</v>
      </c>
      <c r="F20" s="230"/>
      <c r="G20" s="230"/>
      <c r="H20" s="4"/>
      <c r="I20" s="230" t="s">
        <v>92</v>
      </c>
      <c r="J20" s="230"/>
      <c r="K20" s="230"/>
      <c r="L20" s="4"/>
      <c r="M20" s="230" t="s">
        <v>92</v>
      </c>
      <c r="N20" s="230"/>
      <c r="O20" s="230"/>
      <c r="P20" s="4"/>
      <c r="Q20" s="230" t="s">
        <v>92</v>
      </c>
      <c r="R20" s="230"/>
      <c r="S20" s="230"/>
      <c r="T20" s="4"/>
      <c r="U20" s="230"/>
      <c r="V20" s="230"/>
      <c r="W20" s="230"/>
    </row>
    <row r="21" spans="1:23" x14ac:dyDescent="0.25">
      <c r="A21" s="4" t="s">
        <v>91</v>
      </c>
      <c r="B21" s="4" t="s">
        <v>74</v>
      </c>
      <c r="C21" s="4" t="s">
        <v>90</v>
      </c>
      <c r="D21" s="4"/>
      <c r="E21" s="4" t="s">
        <v>91</v>
      </c>
      <c r="F21" s="4" t="s">
        <v>74</v>
      </c>
      <c r="G21" s="4" t="s">
        <v>90</v>
      </c>
      <c r="H21" s="4"/>
      <c r="I21" s="4" t="s">
        <v>91</v>
      </c>
      <c r="J21" s="4" t="s">
        <v>74</v>
      </c>
      <c r="K21" s="4" t="s">
        <v>90</v>
      </c>
      <c r="L21" s="4"/>
      <c r="M21" s="4" t="s">
        <v>91</v>
      </c>
      <c r="N21" s="4" t="s">
        <v>74</v>
      </c>
      <c r="O21" s="4" t="s">
        <v>90</v>
      </c>
      <c r="P21" s="4"/>
      <c r="Q21" s="4" t="s">
        <v>91</v>
      </c>
      <c r="R21" s="4" t="s">
        <v>74</v>
      </c>
      <c r="S21" s="4" t="s">
        <v>90</v>
      </c>
      <c r="T21" s="4"/>
      <c r="U21" s="4"/>
      <c r="V21" s="4"/>
      <c r="W21" s="4"/>
    </row>
    <row r="22" spans="1:23" x14ac:dyDescent="0.25">
      <c r="A22" s="4">
        <v>1</v>
      </c>
      <c r="B22" s="4"/>
      <c r="C22" s="4"/>
      <c r="D22" s="4"/>
      <c r="E22" s="4">
        <v>1</v>
      </c>
      <c r="F22" s="4"/>
      <c r="G22" s="4"/>
      <c r="H22" s="4"/>
      <c r="I22" s="4">
        <v>1</v>
      </c>
      <c r="J22" s="4"/>
      <c r="K22" s="4"/>
      <c r="L22" s="4"/>
      <c r="M22" s="4">
        <v>1</v>
      </c>
      <c r="N22" s="4"/>
      <c r="O22" s="4"/>
      <c r="P22" s="4"/>
      <c r="Q22" s="4">
        <v>1</v>
      </c>
      <c r="R22" s="4"/>
      <c r="S22" s="4"/>
      <c r="T22" s="4"/>
      <c r="U22" s="4"/>
      <c r="V22" s="4"/>
      <c r="W22" s="4"/>
    </row>
    <row r="23" spans="1:23" x14ac:dyDescent="0.25">
      <c r="A23" s="4">
        <v>2</v>
      </c>
      <c r="B23" s="4"/>
      <c r="C23" s="4"/>
      <c r="D23" s="4"/>
      <c r="E23" s="4">
        <v>2</v>
      </c>
      <c r="F23" s="4"/>
      <c r="G23" s="4"/>
      <c r="H23" s="4"/>
      <c r="I23" s="4">
        <v>2</v>
      </c>
      <c r="J23" s="4"/>
      <c r="K23" s="4"/>
      <c r="L23" s="4"/>
      <c r="M23" s="4">
        <v>2</v>
      </c>
      <c r="N23" s="4"/>
      <c r="O23" s="4"/>
      <c r="P23" s="4"/>
      <c r="Q23" s="4">
        <v>2</v>
      </c>
      <c r="R23" s="4"/>
      <c r="S23" s="4"/>
      <c r="T23" s="4"/>
      <c r="U23" s="4"/>
      <c r="V23" s="4"/>
      <c r="W23" s="4"/>
    </row>
    <row r="24" spans="1:23" x14ac:dyDescent="0.25">
      <c r="A24" s="4">
        <v>3</v>
      </c>
      <c r="B24" s="4"/>
      <c r="C24" s="4"/>
      <c r="D24" s="4"/>
      <c r="E24" s="4">
        <v>3</v>
      </c>
      <c r="F24" s="4"/>
      <c r="G24" s="4"/>
      <c r="H24" s="4"/>
      <c r="I24" s="4">
        <v>3</v>
      </c>
      <c r="J24" s="4"/>
      <c r="K24" s="4"/>
      <c r="L24" s="4"/>
      <c r="M24" s="4">
        <v>3</v>
      </c>
      <c r="N24" s="4"/>
      <c r="O24" s="4"/>
      <c r="P24" s="4"/>
      <c r="Q24" s="4">
        <v>3</v>
      </c>
      <c r="R24" s="4"/>
      <c r="S24" s="4"/>
      <c r="T24" s="4"/>
      <c r="U24" s="4"/>
      <c r="V24" s="4"/>
      <c r="W24" s="4"/>
    </row>
    <row r="25" spans="1:23" x14ac:dyDescent="0.25">
      <c r="A25" s="4">
        <v>4</v>
      </c>
      <c r="B25" s="4"/>
      <c r="C25" s="4"/>
      <c r="D25" s="4"/>
      <c r="E25" s="4">
        <v>4</v>
      </c>
      <c r="F25" s="4"/>
      <c r="G25" s="4"/>
      <c r="H25" s="4"/>
      <c r="I25" s="4">
        <v>4</v>
      </c>
      <c r="J25" s="4"/>
      <c r="K25" s="4"/>
      <c r="L25" s="4"/>
      <c r="M25" s="4">
        <v>4</v>
      </c>
      <c r="N25" s="4"/>
      <c r="O25" s="4"/>
      <c r="P25" s="4"/>
      <c r="Q25" s="4">
        <v>4</v>
      </c>
      <c r="R25" s="4"/>
      <c r="S25" s="4"/>
      <c r="T25" s="4"/>
      <c r="U25" s="4"/>
      <c r="V25" s="4"/>
      <c r="W25" s="4"/>
    </row>
    <row r="26" spans="1:23" x14ac:dyDescent="0.25">
      <c r="A26" s="4">
        <v>5</v>
      </c>
      <c r="B26" s="175">
        <v>2014</v>
      </c>
      <c r="C26" s="175">
        <v>2.87</v>
      </c>
      <c r="D26" s="4"/>
      <c r="E26" s="4">
        <v>5</v>
      </c>
      <c r="F26" s="4"/>
      <c r="G26" s="4"/>
      <c r="H26" s="4"/>
      <c r="I26" s="4">
        <v>5</v>
      </c>
      <c r="J26" s="4"/>
      <c r="K26" s="4"/>
      <c r="L26" s="4"/>
      <c r="M26" s="4">
        <v>5</v>
      </c>
      <c r="N26" s="4"/>
      <c r="O26" s="4"/>
      <c r="P26" s="4"/>
      <c r="Q26" s="4">
        <v>5</v>
      </c>
      <c r="R26" s="4"/>
      <c r="S26" s="4"/>
      <c r="T26" s="4"/>
      <c r="U26" s="4"/>
      <c r="V26" s="4"/>
      <c r="W26" s="4"/>
    </row>
    <row r="27" spans="1:23" x14ac:dyDescent="0.25">
      <c r="A27" s="4">
        <v>6</v>
      </c>
      <c r="B27" s="175">
        <v>2015</v>
      </c>
      <c r="C27" s="74">
        <v>1.3</v>
      </c>
      <c r="D27" s="4"/>
      <c r="E27" s="4">
        <v>6</v>
      </c>
      <c r="F27" s="4"/>
      <c r="G27" s="4"/>
      <c r="H27" s="4"/>
      <c r="I27" s="4">
        <v>6</v>
      </c>
      <c r="J27" s="4"/>
      <c r="K27" s="4"/>
      <c r="L27" s="4"/>
      <c r="M27" s="4">
        <v>6</v>
      </c>
      <c r="N27" s="4"/>
      <c r="O27" s="4"/>
      <c r="P27" s="4"/>
      <c r="Q27" s="4">
        <v>6</v>
      </c>
      <c r="R27" s="4"/>
      <c r="S27" s="4"/>
      <c r="T27" s="4"/>
      <c r="U27" s="4"/>
      <c r="V27" s="4"/>
      <c r="W27" s="4"/>
    </row>
    <row r="28" spans="1:23" x14ac:dyDescent="0.25">
      <c r="A28" s="4">
        <v>7</v>
      </c>
      <c r="B28" s="175">
        <v>2016</v>
      </c>
      <c r="C28" s="183">
        <v>3.35</v>
      </c>
      <c r="D28" s="4"/>
      <c r="E28" s="4">
        <v>7</v>
      </c>
      <c r="F28" s="4"/>
      <c r="G28" s="4"/>
      <c r="H28" s="4"/>
      <c r="I28" s="4">
        <v>7</v>
      </c>
      <c r="J28" s="4"/>
      <c r="K28" s="4"/>
      <c r="L28" s="4"/>
      <c r="M28" s="4">
        <v>7</v>
      </c>
      <c r="N28" s="4"/>
      <c r="O28" s="4"/>
      <c r="P28" s="4"/>
      <c r="Q28" s="4">
        <v>7</v>
      </c>
      <c r="R28" s="4"/>
      <c r="S28" s="4"/>
      <c r="T28" s="4"/>
      <c r="U28" s="4"/>
      <c r="V28" s="4"/>
      <c r="W28" s="4"/>
    </row>
    <row r="29" spans="1:23" x14ac:dyDescent="0.25">
      <c r="A29" s="4">
        <v>8</v>
      </c>
      <c r="B29" s="175">
        <v>2017</v>
      </c>
      <c r="C29" s="183">
        <v>3.44</v>
      </c>
      <c r="D29" s="4"/>
      <c r="E29" s="4">
        <v>8</v>
      </c>
      <c r="F29" s="4"/>
      <c r="G29" s="4"/>
      <c r="H29" s="4"/>
      <c r="I29" s="4">
        <v>8</v>
      </c>
      <c r="J29" s="4"/>
      <c r="K29" s="4"/>
      <c r="L29" s="4"/>
      <c r="M29" s="4">
        <v>8</v>
      </c>
      <c r="N29" s="4"/>
      <c r="O29" s="4"/>
      <c r="P29" s="4"/>
      <c r="Q29" s="4">
        <v>8</v>
      </c>
      <c r="R29" s="4"/>
      <c r="S29" s="4"/>
      <c r="T29" s="4"/>
      <c r="U29" s="4"/>
      <c r="V29" s="4"/>
      <c r="W29" s="4"/>
    </row>
    <row r="30" spans="1:23" x14ac:dyDescent="0.25">
      <c r="A30" s="4">
        <v>9</v>
      </c>
      <c r="B30" s="175">
        <v>2018</v>
      </c>
      <c r="C30" s="183">
        <v>1.35</v>
      </c>
      <c r="D30" s="4"/>
      <c r="E30" s="4">
        <v>9</v>
      </c>
      <c r="F30" s="4"/>
      <c r="G30" s="4"/>
      <c r="H30" s="4"/>
      <c r="I30" s="4">
        <v>9</v>
      </c>
      <c r="J30" s="4"/>
      <c r="K30" s="4"/>
      <c r="L30" s="4"/>
      <c r="M30" s="4">
        <v>9</v>
      </c>
      <c r="N30" s="4"/>
      <c r="O30" s="4"/>
      <c r="P30" s="4"/>
      <c r="Q30" s="4">
        <v>9</v>
      </c>
      <c r="R30" s="4"/>
      <c r="S30" s="4"/>
      <c r="T30" s="4"/>
      <c r="U30" s="4"/>
      <c r="V30" s="4"/>
      <c r="W30" s="4"/>
    </row>
    <row r="31" spans="1:23" x14ac:dyDescent="0.25">
      <c r="A31" s="4">
        <v>10</v>
      </c>
      <c r="B31" s="175">
        <v>2019</v>
      </c>
      <c r="C31" s="183">
        <v>2.54</v>
      </c>
      <c r="D31" s="4"/>
      <c r="E31" s="4">
        <v>10</v>
      </c>
      <c r="F31" s="4"/>
      <c r="G31" s="4"/>
      <c r="H31" s="4"/>
      <c r="I31" s="4">
        <v>10</v>
      </c>
      <c r="J31" s="4"/>
      <c r="K31" s="4"/>
      <c r="L31" s="4"/>
      <c r="M31" s="4">
        <v>10</v>
      </c>
      <c r="N31" s="4"/>
      <c r="O31" s="4"/>
      <c r="P31" s="4"/>
      <c r="Q31" s="4">
        <v>10</v>
      </c>
      <c r="R31" s="4"/>
      <c r="S31" s="4"/>
      <c r="T31" s="4"/>
      <c r="U31" s="4"/>
      <c r="V31" s="4"/>
      <c r="W31" s="4"/>
    </row>
    <row r="32" spans="1:23" x14ac:dyDescent="0.25">
      <c r="C32" s="184">
        <f>_xlfn.STDEV.P(C26:C31)/AVERAGE(C26:C31)</f>
        <v>0.35003947382360201</v>
      </c>
    </row>
    <row r="35" spans="1:23" x14ac:dyDescent="0.25">
      <c r="A35" s="230"/>
      <c r="B35" s="230"/>
      <c r="C35" s="230"/>
      <c r="D35" s="4"/>
      <c r="E35" s="229" t="s">
        <v>441</v>
      </c>
      <c r="F35" s="229"/>
      <c r="G35" s="229"/>
      <c r="H35" s="4"/>
      <c r="I35" s="230"/>
      <c r="J35" s="230"/>
      <c r="K35" s="230"/>
      <c r="L35" s="4"/>
      <c r="M35" s="230"/>
      <c r="N35" s="230"/>
      <c r="O35" s="230"/>
      <c r="P35" s="4"/>
      <c r="Q35" s="230"/>
      <c r="R35" s="230"/>
      <c r="S35" s="230"/>
      <c r="T35" s="4"/>
      <c r="U35" s="230"/>
      <c r="V35" s="230"/>
      <c r="W35" s="230"/>
    </row>
    <row r="36" spans="1:23" x14ac:dyDescent="0.25">
      <c r="A36" s="4"/>
      <c r="B36" s="4"/>
      <c r="C36" s="4"/>
      <c r="D36" s="4"/>
      <c r="E36" s="175"/>
      <c r="F36" s="175"/>
      <c r="G36" s="175" t="s">
        <v>289</v>
      </c>
      <c r="H36" s="175" t="s">
        <v>290</v>
      </c>
      <c r="I36" s="175" t="s">
        <v>291</v>
      </c>
      <c r="J36" s="175" t="s">
        <v>292</v>
      </c>
      <c r="K36" s="175" t="s">
        <v>293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/>
      <c r="B37" s="4"/>
      <c r="C37" s="4"/>
      <c r="D37" s="4"/>
      <c r="E37" s="175" t="s">
        <v>298</v>
      </c>
      <c r="G37" s="175" t="s">
        <v>299</v>
      </c>
      <c r="H37" s="175" t="s">
        <v>300</v>
      </c>
      <c r="I37" s="175" t="s">
        <v>301</v>
      </c>
      <c r="J37" s="175"/>
      <c r="K37" s="175"/>
      <c r="L37" s="185">
        <f>AVERAGE(G17,K17,O17)</f>
        <v>0.20111995774370514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/>
      <c r="B38" s="4"/>
      <c r="C38" s="4"/>
      <c r="D38" s="4"/>
      <c r="E38" s="175" t="s">
        <v>302</v>
      </c>
      <c r="G38" s="175" t="s">
        <v>299</v>
      </c>
      <c r="H38" s="175" t="s">
        <v>303</v>
      </c>
      <c r="I38" s="175" t="s">
        <v>299</v>
      </c>
      <c r="J38" s="175" t="s">
        <v>300</v>
      </c>
      <c r="K38" s="175" t="s">
        <v>301</v>
      </c>
      <c r="L38" s="185">
        <f>AVERAGE(G17,K17,O17,G17,S17)</f>
        <v>0.18933073193249161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/>
      <c r="B39" s="4"/>
      <c r="C39" s="4"/>
      <c r="D39" s="4"/>
      <c r="E39" s="175" t="s">
        <v>304</v>
      </c>
      <c r="G39" s="175" t="s">
        <v>299</v>
      </c>
      <c r="H39" s="175" t="s">
        <v>305</v>
      </c>
      <c r="I39" s="175" t="s">
        <v>299</v>
      </c>
      <c r="J39" s="175" t="s">
        <v>300</v>
      </c>
      <c r="K39" s="175" t="s">
        <v>301</v>
      </c>
      <c r="L39" s="185">
        <f>AVERAGE(G17,K17,O17,G17,C32)</f>
        <v>0.22060321366901334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50" spans="1:23" x14ac:dyDescent="0.25">
      <c r="A50" s="230"/>
      <c r="B50" s="230"/>
      <c r="C50" s="230"/>
      <c r="D50" s="4"/>
      <c r="E50" s="230"/>
      <c r="F50" s="230"/>
      <c r="G50" s="230"/>
      <c r="H50" s="4"/>
      <c r="I50" s="230"/>
      <c r="J50" s="230"/>
      <c r="K50" s="230"/>
      <c r="L50" s="4"/>
      <c r="M50" s="230"/>
      <c r="N50" s="230"/>
      <c r="O50" s="230"/>
      <c r="P50" s="4"/>
      <c r="Q50" s="230"/>
      <c r="R50" s="230"/>
      <c r="S50" s="230"/>
      <c r="T50" s="4"/>
      <c r="U50" s="230"/>
      <c r="V50" s="230"/>
      <c r="W50" s="230"/>
    </row>
    <row r="51" spans="1:2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</sheetData>
  <mergeCells count="24">
    <mergeCell ref="U35:W35"/>
    <mergeCell ref="A50:C50"/>
    <mergeCell ref="E50:G50"/>
    <mergeCell ref="I50:K50"/>
    <mergeCell ref="M50:O50"/>
    <mergeCell ref="Q50:S50"/>
    <mergeCell ref="U50:W50"/>
    <mergeCell ref="A35:C35"/>
    <mergeCell ref="E35:G35"/>
    <mergeCell ref="I35:K35"/>
    <mergeCell ref="M35:O35"/>
    <mergeCell ref="Q35:S35"/>
    <mergeCell ref="U5:W5"/>
    <mergeCell ref="A20:C20"/>
    <mergeCell ref="E20:G20"/>
    <mergeCell ref="I20:K20"/>
    <mergeCell ref="M20:O20"/>
    <mergeCell ref="Q20:S20"/>
    <mergeCell ref="U20:W20"/>
    <mergeCell ref="A5:C5"/>
    <mergeCell ref="E5:G5"/>
    <mergeCell ref="I5:K5"/>
    <mergeCell ref="M5:O5"/>
    <mergeCell ref="Q5:S5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P27" sqref="P27"/>
    </sheetView>
  </sheetViews>
  <sheetFormatPr baseColWidth="10" defaultColWidth="11.42578125" defaultRowHeight="15" x14ac:dyDescent="0.25"/>
  <cols>
    <col min="1" max="1" width="35.85546875" style="175" bestFit="1" customWidth="1"/>
    <col min="2" max="16384" width="11.42578125" style="175"/>
  </cols>
  <sheetData>
    <row r="1" spans="1:23" x14ac:dyDescent="0.25">
      <c r="B1" s="175" t="s">
        <v>289</v>
      </c>
      <c r="C1" s="175" t="s">
        <v>290</v>
      </c>
      <c r="D1" s="175" t="s">
        <v>291</v>
      </c>
      <c r="E1" s="175" t="s">
        <v>292</v>
      </c>
      <c r="F1" s="175" t="s">
        <v>293</v>
      </c>
    </row>
    <row r="2" spans="1:23" x14ac:dyDescent="0.25">
      <c r="A2" s="175" t="s">
        <v>294</v>
      </c>
      <c r="B2" s="175" t="s">
        <v>299</v>
      </c>
      <c r="C2" s="175" t="s">
        <v>300</v>
      </c>
      <c r="D2" s="175" t="s">
        <v>301</v>
      </c>
    </row>
    <row r="3" spans="1:23" x14ac:dyDescent="0.25">
      <c r="A3" s="175" t="s">
        <v>297</v>
      </c>
      <c r="B3" s="175" t="s">
        <v>299</v>
      </c>
      <c r="C3" s="175" t="s">
        <v>303</v>
      </c>
      <c r="D3" s="175" t="s">
        <v>299</v>
      </c>
      <c r="E3" s="175" t="s">
        <v>300</v>
      </c>
      <c r="F3" s="175" t="s">
        <v>301</v>
      </c>
    </row>
    <row r="4" spans="1:23" x14ac:dyDescent="0.25">
      <c r="A4" s="175" t="s">
        <v>329</v>
      </c>
      <c r="B4" s="175" t="s">
        <v>299</v>
      </c>
      <c r="C4" s="175" t="s">
        <v>305</v>
      </c>
      <c r="D4" s="175" t="s">
        <v>299</v>
      </c>
      <c r="E4" s="175" t="s">
        <v>300</v>
      </c>
      <c r="F4" s="175" t="s">
        <v>301</v>
      </c>
    </row>
    <row r="7" spans="1:23" x14ac:dyDescent="0.25">
      <c r="B7" s="175" t="s">
        <v>299</v>
      </c>
      <c r="C7" s="175" t="s">
        <v>300</v>
      </c>
      <c r="D7" s="175" t="s">
        <v>301</v>
      </c>
      <c r="I7" s="175" t="s">
        <v>299</v>
      </c>
      <c r="J7" s="175" t="s">
        <v>303</v>
      </c>
      <c r="K7" s="175" t="s">
        <v>299</v>
      </c>
      <c r="L7" s="175" t="s">
        <v>300</v>
      </c>
      <c r="M7" s="175" t="s">
        <v>301</v>
      </c>
      <c r="P7" s="175" t="s">
        <v>299</v>
      </c>
      <c r="Q7" s="175" t="s">
        <v>305</v>
      </c>
      <c r="R7" s="175" t="s">
        <v>299</v>
      </c>
      <c r="S7" s="175" t="s">
        <v>300</v>
      </c>
      <c r="T7" s="175" t="s">
        <v>301</v>
      </c>
    </row>
    <row r="8" spans="1:23" x14ac:dyDescent="0.25">
      <c r="A8" s="175" t="s">
        <v>436</v>
      </c>
      <c r="B8" s="193">
        <v>6.8</v>
      </c>
      <c r="C8" s="193">
        <v>5.6</v>
      </c>
      <c r="D8" s="193">
        <v>3.6</v>
      </c>
      <c r="F8" s="217"/>
      <c r="I8" s="193">
        <v>6.8</v>
      </c>
      <c r="J8" s="193">
        <v>3</v>
      </c>
      <c r="K8" s="193">
        <v>6.8</v>
      </c>
      <c r="L8" s="193">
        <v>5.6</v>
      </c>
      <c r="M8" s="193">
        <v>3.6</v>
      </c>
      <c r="P8" s="193">
        <v>6.8</v>
      </c>
      <c r="Q8" s="193">
        <v>2.7</v>
      </c>
      <c r="R8" s="193">
        <v>6.8</v>
      </c>
      <c r="S8" s="193">
        <v>5.6</v>
      </c>
      <c r="T8" s="193">
        <v>3.6</v>
      </c>
    </row>
    <row r="9" spans="1:23" x14ac:dyDescent="0.25">
      <c r="A9" s="175" t="s">
        <v>443</v>
      </c>
      <c r="B9" s="175">
        <v>159</v>
      </c>
      <c r="C9" s="175">
        <v>139.5</v>
      </c>
      <c r="D9" s="175">
        <v>360</v>
      </c>
      <c r="I9" s="175">
        <v>159</v>
      </c>
      <c r="J9" s="175">
        <v>193</v>
      </c>
      <c r="K9" s="175">
        <v>159</v>
      </c>
      <c r="L9" s="175">
        <v>139.5</v>
      </c>
      <c r="M9" s="175">
        <v>360</v>
      </c>
      <c r="P9" s="175">
        <v>159</v>
      </c>
      <c r="Q9" s="175">
        <v>359.2</v>
      </c>
      <c r="R9" s="175">
        <v>159</v>
      </c>
      <c r="S9" s="175">
        <v>139.5</v>
      </c>
      <c r="T9" s="175">
        <v>360</v>
      </c>
    </row>
    <row r="10" spans="1:23" x14ac:dyDescent="0.25">
      <c r="A10" s="175" t="s">
        <v>444</v>
      </c>
      <c r="B10" s="175">
        <f>B8*B9</f>
        <v>1081.2</v>
      </c>
      <c r="C10" s="175">
        <f t="shared" ref="C10:D10" si="0">C8*C9</f>
        <v>781.19999999999993</v>
      </c>
      <c r="D10" s="175">
        <f t="shared" si="0"/>
        <v>1296</v>
      </c>
      <c r="I10" s="175">
        <f>I8*I9</f>
        <v>1081.2</v>
      </c>
      <c r="J10" s="175">
        <f t="shared" ref="J10:M10" si="1">J8*J9</f>
        <v>579</v>
      </c>
      <c r="K10" s="175">
        <f t="shared" si="1"/>
        <v>1081.2</v>
      </c>
      <c r="L10" s="175">
        <f>L8*L9</f>
        <v>781.19999999999993</v>
      </c>
      <c r="M10" s="175">
        <f t="shared" si="1"/>
        <v>1296</v>
      </c>
      <c r="P10" s="175">
        <f>P8*P9</f>
        <v>1081.2</v>
      </c>
      <c r="Q10" s="175">
        <f t="shared" ref="Q10:T10" si="2">Q8*Q9</f>
        <v>969.84</v>
      </c>
      <c r="R10" s="175">
        <f t="shared" si="2"/>
        <v>1081.2</v>
      </c>
      <c r="S10" s="175">
        <f t="shared" si="2"/>
        <v>781.19999999999993</v>
      </c>
      <c r="T10" s="175">
        <f t="shared" si="2"/>
        <v>1296</v>
      </c>
    </row>
    <row r="11" spans="1:23" x14ac:dyDescent="0.25">
      <c r="A11" s="205" t="s">
        <v>442</v>
      </c>
    </row>
    <row r="12" spans="1:23" x14ac:dyDescent="0.25">
      <c r="A12" s="175" t="s">
        <v>445</v>
      </c>
      <c r="B12" s="194">
        <v>608</v>
      </c>
      <c r="C12" s="194">
        <v>506</v>
      </c>
      <c r="D12" s="194">
        <v>699</v>
      </c>
      <c r="I12" s="194">
        <v>608</v>
      </c>
      <c r="J12" s="194">
        <v>458</v>
      </c>
      <c r="K12" s="194">
        <v>608</v>
      </c>
      <c r="L12" s="194">
        <v>506</v>
      </c>
      <c r="M12" s="194">
        <v>699</v>
      </c>
      <c r="P12" s="194">
        <v>608</v>
      </c>
      <c r="Q12" s="195">
        <v>661</v>
      </c>
      <c r="R12" s="194">
        <v>578</v>
      </c>
      <c r="S12" s="194">
        <v>506</v>
      </c>
      <c r="T12" s="194">
        <v>699</v>
      </c>
    </row>
    <row r="13" spans="1:23" x14ac:dyDescent="0.25">
      <c r="A13" s="175" t="s">
        <v>446</v>
      </c>
      <c r="B13" s="175">
        <f>B10-B12</f>
        <v>473.20000000000005</v>
      </c>
      <c r="C13" s="175">
        <f t="shared" ref="C13:D13" si="3">C10-C12</f>
        <v>275.19999999999993</v>
      </c>
      <c r="D13" s="175">
        <f t="shared" si="3"/>
        <v>597</v>
      </c>
      <c r="I13" s="175">
        <f>I10-I12</f>
        <v>473.20000000000005</v>
      </c>
      <c r="J13" s="175">
        <f t="shared" ref="J13:M13" si="4">J10-J12</f>
        <v>121</v>
      </c>
      <c r="K13" s="175">
        <f t="shared" si="4"/>
        <v>473.20000000000005</v>
      </c>
      <c r="L13" s="175">
        <f t="shared" si="4"/>
        <v>275.19999999999993</v>
      </c>
      <c r="M13" s="175">
        <f t="shared" si="4"/>
        <v>597</v>
      </c>
      <c r="P13" s="175">
        <f>P10-P12</f>
        <v>473.20000000000005</v>
      </c>
      <c r="Q13" s="175">
        <f t="shared" ref="Q13:T13" si="5">Q10-Q12</f>
        <v>308.84000000000003</v>
      </c>
      <c r="R13" s="175">
        <f t="shared" si="5"/>
        <v>503.20000000000005</v>
      </c>
      <c r="S13" s="175">
        <f t="shared" si="5"/>
        <v>275.19999999999993</v>
      </c>
      <c r="T13" s="175">
        <f t="shared" si="5"/>
        <v>597</v>
      </c>
    </row>
    <row r="15" spans="1:23" x14ac:dyDescent="0.25">
      <c r="A15" s="175" t="s">
        <v>447</v>
      </c>
      <c r="B15" s="186">
        <f>AVERAGE(B13:D13)</f>
        <v>448.4666666666667</v>
      </c>
      <c r="I15" s="175">
        <f>AVERAGE(I13:M13)</f>
        <v>387.91999999999996</v>
      </c>
      <c r="J15" s="186"/>
      <c r="P15" s="175">
        <f>AVERAGE(P13:T13)</f>
        <v>431.488</v>
      </c>
      <c r="Q15" s="186"/>
      <c r="W15" s="186"/>
    </row>
    <row r="17" spans="1:23" x14ac:dyDescent="0.25">
      <c r="A17" s="175" t="s">
        <v>448</v>
      </c>
      <c r="J17" s="175">
        <f>J8*B28</f>
        <v>767.40000000000009</v>
      </c>
    </row>
    <row r="18" spans="1:23" x14ac:dyDescent="0.25">
      <c r="A18" s="175" t="s">
        <v>449</v>
      </c>
      <c r="B18" s="186"/>
      <c r="I18" s="175">
        <f>AVERAGE(I13,K13,J17,L13,M13)</f>
        <v>517.20000000000005</v>
      </c>
      <c r="J18" s="186"/>
      <c r="R18" s="186"/>
      <c r="W18" s="186"/>
    </row>
    <row r="19" spans="1:23" x14ac:dyDescent="0.25">
      <c r="B19" s="186"/>
      <c r="J19" s="186"/>
      <c r="R19" s="186"/>
      <c r="W19" s="186"/>
    </row>
    <row r="21" spans="1:23" x14ac:dyDescent="0.25">
      <c r="A21" s="175" t="s">
        <v>450</v>
      </c>
    </row>
    <row r="23" spans="1:23" x14ac:dyDescent="0.25">
      <c r="A23" s="175" t="s">
        <v>454</v>
      </c>
    </row>
    <row r="24" spans="1:23" x14ac:dyDescent="0.25">
      <c r="A24" s="175" t="s">
        <v>306</v>
      </c>
      <c r="B24" s="175">
        <v>355.3</v>
      </c>
    </row>
    <row r="25" spans="1:23" x14ac:dyDescent="0.25">
      <c r="A25" s="175" t="s">
        <v>307</v>
      </c>
      <c r="B25" s="196">
        <v>166.6</v>
      </c>
    </row>
    <row r="26" spans="1:23" x14ac:dyDescent="0.25">
      <c r="B26" s="196"/>
    </row>
    <row r="27" spans="1:23" x14ac:dyDescent="0.25">
      <c r="A27" s="175" t="s">
        <v>497</v>
      </c>
    </row>
    <row r="28" spans="1:23" x14ac:dyDescent="0.25">
      <c r="A28" s="175" t="s">
        <v>125</v>
      </c>
      <c r="B28" s="175">
        <v>255.8</v>
      </c>
    </row>
    <row r="29" spans="1:23" x14ac:dyDescent="0.25">
      <c r="A29" s="175" t="s">
        <v>308</v>
      </c>
      <c r="B29" s="175">
        <v>257.5</v>
      </c>
    </row>
    <row r="33" spans="1:1" x14ac:dyDescent="0.25">
      <c r="A33" s="175" t="s">
        <v>453</v>
      </c>
    </row>
    <row r="34" spans="1:1" x14ac:dyDescent="0.25">
      <c r="A34" s="175" t="s">
        <v>451</v>
      </c>
    </row>
    <row r="35" spans="1:1" x14ac:dyDescent="0.25">
      <c r="A35" s="175" t="s">
        <v>452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M33" sqref="M33"/>
    </sheetView>
  </sheetViews>
  <sheetFormatPr baseColWidth="10" defaultColWidth="11.42578125" defaultRowHeight="15" x14ac:dyDescent="0.25"/>
  <cols>
    <col min="1" max="1" width="23" style="175" bestFit="1" customWidth="1"/>
    <col min="2" max="7" width="11.42578125" style="175"/>
    <col min="8" max="8" width="23" style="175" bestFit="1" customWidth="1"/>
    <col min="9" max="14" width="11.42578125" style="175"/>
    <col min="15" max="15" width="23" style="175" bestFit="1" customWidth="1"/>
    <col min="16" max="16384" width="11.42578125" style="175"/>
  </cols>
  <sheetData>
    <row r="1" spans="1:20" x14ac:dyDescent="0.25">
      <c r="B1" s="175" t="s">
        <v>289</v>
      </c>
      <c r="C1" s="175" t="s">
        <v>290</v>
      </c>
      <c r="D1" s="175" t="s">
        <v>291</v>
      </c>
      <c r="E1" s="175" t="s">
        <v>292</v>
      </c>
      <c r="F1" s="175" t="s">
        <v>293</v>
      </c>
    </row>
    <row r="2" spans="1:20" x14ac:dyDescent="0.25">
      <c r="A2" s="175" t="s">
        <v>294</v>
      </c>
      <c r="B2" s="175" t="s">
        <v>299</v>
      </c>
      <c r="C2" s="175" t="s">
        <v>300</v>
      </c>
      <c r="D2" s="175" t="s">
        <v>301</v>
      </c>
    </row>
    <row r="3" spans="1:20" x14ac:dyDescent="0.25">
      <c r="A3" s="175" t="s">
        <v>297</v>
      </c>
      <c r="B3" s="175" t="s">
        <v>299</v>
      </c>
      <c r="C3" s="175" t="s">
        <v>303</v>
      </c>
      <c r="D3" s="175" t="s">
        <v>299</v>
      </c>
      <c r="E3" s="175" t="s">
        <v>300</v>
      </c>
      <c r="F3" s="175" t="s">
        <v>301</v>
      </c>
    </row>
    <row r="4" spans="1:20" x14ac:dyDescent="0.25">
      <c r="A4" s="175" t="s">
        <v>329</v>
      </c>
      <c r="B4" s="175" t="s">
        <v>299</v>
      </c>
      <c r="C4" s="175" t="s">
        <v>305</v>
      </c>
      <c r="D4" s="175" t="s">
        <v>299</v>
      </c>
      <c r="E4" s="175" t="s">
        <v>300</v>
      </c>
      <c r="F4" s="175" t="s">
        <v>301</v>
      </c>
    </row>
    <row r="7" spans="1:20" x14ac:dyDescent="0.25">
      <c r="A7" s="201"/>
      <c r="B7" s="199" t="s">
        <v>299</v>
      </c>
      <c r="C7" s="199" t="s">
        <v>300</v>
      </c>
      <c r="D7" s="199" t="s">
        <v>301</v>
      </c>
      <c r="E7" s="199"/>
      <c r="F7" s="199"/>
      <c r="G7" s="199"/>
      <c r="H7" s="204"/>
      <c r="I7" s="199" t="s">
        <v>299</v>
      </c>
      <c r="J7" s="199" t="s">
        <v>303</v>
      </c>
      <c r="K7" s="199" t="s">
        <v>299</v>
      </c>
      <c r="L7" s="199" t="s">
        <v>300</v>
      </c>
      <c r="M7" s="199" t="s">
        <v>301</v>
      </c>
      <c r="N7" s="199"/>
      <c r="O7" s="204"/>
      <c r="P7" s="199" t="s">
        <v>299</v>
      </c>
      <c r="Q7" s="199" t="s">
        <v>305</v>
      </c>
      <c r="R7" s="199" t="s">
        <v>299</v>
      </c>
      <c r="S7" s="199" t="s">
        <v>300</v>
      </c>
      <c r="T7" s="199" t="s">
        <v>301</v>
      </c>
    </row>
    <row r="8" spans="1:20" x14ac:dyDescent="0.25">
      <c r="A8" s="202" t="s">
        <v>436</v>
      </c>
      <c r="B8" s="200">
        <v>6.8</v>
      </c>
      <c r="C8" s="198">
        <v>5.6</v>
      </c>
      <c r="D8" s="198">
        <v>3.6</v>
      </c>
      <c r="H8" s="202" t="s">
        <v>436</v>
      </c>
      <c r="I8" s="200">
        <v>6.8</v>
      </c>
      <c r="J8" s="198">
        <v>3</v>
      </c>
      <c r="K8" s="198">
        <v>6.8</v>
      </c>
      <c r="L8" s="198">
        <v>5.6</v>
      </c>
      <c r="M8" s="198">
        <v>3.6</v>
      </c>
      <c r="O8" s="202" t="s">
        <v>436</v>
      </c>
      <c r="P8" s="200">
        <v>6.8</v>
      </c>
      <c r="Q8" s="198">
        <v>2.7</v>
      </c>
      <c r="R8" s="198">
        <v>6.8</v>
      </c>
      <c r="S8" s="198">
        <v>5.6</v>
      </c>
      <c r="T8" s="198">
        <v>3.6</v>
      </c>
    </row>
    <row r="9" spans="1:20" x14ac:dyDescent="0.25">
      <c r="A9" s="202" t="s">
        <v>331</v>
      </c>
      <c r="B9" s="197"/>
      <c r="C9" s="197"/>
      <c r="D9" s="197"/>
      <c r="H9" s="202" t="s">
        <v>331</v>
      </c>
      <c r="I9" s="197"/>
      <c r="J9" s="197"/>
      <c r="K9" s="197"/>
      <c r="L9" s="197"/>
      <c r="M9" s="197"/>
      <c r="O9" s="202" t="s">
        <v>331</v>
      </c>
      <c r="P9" s="197"/>
      <c r="Q9" s="197"/>
      <c r="R9" s="197"/>
      <c r="S9" s="197"/>
      <c r="T9" s="197"/>
    </row>
    <row r="10" spans="1:20" x14ac:dyDescent="0.25">
      <c r="A10" s="203" t="s">
        <v>32</v>
      </c>
      <c r="B10" s="175" t="s">
        <v>119</v>
      </c>
      <c r="C10" s="175" t="s">
        <v>119</v>
      </c>
      <c r="D10" s="175" t="s">
        <v>119</v>
      </c>
      <c r="H10" s="203" t="s">
        <v>32</v>
      </c>
      <c r="I10" s="175" t="s">
        <v>119</v>
      </c>
      <c r="K10" s="175" t="s">
        <v>119</v>
      </c>
      <c r="L10" s="175" t="s">
        <v>119</v>
      </c>
      <c r="M10" s="175" t="s">
        <v>119</v>
      </c>
      <c r="O10" s="203" t="s">
        <v>32</v>
      </c>
      <c r="P10" s="175" t="s">
        <v>119</v>
      </c>
      <c r="R10" s="175" t="s">
        <v>119</v>
      </c>
      <c r="S10" s="175" t="s">
        <v>119</v>
      </c>
      <c r="T10" s="175" t="s">
        <v>119</v>
      </c>
    </row>
    <row r="11" spans="1:20" x14ac:dyDescent="0.25">
      <c r="A11" s="203" t="s">
        <v>309</v>
      </c>
      <c r="B11" s="185">
        <v>0.27</v>
      </c>
      <c r="C11" s="185">
        <v>0.27</v>
      </c>
      <c r="D11" s="185">
        <v>0.27</v>
      </c>
      <c r="E11" s="185"/>
      <c r="H11" s="203" t="s">
        <v>309</v>
      </c>
      <c r="I11" s="185">
        <v>0.27</v>
      </c>
      <c r="J11" s="185"/>
      <c r="K11" s="185">
        <v>0.27</v>
      </c>
      <c r="L11" s="185">
        <v>0.27</v>
      </c>
      <c r="M11" s="185">
        <v>0.27</v>
      </c>
      <c r="O11" s="203" t="s">
        <v>309</v>
      </c>
      <c r="P11" s="185">
        <v>0.27</v>
      </c>
      <c r="Q11" s="185"/>
      <c r="R11" s="185">
        <v>0.27</v>
      </c>
      <c r="S11" s="185">
        <v>0.27</v>
      </c>
      <c r="T11" s="185">
        <v>0.27</v>
      </c>
    </row>
    <row r="12" spans="1:20" x14ac:dyDescent="0.25">
      <c r="A12" s="203" t="s">
        <v>455</v>
      </c>
      <c r="B12" s="175">
        <v>433</v>
      </c>
      <c r="C12" s="175">
        <v>434</v>
      </c>
      <c r="D12" s="175">
        <v>682</v>
      </c>
      <c r="H12" s="203" t="s">
        <v>455</v>
      </c>
      <c r="I12" s="175">
        <v>433</v>
      </c>
      <c r="K12" s="175">
        <v>433</v>
      </c>
      <c r="L12" s="175">
        <v>434</v>
      </c>
      <c r="M12" s="175">
        <v>682</v>
      </c>
      <c r="O12" s="203" t="s">
        <v>455</v>
      </c>
      <c r="P12" s="175">
        <v>433</v>
      </c>
      <c r="R12" s="175">
        <v>433</v>
      </c>
      <c r="S12" s="175">
        <v>434</v>
      </c>
      <c r="T12" s="175">
        <v>682</v>
      </c>
    </row>
    <row r="13" spans="1:20" x14ac:dyDescent="0.25">
      <c r="A13" s="203" t="s">
        <v>456</v>
      </c>
      <c r="B13" s="175">
        <f>B11*B12</f>
        <v>116.91000000000001</v>
      </c>
      <c r="C13" s="175">
        <f>C11*C12</f>
        <v>117.18</v>
      </c>
      <c r="D13" s="175">
        <f>D11*D12</f>
        <v>184.14000000000001</v>
      </c>
      <c r="H13" s="203" t="s">
        <v>456</v>
      </c>
      <c r="I13" s="175">
        <f>I11*I12</f>
        <v>116.91000000000001</v>
      </c>
      <c r="K13" s="175">
        <f>K11*K12</f>
        <v>116.91000000000001</v>
      </c>
      <c r="L13" s="175">
        <f>L11*L12</f>
        <v>117.18</v>
      </c>
      <c r="M13" s="175">
        <f>M11*M12</f>
        <v>184.14000000000001</v>
      </c>
      <c r="O13" s="203" t="s">
        <v>456</v>
      </c>
      <c r="P13" s="175">
        <f>P11*P12</f>
        <v>116.91000000000001</v>
      </c>
      <c r="R13" s="175">
        <f>R11*R12</f>
        <v>116.91000000000001</v>
      </c>
      <c r="S13" s="175">
        <f>S11*S12</f>
        <v>117.18</v>
      </c>
      <c r="T13" s="175">
        <f>T11*T12</f>
        <v>184.14000000000001</v>
      </c>
    </row>
    <row r="14" spans="1:20" x14ac:dyDescent="0.25">
      <c r="A14" s="203"/>
      <c r="H14" s="203"/>
      <c r="O14" s="203"/>
    </row>
    <row r="15" spans="1:20" x14ac:dyDescent="0.25">
      <c r="A15" s="203"/>
      <c r="H15" s="203"/>
      <c r="O15" s="203"/>
    </row>
    <row r="16" spans="1:20" x14ac:dyDescent="0.25">
      <c r="A16" s="203" t="s">
        <v>457</v>
      </c>
      <c r="B16" s="175">
        <f>B13</f>
        <v>116.91000000000001</v>
      </c>
      <c r="C16" s="175">
        <f t="shared" ref="C16:D16" si="0">C13</f>
        <v>117.18</v>
      </c>
      <c r="D16" s="175">
        <f t="shared" si="0"/>
        <v>184.14000000000001</v>
      </c>
      <c r="H16" s="203" t="s">
        <v>457</v>
      </c>
      <c r="I16" s="175">
        <f>I13</f>
        <v>116.91000000000001</v>
      </c>
      <c r="J16" s="175">
        <f t="shared" ref="J16:L16" si="1">J13</f>
        <v>0</v>
      </c>
      <c r="K16" s="175">
        <f t="shared" si="1"/>
        <v>116.91000000000001</v>
      </c>
      <c r="L16" s="175">
        <f t="shared" si="1"/>
        <v>117.18</v>
      </c>
      <c r="M16" s="175">
        <f>M13</f>
        <v>184.14000000000001</v>
      </c>
      <c r="O16" s="203" t="s">
        <v>457</v>
      </c>
      <c r="P16" s="175">
        <f>P13</f>
        <v>116.91000000000001</v>
      </c>
      <c r="Q16" s="175">
        <f t="shared" ref="Q16:S16" si="2">Q13</f>
        <v>0</v>
      </c>
      <c r="R16" s="175">
        <f t="shared" si="2"/>
        <v>116.91000000000001</v>
      </c>
      <c r="S16" s="175">
        <f t="shared" si="2"/>
        <v>117.18</v>
      </c>
      <c r="T16" s="175">
        <f>T13</f>
        <v>184.14000000000001</v>
      </c>
    </row>
    <row r="17" spans="1:16" x14ac:dyDescent="0.25">
      <c r="A17" s="203"/>
      <c r="H17" s="203"/>
      <c r="O17" s="203"/>
    </row>
    <row r="18" spans="1:16" x14ac:dyDescent="0.25">
      <c r="A18" s="203" t="s">
        <v>458</v>
      </c>
      <c r="B18" s="175">
        <f>AVERAGE(B16:D16)</f>
        <v>139.41</v>
      </c>
      <c r="H18" s="203" t="s">
        <v>458</v>
      </c>
      <c r="I18" s="175">
        <f>AVERAGE(I16:M16)</f>
        <v>107.02799999999999</v>
      </c>
      <c r="O18" s="203" t="s">
        <v>458</v>
      </c>
      <c r="P18" s="175">
        <f>AVERAGE(P16:T16)</f>
        <v>107.02799999999999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Output</vt:lpstr>
      <vt:lpstr>Data source</vt:lpstr>
      <vt:lpstr>Site characteristics</vt:lpstr>
      <vt:lpstr>Without legumes</vt:lpstr>
      <vt:lpstr>With legumes option 1 </vt:lpstr>
      <vt:lpstr>With legumes option 2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2020-12-09T07:02:24Z</dcterms:modified>
</cp:coreProperties>
</file>