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tz\Desktop\final final\"/>
    </mc:Choice>
  </mc:AlternateContent>
  <bookViews>
    <workbookView xWindow="-105" yWindow="-105" windowWidth="19425" windowHeight="10425"/>
  </bookViews>
  <sheets>
    <sheet name="Output" sheetId="22" r:id="rId1"/>
    <sheet name="Data source" sheetId="17" r:id="rId2"/>
    <sheet name="Site characteristics" sheetId="1" r:id="rId3"/>
    <sheet name="Without legumes" sheetId="9" r:id="rId4"/>
    <sheet name="With legumes option 1 " sheetId="15" r:id="rId5"/>
    <sheet name="With legumes option 2" sheetId="14" r:id="rId6"/>
    <sheet name="Data for yield stability" sheetId="12" r:id="rId7"/>
    <sheet name="GM" sheetId="18" r:id="rId8"/>
    <sheet name="N fertilizer" sheetId="19" r:id="rId9"/>
    <sheet name="Protein &amp; Energy Output" sheetId="20" r:id="rId10"/>
    <sheet name="Crop Diversity" sheetId="21" r:id="rId11"/>
    <sheet name="NO3" sheetId="27" r:id="rId12"/>
    <sheet name="N2O calculations" sheetId="23" r:id="rId13"/>
    <sheet name="N2O default values" sheetId="24" r:id="rId14"/>
    <sheet name="Mapping crops" sheetId="25" r:id="rId1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8" i="23" l="1"/>
  <c r="R28" i="23"/>
  <c r="Q28" i="23"/>
  <c r="P28" i="23"/>
  <c r="L28" i="23"/>
  <c r="K28" i="23"/>
  <c r="J28" i="23"/>
  <c r="I28" i="23"/>
  <c r="D28" i="23"/>
  <c r="C28" i="23"/>
  <c r="B28" i="23"/>
  <c r="K18" i="27"/>
  <c r="J4" i="22"/>
  <c r="K12" i="27"/>
  <c r="J3" i="22"/>
  <c r="K6" i="27"/>
  <c r="J2" i="22"/>
  <c r="L12" i="20"/>
  <c r="L20" i="20"/>
  <c r="K12" i="20"/>
  <c r="K20" i="20"/>
  <c r="R10" i="23"/>
  <c r="Q10" i="23"/>
  <c r="P10" i="23"/>
  <c r="L10" i="23"/>
  <c r="K10" i="23"/>
  <c r="J10" i="23"/>
  <c r="I10" i="23"/>
  <c r="C10" i="23"/>
  <c r="B10" i="23"/>
  <c r="B25" i="23"/>
  <c r="S11" i="23"/>
  <c r="R11" i="23"/>
  <c r="Q11" i="23"/>
  <c r="P11" i="23"/>
  <c r="L11" i="23"/>
  <c r="K11" i="23"/>
  <c r="J11" i="23"/>
  <c r="I11" i="23"/>
  <c r="D11" i="23"/>
  <c r="C11" i="23"/>
  <c r="B11" i="23"/>
  <c r="Q9" i="23"/>
  <c r="L9" i="23"/>
  <c r="K9" i="23"/>
  <c r="J9" i="23"/>
  <c r="S7" i="23"/>
  <c r="S24" i="23"/>
  <c r="S8" i="23"/>
  <c r="S14" i="23"/>
  <c r="S15" i="23"/>
  <c r="R7" i="23"/>
  <c r="R8" i="23"/>
  <c r="R14" i="23"/>
  <c r="R15" i="23"/>
  <c r="Q7" i="23"/>
  <c r="P7" i="23"/>
  <c r="L7" i="23"/>
  <c r="L8" i="23"/>
  <c r="L14" i="23"/>
  <c r="L15" i="23"/>
  <c r="L16" i="23"/>
  <c r="L18" i="23"/>
  <c r="K7" i="23"/>
  <c r="K8" i="23"/>
  <c r="K14" i="23"/>
  <c r="K15" i="23"/>
  <c r="K17" i="23"/>
  <c r="J7" i="23"/>
  <c r="I7" i="23"/>
  <c r="I8" i="23"/>
  <c r="I14" i="23"/>
  <c r="I15" i="23"/>
  <c r="D7" i="23"/>
  <c r="C7" i="23"/>
  <c r="C24" i="23"/>
  <c r="B7" i="23"/>
  <c r="B24" i="23"/>
  <c r="F4" i="23"/>
  <c r="E4" i="23"/>
  <c r="D4" i="23"/>
  <c r="C4" i="23"/>
  <c r="B4" i="23"/>
  <c r="A4" i="23"/>
  <c r="F3" i="23"/>
  <c r="E3" i="23"/>
  <c r="D3" i="23"/>
  <c r="C3" i="23"/>
  <c r="B3" i="23"/>
  <c r="A3" i="23"/>
  <c r="F2" i="23"/>
  <c r="E2" i="23"/>
  <c r="D2" i="23"/>
  <c r="C2" i="23"/>
  <c r="B2" i="23"/>
  <c r="A2" i="23"/>
  <c r="F1" i="23"/>
  <c r="E1" i="23"/>
  <c r="D1" i="23"/>
  <c r="C1" i="23"/>
  <c r="B1" i="23"/>
  <c r="A1" i="23"/>
  <c r="U22" i="24"/>
  <c r="U21" i="24"/>
  <c r="U20" i="24"/>
  <c r="U19" i="24"/>
  <c r="U18" i="24"/>
  <c r="Q18" i="24"/>
  <c r="U17" i="24"/>
  <c r="Q17" i="24"/>
  <c r="U16" i="24"/>
  <c r="R16" i="24"/>
  <c r="P16" i="24"/>
  <c r="U15" i="24"/>
  <c r="U14" i="24"/>
  <c r="U13" i="24"/>
  <c r="U12" i="24"/>
  <c r="R12" i="24"/>
  <c r="U11" i="24"/>
  <c r="R11" i="24"/>
  <c r="P11" i="24"/>
  <c r="U10" i="24"/>
  <c r="P10" i="24"/>
  <c r="U9" i="24"/>
  <c r="R9" i="24"/>
  <c r="U8" i="24"/>
  <c r="U7" i="24"/>
  <c r="U6" i="24"/>
  <c r="U5" i="24"/>
  <c r="U4" i="24"/>
  <c r="E4" i="24"/>
  <c r="U3" i="24"/>
  <c r="E3" i="24"/>
  <c r="U2" i="24"/>
  <c r="G2" i="24"/>
  <c r="E2" i="24"/>
  <c r="S27" i="23"/>
  <c r="R27" i="23"/>
  <c r="Q27" i="23"/>
  <c r="P27" i="23"/>
  <c r="L27" i="23"/>
  <c r="K27" i="23"/>
  <c r="J27" i="23"/>
  <c r="I27" i="23"/>
  <c r="D27" i="23"/>
  <c r="C27" i="23"/>
  <c r="B27" i="23"/>
  <c r="Q24" i="23"/>
  <c r="K24" i="23"/>
  <c r="P8" i="23"/>
  <c r="P14" i="23"/>
  <c r="P15" i="23"/>
  <c r="J8" i="23"/>
  <c r="J14" i="23"/>
  <c r="J15" i="23"/>
  <c r="J17" i="23"/>
  <c r="D8" i="23"/>
  <c r="D14" i="23"/>
  <c r="D15" i="23"/>
  <c r="C8" i="23"/>
  <c r="C14" i="23"/>
  <c r="C15" i="23"/>
  <c r="C17" i="23"/>
  <c r="Q8" i="23"/>
  <c r="Q14" i="23"/>
  <c r="Q15" i="23"/>
  <c r="P24" i="23"/>
  <c r="J24" i="23"/>
  <c r="D24" i="23"/>
  <c r="B8" i="23"/>
  <c r="B14" i="23"/>
  <c r="B15" i="23"/>
  <c r="J25" i="23"/>
  <c r="Q25" i="23"/>
  <c r="R25" i="23"/>
  <c r="L25" i="23"/>
  <c r="I24" i="23"/>
  <c r="L24" i="23"/>
  <c r="Q17" i="18"/>
  <c r="B29" i="21"/>
  <c r="B28" i="21"/>
  <c r="B27" i="21"/>
  <c r="B22" i="21"/>
  <c r="B21" i="21"/>
  <c r="B20" i="21"/>
  <c r="B15" i="21"/>
  <c r="B14" i="21"/>
  <c r="G12" i="20"/>
  <c r="G20" i="20"/>
  <c r="P13" i="19"/>
  <c r="P25" i="23"/>
  <c r="P20" i="19"/>
  <c r="S18" i="19"/>
  <c r="S10" i="23"/>
  <c r="S13" i="19"/>
  <c r="S25" i="23"/>
  <c r="R13" i="19"/>
  <c r="R9" i="23"/>
  <c r="L18" i="19"/>
  <c r="L13" i="19"/>
  <c r="K13" i="19"/>
  <c r="K25" i="23"/>
  <c r="K20" i="19"/>
  <c r="I13" i="19"/>
  <c r="I9" i="23"/>
  <c r="D18" i="19"/>
  <c r="D10" i="23"/>
  <c r="L10" i="18"/>
  <c r="L13" i="18"/>
  <c r="K10" i="18"/>
  <c r="K13" i="18"/>
  <c r="J17" i="18"/>
  <c r="M4" i="22"/>
  <c r="M3" i="22"/>
  <c r="M2" i="22"/>
  <c r="D29" i="21"/>
  <c r="E29" i="21"/>
  <c r="D28" i="21"/>
  <c r="E28" i="21"/>
  <c r="D27" i="21"/>
  <c r="E27" i="21"/>
  <c r="E30" i="21"/>
  <c r="R4" i="22"/>
  <c r="D22" i="21"/>
  <c r="E22" i="21"/>
  <c r="D21" i="21"/>
  <c r="E21" i="21"/>
  <c r="D20" i="21"/>
  <c r="E20" i="21"/>
  <c r="E23" i="21"/>
  <c r="R3" i="22"/>
  <c r="D15" i="21"/>
  <c r="E15" i="21"/>
  <c r="D14" i="21"/>
  <c r="E14" i="21"/>
  <c r="E17" i="21"/>
  <c r="R2" i="22"/>
  <c r="F8" i="21"/>
  <c r="N12" i="20"/>
  <c r="N20" i="20"/>
  <c r="N14" i="20"/>
  <c r="M12" i="20"/>
  <c r="L14" i="20"/>
  <c r="K14" i="20"/>
  <c r="I12" i="20"/>
  <c r="I20" i="20"/>
  <c r="H12" i="20"/>
  <c r="H20" i="20"/>
  <c r="H14" i="20"/>
  <c r="F12" i="20"/>
  <c r="D12" i="20"/>
  <c r="D20" i="20"/>
  <c r="C12" i="20"/>
  <c r="C20" i="20"/>
  <c r="B12" i="20"/>
  <c r="B20" i="20"/>
  <c r="Q20" i="19"/>
  <c r="J20" i="19"/>
  <c r="L20" i="19"/>
  <c r="D13" i="19"/>
  <c r="D9" i="23"/>
  <c r="D20" i="19"/>
  <c r="C13" i="19"/>
  <c r="C9" i="23"/>
  <c r="B13" i="19"/>
  <c r="B9" i="23"/>
  <c r="B20" i="19"/>
  <c r="S10" i="18"/>
  <c r="S13" i="18"/>
  <c r="R10" i="18"/>
  <c r="R13" i="18"/>
  <c r="Q10" i="18"/>
  <c r="Q13" i="18"/>
  <c r="P10" i="18"/>
  <c r="P13" i="18"/>
  <c r="P15" i="18"/>
  <c r="F4" i="22"/>
  <c r="J10" i="18"/>
  <c r="J13" i="18"/>
  <c r="I10" i="18"/>
  <c r="I13" i="18"/>
  <c r="D10" i="18"/>
  <c r="D13" i="18"/>
  <c r="C10" i="18"/>
  <c r="C13" i="18"/>
  <c r="B10" i="18"/>
  <c r="B13" i="18"/>
  <c r="B15" i="18"/>
  <c r="C17" i="12"/>
  <c r="S17" i="12"/>
  <c r="M24" i="12"/>
  <c r="O4" i="22"/>
  <c r="O17" i="12"/>
  <c r="M23" i="12"/>
  <c r="O3" i="22"/>
  <c r="K17" i="12"/>
  <c r="G17" i="12"/>
  <c r="M22" i="12"/>
  <c r="O2" i="22"/>
  <c r="I15" i="18"/>
  <c r="F3" i="22"/>
  <c r="I3" i="22"/>
  <c r="I4" i="22"/>
  <c r="H4" i="22"/>
  <c r="G2" i="22"/>
  <c r="F2" i="22"/>
  <c r="I18" i="18"/>
  <c r="G3" i="22"/>
  <c r="S17" i="23"/>
  <c r="P9" i="23"/>
  <c r="M14" i="20"/>
  <c r="M20" i="20"/>
  <c r="L22" i="20"/>
  <c r="Q4" i="22"/>
  <c r="D25" i="23"/>
  <c r="D17" i="23"/>
  <c r="C20" i="19"/>
  <c r="B22" i="19"/>
  <c r="K2" i="22"/>
  <c r="G14" i="20"/>
  <c r="C25" i="23"/>
  <c r="F14" i="20"/>
  <c r="F20" i="20"/>
  <c r="B14" i="20"/>
  <c r="I14" i="20"/>
  <c r="R20" i="19"/>
  <c r="P22" i="19"/>
  <c r="K4" i="22"/>
  <c r="P18" i="18"/>
  <c r="G4" i="22"/>
  <c r="I25" i="23"/>
  <c r="Q17" i="23"/>
  <c r="S9" i="23"/>
  <c r="C14" i="20"/>
  <c r="I20" i="19"/>
  <c r="I22" i="19"/>
  <c r="K3" i="22"/>
  <c r="S20" i="19"/>
  <c r="R24" i="23"/>
  <c r="J26" i="23"/>
  <c r="L26" i="23"/>
  <c r="B26" i="23"/>
  <c r="Q26" i="23"/>
  <c r="D26" i="23"/>
  <c r="R26" i="23"/>
  <c r="I26" i="23"/>
  <c r="P26" i="23"/>
  <c r="S26" i="23"/>
  <c r="K26" i="23"/>
  <c r="C26" i="23"/>
  <c r="S16" i="23"/>
  <c r="S18" i="23"/>
  <c r="S19" i="23"/>
  <c r="P17" i="23"/>
  <c r="P16" i="23"/>
  <c r="P18" i="23"/>
  <c r="B17" i="23"/>
  <c r="B16" i="23"/>
  <c r="B18" i="23"/>
  <c r="D16" i="23"/>
  <c r="D18" i="23"/>
  <c r="D19" i="23"/>
  <c r="J16" i="23"/>
  <c r="J18" i="23"/>
  <c r="J19" i="23"/>
  <c r="Q16" i="23"/>
  <c r="Q18" i="23"/>
  <c r="Q19" i="23"/>
  <c r="C16" i="23"/>
  <c r="C18" i="23"/>
  <c r="C19" i="23"/>
  <c r="I16" i="23"/>
  <c r="I18" i="23"/>
  <c r="I17" i="23"/>
  <c r="R17" i="23"/>
  <c r="R16" i="23"/>
  <c r="R18" i="23"/>
  <c r="K16" i="23"/>
  <c r="K18" i="23"/>
  <c r="K19" i="23"/>
  <c r="K31" i="23"/>
  <c r="L17" i="23"/>
  <c r="L19" i="23"/>
  <c r="G22" i="20"/>
  <c r="Q3" i="22"/>
  <c r="D14" i="20"/>
  <c r="C16" i="20"/>
  <c r="P2" i="22"/>
  <c r="C22" i="20"/>
  <c r="Q2" i="22"/>
  <c r="L16" i="20"/>
  <c r="P4" i="22"/>
  <c r="H3" i="22"/>
  <c r="I2" i="22"/>
  <c r="H2" i="22"/>
  <c r="G16" i="20"/>
  <c r="P3" i="22"/>
  <c r="L31" i="23"/>
  <c r="D31" i="23"/>
  <c r="J31" i="23"/>
  <c r="Q31" i="23"/>
  <c r="C31" i="23"/>
  <c r="S31" i="23"/>
  <c r="B19" i="23"/>
  <c r="B31" i="23"/>
  <c r="P19" i="23"/>
  <c r="P31" i="23"/>
  <c r="R19" i="23"/>
  <c r="R31" i="23"/>
  <c r="I19" i="23"/>
  <c r="I31" i="23"/>
  <c r="A31" i="23"/>
  <c r="N2" i="22"/>
  <c r="H31" i="23"/>
  <c r="N3" i="22"/>
  <c r="O31" i="23"/>
  <c r="N4" i="22"/>
</calcChain>
</file>

<file path=xl/comments1.xml><?xml version="1.0" encoding="utf-8"?>
<comments xmlns="http://schemas.openxmlformats.org/spreadsheetml/2006/main">
  <authors>
    <author>notz</author>
  </authors>
  <commentList>
    <comment ref="E23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und Kornkali applied together</t>
        </r>
      </text>
    </comment>
    <comment ref="L23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und Kornkali applied together</t>
        </r>
      </text>
    </comment>
    <comment ref="S23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und Kornkali applied together</t>
        </r>
      </text>
    </comment>
    <comment ref="S36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Nutribor</t>
        </r>
      </text>
    </comment>
    <comment ref="E37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Amistar together with Camposan</t>
        </r>
      </text>
    </comment>
    <comment ref="L37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Amistar together with Camposan</t>
        </r>
      </text>
    </comment>
    <comment ref="S37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Nutribor</t>
        </r>
      </text>
    </comment>
    <comment ref="S38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Nutribor</t>
        </r>
      </text>
    </comment>
    <comment ref="S39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Nutribor</t>
        </r>
      </text>
    </comment>
  </commentList>
</comments>
</file>

<file path=xl/comments2.xml><?xml version="1.0" encoding="utf-8"?>
<comments xmlns="http://schemas.openxmlformats.org/spreadsheetml/2006/main">
  <authors>
    <author>notz</author>
  </authors>
  <commentList>
    <comment ref="D18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und Kornkali applied together</t>
        </r>
      </text>
    </comment>
    <comment ref="K18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und Kornkali applied together
</t>
        </r>
      </text>
    </comment>
    <comment ref="R18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und Kornkali applied together</t>
        </r>
      </text>
    </comment>
    <comment ref="Y18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und Kornkali applied together</t>
        </r>
      </text>
    </comment>
    <comment ref="Y3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Nutribor</t>
        </r>
      </text>
    </comment>
    <comment ref="D32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Amistar together with Camposan</t>
        </r>
      </text>
    </comment>
    <comment ref="R32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Amistar together with Camposan</t>
        </r>
      </text>
    </comment>
    <comment ref="Y32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Nutribor</t>
        </r>
      </text>
    </comment>
    <comment ref="Y33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Nutribor</t>
        </r>
      </text>
    </comment>
    <comment ref="Y34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Nutribor</t>
        </r>
      </text>
    </comment>
  </commentList>
</comments>
</file>

<file path=xl/comments3.xml><?xml version="1.0" encoding="utf-8"?>
<comments xmlns="http://schemas.openxmlformats.org/spreadsheetml/2006/main">
  <authors>
    <author>notz</author>
  </authors>
  <commentList>
    <comment ref="D18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und Kornkali applied together</t>
        </r>
      </text>
    </comment>
    <comment ref="K18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together with Kornkali</t>
        </r>
      </text>
    </comment>
    <comment ref="R18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und Kornkali applied together</t>
        </r>
      </text>
    </comment>
    <comment ref="Y18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TSP und Kornkali applied together</t>
        </r>
      </text>
    </comment>
    <comment ref="Y3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Nutribor</t>
        </r>
      </text>
    </comment>
    <comment ref="D32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Amistar together with Camposan</t>
        </r>
      </text>
    </comment>
    <comment ref="R32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Amistar together with Camposan</t>
        </r>
      </text>
    </comment>
    <comment ref="Y32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Nutribor</t>
        </r>
      </text>
    </comment>
    <comment ref="Y33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Nutribor</t>
        </r>
      </text>
    </comment>
    <comment ref="Y34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Together with Nutribor</t>
        </r>
      </text>
    </comment>
  </commentList>
</comments>
</file>

<file path=xl/sharedStrings.xml><?xml version="1.0" encoding="utf-8"?>
<sst xmlns="http://schemas.openxmlformats.org/spreadsheetml/2006/main" count="1572" uniqueCount="458">
  <si>
    <t>Soil type</t>
  </si>
  <si>
    <t>Field size</t>
  </si>
  <si>
    <t>Name of crop</t>
  </si>
  <si>
    <t>Use of crop (grain, silage, biomass,…)</t>
  </si>
  <si>
    <t>C to N ratio of SOM</t>
  </si>
  <si>
    <t>Ploughing</t>
  </si>
  <si>
    <t>Harrowing</t>
  </si>
  <si>
    <t>Seedbed preparation</t>
  </si>
  <si>
    <t>Seeds</t>
  </si>
  <si>
    <t>Specify</t>
  </si>
  <si>
    <t>Machinery used</t>
  </si>
  <si>
    <t>Fertilisation</t>
  </si>
  <si>
    <t>N-fertiliser</t>
  </si>
  <si>
    <t>P-fertiliser</t>
  </si>
  <si>
    <t>K-fertiliser</t>
  </si>
  <si>
    <t>N-P-K fertiliser</t>
  </si>
  <si>
    <t>S-fertiliser</t>
  </si>
  <si>
    <t>CaCO3</t>
  </si>
  <si>
    <t>Compost</t>
  </si>
  <si>
    <t>Manure</t>
  </si>
  <si>
    <t>Application method</t>
  </si>
  <si>
    <t>Plant protection</t>
  </si>
  <si>
    <t>Pesticide</t>
  </si>
  <si>
    <t>Total number of applications</t>
  </si>
  <si>
    <t>Herbicide</t>
  </si>
  <si>
    <t>Fungicide</t>
  </si>
  <si>
    <t>Harvest</t>
  </si>
  <si>
    <t>Harvesting</t>
  </si>
  <si>
    <t>Residue treatment</t>
  </si>
  <si>
    <t>Post-harvest treatment</t>
  </si>
  <si>
    <t>Output</t>
  </si>
  <si>
    <t>Variable costs</t>
  </si>
  <si>
    <t>Type</t>
  </si>
  <si>
    <t>Residue removed</t>
  </si>
  <si>
    <t>Yield</t>
  </si>
  <si>
    <t>Costs of seeds (Unit [EUR/ha])</t>
  </si>
  <si>
    <t>Mechani-sation</t>
  </si>
  <si>
    <t>Please describe the crop rotation.</t>
  </si>
  <si>
    <t>Crop rotation</t>
  </si>
  <si>
    <t>Notes for completing</t>
  </si>
  <si>
    <t xml:space="preserve"> Description with units</t>
  </si>
  <si>
    <t>Costs of crop protection measures (Unit [EUR/ha])</t>
  </si>
  <si>
    <t>Total variable costs of machinery (Unit [EUR/ha])</t>
  </si>
  <si>
    <t>Costs of irrigation (Unit [EUR/ha])</t>
  </si>
  <si>
    <t>Costs of insurcance (Unit [EUR/ha])</t>
  </si>
  <si>
    <t>Drying costs, cleaning costs (Unit [EUR/ha])</t>
  </si>
  <si>
    <t>Total variable costs  (Unit [EUR/ha])</t>
  </si>
  <si>
    <t>CROP 1</t>
  </si>
  <si>
    <t>CROP 2</t>
  </si>
  <si>
    <t>CROP 3</t>
  </si>
  <si>
    <t>CROP 4</t>
  </si>
  <si>
    <t xml:space="preserve">Organic carbon content of the top soil </t>
  </si>
  <si>
    <t xml:space="preserve">Bulk densitiy of top soil </t>
  </si>
  <si>
    <t>Topsoil</t>
  </si>
  <si>
    <t xml:space="preserve">Annual mineralisation rate </t>
  </si>
  <si>
    <t>Water holding capacity in the root zone</t>
  </si>
  <si>
    <t>Precipitation in the winter half (mm)</t>
  </si>
  <si>
    <t>Annual precipitation (mm)</t>
  </si>
  <si>
    <t>Please indicate the name of the region (e.g. Brandenburg) and the code according to the specification of the territorial statistical units of the second level (NUTS 2*) (e.g. DE40 ).</t>
  </si>
  <si>
    <t>Region</t>
  </si>
  <si>
    <t>Site</t>
  </si>
  <si>
    <t>Please indicate the local name of the site within the region e.g. name of the soil type, class…</t>
  </si>
  <si>
    <t>Please describe the typical soil type of your region (e.g. sandy loam).</t>
  </si>
  <si>
    <t xml:space="preserve">If you do not have the following information we will help you and might use default values. </t>
  </si>
  <si>
    <t>Please indicate the average AZ (e.g. 49)</t>
  </si>
  <si>
    <t xml:space="preserve">Please indicate the carbon to nitrogen ratio of the soil organic matter (e.g. 11). </t>
  </si>
  <si>
    <t>Only for Germany: Average german soil rating index</t>
  </si>
  <si>
    <t>Cover crop (following the crop above)</t>
  </si>
  <si>
    <t>Variety</t>
  </si>
  <si>
    <t>Mechanical weed management</t>
  </si>
  <si>
    <t>Total costs of fertilizer (Unit [EUR/ha])</t>
  </si>
  <si>
    <t>Subsidies (general + specific per crop (Unit [EUR/ha])</t>
  </si>
  <si>
    <t>Content of N, P, K in the fertiliser (%)</t>
  </si>
  <si>
    <t>Year</t>
  </si>
  <si>
    <t>Please indicate the years of cultivation (e.g. 2015-2018).</t>
  </si>
  <si>
    <t>Grain</t>
  </si>
  <si>
    <t>Lime</t>
  </si>
  <si>
    <t>Kornkali</t>
  </si>
  <si>
    <t>TSP</t>
  </si>
  <si>
    <r>
      <t>Amount [kg/ha</t>
    </r>
    <r>
      <rPr>
        <sz val="11"/>
        <color theme="1"/>
        <rFont val="Calibri"/>
        <family val="2"/>
        <scheme val="minor"/>
      </rPr>
      <t>]</t>
    </r>
  </si>
  <si>
    <t>Please indicate the average field size [ha].</t>
  </si>
  <si>
    <t>Please indicate the average C_org [% C in DM] (e.g. 0,9%)</t>
  </si>
  <si>
    <r>
      <t>Please indicate the bulk density of the top soil [g/cm³] (e.g. 1,5g/cm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).</t>
    </r>
  </si>
  <si>
    <t>Please indicate the depth of the top soil layer [cm] (e.g. 30 cm).</t>
  </si>
  <si>
    <t>Please indicate the annual mineralisation rate [%] (e.g. 1,7%).</t>
  </si>
  <si>
    <t xml:space="preserve">Please indicate the water holding capacity in the root zone [mm] (e.g. 400mm). </t>
  </si>
  <si>
    <t xml:space="preserve">Please indicate the annual precipitation [mm] (e.g. 510mm). </t>
  </si>
  <si>
    <t xml:space="preserve">Please indicate the precipitation in the winter half, from October to March [mm] (e.g.220mm). </t>
  </si>
  <si>
    <t xml:space="preserve">Amount [t/ha] </t>
  </si>
  <si>
    <t xml:space="preserve">Yield [t/ha] </t>
  </si>
  <si>
    <t>Number of year</t>
  </si>
  <si>
    <t>Organic fertilizers</t>
  </si>
  <si>
    <t>Composition</t>
  </si>
  <si>
    <t>Mineral fertilizers</t>
  </si>
  <si>
    <t>Amount [kg or l/ha]</t>
  </si>
  <si>
    <t>Karate Zeon</t>
  </si>
  <si>
    <t>0,5l</t>
  </si>
  <si>
    <t>1l</t>
  </si>
  <si>
    <t>Trafo WG</t>
  </si>
  <si>
    <t>Total amount [kg or l/ha]</t>
  </si>
  <si>
    <t>Combine harvester</t>
  </si>
  <si>
    <t>Please specify if machinery was used for:</t>
  </si>
  <si>
    <t>Please indicate the variety, amount of seeds and machinery used.</t>
  </si>
  <si>
    <t>Please indicate the specific fertiliser types, composition, application methods, total amounts and total number of applications applied.</t>
  </si>
  <si>
    <t>Please indicate the specific plant protection measures, application methods, amounts and total number of applications.</t>
  </si>
  <si>
    <t>Please specify  the harvesting process, including residue treatemant and post-harvest treatment and name machinery used.</t>
  </si>
  <si>
    <t>Please specify the yield and residues removed, name machinery used and the average selling price of the crop.</t>
  </si>
  <si>
    <t>Crop internally used (e.g. as feed) or sold?</t>
  </si>
  <si>
    <t>Solid</t>
  </si>
  <si>
    <t>liquid</t>
  </si>
  <si>
    <t>EXAMPLE - Crop [name of crop]: Winter rye</t>
  </si>
  <si>
    <t xml:space="preserve">Please indicate the specific costs of production, the total variable costs and subsidies. </t>
  </si>
  <si>
    <t>Date:</t>
  </si>
  <si>
    <t>Date</t>
  </si>
  <si>
    <t>Date/ Period</t>
  </si>
  <si>
    <t>Winter rye</t>
  </si>
  <si>
    <t>April</t>
  </si>
  <si>
    <t>March</t>
  </si>
  <si>
    <t>KAS</t>
  </si>
  <si>
    <t>27%N</t>
  </si>
  <si>
    <t>33% K</t>
  </si>
  <si>
    <t>20% P</t>
  </si>
  <si>
    <t>Pea</t>
  </si>
  <si>
    <t>Lupin</t>
  </si>
  <si>
    <t>2l</t>
  </si>
  <si>
    <t xml:space="preserve">Aufsattelbeetpflug </t>
  </si>
  <si>
    <t>Scheibenegge</t>
  </si>
  <si>
    <t>Price [EUR/t]</t>
  </si>
  <si>
    <t>SBB+Pneumatikdrillmaschine</t>
  </si>
  <si>
    <t>Alto 240 EC</t>
  </si>
  <si>
    <t>0,4l</t>
  </si>
  <si>
    <t>Amistar</t>
  </si>
  <si>
    <t>Other fertiliser used/ growth regulator</t>
  </si>
  <si>
    <t>Camposan extra</t>
  </si>
  <si>
    <t>Fenikan</t>
  </si>
  <si>
    <t>Aufsattelbeetplug</t>
  </si>
  <si>
    <t>Schleuderstreuer direkt Verfahren</t>
  </si>
  <si>
    <t>Anhängerspritze direkt Verfahren</t>
  </si>
  <si>
    <t>PK mit Großbehälter, angehängt, dir. Verf.</t>
  </si>
  <si>
    <t>N mit Schleuderstreuer dir. Verf.</t>
  </si>
  <si>
    <t>Anhängespritze, dir. Verfahren</t>
  </si>
  <si>
    <t>0,3l</t>
  </si>
  <si>
    <t>21.7. - 31.7.</t>
  </si>
  <si>
    <t>Date: 21.8. - 31.8</t>
  </si>
  <si>
    <t>Date: 11.8. - 20.8.</t>
  </si>
  <si>
    <t>21.8. - 31.8.</t>
  </si>
  <si>
    <t>Date: 21.9. - 30.9.</t>
  </si>
  <si>
    <t>1.8. - 20.8.</t>
  </si>
  <si>
    <t>11.4. - 20.4</t>
  </si>
  <si>
    <t>1.8. - 10.8</t>
  </si>
  <si>
    <t>21.4. - 30.4</t>
  </si>
  <si>
    <t>1.10. - 10.10</t>
  </si>
  <si>
    <t>11.5. - 31.5.</t>
  </si>
  <si>
    <t>1.8. - 20.8</t>
  </si>
  <si>
    <t>Date: 11.8. - 20.8</t>
  </si>
  <si>
    <t>21.8. - 31.8</t>
  </si>
  <si>
    <t>11.4. - 20.4.</t>
  </si>
  <si>
    <t>1.8. - 10.8.</t>
  </si>
  <si>
    <t>Winter rape</t>
  </si>
  <si>
    <t>Date: 21.8. - 31.8.</t>
  </si>
  <si>
    <t>Hybridsorte</t>
  </si>
  <si>
    <t>Camposan Extra</t>
  </si>
  <si>
    <t>21.4. - 30.4.</t>
  </si>
  <si>
    <t>14 (Zinsansatz) + 466</t>
  </si>
  <si>
    <t>Kalkstreuen</t>
  </si>
  <si>
    <t>13 (Zinsansatz) + 415</t>
  </si>
  <si>
    <t>211+211+148</t>
  </si>
  <si>
    <t>21.7. - 10.8</t>
  </si>
  <si>
    <t>21.7. - 10.9</t>
  </si>
  <si>
    <t>PK mit Großbehälter, angehängt, dir. Verf</t>
  </si>
  <si>
    <t>March+April+August</t>
  </si>
  <si>
    <t>Nimbus CS</t>
  </si>
  <si>
    <t xml:space="preserve">2l </t>
  </si>
  <si>
    <t>AGIL-S</t>
  </si>
  <si>
    <t>Caramba</t>
  </si>
  <si>
    <t>0,05l</t>
  </si>
  <si>
    <t>Biscaya</t>
  </si>
  <si>
    <t>0,15l</t>
  </si>
  <si>
    <t>Nutribor</t>
  </si>
  <si>
    <t>8% B, 01%Mn, 0,04% Mo, 0,1 %Zn, 0,6% N, 0,6% S</t>
  </si>
  <si>
    <t>1.5. - 10.5.</t>
  </si>
  <si>
    <t xml:space="preserve">1.4. - 10.4., 1.5. - 10.5., 11.9. - 20.9, </t>
  </si>
  <si>
    <t>11.8. - 20.8.</t>
  </si>
  <si>
    <t>11.9. - 20.9.</t>
  </si>
  <si>
    <t>1.4. - 10.4.</t>
  </si>
  <si>
    <t>11.4. - 30.4</t>
  </si>
  <si>
    <t>Folicur</t>
  </si>
  <si>
    <t>Proline</t>
  </si>
  <si>
    <t>Date: 1.8. - 10.8.</t>
  </si>
  <si>
    <t>Date: 1.8. - 20.8.</t>
  </si>
  <si>
    <t>15 (Zinsansatz) + 581</t>
  </si>
  <si>
    <t>Date: 21.10. - 10.11</t>
  </si>
  <si>
    <t>Date: 11.8. - 31.8./ 21.8. - 10.9.</t>
  </si>
  <si>
    <t>Kurzgrubber</t>
  </si>
  <si>
    <t>Date: 11.3. - 20.3.</t>
  </si>
  <si>
    <t>Basagran</t>
  </si>
  <si>
    <t>Anhängerspritze</t>
  </si>
  <si>
    <t>21.03-10.04</t>
  </si>
  <si>
    <t>Stomp Aqua</t>
  </si>
  <si>
    <t>3l</t>
  </si>
  <si>
    <t>21.3. - 31.3</t>
  </si>
  <si>
    <t>0,075l</t>
  </si>
  <si>
    <t>21.5. - 20.6.</t>
  </si>
  <si>
    <t>11 (Zinsansatz)+412</t>
  </si>
  <si>
    <t>11 (Zinsansatz) + 377</t>
  </si>
  <si>
    <r>
      <t>Total amount [kg or 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/ha]</t>
    </r>
  </si>
  <si>
    <t>25 % MgO, 50 % SO3</t>
  </si>
  <si>
    <t>100 % CaO</t>
  </si>
  <si>
    <t>2kg+2kg+2kg</t>
  </si>
  <si>
    <t>Brandenburg</t>
  </si>
  <si>
    <t>DE 40</t>
  </si>
  <si>
    <t>LBG3</t>
  </si>
  <si>
    <t>Sandy loam</t>
  </si>
  <si>
    <t>29-35</t>
  </si>
  <si>
    <t xml:space="preserve">Contact person:
</t>
  </si>
  <si>
    <t xml:space="preserve">1. Inka Notz, ZALF. Contact: inka.notz@zalf.de </t>
  </si>
  <si>
    <t>2. Moritz Reckling, ZALF. Contact: moritz.reckling@zalf.de</t>
  </si>
  <si>
    <t xml:space="preserve">Acknowledgement to:
</t>
  </si>
  <si>
    <t>Moritz Reckling, Johannes Hufnagel, Renate Wille, Gunhild Rosner, Inka Notz (ZALF)</t>
  </si>
  <si>
    <t>How representative are the data?</t>
  </si>
  <si>
    <t>Data representing practical farming?</t>
  </si>
  <si>
    <t>Yes</t>
  </si>
  <si>
    <t xml:space="preserve">The rotations were based on expert knowledge informed by IACS  and incorporating  the interests of the regional actor group "Brandenburg Farmers' Network". </t>
  </si>
  <si>
    <t>Therefore the data are typical in terms of crop choice and management for the region and also display interesting new crops for the region (soybean).</t>
  </si>
  <si>
    <t>Data coming from averages over several years?</t>
  </si>
  <si>
    <t>Management and yield data were compiled mainly on basis of the "Datensammlung für die betriebswirtschaftliche Bewertung landwirtschaftlicher Produktionsverfahren im Land Brandenburg". Pre-crop effects were incorporated.</t>
  </si>
  <si>
    <t xml:space="preserve">Therefore they are expert-derived crop rotations displaying typical management and yield data for this region. </t>
  </si>
  <si>
    <t>Data for yield stability?</t>
  </si>
  <si>
    <t>Average yields from this data cannot be compared with the data in the rotations!</t>
  </si>
  <si>
    <t>Can differences between the rotations be traced back to the presence of the legume alone?</t>
  </si>
  <si>
    <t>There are no differences in the management and yield of the other crops.</t>
  </si>
  <si>
    <t>Data are coming from regional statistics.</t>
  </si>
  <si>
    <t>Crop prices were based on averages of 2016-2018 from the MIO Marktinformation Ost, in terms of lupin "LfL Deckungsbeiträge und Kalkulationsdaten" was taken as data source.</t>
  </si>
  <si>
    <t>Crop [name of crop]: Winter rye</t>
  </si>
  <si>
    <t>Crop [name of crop]: Winter rape</t>
  </si>
  <si>
    <t>Crop [name of crop]: Pea</t>
  </si>
  <si>
    <t>Crop [name of crop]: Lupin</t>
  </si>
  <si>
    <t>Without legumes</t>
  </si>
  <si>
    <t>wrye</t>
  </si>
  <si>
    <t>wrape</t>
  </si>
  <si>
    <t>With legumes option 1</t>
  </si>
  <si>
    <t>pea</t>
  </si>
  <si>
    <t>With legumes option 2</t>
  </si>
  <si>
    <t>lupin</t>
  </si>
  <si>
    <t>Crop 1</t>
  </si>
  <si>
    <t>Crop 2</t>
  </si>
  <si>
    <t>Crop 3</t>
  </si>
  <si>
    <t>Crop 4</t>
  </si>
  <si>
    <t xml:space="preserve">Without legumes: </t>
  </si>
  <si>
    <t>wwheat</t>
  </si>
  <si>
    <t>wbarley</t>
  </si>
  <si>
    <t xml:space="preserve">With legumes option 1: </t>
  </si>
  <si>
    <t xml:space="preserve">With legumes option 2: </t>
  </si>
  <si>
    <t>Soy</t>
  </si>
  <si>
    <t>Wheat</t>
  </si>
  <si>
    <t>Faba bean</t>
  </si>
  <si>
    <t>Content N</t>
  </si>
  <si>
    <t>Yield DM</t>
  </si>
  <si>
    <t>Triticale</t>
  </si>
  <si>
    <r>
      <t xml:space="preserve">HS = - </t>
    </r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pi ln pi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</si>
  <si>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=ln S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</si>
  <si>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:</t>
    </r>
  </si>
  <si>
    <t>Crop species</t>
  </si>
  <si>
    <t>Share in crop rotation</t>
  </si>
  <si>
    <r>
      <t>p</t>
    </r>
    <r>
      <rPr>
        <vertAlign val="subscript"/>
        <sz val="11"/>
        <color theme="1"/>
        <rFont val="Calibri"/>
        <family val="2"/>
        <scheme val="minor"/>
      </rPr>
      <t>i</t>
    </r>
  </si>
  <si>
    <r>
      <t>ln p</t>
    </r>
    <r>
      <rPr>
        <vertAlign val="subscript"/>
        <sz val="11"/>
        <color theme="1"/>
        <rFont val="Calibri"/>
        <family val="2"/>
        <scheme val="minor"/>
      </rPr>
      <t>i</t>
    </r>
  </si>
  <si>
    <t>ln pi x pi</t>
  </si>
  <si>
    <t>Cereal crop</t>
  </si>
  <si>
    <t>Leaf crop</t>
  </si>
  <si>
    <t>Legume</t>
  </si>
  <si>
    <t>Gross margin (prices feed calculator)</t>
  </si>
  <si>
    <t>GM with CO2 tax I</t>
  </si>
  <si>
    <t>GM with CO2 tax II</t>
  </si>
  <si>
    <t>NO3 leaching [kg/ha]</t>
  </si>
  <si>
    <t>N fertilizer use [kg/ha]</t>
  </si>
  <si>
    <t>Mineral fertilizer input [kg/ha]</t>
  </si>
  <si>
    <r>
      <t>N fertilizer in 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e</t>
    </r>
  </si>
  <si>
    <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 emissions [kg/ha]</t>
    </r>
  </si>
  <si>
    <t>Crop diversity</t>
  </si>
  <si>
    <t>Protein yield [kg/ha]</t>
  </si>
  <si>
    <t>Coefficient of variation</t>
  </si>
  <si>
    <t>N fertilizers</t>
  </si>
  <si>
    <t>Yield stability (CV)</t>
  </si>
  <si>
    <t>Crop</t>
  </si>
  <si>
    <t>Dry matter fraction of harvested product (DRY):</t>
  </si>
  <si>
    <t>Generic values for crops not indicated below</t>
  </si>
  <si>
    <t>Generic Grains</t>
  </si>
  <si>
    <t>Winter Wheat</t>
  </si>
  <si>
    <t>Spring Wheat</t>
  </si>
  <si>
    <t>Barley</t>
  </si>
  <si>
    <t>Oats</t>
  </si>
  <si>
    <t>Maize</t>
  </si>
  <si>
    <t>Rye</t>
  </si>
  <si>
    <t>Rice</t>
  </si>
  <si>
    <t>Millet</t>
  </si>
  <si>
    <t>Sorghum</t>
  </si>
  <si>
    <t>Beans and Pulses</t>
  </si>
  <si>
    <t>Soybeans</t>
  </si>
  <si>
    <t>Potatoes and Tubers</t>
  </si>
  <si>
    <t>Peanuts</t>
  </si>
  <si>
    <t>Alfafa</t>
  </si>
  <si>
    <t>Non-legume hay</t>
  </si>
  <si>
    <t>N-fixing forage</t>
  </si>
  <si>
    <t>Non-N-fixing forage</t>
  </si>
  <si>
    <t>Perennial Grasses</t>
  </si>
  <si>
    <t>Grass-Clover Mixtures</t>
  </si>
  <si>
    <t>Climate</t>
  </si>
  <si>
    <t>wet</t>
  </si>
  <si>
    <t>FracGas</t>
  </si>
  <si>
    <t>Leaching</t>
  </si>
  <si>
    <t>Residue N</t>
  </si>
  <si>
    <t>Above</t>
  </si>
  <si>
    <t>Below</t>
  </si>
  <si>
    <t>N2O above</t>
  </si>
  <si>
    <t>N2O below</t>
  </si>
  <si>
    <t>Total</t>
  </si>
  <si>
    <t>N2O-N emissions</t>
  </si>
  <si>
    <t>Fert</t>
  </si>
  <si>
    <t>Volat</t>
  </si>
  <si>
    <t>Residue</t>
  </si>
  <si>
    <t>N2O emissions</t>
  </si>
  <si>
    <t>dry</t>
  </si>
  <si>
    <t>Convert to kg N2O</t>
  </si>
  <si>
    <t>FracGasF / FracGasM</t>
  </si>
  <si>
    <t>ID for mapping</t>
  </si>
  <si>
    <t>N content above-ground residues Nag(T):</t>
  </si>
  <si>
    <t>N content below-ground residues  Nbg(T):</t>
  </si>
  <si>
    <t xml:space="preserve"> Ratio above-ground residues dry matter to harvest yield
Rag (T):</t>
  </si>
  <si>
    <t>Ratio of below ground biomass to above ground biomass RS(T):</t>
  </si>
  <si>
    <t>FracRenew</t>
  </si>
  <si>
    <t>Straw DM</t>
  </si>
  <si>
    <t>EF1 - synthetic fert</t>
  </si>
  <si>
    <t>Urea</t>
  </si>
  <si>
    <t>Value for Urea</t>
  </si>
  <si>
    <t>EF1 - organic N</t>
  </si>
  <si>
    <t>Ammonium</t>
  </si>
  <si>
    <t>Value for Ammonium based</t>
  </si>
  <si>
    <t>EF4</t>
  </si>
  <si>
    <t>Nitrate</t>
  </si>
  <si>
    <t>Value for Nitrate based</t>
  </si>
  <si>
    <t>AN</t>
  </si>
  <si>
    <t>Value for ammonium-Nitrate based</t>
  </si>
  <si>
    <t>Default</t>
  </si>
  <si>
    <t>FYM</t>
  </si>
  <si>
    <t>NPK</t>
  </si>
  <si>
    <t>NH4NO3</t>
  </si>
  <si>
    <t>Euroserial Duo</t>
  </si>
  <si>
    <t>Sulfano</t>
  </si>
  <si>
    <t>DAP</t>
  </si>
  <si>
    <t>Lebosol</t>
  </si>
  <si>
    <t>CAN</t>
  </si>
  <si>
    <t>Urea 120</t>
  </si>
  <si>
    <t>N8P16K20 +SO3+B</t>
  </si>
  <si>
    <t>MAP</t>
  </si>
  <si>
    <t>Other</t>
  </si>
  <si>
    <t>NP</t>
  </si>
  <si>
    <t>Anhydrous ammonia</t>
  </si>
  <si>
    <t>ammonium nitrate</t>
  </si>
  <si>
    <t>Diammofoska</t>
  </si>
  <si>
    <t>Ammonium sulfate</t>
  </si>
  <si>
    <t>Nitroamofoska</t>
  </si>
  <si>
    <t>Urea (carbamide)</t>
  </si>
  <si>
    <t>VK gelb</t>
  </si>
  <si>
    <t>NAC</t>
  </si>
  <si>
    <t>Alzon</t>
  </si>
  <si>
    <t>Diammonium phosphate</t>
  </si>
  <si>
    <t>Yara tris</t>
  </si>
  <si>
    <t>UMOSTART G MAXI</t>
  </si>
  <si>
    <t>Harnstoff</t>
  </si>
  <si>
    <t>Gülle</t>
  </si>
  <si>
    <t>Entec</t>
  </si>
  <si>
    <t>Mischdünger</t>
  </si>
  <si>
    <t>N</t>
  </si>
  <si>
    <t>IPCCID</t>
  </si>
  <si>
    <t>Field pea</t>
  </si>
  <si>
    <t>Spring barley</t>
  </si>
  <si>
    <t>Winter barley</t>
  </si>
  <si>
    <t>Winter oat</t>
  </si>
  <si>
    <t>Winter wheat</t>
  </si>
  <si>
    <t>Soya</t>
  </si>
  <si>
    <t>Sunflower</t>
  </si>
  <si>
    <t>Dry bean</t>
  </si>
  <si>
    <t>Forage pea</t>
  </si>
  <si>
    <t>Soybean</t>
  </si>
  <si>
    <t>Corn</t>
  </si>
  <si>
    <t>Sugar beet</t>
  </si>
  <si>
    <t>Winter rapeseed</t>
  </si>
  <si>
    <t>Yield [t/ha]</t>
  </si>
  <si>
    <t>N fertilizer [kg/ha]</t>
  </si>
  <si>
    <t>N manure P [kg/ha]</t>
  </si>
  <si>
    <t>N input [kg/ha]</t>
  </si>
  <si>
    <t>N mineralization [kg/ha]</t>
  </si>
  <si>
    <t>N dfS [kg/ha]</t>
  </si>
  <si>
    <t>N surplus [kg/ha]</t>
  </si>
  <si>
    <t>N leaching [kg/ha]</t>
  </si>
  <si>
    <t>Leaching probability</t>
  </si>
  <si>
    <t>Calculations</t>
  </si>
  <si>
    <t>-&gt; valid for non-legumes</t>
  </si>
  <si>
    <t>-&gt; valid for legumes and non-legumes</t>
  </si>
  <si>
    <t>(N input encloses additional N from seed)</t>
  </si>
  <si>
    <t>Yield FM [t/ha]</t>
  </si>
  <si>
    <t>DM content</t>
  </si>
  <si>
    <t>Yield DM [t/ha]</t>
  </si>
  <si>
    <t>Crude protein [% DM]</t>
  </si>
  <si>
    <t>Protein output [t/ha]</t>
  </si>
  <si>
    <t>Protein output rotations [kg/ha]</t>
  </si>
  <si>
    <t>Gross energy [GJ/t DM]</t>
  </si>
  <si>
    <t>Energy output [GJ/ha]</t>
  </si>
  <si>
    <t xml:space="preserve">Energy output rotations [GJ/ha] </t>
  </si>
  <si>
    <t xml:space="preserve">Rye </t>
  </si>
  <si>
    <t>Tritcale</t>
  </si>
  <si>
    <t>Rapeseeds</t>
  </si>
  <si>
    <t>Blue lupin</t>
  </si>
  <si>
    <t>Pea seeds</t>
  </si>
  <si>
    <t>Oat</t>
  </si>
  <si>
    <t>Maize silage</t>
  </si>
  <si>
    <t>Alfalfa</t>
  </si>
  <si>
    <t>Maize grain</t>
  </si>
  <si>
    <t>Common bean</t>
  </si>
  <si>
    <t>Pea forage</t>
  </si>
  <si>
    <t>Sugar beet roots</t>
  </si>
  <si>
    <t>Red clover</t>
  </si>
  <si>
    <t>Grass</t>
  </si>
  <si>
    <t>Barley silage</t>
  </si>
  <si>
    <t>Pea forage(60%)/barley silage (40%)</t>
  </si>
  <si>
    <t>Wheat forage</t>
  </si>
  <si>
    <t>Grass-clover</t>
  </si>
  <si>
    <t>Data source: IPCC guidelines for national greenhouse gas inventories</t>
  </si>
  <si>
    <t xml:space="preserve">Data source: </t>
  </si>
  <si>
    <t xml:space="preserve">https://www.feedipedia.org/ </t>
  </si>
  <si>
    <t>https://www.feedtables.com/</t>
  </si>
  <si>
    <t>Price [€/t]</t>
  </si>
  <si>
    <t>Revenue [€/ha]</t>
  </si>
  <si>
    <t>Straw [t/ha]</t>
  </si>
  <si>
    <t>Variable costs [€/ha]</t>
  </si>
  <si>
    <t>Gross margin [€/ha]</t>
  </si>
  <si>
    <t>Gross margin rotation [€/ha]</t>
  </si>
  <si>
    <t>GM 'feed calculator' per crop [€/ha]</t>
  </si>
  <si>
    <t>GM 'feed calculator' per rotation [€/ha]</t>
  </si>
  <si>
    <t>Prices feed calculator*</t>
  </si>
  <si>
    <t>Input prices [€/t] (Eurostat: https://ec.europa.eu/eurostat/databrowser/view/APRI_AP_INA__custom_152018/default/table?lang=en)</t>
  </si>
  <si>
    <t>Output prices  [€/t]</t>
  </si>
  <si>
    <t>*Landesbetrieb Landwirtschaft Hessen (LLH) (2018) Berechnung der Preiswürdigkeit von</t>
  </si>
  <si>
    <t>Einzelfuttermitteln für Schweine nach der Austauschmethode Löhr. Excel-based calculation tool. Landesbetrieb</t>
  </si>
  <si>
    <t>Landwirtschaft Hessen. Available at: https://www.proteinmarkt.de/aktuelles/schweine/rationsberechnung</t>
  </si>
  <si>
    <t>Total amount [kg/ha]</t>
  </si>
  <si>
    <t xml:space="preserve">N [kg/ha]  </t>
  </si>
  <si>
    <t xml:space="preserve">Total N per crop [kg/ha]  </t>
  </si>
  <si>
    <t xml:space="preserve">Total N rotation [kg/ha]  </t>
  </si>
  <si>
    <t>Kieserit</t>
  </si>
  <si>
    <t>Nfix [kg/ha]</t>
  </si>
  <si>
    <t xml:space="preserve"> N leaching= N surplus * Leaching probability * N leach_corr</t>
  </si>
  <si>
    <t>N surplus = N input + Nminpa - N dfs</t>
  </si>
  <si>
    <t>N surplus = N minfert + N manure P + Nminpa - N dfs</t>
  </si>
  <si>
    <t xml:space="preserve">N dfs is the nitrogen derived from soil </t>
  </si>
  <si>
    <t>N dfs = N uptake - N fix</t>
  </si>
  <si>
    <t>-&gt; N uptake is the N accumulated by the crop and N fix is BNF of grain and forage legumes</t>
  </si>
  <si>
    <t>Gross margin (standard) [€/ha]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</si>
</sst>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"/>
    <numFmt numFmtId="166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vertAlign val="superscript"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9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29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8" borderId="0" xfId="0" applyFill="1"/>
    <xf numFmtId="0" fontId="0" fillId="8" borderId="0" xfId="0" applyFill="1" applyAlignment="1"/>
    <xf numFmtId="0" fontId="0" fillId="0" borderId="10" xfId="0" applyBorder="1"/>
    <xf numFmtId="0" fontId="0" fillId="0" borderId="12" xfId="0" applyBorder="1" applyAlignment="1"/>
    <xf numFmtId="0" fontId="0" fillId="0" borderId="13" xfId="0" applyBorder="1"/>
    <xf numFmtId="0" fontId="0" fillId="0" borderId="14" xfId="0" applyBorder="1" applyAlignment="1"/>
    <xf numFmtId="0" fontId="0" fillId="4" borderId="14" xfId="0" applyFill="1" applyBorder="1"/>
    <xf numFmtId="0" fontId="0" fillId="0" borderId="18" xfId="0" applyBorder="1"/>
    <xf numFmtId="0" fontId="0" fillId="6" borderId="14" xfId="0" applyFill="1" applyBorder="1"/>
    <xf numFmtId="0" fontId="0" fillId="3" borderId="14" xfId="0" applyFill="1" applyBorder="1"/>
    <xf numFmtId="0" fontId="0" fillId="0" borderId="13" xfId="0" applyBorder="1" applyAlignment="1">
      <alignment horizontal="center" textRotation="90"/>
    </xf>
    <xf numFmtId="0" fontId="0" fillId="3" borderId="14" xfId="0" applyFill="1" applyBorder="1" applyAlignment="1">
      <alignment wrapText="1"/>
    </xf>
    <xf numFmtId="0" fontId="1" fillId="8" borderId="7" xfId="0" applyFont="1" applyFill="1" applyBorder="1" applyAlignment="1"/>
    <xf numFmtId="0" fontId="0" fillId="0" borderId="21" xfId="0" applyBorder="1"/>
    <xf numFmtId="0" fontId="1" fillId="0" borderId="8" xfId="0" applyFont="1" applyBorder="1"/>
    <xf numFmtId="0" fontId="0" fillId="8" borderId="0" xfId="0" applyFill="1" applyBorder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/>
    <xf numFmtId="0" fontId="0" fillId="8" borderId="7" xfId="0" applyFill="1" applyBorder="1"/>
    <xf numFmtId="0" fontId="0" fillId="3" borderId="16" xfId="0" applyFill="1" applyBorder="1"/>
    <xf numFmtId="0" fontId="0" fillId="0" borderId="0" xfId="0" applyBorder="1"/>
    <xf numFmtId="0" fontId="0" fillId="8" borderId="3" xfId="0" applyFill="1" applyBorder="1"/>
    <xf numFmtId="0" fontId="0" fillId="8" borderId="27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9" borderId="19" xfId="0" applyFont="1" applyFill="1" applyBorder="1"/>
    <xf numFmtId="0" fontId="3" fillId="9" borderId="14" xfId="0" applyFont="1" applyFill="1" applyBorder="1"/>
    <xf numFmtId="0" fontId="0" fillId="8" borderId="28" xfId="0" applyFill="1" applyBorder="1"/>
    <xf numFmtId="0" fontId="0" fillId="3" borderId="19" xfId="0" applyFill="1" applyBorder="1"/>
    <xf numFmtId="0" fontId="0" fillId="3" borderId="32" xfId="0" applyFill="1" applyBorder="1"/>
    <xf numFmtId="0" fontId="0" fillId="3" borderId="8" xfId="0" applyFill="1" applyBorder="1"/>
    <xf numFmtId="0" fontId="0" fillId="6" borderId="44" xfId="0" applyFill="1" applyBorder="1"/>
    <xf numFmtId="0" fontId="0" fillId="6" borderId="32" xfId="0" applyFill="1" applyBorder="1"/>
    <xf numFmtId="0" fontId="3" fillId="4" borderId="44" xfId="0" applyFont="1" applyFill="1" applyBorder="1"/>
    <xf numFmtId="0" fontId="0" fillId="4" borderId="32" xfId="0" applyFill="1" applyBorder="1" applyAlignment="1">
      <alignment wrapText="1"/>
    </xf>
    <xf numFmtId="0" fontId="0" fillId="0" borderId="18" xfId="0" applyBorder="1" applyAlignment="1"/>
    <xf numFmtId="0" fontId="0" fillId="9" borderId="32" xfId="0" applyFill="1" applyBorder="1"/>
    <xf numFmtId="0" fontId="0" fillId="3" borderId="44" xfId="0" applyFill="1" applyBorder="1"/>
    <xf numFmtId="0" fontId="0" fillId="4" borderId="32" xfId="0" applyFill="1" applyBorder="1"/>
    <xf numFmtId="0" fontId="0" fillId="4" borderId="19" xfId="0" applyFill="1" applyBorder="1"/>
    <xf numFmtId="0" fontId="0" fillId="4" borderId="8" xfId="0" applyFill="1" applyBorder="1"/>
    <xf numFmtId="0" fontId="0" fillId="8" borderId="10" xfId="0" applyFill="1" applyBorder="1"/>
    <xf numFmtId="0" fontId="1" fillId="8" borderId="50" xfId="0" applyFont="1" applyFill="1" applyBorder="1" applyAlignment="1"/>
    <xf numFmtId="0" fontId="0" fillId="8" borderId="50" xfId="0" applyFill="1" applyBorder="1"/>
    <xf numFmtId="0" fontId="3" fillId="9" borderId="52" xfId="0" applyFont="1" applyFill="1" applyBorder="1"/>
    <xf numFmtId="0" fontId="0" fillId="9" borderId="51" xfId="0" applyFill="1" applyBorder="1"/>
    <xf numFmtId="0" fontId="0" fillId="8" borderId="1" xfId="0" applyFill="1" applyBorder="1"/>
    <xf numFmtId="0" fontId="0" fillId="8" borderId="10" xfId="0" applyFill="1" applyBorder="1" applyAlignment="1"/>
    <xf numFmtId="0" fontId="0" fillId="8" borderId="34" xfId="0" applyFill="1" applyBorder="1"/>
    <xf numFmtId="165" fontId="0" fillId="0" borderId="0" xfId="0" applyNumberFormat="1"/>
    <xf numFmtId="0" fontId="0" fillId="3" borderId="0" xfId="0" applyFill="1"/>
    <xf numFmtId="0" fontId="3" fillId="8" borderId="0" xfId="0" applyFont="1" applyFill="1" applyBorder="1" applyAlignment="1"/>
    <xf numFmtId="0" fontId="3" fillId="8" borderId="0" xfId="0" applyFont="1" applyFill="1"/>
    <xf numFmtId="0" fontId="3" fillId="8" borderId="0" xfId="0" applyFont="1" applyFill="1" applyAlignment="1"/>
    <xf numFmtId="0" fontId="3" fillId="8" borderId="1" xfId="0" applyFont="1" applyFill="1" applyBorder="1" applyAlignment="1"/>
    <xf numFmtId="0" fontId="3" fillId="8" borderId="7" xfId="0" applyFont="1" applyFill="1" applyBorder="1"/>
    <xf numFmtId="0" fontId="3" fillId="8" borderId="0" xfId="0" applyFont="1" applyFill="1" applyBorder="1"/>
    <xf numFmtId="0" fontId="3" fillId="4" borderId="45" xfId="0" applyFont="1" applyFill="1" applyBorder="1" applyAlignment="1"/>
    <xf numFmtId="0" fontId="3" fillId="4" borderId="1" xfId="0" applyFont="1" applyFill="1" applyBorder="1" applyAlignment="1"/>
    <xf numFmtId="0" fontId="3" fillId="4" borderId="5" xfId="0" applyFont="1" applyFill="1" applyBorder="1" applyAlignment="1"/>
    <xf numFmtId="0" fontId="3" fillId="6" borderId="34" xfId="0" applyFont="1" applyFill="1" applyBorder="1" applyAlignment="1"/>
    <xf numFmtId="0" fontId="3" fillId="3" borderId="56" xfId="0" applyFont="1" applyFill="1" applyBorder="1" applyAlignment="1">
      <alignment horizontal="center"/>
    </xf>
    <xf numFmtId="0" fontId="3" fillId="3" borderId="57" xfId="0" applyFont="1" applyFill="1" applyBorder="1" applyAlignment="1"/>
    <xf numFmtId="0" fontId="3" fillId="3" borderId="57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9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/>
    <xf numFmtId="0" fontId="3" fillId="3" borderId="5" xfId="0" applyFont="1" applyFill="1" applyBorder="1" applyAlignment="1">
      <alignment horizontal="center"/>
    </xf>
    <xf numFmtId="0" fontId="3" fillId="3" borderId="1" xfId="0" applyFont="1" applyFill="1" applyBorder="1" applyAlignment="1"/>
    <xf numFmtId="9" fontId="3" fillId="3" borderId="1" xfId="0" applyNumberFormat="1" applyFont="1" applyFill="1" applyBorder="1" applyAlignment="1"/>
    <xf numFmtId="0" fontId="3" fillId="3" borderId="1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41" xfId="0" applyFont="1" applyFill="1" applyBorder="1" applyAlignment="1">
      <alignment horizontal="center"/>
    </xf>
    <xf numFmtId="0" fontId="3" fillId="3" borderId="0" xfId="0" applyFont="1" applyFill="1"/>
    <xf numFmtId="0" fontId="3" fillId="3" borderId="2" xfId="0" applyFont="1" applyFill="1" applyBorder="1" applyAlignment="1"/>
    <xf numFmtId="0" fontId="3" fillId="3" borderId="43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center"/>
    </xf>
    <xf numFmtId="0" fontId="3" fillId="3" borderId="26" xfId="0" applyFont="1" applyFill="1" applyBorder="1" applyAlignment="1"/>
    <xf numFmtId="0" fontId="3" fillId="3" borderId="43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3" fillId="3" borderId="34" xfId="0" applyFont="1" applyFill="1" applyBorder="1" applyAlignment="1"/>
    <xf numFmtId="0" fontId="3" fillId="3" borderId="36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37" xfId="0" applyFont="1" applyFill="1" applyBorder="1" applyAlignment="1">
      <alignment wrapText="1"/>
    </xf>
    <xf numFmtId="0" fontId="3" fillId="3" borderId="37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/>
    <xf numFmtId="0" fontId="3" fillId="3" borderId="33" xfId="0" applyFont="1" applyFill="1" applyBorder="1" applyAlignment="1">
      <alignment horizontal="center"/>
    </xf>
    <xf numFmtId="0" fontId="3" fillId="3" borderId="33" xfId="0" applyFont="1" applyFill="1" applyBorder="1" applyAlignment="1"/>
    <xf numFmtId="0" fontId="3" fillId="3" borderId="37" xfId="0" applyFont="1" applyFill="1" applyBorder="1" applyAlignment="1"/>
    <xf numFmtId="0" fontId="3" fillId="8" borderId="3" xfId="0" applyFont="1" applyFill="1" applyBorder="1"/>
    <xf numFmtId="0" fontId="3" fillId="6" borderId="37" xfId="0" applyFont="1" applyFill="1" applyBorder="1" applyAlignment="1">
      <alignment horizontal="center"/>
    </xf>
    <xf numFmtId="0" fontId="3" fillId="8" borderId="10" xfId="0" applyFont="1" applyFill="1" applyBorder="1"/>
    <xf numFmtId="0" fontId="3" fillId="6" borderId="5" xfId="0" applyFont="1" applyFill="1" applyBorder="1" applyAlignment="1"/>
    <xf numFmtId="0" fontId="3" fillId="6" borderId="1" xfId="0" applyFont="1" applyFill="1" applyBorder="1" applyAlignment="1"/>
    <xf numFmtId="0" fontId="3" fillId="4" borderId="3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0" fontId="3" fillId="8" borderId="27" xfId="0" applyFont="1" applyFill="1" applyBorder="1"/>
    <xf numFmtId="0" fontId="3" fillId="0" borderId="0" xfId="0" applyFont="1"/>
    <xf numFmtId="0" fontId="3" fillId="8" borderId="34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7" fillId="0" borderId="0" xfId="0" applyFont="1"/>
    <xf numFmtId="0" fontId="3" fillId="3" borderId="4" xfId="0" applyFont="1" applyFill="1" applyBorder="1" applyAlignment="1">
      <alignment horizontal="center"/>
    </xf>
    <xf numFmtId="0" fontId="3" fillId="3" borderId="60" xfId="0" applyFont="1" applyFill="1" applyBorder="1" applyAlignment="1">
      <alignment horizontal="center"/>
    </xf>
    <xf numFmtId="9" fontId="0" fillId="0" borderId="0" xfId="1" applyFont="1"/>
    <xf numFmtId="9" fontId="0" fillId="0" borderId="0" xfId="0" applyNumberFormat="1"/>
    <xf numFmtId="2" fontId="10" fillId="0" borderId="61" xfId="2" applyNumberFormat="1" applyFont="1" applyFill="1" applyBorder="1" applyAlignment="1">
      <alignment horizontal="right" wrapText="1"/>
    </xf>
    <xf numFmtId="0" fontId="10" fillId="0" borderId="61" xfId="3" applyFont="1" applyFill="1" applyBorder="1" applyAlignment="1">
      <alignment wrapText="1"/>
    </xf>
    <xf numFmtId="2" fontId="0" fillId="0" borderId="0" xfId="0" applyNumberFormat="1"/>
    <xf numFmtId="10" fontId="0" fillId="0" borderId="0" xfId="0" applyNumberFormat="1"/>
    <xf numFmtId="0" fontId="10" fillId="0" borderId="0" xfId="5" applyFont="1" applyFill="1" applyBorder="1" applyAlignment="1">
      <alignment wrapText="1"/>
    </xf>
    <xf numFmtId="0" fontId="10" fillId="0" borderId="0" xfId="4" applyFont="1" applyFill="1" applyBorder="1" applyAlignment="1"/>
    <xf numFmtId="0" fontId="0" fillId="0" borderId="0" xfId="0" applyNumberFormat="1"/>
    <xf numFmtId="0" fontId="10" fillId="0" borderId="0" xfId="4" applyFont="1" applyFill="1" applyBorder="1" applyAlignment="1">
      <alignment wrapText="1"/>
    </xf>
    <xf numFmtId="0" fontId="10" fillId="0" borderId="3" xfId="6" applyFont="1" applyFill="1" applyBorder="1" applyAlignment="1">
      <alignment horizontal="left" wrapText="1"/>
    </xf>
    <xf numFmtId="0" fontId="10" fillId="0" borderId="3" xfId="6" applyFont="1" applyFill="1" applyBorder="1" applyAlignment="1">
      <alignment horizontal="right" wrapText="1"/>
    </xf>
    <xf numFmtId="0" fontId="0" fillId="0" borderId="0" xfId="0" applyFill="1"/>
    <xf numFmtId="2" fontId="10" fillId="0" borderId="0" xfId="2" applyNumberFormat="1" applyFont="1" applyFill="1" applyBorder="1" applyAlignment="1">
      <alignment horizontal="right" wrapText="1"/>
    </xf>
    <xf numFmtId="0" fontId="0" fillId="0" borderId="7" xfId="0" applyBorder="1"/>
    <xf numFmtId="2" fontId="10" fillId="0" borderId="62" xfId="2" applyNumberFormat="1" applyFont="1" applyFill="1" applyBorder="1" applyAlignment="1">
      <alignment horizontal="right" wrapText="1"/>
    </xf>
    <xf numFmtId="2" fontId="10" fillId="0" borderId="63" xfId="2" applyNumberFormat="1" applyFont="1" applyFill="1" applyBorder="1" applyAlignment="1">
      <alignment horizontal="right" wrapText="1"/>
    </xf>
    <xf numFmtId="0" fontId="0" fillId="0" borderId="28" xfId="0" applyBorder="1"/>
    <xf numFmtId="0" fontId="1" fillId="0" borderId="6" xfId="0" applyFont="1" applyBorder="1"/>
    <xf numFmtId="0" fontId="1" fillId="0" borderId="28" xfId="0" applyFont="1" applyBorder="1"/>
    <xf numFmtId="2" fontId="10" fillId="0" borderId="7" xfId="2" applyNumberFormat="1" applyFont="1" applyFill="1" applyBorder="1" applyAlignment="1">
      <alignment horizontal="right" wrapText="1"/>
    </xf>
    <xf numFmtId="0" fontId="0" fillId="0" borderId="0" xfId="0" applyFill="1" applyBorder="1"/>
    <xf numFmtId="0" fontId="0" fillId="11" borderId="0" xfId="0" applyFill="1"/>
    <xf numFmtId="0" fontId="1" fillId="0" borderId="0" xfId="0" applyFont="1" applyBorder="1"/>
    <xf numFmtId="0" fontId="0" fillId="0" borderId="27" xfId="0" applyFill="1" applyBorder="1" applyAlignment="1">
      <alignment horizontal="center" vertical="center" wrapText="1"/>
    </xf>
    <xf numFmtId="0" fontId="0" fillId="0" borderId="64" xfId="0" applyFill="1" applyBorder="1" applyAlignment="1">
      <alignment horizontal="center" vertical="center"/>
    </xf>
    <xf numFmtId="0" fontId="0" fillId="0" borderId="64" xfId="0" applyFill="1" applyBorder="1" applyAlignment="1">
      <alignment horizontal="center" vertical="center" wrapText="1"/>
    </xf>
    <xf numFmtId="164" fontId="0" fillId="0" borderId="64" xfId="0" applyNumberFormat="1" applyFill="1" applyBorder="1" applyAlignment="1">
      <alignment horizontal="center" vertical="center" wrapText="1"/>
    </xf>
    <xf numFmtId="0" fontId="0" fillId="12" borderId="0" xfId="0" applyFill="1"/>
    <xf numFmtId="0" fontId="14" fillId="0" borderId="0" xfId="0" applyFont="1" applyBorder="1"/>
    <xf numFmtId="0" fontId="1" fillId="0" borderId="0" xfId="0" applyFont="1" applyFill="1" applyBorder="1"/>
    <xf numFmtId="0" fontId="10" fillId="0" borderId="65" xfId="6" applyFont="1" applyFill="1" applyBorder="1" applyAlignment="1">
      <alignment horizontal="right" wrapText="1"/>
    </xf>
    <xf numFmtId="1" fontId="0" fillId="0" borderId="0" xfId="0" applyNumberFormat="1"/>
    <xf numFmtId="0" fontId="1" fillId="13" borderId="0" xfId="0" applyFont="1" applyFill="1"/>
    <xf numFmtId="2" fontId="10" fillId="0" borderId="66" xfId="2" applyNumberFormat="1" applyFont="1" applyFill="1" applyBorder="1" applyAlignment="1">
      <alignment horizontal="right" wrapText="1"/>
    </xf>
    <xf numFmtId="1" fontId="15" fillId="0" borderId="67" xfId="0" applyNumberFormat="1" applyFont="1" applyFill="1" applyBorder="1" applyAlignment="1" applyProtection="1">
      <alignment horizontal="right" vertical="center" wrapText="1"/>
    </xf>
    <xf numFmtId="2" fontId="15" fillId="0" borderId="67" xfId="0" applyNumberFormat="1" applyFont="1" applyFill="1" applyBorder="1" applyAlignment="1" applyProtection="1">
      <alignment horizontal="right" vertical="center" wrapText="1"/>
    </xf>
    <xf numFmtId="2" fontId="10" fillId="0" borderId="68" xfId="2" applyNumberFormat="1" applyFont="1" applyFill="1" applyBorder="1" applyAlignment="1">
      <alignment horizontal="right" wrapText="1"/>
    </xf>
    <xf numFmtId="0" fontId="10" fillId="0" borderId="69" xfId="4" applyFont="1" applyFill="1" applyBorder="1" applyAlignment="1">
      <alignment wrapText="1"/>
    </xf>
    <xf numFmtId="166" fontId="0" fillId="0" borderId="0" xfId="0" applyNumberFormat="1"/>
    <xf numFmtId="0" fontId="10" fillId="0" borderId="69" xfId="5" applyFont="1" applyFill="1" applyBorder="1" applyAlignment="1">
      <alignment wrapText="1"/>
    </xf>
    <xf numFmtId="165" fontId="0" fillId="0" borderId="0" xfId="0" applyNumberFormat="1" applyFill="1" applyBorder="1"/>
    <xf numFmtId="0" fontId="0" fillId="9" borderId="0" xfId="0" applyFill="1"/>
    <xf numFmtId="1" fontId="15" fillId="0" borderId="0" xfId="0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3" fillId="9" borderId="43" xfId="0" applyFont="1" applyFill="1" applyBorder="1" applyAlignment="1">
      <alignment horizontal="center"/>
    </xf>
    <xf numFmtId="0" fontId="3" fillId="9" borderId="26" xfId="0" applyFont="1" applyFill="1" applyBorder="1" applyAlignment="1">
      <alignment horizontal="center"/>
    </xf>
    <xf numFmtId="0" fontId="3" fillId="9" borderId="39" xfId="0" applyFont="1" applyFill="1" applyBorder="1" applyAlignment="1">
      <alignment horizontal="center"/>
    </xf>
    <xf numFmtId="0" fontId="3" fillId="9" borderId="40" xfId="0" applyFont="1" applyFill="1" applyBorder="1" applyAlignment="1">
      <alignment horizontal="center"/>
    </xf>
    <xf numFmtId="0" fontId="3" fillId="4" borderId="53" xfId="0" applyFont="1" applyFill="1" applyBorder="1" applyAlignment="1">
      <alignment horizontal="center"/>
    </xf>
    <xf numFmtId="0" fontId="3" fillId="4" borderId="54" xfId="0" applyFont="1" applyFill="1" applyBorder="1" applyAlignment="1">
      <alignment horizontal="center"/>
    </xf>
    <xf numFmtId="0" fontId="3" fillId="4" borderId="46" xfId="0" applyFont="1" applyFill="1" applyBorder="1" applyAlignment="1">
      <alignment horizontal="center"/>
    </xf>
    <xf numFmtId="0" fontId="3" fillId="4" borderId="5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textRotation="90" wrapText="1"/>
    </xf>
    <xf numFmtId="0" fontId="0" fillId="4" borderId="3" xfId="0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3" fillId="9" borderId="35" xfId="0" applyFont="1" applyFill="1" applyBorder="1" applyAlignment="1">
      <alignment horizontal="center" vertical="center"/>
    </xf>
    <xf numFmtId="0" fontId="3" fillId="9" borderId="47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/>
    </xf>
    <xf numFmtId="0" fontId="3" fillId="4" borderId="47" xfId="0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 textRotation="90"/>
    </xf>
    <xf numFmtId="0" fontId="1" fillId="7" borderId="17" xfId="0" applyFont="1" applyFill="1" applyBorder="1" applyAlignment="1">
      <alignment horizontal="center" textRotation="90"/>
    </xf>
    <xf numFmtId="0" fontId="1" fillId="7" borderId="9" xfId="0" applyFont="1" applyFill="1" applyBorder="1" applyAlignment="1">
      <alignment horizontal="center" textRotation="90"/>
    </xf>
    <xf numFmtId="0" fontId="0" fillId="3" borderId="16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textRotation="90"/>
    </xf>
    <xf numFmtId="0" fontId="1" fillId="5" borderId="17" xfId="0" applyFont="1" applyFill="1" applyBorder="1" applyAlignment="1">
      <alignment horizontal="center" textRotation="90"/>
    </xf>
    <xf numFmtId="0" fontId="1" fillId="5" borderId="9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3" fillId="6" borderId="39" xfId="0" applyFont="1" applyFill="1" applyBorder="1" applyAlignment="1">
      <alignment horizontal="center"/>
    </xf>
    <xf numFmtId="0" fontId="3" fillId="6" borderId="40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6" borderId="51" xfId="0" applyFont="1" applyFill="1" applyBorder="1" applyAlignment="1">
      <alignment horizontal="center"/>
    </xf>
    <xf numFmtId="0" fontId="3" fillId="6" borderId="47" xfId="0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 textRotation="90"/>
    </xf>
    <xf numFmtId="0" fontId="1" fillId="7" borderId="13" xfId="0" applyFont="1" applyFill="1" applyBorder="1" applyAlignment="1">
      <alignment horizontal="center" textRotation="90"/>
    </xf>
    <xf numFmtId="0" fontId="1" fillId="7" borderId="23" xfId="0" applyFont="1" applyFill="1" applyBorder="1" applyAlignment="1">
      <alignment horizontal="center" textRotation="90"/>
    </xf>
    <xf numFmtId="0" fontId="3" fillId="6" borderId="7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wrapText="1"/>
    </xf>
    <xf numFmtId="0" fontId="0" fillId="6" borderId="18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3" fillId="6" borderId="20" xfId="0" applyFont="1" applyFill="1" applyBorder="1" applyAlignment="1">
      <alignment horizontal="center"/>
    </xf>
    <xf numFmtId="0" fontId="3" fillId="6" borderId="36" xfId="0" applyFont="1" applyFill="1" applyBorder="1" applyAlignment="1">
      <alignment horizontal="center"/>
    </xf>
    <xf numFmtId="0" fontId="3" fillId="6" borderId="38" xfId="0" applyFont="1" applyFill="1" applyBorder="1" applyAlignment="1">
      <alignment horizontal="center"/>
    </xf>
    <xf numFmtId="0" fontId="3" fillId="6" borderId="55" xfId="0" applyFont="1" applyFill="1" applyBorder="1" applyAlignment="1">
      <alignment horizontal="center"/>
    </xf>
    <xf numFmtId="0" fontId="3" fillId="6" borderId="54" xfId="0" applyFont="1" applyFill="1" applyBorder="1" applyAlignment="1">
      <alignment horizontal="center"/>
    </xf>
    <xf numFmtId="0" fontId="3" fillId="6" borderId="46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textRotation="90" wrapText="1"/>
    </xf>
    <xf numFmtId="0" fontId="1" fillId="2" borderId="17" xfId="0" applyFont="1" applyFill="1" applyBorder="1" applyAlignment="1">
      <alignment horizontal="center" textRotation="90" wrapText="1"/>
    </xf>
    <xf numFmtId="0" fontId="0" fillId="4" borderId="16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6" borderId="35" xfId="0" applyFont="1" applyFill="1" applyBorder="1" applyAlignment="1">
      <alignment horizontal="center"/>
    </xf>
    <xf numFmtId="0" fontId="3" fillId="4" borderId="35" xfId="0" quotePrefix="1" applyFont="1" applyFill="1" applyBorder="1" applyAlignment="1">
      <alignment horizontal="center"/>
    </xf>
    <xf numFmtId="0" fontId="3" fillId="4" borderId="34" xfId="0" applyFont="1" applyFill="1" applyBorder="1" applyAlignment="1">
      <alignment horizontal="center"/>
    </xf>
    <xf numFmtId="0" fontId="0" fillId="3" borderId="2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" xfId="0" quotePrefix="1" applyFont="1" applyFill="1" applyBorder="1" applyAlignment="1">
      <alignment horizontal="center"/>
    </xf>
    <xf numFmtId="0" fontId="3" fillId="3" borderId="1" xfId="0" quotePrefix="1" applyFont="1" applyFill="1" applyBorder="1" applyAlignment="1">
      <alignment horizontal="center"/>
    </xf>
    <xf numFmtId="0" fontId="3" fillId="3" borderId="33" xfId="0" quotePrefix="1" applyFont="1" applyFill="1" applyBorder="1" applyAlignment="1">
      <alignment horizontal="center"/>
    </xf>
    <xf numFmtId="0" fontId="3" fillId="3" borderId="34" xfId="0" quotePrefix="1" applyFont="1" applyFill="1" applyBorder="1" applyAlignment="1">
      <alignment horizontal="center"/>
    </xf>
    <xf numFmtId="0" fontId="0" fillId="3" borderId="16" xfId="0" applyFill="1" applyBorder="1" applyAlignment="1">
      <alignment horizontal="left" wrapText="1"/>
    </xf>
    <xf numFmtId="0" fontId="0" fillId="3" borderId="48" xfId="0" applyFill="1" applyBorder="1" applyAlignment="1">
      <alignment horizontal="left" wrapText="1"/>
    </xf>
    <xf numFmtId="0" fontId="3" fillId="3" borderId="59" xfId="0" applyFont="1" applyFill="1" applyBorder="1" applyAlignment="1">
      <alignment horizontal="center"/>
    </xf>
    <xf numFmtId="0" fontId="3" fillId="3" borderId="60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4" borderId="55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3" borderId="3" xfId="0" quotePrefix="1" applyFont="1" applyFill="1" applyBorder="1" applyAlignment="1">
      <alignment horizontal="center"/>
    </xf>
    <xf numFmtId="0" fontId="3" fillId="4" borderId="33" xfId="0" quotePrefix="1" applyFont="1" applyFill="1" applyBorder="1" applyAlignment="1">
      <alignment horizontal="center"/>
    </xf>
    <xf numFmtId="0" fontId="3" fillId="4" borderId="35" xfId="0" applyFont="1" applyFill="1" applyBorder="1" applyAlignment="1">
      <alignment horizontal="center"/>
    </xf>
  </cellXfs>
  <cellStyles count="7">
    <cellStyle name="Prozent" xfId="1" builtinId="5"/>
    <cellStyle name="Standard" xfId="0" builtinId="0"/>
    <cellStyle name="Standard_arable-legume" xfId="6"/>
    <cellStyle name="Standard_Input data crop_1" xfId="2"/>
    <cellStyle name="Standard_Input rotations" xfId="3"/>
    <cellStyle name="Standard_Tabelle1" xfId="4"/>
    <cellStyle name="Standard_Tabelle1_1" xfId="5"/>
  </cellStyles>
  <dxfs count="0"/>
  <tableStyles count="0" defaultTableStyle="TableStyleMedium2" defaultPivotStyle="PivotStyleLight16"/>
  <colors>
    <mruColors>
      <color rgb="FFCC99FF"/>
      <color rgb="FFCC9900"/>
      <color rgb="FF996600"/>
      <color rgb="FFCCCCFF"/>
      <color rgb="FF9933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9</xdr:col>
      <xdr:colOff>656167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2" y="0"/>
          <a:ext cx="11535832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first we want to ask you for the site characteristics of your region. If you have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 for more then one region or for different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sites within your region e.g. different soil types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we kindly ask you to copy the whole excel file and fill in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information for each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 or region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using one excel file per site or region.</a:t>
          </a:r>
          <a:endParaRPr lang="de-DE">
            <a:effectLst/>
          </a:endParaRPr>
        </a:p>
      </xdr:txBody>
    </xdr:sp>
    <xdr:clientData/>
  </xdr:twoCellAnchor>
  <xdr:twoCellAnchor>
    <xdr:from>
      <xdr:col>5</xdr:col>
      <xdr:colOff>133350</xdr:colOff>
      <xdr:row>3</xdr:row>
      <xdr:rowOff>114300</xdr:rowOff>
    </xdr:from>
    <xdr:to>
      <xdr:col>9</xdr:col>
      <xdr:colOff>638175</xdr:colOff>
      <xdr:row>6</xdr:row>
      <xdr:rowOff>66675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7962900" y="685800"/>
          <a:ext cx="35528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* You find an overview on the codes on following website: </a:t>
          </a:r>
        </a:p>
        <a:p>
          <a:r>
            <a:rPr lang="de-DE" sz="1100"/>
            <a:t>https://eur-lex.europa.eu/eli/reg/2016/2066/oj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433917</xdr:colOff>
      <xdr:row>4</xdr:row>
      <xdr:rowOff>163286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0" y="0"/>
          <a:ext cx="24831524" cy="92528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 b="1"/>
            <a:t>In the following four sheets please fill in information on crop rotations and crop production activities for all selected crops. </a:t>
          </a:r>
        </a:p>
        <a:p>
          <a:r>
            <a:rPr lang="de-DE" sz="1200" b="1"/>
            <a:t>Please provide at least three rotation examples, one without legumes that represents current farming and a minimum of two alternatives with legumes. The length of the rotation can vary and</a:t>
          </a:r>
          <a:r>
            <a:rPr lang="de-DE" sz="1200" b="1" baseline="0"/>
            <a:t> should at least have three years</a:t>
          </a:r>
          <a:r>
            <a:rPr lang="de-DE" sz="1200" b="1"/>
            <a:t>.</a:t>
          </a:r>
        </a:p>
        <a:p>
          <a:r>
            <a:rPr lang="de-DE" sz="1200" b="1"/>
            <a:t>To simplify the completion</a:t>
          </a:r>
          <a:r>
            <a:rPr lang="de-DE" sz="1200" b="1" baseline="0"/>
            <a:t> for you, an example with winter rape is provided in the first sheet.</a:t>
          </a:r>
          <a:endParaRPr lang="de-DE" sz="1200" b="1"/>
        </a:p>
        <a:p>
          <a:r>
            <a:rPr lang="de-DE" sz="1200" b="1"/>
            <a:t>Please</a:t>
          </a:r>
          <a:r>
            <a:rPr lang="de-DE" sz="1200" b="1" baseline="0"/>
            <a:t> use in terms of price and costs values of the years indicated in the first sheet.</a:t>
          </a:r>
          <a:endParaRPr lang="de-DE" sz="12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269873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 txBox="1"/>
      </xdr:nvSpPr>
      <xdr:spPr>
        <a:xfrm>
          <a:off x="0" y="0"/>
          <a:ext cx="12033248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order to calculate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yield stability, we need data on yields of the crops you indicated earlier in the crop rotations for at least ten years in a row. It is necessary that the data for all crops are from one site.  An example with winter rye is provided in the first column. </a:t>
          </a:r>
          <a:endParaRPr lang="de-DE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F2" sqref="F2"/>
    </sheetView>
  </sheetViews>
  <sheetFormatPr baseColWidth="10" defaultColWidth="11.42578125" defaultRowHeight="15" x14ac:dyDescent="0.25"/>
  <cols>
    <col min="1" max="1" width="22.28515625" style="4" bestFit="1" customWidth="1"/>
    <col min="2" max="11" width="11.42578125" style="4"/>
    <col min="12" max="13" width="0" style="4" hidden="1" customWidth="1"/>
    <col min="14" max="16384" width="11.42578125" style="4"/>
  </cols>
  <sheetData>
    <row r="1" spans="1:18" ht="76.5" x14ac:dyDescent="0.35">
      <c r="B1" s="4" t="s">
        <v>244</v>
      </c>
      <c r="C1" s="4" t="s">
        <v>245</v>
      </c>
      <c r="D1" s="4" t="s">
        <v>246</v>
      </c>
      <c r="E1" s="4" t="s">
        <v>247</v>
      </c>
      <c r="F1" s="139" t="s">
        <v>457</v>
      </c>
      <c r="G1" s="139" t="s">
        <v>270</v>
      </c>
      <c r="H1" s="140" t="s">
        <v>271</v>
      </c>
      <c r="I1" s="140" t="s">
        <v>272</v>
      </c>
      <c r="J1" s="140" t="s">
        <v>273</v>
      </c>
      <c r="K1" s="140" t="s">
        <v>274</v>
      </c>
      <c r="L1" s="140" t="s">
        <v>275</v>
      </c>
      <c r="M1" s="140" t="s">
        <v>276</v>
      </c>
      <c r="N1" s="140" t="s">
        <v>277</v>
      </c>
      <c r="O1" s="140" t="s">
        <v>282</v>
      </c>
      <c r="P1" s="140" t="s">
        <v>279</v>
      </c>
      <c r="Q1" s="160" t="s">
        <v>407</v>
      </c>
      <c r="R1" s="140" t="s">
        <v>278</v>
      </c>
    </row>
    <row r="2" spans="1:18" x14ac:dyDescent="0.25">
      <c r="A2" s="4" t="s">
        <v>248</v>
      </c>
      <c r="B2" s="4" t="s">
        <v>238</v>
      </c>
      <c r="C2" s="4" t="s">
        <v>238</v>
      </c>
      <c r="D2" s="4" t="s">
        <v>239</v>
      </c>
      <c r="F2" s="161">
        <f>GM!B15</f>
        <v>389.78999999999996</v>
      </c>
      <c r="G2" s="161">
        <f>GM!B15</f>
        <v>389.78999999999996</v>
      </c>
      <c r="H2" s="161">
        <f>F2-(0.15*M2)</f>
        <v>290.69366399999996</v>
      </c>
      <c r="I2" s="161">
        <f>F2-(0.05*M2)</f>
        <v>356.75788799999998</v>
      </c>
      <c r="J2" s="161">
        <f>'NO3'!K6</f>
        <v>46.51525606060607</v>
      </c>
      <c r="K2" s="161">
        <f>'N fertilizer'!B22</f>
        <v>117.55200000000002</v>
      </c>
      <c r="L2" s="161">
        <v>117.55200000000002</v>
      </c>
      <c r="M2" s="161">
        <f>L2*5.62</f>
        <v>660.64224000000013</v>
      </c>
      <c r="N2" s="64">
        <f>'N2O calculations'!A31/3</f>
        <v>4.3842602330476197</v>
      </c>
      <c r="O2" s="130">
        <f>'Data for yield stability'!M22</f>
        <v>0.20027400177105595</v>
      </c>
      <c r="P2" s="161">
        <f>'Protein &amp; Energy Output'!C16</f>
        <v>531.14599999999996</v>
      </c>
      <c r="Q2" s="161">
        <f>'Protein &amp; Energy Output'!C22</f>
        <v>86.255999999999986</v>
      </c>
      <c r="R2" s="133">
        <f>'Crop Diversity'!E17</f>
        <v>0.63417863571220567</v>
      </c>
    </row>
    <row r="3" spans="1:18" x14ac:dyDescent="0.25">
      <c r="A3" s="4" t="s">
        <v>251</v>
      </c>
      <c r="B3" s="4" t="s">
        <v>238</v>
      </c>
      <c r="C3" s="4" t="s">
        <v>241</v>
      </c>
      <c r="D3" s="4" t="s">
        <v>238</v>
      </c>
      <c r="E3" s="4" t="s">
        <v>239</v>
      </c>
      <c r="F3" s="161">
        <f>GM!I15</f>
        <v>331.89499999999992</v>
      </c>
      <c r="G3" s="161">
        <f>GM!I18</f>
        <v>371.14499999999992</v>
      </c>
      <c r="H3" s="161">
        <f>F3-(0.15*M3)</f>
        <v>257.58033499999993</v>
      </c>
      <c r="I3" s="161">
        <f>F3-(0.05*M3)</f>
        <v>307.12344499999995</v>
      </c>
      <c r="J3" s="161">
        <f>'NO3'!K12</f>
        <v>38.444307058881606</v>
      </c>
      <c r="K3" s="161">
        <f>'N fertilizer'!I22</f>
        <v>88.155000000000001</v>
      </c>
      <c r="L3" s="161">
        <v>88.155000000000001</v>
      </c>
      <c r="M3" s="161">
        <f t="shared" ref="M3:M4" si="0">L3*5.62</f>
        <v>495.43110000000001</v>
      </c>
      <c r="N3" s="64">
        <f>'N2O calculations'!H31/4</f>
        <v>3.4932418111606678</v>
      </c>
      <c r="O3" s="130">
        <f>'Data for yield stability'!M23</f>
        <v>0.19862476761354031</v>
      </c>
      <c r="P3" s="161">
        <f>'Protein &amp; Energy Output'!G16</f>
        <v>559.21674999999993</v>
      </c>
      <c r="Q3" s="161">
        <f>'Protein &amp; Energy Output'!G22</f>
        <v>79.456125</v>
      </c>
      <c r="R3" s="133">
        <f>'Crop Diversity'!E23</f>
        <v>1.0397207708399179</v>
      </c>
    </row>
    <row r="4" spans="1:18" x14ac:dyDescent="0.25">
      <c r="A4" s="4" t="s">
        <v>252</v>
      </c>
      <c r="B4" s="4" t="s">
        <v>238</v>
      </c>
      <c r="C4" s="4" t="s">
        <v>243</v>
      </c>
      <c r="D4" s="4" t="s">
        <v>238</v>
      </c>
      <c r="E4" s="4" t="s">
        <v>239</v>
      </c>
      <c r="F4" s="161">
        <f>GM!P15</f>
        <v>328.22249999999991</v>
      </c>
      <c r="G4" s="161">
        <f>GM!P18</f>
        <v>348.8024999999999</v>
      </c>
      <c r="H4" s="161">
        <f>F4-(0.15*M4)</f>
        <v>253.90783499999992</v>
      </c>
      <c r="I4" s="161">
        <f>F4-(0.05*M4)</f>
        <v>303.45094499999993</v>
      </c>
      <c r="J4" s="161">
        <f>'NO3'!K18</f>
        <v>39.6407310542631</v>
      </c>
      <c r="K4" s="161">
        <f>'N fertilizer'!P22</f>
        <v>88.155000000000001</v>
      </c>
      <c r="L4" s="161">
        <v>88.155000000000001</v>
      </c>
      <c r="M4" s="161">
        <f t="shared" si="0"/>
        <v>495.43110000000001</v>
      </c>
      <c r="N4" s="64">
        <f>'N2O calculations'!O31/4</f>
        <v>3.4954655585094052</v>
      </c>
      <c r="O4" s="130">
        <f>'Data for yield stability'!M24</f>
        <v>0.25174178802399799</v>
      </c>
      <c r="P4" s="161">
        <f>'Protein &amp; Energy Output'!L16</f>
        <v>584.28724999999997</v>
      </c>
      <c r="Q4" s="161">
        <f>'Protein &amp; Energy Output'!L22</f>
        <v>78.746324999999999</v>
      </c>
      <c r="R4" s="133">
        <f>'Crop Diversity'!E30</f>
        <v>1.0397207708399179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J25" sqref="J25"/>
    </sheetView>
  </sheetViews>
  <sheetFormatPr baseColWidth="10" defaultColWidth="11.42578125" defaultRowHeight="15" x14ac:dyDescent="0.25"/>
  <cols>
    <col min="1" max="1" width="23.7109375" style="4" customWidth="1"/>
    <col min="2" max="2" width="9" style="4" bestFit="1" customWidth="1"/>
    <col min="3" max="16" width="11.42578125" style="4"/>
    <col min="17" max="17" width="20.5703125" style="4" customWidth="1"/>
    <col min="18" max="18" width="22" style="4" bestFit="1" customWidth="1"/>
    <col min="19" max="19" width="11.42578125" style="4"/>
    <col min="20" max="20" width="19.5703125" style="4" customWidth="1"/>
    <col min="21" max="16384" width="11.42578125" style="4"/>
  </cols>
  <sheetData>
    <row r="1" spans="1:21" x14ac:dyDescent="0.25">
      <c r="B1" s="4" t="s">
        <v>244</v>
      </c>
      <c r="C1" s="4" t="s">
        <v>245</v>
      </c>
      <c r="D1" s="4" t="s">
        <v>246</v>
      </c>
      <c r="E1" s="4" t="s">
        <v>247</v>
      </c>
      <c r="P1" s="5" t="s">
        <v>283</v>
      </c>
      <c r="Q1" s="5" t="s">
        <v>403</v>
      </c>
      <c r="R1" s="5" t="s">
        <v>406</v>
      </c>
      <c r="S1" s="5"/>
      <c r="T1" s="5" t="s">
        <v>283</v>
      </c>
      <c r="U1" s="124" t="s">
        <v>284</v>
      </c>
    </row>
    <row r="2" spans="1:21" x14ac:dyDescent="0.25">
      <c r="A2" s="4" t="s">
        <v>248</v>
      </c>
      <c r="B2" s="4" t="s">
        <v>238</v>
      </c>
      <c r="C2" s="4" t="s">
        <v>238</v>
      </c>
      <c r="D2" s="4" t="s">
        <v>239</v>
      </c>
      <c r="P2" s="167" t="s">
        <v>409</v>
      </c>
      <c r="Q2" s="168">
        <v>0.10299999999999999</v>
      </c>
      <c r="R2" s="150">
        <v>18</v>
      </c>
      <c r="S2" s="150"/>
      <c r="T2" s="125" t="s">
        <v>285</v>
      </c>
      <c r="U2" s="39">
        <v>0.85</v>
      </c>
    </row>
    <row r="3" spans="1:21" x14ac:dyDescent="0.25">
      <c r="A3" s="4" t="s">
        <v>251</v>
      </c>
      <c r="B3" s="4" t="s">
        <v>238</v>
      </c>
      <c r="C3" s="4" t="s">
        <v>241</v>
      </c>
      <c r="D3" s="4" t="s">
        <v>238</v>
      </c>
      <c r="E3" s="4" t="s">
        <v>239</v>
      </c>
      <c r="P3" s="169" t="s">
        <v>410</v>
      </c>
      <c r="Q3" s="168">
        <v>0.11700000000000001</v>
      </c>
      <c r="R3" s="4">
        <v>18.100000000000001</v>
      </c>
      <c r="T3" s="4" t="s">
        <v>286</v>
      </c>
      <c r="U3" s="4">
        <v>0.88</v>
      </c>
    </row>
    <row r="4" spans="1:21" x14ac:dyDescent="0.25">
      <c r="A4" s="4" t="s">
        <v>252</v>
      </c>
      <c r="B4" s="4" t="s">
        <v>238</v>
      </c>
      <c r="C4" s="4" t="s">
        <v>243</v>
      </c>
      <c r="D4" s="4" t="s">
        <v>238</v>
      </c>
      <c r="E4" s="4" t="s">
        <v>239</v>
      </c>
      <c r="P4" s="135" t="s">
        <v>254</v>
      </c>
      <c r="Q4" s="168">
        <v>0.126</v>
      </c>
      <c r="R4" s="4">
        <v>18.2</v>
      </c>
      <c r="T4" s="4" t="s">
        <v>287</v>
      </c>
      <c r="U4" s="4">
        <v>0.89</v>
      </c>
    </row>
    <row r="5" spans="1:21" x14ac:dyDescent="0.25">
      <c r="P5" s="135" t="s">
        <v>289</v>
      </c>
      <c r="Q5" s="168">
        <v>0.11799999999999999</v>
      </c>
      <c r="R5" s="150">
        <v>18.399999999999999</v>
      </c>
      <c r="T5" s="4" t="s">
        <v>288</v>
      </c>
      <c r="U5" s="4">
        <v>0.89</v>
      </c>
    </row>
    <row r="6" spans="1:21" x14ac:dyDescent="0.25">
      <c r="P6" s="167" t="s">
        <v>255</v>
      </c>
      <c r="Q6" s="168">
        <v>0.28999999999999998</v>
      </c>
      <c r="R6" s="150">
        <v>18.7</v>
      </c>
      <c r="S6" s="150"/>
      <c r="T6" s="4" t="s">
        <v>289</v>
      </c>
      <c r="U6" s="4">
        <v>0.89</v>
      </c>
    </row>
    <row r="7" spans="1:21" x14ac:dyDescent="0.25">
      <c r="P7" s="4" t="s">
        <v>411</v>
      </c>
      <c r="Q7" s="168">
        <v>0.20899999999999999</v>
      </c>
      <c r="R7" s="4">
        <v>28.8</v>
      </c>
      <c r="T7" s="4" t="s">
        <v>290</v>
      </c>
      <c r="U7" s="4">
        <v>0.89</v>
      </c>
    </row>
    <row r="8" spans="1:21" x14ac:dyDescent="0.25">
      <c r="P8" s="4" t="s">
        <v>412</v>
      </c>
      <c r="Q8" s="168">
        <v>0.33700000000000002</v>
      </c>
      <c r="R8" s="150">
        <v>20.3</v>
      </c>
      <c r="S8" s="150"/>
      <c r="T8" s="4" t="s">
        <v>291</v>
      </c>
      <c r="U8" s="4">
        <v>0.87</v>
      </c>
    </row>
    <row r="9" spans="1:21" x14ac:dyDescent="0.25">
      <c r="B9" s="4" t="s">
        <v>238</v>
      </c>
      <c r="C9" s="4" t="s">
        <v>238</v>
      </c>
      <c r="D9" s="4" t="s">
        <v>239</v>
      </c>
      <c r="F9" s="4" t="s">
        <v>238</v>
      </c>
      <c r="G9" s="4" t="s">
        <v>241</v>
      </c>
      <c r="H9" s="4" t="s">
        <v>238</v>
      </c>
      <c r="I9" s="4" t="s">
        <v>239</v>
      </c>
      <c r="K9" s="4" t="s">
        <v>238</v>
      </c>
      <c r="L9" s="4" t="s">
        <v>243</v>
      </c>
      <c r="M9" s="4" t="s">
        <v>238</v>
      </c>
      <c r="N9" s="4" t="s">
        <v>239</v>
      </c>
      <c r="P9" s="4" t="s">
        <v>413</v>
      </c>
      <c r="Q9" s="168">
        <v>0.23899999999999999</v>
      </c>
      <c r="R9" s="150">
        <v>18.3</v>
      </c>
      <c r="T9" s="4" t="s">
        <v>292</v>
      </c>
      <c r="U9" s="4">
        <v>0.88</v>
      </c>
    </row>
    <row r="10" spans="1:21" x14ac:dyDescent="0.25">
      <c r="A10" s="4" t="s">
        <v>400</v>
      </c>
      <c r="B10" s="131">
        <v>6.3999999999999995</v>
      </c>
      <c r="C10" s="131">
        <v>5.3</v>
      </c>
      <c r="D10" s="131">
        <v>3</v>
      </c>
      <c r="F10" s="131">
        <v>6.3999999999999995</v>
      </c>
      <c r="G10" s="131">
        <v>2.5</v>
      </c>
      <c r="H10" s="131">
        <v>6.3999999999999995</v>
      </c>
      <c r="I10" s="131">
        <v>3</v>
      </c>
      <c r="K10" s="131">
        <v>6.3999999999999995</v>
      </c>
      <c r="L10" s="131">
        <v>2.1</v>
      </c>
      <c r="M10" s="131">
        <v>6.3999999999999995</v>
      </c>
      <c r="N10" s="131">
        <v>3</v>
      </c>
      <c r="P10" s="4" t="s">
        <v>414</v>
      </c>
      <c r="Q10" s="168">
        <v>0.11</v>
      </c>
      <c r="R10" s="150">
        <v>19.5</v>
      </c>
      <c r="S10" s="150"/>
      <c r="T10" s="4" t="s">
        <v>293</v>
      </c>
      <c r="U10" s="4">
        <v>0.89</v>
      </c>
    </row>
    <row r="11" spans="1:21" ht="30" x14ac:dyDescent="0.25">
      <c r="A11" s="4" t="s">
        <v>401</v>
      </c>
      <c r="B11" s="130">
        <v>0.88</v>
      </c>
      <c r="C11" s="130">
        <v>0.88</v>
      </c>
      <c r="D11" s="130">
        <v>0.85</v>
      </c>
      <c r="E11" s="130"/>
      <c r="F11" s="130">
        <v>0.88</v>
      </c>
      <c r="G11" s="130">
        <v>0.91</v>
      </c>
      <c r="H11" s="130">
        <v>0.88</v>
      </c>
      <c r="I11" s="130">
        <v>0.85</v>
      </c>
      <c r="J11" s="130"/>
      <c r="K11" s="130">
        <v>0.88</v>
      </c>
      <c r="L11" s="130">
        <v>0.91</v>
      </c>
      <c r="M11" s="130">
        <v>0.88</v>
      </c>
      <c r="N11" s="130">
        <v>0.85</v>
      </c>
      <c r="P11" s="167" t="s">
        <v>415</v>
      </c>
      <c r="Q11" s="168">
        <v>0.08</v>
      </c>
      <c r="R11" s="64">
        <v>18.899999999999999</v>
      </c>
      <c r="S11" s="150"/>
      <c r="T11" s="4" t="s">
        <v>294</v>
      </c>
      <c r="U11" s="133">
        <v>0.9</v>
      </c>
    </row>
    <row r="12" spans="1:21" x14ac:dyDescent="0.25">
      <c r="A12" s="4" t="s">
        <v>402</v>
      </c>
      <c r="B12" s="137">
        <f>B10*B11</f>
        <v>5.6319999999999997</v>
      </c>
      <c r="C12" s="4">
        <f>C10*C11</f>
        <v>4.6639999999999997</v>
      </c>
      <c r="D12" s="4">
        <f>D10*D11</f>
        <v>2.5499999999999998</v>
      </c>
      <c r="F12" s="4">
        <f>F10*F11</f>
        <v>5.6319999999999997</v>
      </c>
      <c r="G12" s="4">
        <f>G10*G11</f>
        <v>2.2749999999999999</v>
      </c>
      <c r="H12" s="4">
        <f t="shared" ref="H12" si="0">H10*H11</f>
        <v>5.6319999999999997</v>
      </c>
      <c r="I12" s="4">
        <f>I10*I11</f>
        <v>2.5499999999999998</v>
      </c>
      <c r="K12" s="4">
        <f>K10*K11</f>
        <v>5.6319999999999997</v>
      </c>
      <c r="L12" s="4">
        <f>L10*L11</f>
        <v>1.9110000000000003</v>
      </c>
      <c r="M12" s="4">
        <f t="shared" ref="M12" si="1">M10*M11</f>
        <v>5.6319999999999997</v>
      </c>
      <c r="N12" s="4">
        <f>N10*N11</f>
        <v>2.5499999999999998</v>
      </c>
      <c r="P12" s="167" t="s">
        <v>416</v>
      </c>
      <c r="Q12" s="168">
        <v>0.191</v>
      </c>
      <c r="R12" s="4">
        <v>18.2</v>
      </c>
      <c r="T12" s="4" t="s">
        <v>295</v>
      </c>
      <c r="U12" s="4">
        <v>0.89</v>
      </c>
    </row>
    <row r="13" spans="1:21" x14ac:dyDescent="0.25">
      <c r="A13" s="4" t="s">
        <v>403</v>
      </c>
      <c r="B13" s="134">
        <v>0.10299999999999999</v>
      </c>
      <c r="C13" s="134">
        <v>0.10299999999999999</v>
      </c>
      <c r="D13" s="134">
        <v>0.20899999999999999</v>
      </c>
      <c r="E13" s="134"/>
      <c r="F13" s="134">
        <v>0.10299999999999999</v>
      </c>
      <c r="G13" s="134">
        <v>0.23899999999999999</v>
      </c>
      <c r="H13" s="134">
        <v>0.10299999999999999</v>
      </c>
      <c r="I13" s="134">
        <v>0.20899999999999999</v>
      </c>
      <c r="J13" s="134"/>
      <c r="K13" s="134">
        <v>0.10299999999999999</v>
      </c>
      <c r="L13" s="134">
        <v>0.33700000000000002</v>
      </c>
      <c r="M13" s="134">
        <v>0.10299999999999999</v>
      </c>
      <c r="N13" s="134">
        <v>0.20899999999999999</v>
      </c>
      <c r="P13" s="138" t="s">
        <v>383</v>
      </c>
      <c r="Q13" s="168">
        <v>0.39600000000000002</v>
      </c>
      <c r="R13" s="150">
        <v>23.6</v>
      </c>
      <c r="T13" s="4" t="s">
        <v>296</v>
      </c>
      <c r="U13" s="4">
        <v>0.91</v>
      </c>
    </row>
    <row r="14" spans="1:21" x14ac:dyDescent="0.25">
      <c r="A14" s="4" t="s">
        <v>404</v>
      </c>
      <c r="B14" s="137">
        <f>B12*B13</f>
        <v>0.58009599999999995</v>
      </c>
      <c r="C14" s="4">
        <f>C12*C13</f>
        <v>0.48039199999999993</v>
      </c>
      <c r="D14" s="4">
        <f>D12*D13</f>
        <v>0.53294999999999992</v>
      </c>
      <c r="F14" s="4">
        <f t="shared" ref="F14:H14" si="2">F12*F13</f>
        <v>0.58009599999999995</v>
      </c>
      <c r="G14" s="4">
        <f>G12*G13</f>
        <v>0.5437249999999999</v>
      </c>
      <c r="H14" s="4">
        <f t="shared" si="2"/>
        <v>0.58009599999999995</v>
      </c>
      <c r="I14" s="4">
        <f>I12*I13</f>
        <v>0.53294999999999992</v>
      </c>
      <c r="K14" s="4">
        <f t="shared" ref="K14:M14" si="3">K12*K13</f>
        <v>0.58009599999999995</v>
      </c>
      <c r="L14" s="4">
        <f>L12*L13</f>
        <v>0.64400700000000011</v>
      </c>
      <c r="M14" s="4">
        <f t="shared" si="3"/>
        <v>0.58009599999999995</v>
      </c>
      <c r="N14" s="4">
        <f>N12*N13</f>
        <v>0.53294999999999992</v>
      </c>
      <c r="P14" s="4" t="s">
        <v>417</v>
      </c>
      <c r="Q14" s="168">
        <v>9.4E-2</v>
      </c>
      <c r="R14" s="4">
        <v>18.7</v>
      </c>
      <c r="S14" s="150"/>
      <c r="T14" s="4" t="s">
        <v>297</v>
      </c>
      <c r="U14" s="4">
        <v>0.91</v>
      </c>
    </row>
    <row r="15" spans="1:21" x14ac:dyDescent="0.25">
      <c r="P15" s="138" t="s">
        <v>380</v>
      </c>
      <c r="Q15" s="168">
        <v>0.16600000000000001</v>
      </c>
      <c r="R15" s="4">
        <v>28.7</v>
      </c>
      <c r="T15" s="4" t="s">
        <v>298</v>
      </c>
      <c r="U15" s="4">
        <v>0.22</v>
      </c>
    </row>
    <row r="16" spans="1:21" x14ac:dyDescent="0.25">
      <c r="A16" s="4" t="s">
        <v>405</v>
      </c>
      <c r="C16" s="161">
        <f>AVERAGE(B14:D14)*1000</f>
        <v>531.14599999999996</v>
      </c>
      <c r="D16" s="161"/>
      <c r="E16" s="161"/>
      <c r="F16" s="161"/>
      <c r="G16" s="161">
        <f>AVERAGE(F14:I14)*1000</f>
        <v>559.21674999999993</v>
      </c>
      <c r="H16" s="161"/>
      <c r="I16" s="161"/>
      <c r="J16" s="161"/>
      <c r="K16" s="161"/>
      <c r="L16" s="161">
        <f>AVERAGE(K14:N14)*1000</f>
        <v>584.28724999999997</v>
      </c>
      <c r="M16" s="161"/>
      <c r="P16" s="136" t="s">
        <v>418</v>
      </c>
      <c r="Q16" s="168">
        <v>0.248</v>
      </c>
      <c r="R16" s="4">
        <v>18.600000000000001</v>
      </c>
      <c r="T16" s="4" t="s">
        <v>299</v>
      </c>
      <c r="U16" s="4">
        <v>0.94</v>
      </c>
    </row>
    <row r="17" spans="1:21" x14ac:dyDescent="0.25">
      <c r="P17" s="4" t="s">
        <v>419</v>
      </c>
      <c r="Q17" s="168">
        <v>0.17699999999999999</v>
      </c>
      <c r="R17" s="4">
        <v>18.5</v>
      </c>
      <c r="S17" s="150"/>
      <c r="T17" s="4" t="s">
        <v>300</v>
      </c>
      <c r="U17" s="4">
        <v>0.9</v>
      </c>
    </row>
    <row r="18" spans="1:21" x14ac:dyDescent="0.25">
      <c r="P18" s="4" t="s">
        <v>420</v>
      </c>
      <c r="Q18" s="168">
        <v>7.8E-2</v>
      </c>
      <c r="R18" s="4">
        <v>16.899999999999999</v>
      </c>
      <c r="T18" s="4" t="s">
        <v>301</v>
      </c>
      <c r="U18" s="4">
        <v>0.9</v>
      </c>
    </row>
    <row r="19" spans="1:21" x14ac:dyDescent="0.25">
      <c r="A19" s="4" t="s">
        <v>406</v>
      </c>
      <c r="B19" s="4">
        <v>18</v>
      </c>
      <c r="C19" s="4">
        <v>18</v>
      </c>
      <c r="D19" s="4">
        <v>28.8</v>
      </c>
      <c r="F19" s="4">
        <v>18</v>
      </c>
      <c r="G19" s="150">
        <v>18.3</v>
      </c>
      <c r="H19" s="4">
        <v>18</v>
      </c>
      <c r="I19" s="4">
        <v>28.8</v>
      </c>
      <c r="K19" s="4">
        <v>18</v>
      </c>
      <c r="L19" s="150">
        <v>20.3</v>
      </c>
      <c r="M19" s="4">
        <v>18</v>
      </c>
      <c r="N19" s="4">
        <v>28.8</v>
      </c>
      <c r="P19" s="4" t="s">
        <v>421</v>
      </c>
      <c r="Q19" s="168">
        <v>0.189</v>
      </c>
      <c r="R19" s="4">
        <v>18.899999999999999</v>
      </c>
      <c r="T19" s="4" t="s">
        <v>302</v>
      </c>
      <c r="U19" s="4">
        <v>0.9</v>
      </c>
    </row>
    <row r="20" spans="1:21" x14ac:dyDescent="0.25">
      <c r="A20" s="4" t="s">
        <v>407</v>
      </c>
      <c r="B20" s="133">
        <f>B19*B12</f>
        <v>101.37599999999999</v>
      </c>
      <c r="C20" s="133">
        <f t="shared" ref="C20:D20" si="4">C19*C12</f>
        <v>83.951999999999998</v>
      </c>
      <c r="D20" s="133">
        <f t="shared" si="4"/>
        <v>73.44</v>
      </c>
      <c r="E20" s="133"/>
      <c r="F20" s="133">
        <f>F19*F12</f>
        <v>101.37599999999999</v>
      </c>
      <c r="G20" s="133">
        <f t="shared" ref="G20" si="5">G19*G12</f>
        <v>41.6325</v>
      </c>
      <c r="H20" s="133">
        <f t="shared" ref="H20" si="6">H19*H12</f>
        <v>101.37599999999999</v>
      </c>
      <c r="I20" s="133">
        <f>I19*I12</f>
        <v>73.44</v>
      </c>
      <c r="J20" s="133"/>
      <c r="K20" s="133">
        <f>K19*K12</f>
        <v>101.37599999999999</v>
      </c>
      <c r="L20" s="133">
        <f t="shared" ref="L20" si="7">L19*L12</f>
        <v>38.793300000000009</v>
      </c>
      <c r="M20" s="133">
        <f t="shared" ref="M20" si="8">M19*M12</f>
        <v>101.37599999999999</v>
      </c>
      <c r="N20" s="133">
        <f>N19*N12</f>
        <v>73.44</v>
      </c>
      <c r="P20" s="4" t="s">
        <v>422</v>
      </c>
      <c r="Q20" s="168">
        <v>0.16200000000000001</v>
      </c>
      <c r="R20" s="4">
        <v>18.7</v>
      </c>
      <c r="T20" s="4" t="s">
        <v>303</v>
      </c>
      <c r="U20" s="4">
        <v>0.9</v>
      </c>
    </row>
    <row r="21" spans="1:21" x14ac:dyDescent="0.25"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P21" s="4" t="s">
        <v>423</v>
      </c>
      <c r="Q21" s="168">
        <v>0.10199999999999999</v>
      </c>
      <c r="R21" s="4">
        <v>17.7</v>
      </c>
      <c r="T21" s="4" t="s">
        <v>304</v>
      </c>
      <c r="U21" s="4">
        <v>0.9</v>
      </c>
    </row>
    <row r="22" spans="1:21" x14ac:dyDescent="0.25">
      <c r="A22" s="4" t="s">
        <v>408</v>
      </c>
      <c r="B22" s="133"/>
      <c r="C22" s="133">
        <f>AVERAGE(B20:D20)</f>
        <v>86.255999999999986</v>
      </c>
      <c r="D22" s="133"/>
      <c r="E22" s="133"/>
      <c r="F22" s="133"/>
      <c r="G22" s="133">
        <f>AVERAGE(F20:I20)</f>
        <v>79.456125</v>
      </c>
      <c r="H22" s="133"/>
      <c r="I22" s="133"/>
      <c r="J22" s="133"/>
      <c r="K22" s="133"/>
      <c r="L22" s="133">
        <f>AVERAGE(K20:N20)</f>
        <v>78.746324999999999</v>
      </c>
      <c r="M22" s="133"/>
      <c r="N22" s="133"/>
      <c r="P22" s="4" t="s">
        <v>424</v>
      </c>
      <c r="Q22" s="168">
        <v>0.14699999999999999</v>
      </c>
      <c r="R22" s="64">
        <v>18.18</v>
      </c>
      <c r="T22" s="4" t="s">
        <v>305</v>
      </c>
      <c r="U22" s="4">
        <v>0.9</v>
      </c>
    </row>
    <row r="23" spans="1:21" x14ac:dyDescent="0.25">
      <c r="P23" s="4" t="s">
        <v>425</v>
      </c>
      <c r="Q23" s="168">
        <v>0.11</v>
      </c>
      <c r="R23" s="4">
        <v>17.899999999999999</v>
      </c>
    </row>
    <row r="24" spans="1:21" ht="30" x14ac:dyDescent="0.25">
      <c r="P24" s="169" t="s">
        <v>426</v>
      </c>
      <c r="Q24" s="168">
        <v>0.17280000000000001</v>
      </c>
      <c r="R24" s="170">
        <v>18.78</v>
      </c>
      <c r="T24" s="4" t="s">
        <v>427</v>
      </c>
    </row>
    <row r="26" spans="1:21" x14ac:dyDescent="0.25">
      <c r="P26" s="150" t="s">
        <v>428</v>
      </c>
      <c r="Q26" s="4" t="s">
        <v>429</v>
      </c>
    </row>
    <row r="27" spans="1:21" x14ac:dyDescent="0.25">
      <c r="Q27" s="4" t="s">
        <v>430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C2" sqref="C2:F4"/>
    </sheetView>
  </sheetViews>
  <sheetFormatPr baseColWidth="10" defaultColWidth="11.42578125" defaultRowHeight="15" x14ac:dyDescent="0.25"/>
  <cols>
    <col min="1" max="16384" width="11.42578125" style="4"/>
  </cols>
  <sheetData>
    <row r="1" spans="1:6" x14ac:dyDescent="0.25">
      <c r="C1" s="4" t="s">
        <v>244</v>
      </c>
      <c r="D1" s="4" t="s">
        <v>245</v>
      </c>
      <c r="E1" s="4" t="s">
        <v>246</v>
      </c>
      <c r="F1" s="4" t="s">
        <v>247</v>
      </c>
    </row>
    <row r="2" spans="1:6" x14ac:dyDescent="0.25">
      <c r="A2" s="4" t="s">
        <v>248</v>
      </c>
      <c r="C2" s="4" t="s">
        <v>238</v>
      </c>
      <c r="D2" s="4" t="s">
        <v>238</v>
      </c>
      <c r="E2" s="4" t="s">
        <v>239</v>
      </c>
    </row>
    <row r="3" spans="1:6" x14ac:dyDescent="0.25">
      <c r="A3" s="4" t="s">
        <v>251</v>
      </c>
      <c r="C3" s="4" t="s">
        <v>238</v>
      </c>
      <c r="D3" s="4" t="s">
        <v>241</v>
      </c>
      <c r="E3" s="4" t="s">
        <v>238</v>
      </c>
      <c r="F3" s="4" t="s">
        <v>239</v>
      </c>
    </row>
    <row r="4" spans="1:6" x14ac:dyDescent="0.25">
      <c r="A4" s="4" t="s">
        <v>252</v>
      </c>
      <c r="C4" s="4" t="s">
        <v>238</v>
      </c>
      <c r="D4" s="4" t="s">
        <v>243</v>
      </c>
      <c r="E4" s="4" t="s">
        <v>238</v>
      </c>
      <c r="F4" s="4" t="s">
        <v>239</v>
      </c>
    </row>
    <row r="8" spans="1:6" ht="18" x14ac:dyDescent="0.35">
      <c r="A8" s="4" t="s">
        <v>259</v>
      </c>
      <c r="C8" s="4" t="s">
        <v>260</v>
      </c>
      <c r="E8" s="4" t="s">
        <v>261</v>
      </c>
      <c r="F8" s="4">
        <f>LN(3)</f>
        <v>1.0986122886681098</v>
      </c>
    </row>
    <row r="12" spans="1:6" ht="18" x14ac:dyDescent="0.35">
      <c r="A12" s="4" t="s">
        <v>262</v>
      </c>
      <c r="B12" s="4" t="s">
        <v>263</v>
      </c>
      <c r="C12" s="4" t="s">
        <v>264</v>
      </c>
      <c r="D12" s="4" t="s">
        <v>265</v>
      </c>
      <c r="E12" s="4" t="s">
        <v>266</v>
      </c>
    </row>
    <row r="13" spans="1:6" x14ac:dyDescent="0.25">
      <c r="A13" s="4" t="s">
        <v>237</v>
      </c>
    </row>
    <row r="14" spans="1:6" x14ac:dyDescent="0.25">
      <c r="A14" s="4" t="s">
        <v>267</v>
      </c>
      <c r="B14" s="130">
        <f>2/3</f>
        <v>0.66666666666666663</v>
      </c>
      <c r="C14" s="4">
        <v>0.67</v>
      </c>
      <c r="D14" s="4">
        <f>LN(C14)</f>
        <v>-0.40047756659712525</v>
      </c>
      <c r="E14" s="4">
        <f>C14*D14</f>
        <v>-0.26831996962007393</v>
      </c>
    </row>
    <row r="15" spans="1:6" x14ac:dyDescent="0.25">
      <c r="A15" s="4" t="s">
        <v>268</v>
      </c>
      <c r="B15" s="130">
        <f>1/3</f>
        <v>0.33333333333333331</v>
      </c>
      <c r="C15" s="4">
        <v>0.33</v>
      </c>
      <c r="D15" s="4">
        <f>LN(C15)</f>
        <v>-1.1086626245216111</v>
      </c>
      <c r="E15" s="4">
        <f>C15*D15</f>
        <v>-0.36585866609213169</v>
      </c>
    </row>
    <row r="16" spans="1:6" x14ac:dyDescent="0.25">
      <c r="A16" s="4" t="s">
        <v>269</v>
      </c>
    </row>
    <row r="17" spans="1:5" x14ac:dyDescent="0.25">
      <c r="E17" s="4">
        <f>-(E14+E15+E16)</f>
        <v>0.63417863571220567</v>
      </c>
    </row>
    <row r="19" spans="1:5" x14ac:dyDescent="0.25">
      <c r="A19" s="4" t="s">
        <v>240</v>
      </c>
    </row>
    <row r="20" spans="1:5" x14ac:dyDescent="0.25">
      <c r="A20" s="4" t="s">
        <v>267</v>
      </c>
      <c r="B20" s="130">
        <f>2/4</f>
        <v>0.5</v>
      </c>
      <c r="C20" s="4">
        <v>0.5</v>
      </c>
      <c r="D20" s="4">
        <f>LN(C20)</f>
        <v>-0.69314718055994529</v>
      </c>
      <c r="E20" s="4">
        <f>C20*D20</f>
        <v>-0.34657359027997264</v>
      </c>
    </row>
    <row r="21" spans="1:5" x14ac:dyDescent="0.25">
      <c r="A21" s="4" t="s">
        <v>268</v>
      </c>
      <c r="B21" s="130">
        <f>1/4</f>
        <v>0.25</v>
      </c>
      <c r="C21" s="4">
        <v>0.25</v>
      </c>
      <c r="D21" s="4">
        <f>LN(C21)</f>
        <v>-1.3862943611198906</v>
      </c>
      <c r="E21" s="4">
        <f>C21*D21</f>
        <v>-0.34657359027997264</v>
      </c>
    </row>
    <row r="22" spans="1:5" x14ac:dyDescent="0.25">
      <c r="A22" s="4" t="s">
        <v>269</v>
      </c>
      <c r="B22" s="130">
        <f>1/4</f>
        <v>0.25</v>
      </c>
      <c r="C22" s="4">
        <v>0.25</v>
      </c>
      <c r="D22" s="4">
        <f>LN(C22)</f>
        <v>-1.3862943611198906</v>
      </c>
      <c r="E22" s="4">
        <f>C22*D22</f>
        <v>-0.34657359027997264</v>
      </c>
    </row>
    <row r="23" spans="1:5" x14ac:dyDescent="0.25">
      <c r="E23" s="4">
        <f>-(E20+E21+E22)</f>
        <v>1.0397207708399179</v>
      </c>
    </row>
    <row r="26" spans="1:5" x14ac:dyDescent="0.25">
      <c r="A26" s="4" t="s">
        <v>242</v>
      </c>
    </row>
    <row r="27" spans="1:5" x14ac:dyDescent="0.25">
      <c r="A27" s="4" t="s">
        <v>267</v>
      </c>
      <c r="B27" s="130">
        <f>2/4</f>
        <v>0.5</v>
      </c>
      <c r="C27" s="4">
        <v>0.5</v>
      </c>
      <c r="D27" s="4">
        <f>LN(C27)</f>
        <v>-0.69314718055994529</v>
      </c>
      <c r="E27" s="4">
        <f>C27*D27</f>
        <v>-0.34657359027997264</v>
      </c>
    </row>
    <row r="28" spans="1:5" x14ac:dyDescent="0.25">
      <c r="A28" s="4" t="s">
        <v>268</v>
      </c>
      <c r="B28" s="130">
        <f>1/4</f>
        <v>0.25</v>
      </c>
      <c r="C28" s="4">
        <v>0.25</v>
      </c>
      <c r="D28" s="4">
        <f>LN(C28)</f>
        <v>-1.3862943611198906</v>
      </c>
      <c r="E28" s="4">
        <f>C28*D28</f>
        <v>-0.34657359027997264</v>
      </c>
    </row>
    <row r="29" spans="1:5" x14ac:dyDescent="0.25">
      <c r="A29" s="4" t="s">
        <v>269</v>
      </c>
      <c r="B29" s="130">
        <f>1/4</f>
        <v>0.25</v>
      </c>
      <c r="C29" s="4">
        <v>0.25</v>
      </c>
      <c r="D29" s="4">
        <f>LN(C29)</f>
        <v>-1.3862943611198906</v>
      </c>
      <c r="E29" s="4">
        <f>C29*D29</f>
        <v>-0.34657359027997264</v>
      </c>
    </row>
    <row r="30" spans="1:5" x14ac:dyDescent="0.25">
      <c r="E30" s="4">
        <f>-(E27+E28+E29)</f>
        <v>1.0397207708399179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F34" sqref="F34"/>
    </sheetView>
  </sheetViews>
  <sheetFormatPr baseColWidth="10" defaultColWidth="11.42578125" defaultRowHeight="15" x14ac:dyDescent="0.25"/>
  <cols>
    <col min="1" max="1" width="21.5703125" style="4" customWidth="1"/>
    <col min="2" max="2" width="11.42578125" style="4"/>
    <col min="3" max="3" width="17.5703125" style="4" bestFit="1" customWidth="1"/>
    <col min="4" max="4" width="19.85546875" style="4" customWidth="1"/>
    <col min="5" max="5" width="14.42578125" style="4" bestFit="1" customWidth="1"/>
    <col min="6" max="6" width="22.85546875" style="4" bestFit="1" customWidth="1"/>
    <col min="7" max="7" width="12.5703125" style="4" bestFit="1" customWidth="1"/>
    <col min="8" max="8" width="16.28515625" style="4" bestFit="1" customWidth="1"/>
    <col min="9" max="9" width="19" style="4" bestFit="1" customWidth="1"/>
    <col min="10" max="10" width="13.28515625" style="4" customWidth="1"/>
    <col min="11" max="11" width="17.28515625" style="4" bestFit="1" customWidth="1"/>
    <col min="12" max="16384" width="11.42578125" style="4"/>
  </cols>
  <sheetData>
    <row r="1" spans="1:18" x14ac:dyDescent="0.25">
      <c r="A1" s="5"/>
      <c r="B1" s="162" t="s">
        <v>387</v>
      </c>
      <c r="C1" s="162" t="s">
        <v>388</v>
      </c>
      <c r="D1" s="162" t="s">
        <v>389</v>
      </c>
      <c r="E1" s="162" t="s">
        <v>390</v>
      </c>
      <c r="F1" s="162" t="s">
        <v>391</v>
      </c>
      <c r="G1" s="162" t="s">
        <v>392</v>
      </c>
      <c r="H1" s="162" t="s">
        <v>393</v>
      </c>
      <c r="I1" s="162" t="s">
        <v>395</v>
      </c>
      <c r="J1" s="162" t="s">
        <v>450</v>
      </c>
      <c r="K1" s="162" t="s">
        <v>394</v>
      </c>
    </row>
    <row r="2" spans="1:18" x14ac:dyDescent="0.25">
      <c r="A2" s="5" t="s">
        <v>237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8" x14ac:dyDescent="0.25">
      <c r="A3" s="4" t="s">
        <v>238</v>
      </c>
      <c r="B3" s="131">
        <v>6.3999999999999995</v>
      </c>
      <c r="C3" s="164">
        <v>96</v>
      </c>
      <c r="D3" s="161"/>
      <c r="E3" s="164">
        <v>97.816320000000005</v>
      </c>
      <c r="F3" s="164">
        <v>58.053068181818198</v>
      </c>
      <c r="G3" s="164">
        <v>125.6704</v>
      </c>
      <c r="H3" s="164">
        <v>28.3826681818182</v>
      </c>
      <c r="I3" s="165">
        <v>1</v>
      </c>
      <c r="J3" s="164">
        <v>0</v>
      </c>
      <c r="K3" s="164">
        <v>28.3826681818182</v>
      </c>
    </row>
    <row r="4" spans="1:18" x14ac:dyDescent="0.25">
      <c r="A4" s="4" t="s">
        <v>238</v>
      </c>
      <c r="B4" s="131">
        <v>5.3</v>
      </c>
      <c r="C4" s="164">
        <v>103</v>
      </c>
      <c r="D4" s="161"/>
      <c r="E4" s="164">
        <v>104.81632</v>
      </c>
      <c r="F4" s="164">
        <v>43.813636363636398</v>
      </c>
      <c r="G4" s="164">
        <v>104.07080000000001</v>
      </c>
      <c r="H4" s="164">
        <v>42.7428363636364</v>
      </c>
      <c r="I4" s="165">
        <v>1</v>
      </c>
      <c r="J4" s="164">
        <v>0</v>
      </c>
      <c r="K4" s="164">
        <v>42.7428363636364</v>
      </c>
    </row>
    <row r="5" spans="1:18" x14ac:dyDescent="0.25">
      <c r="A5" s="4" t="s">
        <v>239</v>
      </c>
      <c r="B5" s="131">
        <v>3</v>
      </c>
      <c r="C5" s="164">
        <v>153.9</v>
      </c>
      <c r="D5" s="161"/>
      <c r="E5" s="164">
        <v>154.00046399999999</v>
      </c>
      <c r="F5" s="164">
        <v>52.576363636363602</v>
      </c>
      <c r="G5" s="164">
        <v>138.05609999999999</v>
      </c>
      <c r="H5" s="164">
        <v>68.4202636363636</v>
      </c>
      <c r="I5" s="165">
        <v>1</v>
      </c>
      <c r="J5" s="164">
        <v>0</v>
      </c>
      <c r="K5" s="164">
        <v>68.4202636363636</v>
      </c>
    </row>
    <row r="6" spans="1:18" x14ac:dyDescent="0.25">
      <c r="C6" s="161"/>
      <c r="D6" s="161"/>
      <c r="E6" s="161"/>
      <c r="F6" s="161"/>
      <c r="G6" s="161"/>
      <c r="H6" s="161"/>
      <c r="J6" s="161"/>
      <c r="K6" s="161">
        <f>AVERAGE(K3:K5)</f>
        <v>46.51525606060607</v>
      </c>
    </row>
    <row r="7" spans="1:18" x14ac:dyDescent="0.25">
      <c r="A7" s="5" t="s">
        <v>240</v>
      </c>
      <c r="C7" s="161"/>
      <c r="D7" s="161"/>
      <c r="E7" s="161"/>
      <c r="F7" s="161"/>
      <c r="G7" s="161"/>
      <c r="H7" s="161"/>
      <c r="J7" s="161"/>
      <c r="K7" s="161"/>
    </row>
    <row r="8" spans="1:18" x14ac:dyDescent="0.25">
      <c r="A8" s="4" t="s">
        <v>238</v>
      </c>
      <c r="B8" s="131">
        <v>6.3999999999999995</v>
      </c>
      <c r="C8" s="164">
        <v>96</v>
      </c>
      <c r="D8" s="161"/>
      <c r="E8" s="164">
        <v>97.816320000000005</v>
      </c>
      <c r="F8" s="164">
        <v>58.053068181818198</v>
      </c>
      <c r="G8" s="164">
        <v>125.6704</v>
      </c>
      <c r="H8" s="164">
        <v>28.3826681818182</v>
      </c>
      <c r="I8" s="165">
        <v>1</v>
      </c>
      <c r="J8" s="164">
        <v>0</v>
      </c>
      <c r="K8" s="164">
        <v>28.3826681818182</v>
      </c>
    </row>
    <row r="9" spans="1:18" x14ac:dyDescent="0.25">
      <c r="A9" s="4" t="s">
        <v>241</v>
      </c>
      <c r="B9" s="131">
        <v>2.5</v>
      </c>
      <c r="C9" s="164">
        <v>0</v>
      </c>
      <c r="D9" s="161"/>
      <c r="E9" s="164">
        <v>138.205067865171</v>
      </c>
      <c r="F9" s="164">
        <v>48.195</v>
      </c>
      <c r="G9" s="164">
        <v>19.6033717644736</v>
      </c>
      <c r="H9" s="164">
        <v>28.5916282355264</v>
      </c>
      <c r="I9" s="165">
        <v>1</v>
      </c>
      <c r="J9" s="164">
        <v>130.99826786517099</v>
      </c>
      <c r="K9" s="164">
        <v>28.5916282355264</v>
      </c>
    </row>
    <row r="10" spans="1:18" x14ac:dyDescent="0.25">
      <c r="A10" s="4" t="s">
        <v>238</v>
      </c>
      <c r="B10" s="131">
        <v>6.3999999999999995</v>
      </c>
      <c r="C10" s="164">
        <v>96</v>
      </c>
      <c r="D10" s="161"/>
      <c r="E10" s="164">
        <v>97.816320000000005</v>
      </c>
      <c r="F10" s="164">
        <v>58.053068181818198</v>
      </c>
      <c r="G10" s="164">
        <v>125.6704</v>
      </c>
      <c r="H10" s="164">
        <v>28.3826681818182</v>
      </c>
      <c r="I10" s="165">
        <v>1</v>
      </c>
      <c r="J10" s="164">
        <v>0</v>
      </c>
      <c r="K10" s="164">
        <v>28.3826681818182</v>
      </c>
    </row>
    <row r="11" spans="1:18" x14ac:dyDescent="0.25">
      <c r="A11" s="4" t="s">
        <v>239</v>
      </c>
      <c r="B11" s="131">
        <v>3</v>
      </c>
      <c r="C11" s="164">
        <v>153.9</v>
      </c>
      <c r="D11" s="161"/>
      <c r="E11" s="164">
        <v>154.00046399999999</v>
      </c>
      <c r="F11" s="164">
        <v>52.576363636363602</v>
      </c>
      <c r="G11" s="164">
        <v>138.05609999999999</v>
      </c>
      <c r="H11" s="164">
        <v>68.4202636363636</v>
      </c>
      <c r="I11" s="165">
        <v>1</v>
      </c>
      <c r="J11" s="164">
        <v>0</v>
      </c>
      <c r="K11" s="164">
        <v>68.4202636363636</v>
      </c>
    </row>
    <row r="12" spans="1:18" x14ac:dyDescent="0.25">
      <c r="C12" s="161"/>
      <c r="D12" s="161"/>
      <c r="E12" s="161"/>
      <c r="F12" s="161"/>
      <c r="G12" s="161"/>
      <c r="H12" s="161"/>
      <c r="I12" s="165"/>
      <c r="J12" s="172"/>
      <c r="K12" s="161">
        <f>AVERAGE(K8:K11)</f>
        <v>38.444307058881606</v>
      </c>
    </row>
    <row r="13" spans="1:18" x14ac:dyDescent="0.25">
      <c r="A13" s="5" t="s">
        <v>242</v>
      </c>
      <c r="C13" s="161"/>
      <c r="D13" s="161"/>
      <c r="E13" s="161"/>
      <c r="F13" s="161"/>
      <c r="G13" s="161"/>
      <c r="H13" s="161"/>
      <c r="I13" s="165"/>
      <c r="J13" s="172"/>
      <c r="K13" s="161"/>
    </row>
    <row r="14" spans="1:18" x14ac:dyDescent="0.25">
      <c r="A14" s="4" t="s">
        <v>238</v>
      </c>
      <c r="B14" s="131">
        <v>6.3999999999999995</v>
      </c>
      <c r="C14" s="164">
        <v>96</v>
      </c>
      <c r="D14" s="161"/>
      <c r="E14" s="164">
        <v>97.816320000000005</v>
      </c>
      <c r="F14" s="164">
        <v>58.053068181818198</v>
      </c>
      <c r="G14" s="164">
        <v>125.6704</v>
      </c>
      <c r="H14" s="164">
        <v>28.3826681818182</v>
      </c>
      <c r="I14" s="165">
        <v>1</v>
      </c>
      <c r="J14" s="164">
        <v>0</v>
      </c>
      <c r="K14" s="164">
        <v>28.3826681818182</v>
      </c>
      <c r="M14" s="165"/>
      <c r="N14" s="165"/>
      <c r="O14" s="165"/>
      <c r="P14" s="165"/>
      <c r="Q14" s="165"/>
      <c r="R14" s="165"/>
    </row>
    <row r="15" spans="1:18" x14ac:dyDescent="0.25">
      <c r="A15" s="4" t="s">
        <v>243</v>
      </c>
      <c r="B15" s="131">
        <v>2.1</v>
      </c>
      <c r="C15" s="164">
        <v>0</v>
      </c>
      <c r="D15" s="161"/>
      <c r="E15" s="164">
        <v>128.291394056721</v>
      </c>
      <c r="F15" s="164">
        <v>48.195</v>
      </c>
      <c r="G15" s="164">
        <v>14.8176757829476</v>
      </c>
      <c r="H15" s="164">
        <v>33.377324217052397</v>
      </c>
      <c r="I15" s="165">
        <v>1</v>
      </c>
      <c r="J15" s="164">
        <v>122.832114056721</v>
      </c>
      <c r="K15" s="164">
        <v>33.377324217052397</v>
      </c>
    </row>
    <row r="16" spans="1:18" x14ac:dyDescent="0.25">
      <c r="A16" s="4" t="s">
        <v>238</v>
      </c>
      <c r="B16" s="131">
        <v>6.3999999999999995</v>
      </c>
      <c r="C16" s="164">
        <v>96</v>
      </c>
      <c r="D16" s="161"/>
      <c r="E16" s="164">
        <v>97.816320000000005</v>
      </c>
      <c r="F16" s="164">
        <v>58.053068181818198</v>
      </c>
      <c r="G16" s="164">
        <v>125.6704</v>
      </c>
      <c r="H16" s="164">
        <v>28.3826681818182</v>
      </c>
      <c r="I16" s="165">
        <v>1</v>
      </c>
      <c r="J16" s="164">
        <v>0</v>
      </c>
      <c r="K16" s="164">
        <v>28.3826681818182</v>
      </c>
    </row>
    <row r="17" spans="1:25" x14ac:dyDescent="0.25">
      <c r="A17" s="4" t="s">
        <v>239</v>
      </c>
      <c r="B17" s="131">
        <v>3</v>
      </c>
      <c r="C17" s="164">
        <v>153.9</v>
      </c>
      <c r="D17" s="161"/>
      <c r="E17" s="164">
        <v>154.00046399999999</v>
      </c>
      <c r="F17" s="164">
        <v>52.576363636363602</v>
      </c>
      <c r="G17" s="164">
        <v>138.05609999999999</v>
      </c>
      <c r="H17" s="164">
        <v>68.4202636363636</v>
      </c>
      <c r="I17" s="165">
        <v>1</v>
      </c>
      <c r="J17" s="164">
        <v>0</v>
      </c>
      <c r="K17" s="164">
        <v>68.4202636363636</v>
      </c>
    </row>
    <row r="18" spans="1:25" x14ac:dyDescent="0.25">
      <c r="C18" s="161"/>
      <c r="D18" s="161"/>
      <c r="E18" s="161"/>
      <c r="F18" s="161"/>
      <c r="G18" s="161"/>
      <c r="H18" s="161"/>
      <c r="J18" s="161"/>
      <c r="K18" s="161">
        <f>AVERAGE(K14:K17)</f>
        <v>39.6407310542631</v>
      </c>
    </row>
    <row r="20" spans="1:25" x14ac:dyDescent="0.25">
      <c r="A20" s="5" t="s">
        <v>396</v>
      </c>
    </row>
    <row r="22" spans="1:25" x14ac:dyDescent="0.25">
      <c r="A22" s="4" t="s">
        <v>451</v>
      </c>
    </row>
    <row r="23" spans="1:25" x14ac:dyDescent="0.25">
      <c r="J23" s="165"/>
    </row>
    <row r="24" spans="1:25" x14ac:dyDescent="0.25">
      <c r="A24" s="4" t="s">
        <v>452</v>
      </c>
      <c r="D24" s="25" t="s">
        <v>397</v>
      </c>
    </row>
    <row r="26" spans="1:25" x14ac:dyDescent="0.25">
      <c r="A26" s="4" t="s">
        <v>453</v>
      </c>
      <c r="D26" s="25" t="s">
        <v>398</v>
      </c>
    </row>
    <row r="28" spans="1:25" x14ac:dyDescent="0.25">
      <c r="A28" s="4" t="s">
        <v>454</v>
      </c>
      <c r="F28" s="166"/>
      <c r="G28" s="166"/>
      <c r="H28" s="166"/>
      <c r="I28" s="166"/>
      <c r="J28" s="142"/>
      <c r="Y28" s="166"/>
    </row>
    <row r="29" spans="1:25" x14ac:dyDescent="0.25">
      <c r="A29" s="4" t="s">
        <v>455</v>
      </c>
      <c r="D29" s="25" t="s">
        <v>456</v>
      </c>
    </row>
    <row r="30" spans="1:25" x14ac:dyDescent="0.25">
      <c r="A30" s="163"/>
      <c r="B30" s="166"/>
      <c r="C30" s="166"/>
      <c r="D30" s="166"/>
      <c r="E30" s="166"/>
    </row>
    <row r="31" spans="1:25" x14ac:dyDescent="0.25">
      <c r="A31" s="4" t="s">
        <v>399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P12" sqref="P12:S12"/>
    </sheetView>
  </sheetViews>
  <sheetFormatPr baseColWidth="10" defaultColWidth="9.140625" defaultRowHeight="15" x14ac:dyDescent="0.25"/>
  <cols>
    <col min="1" max="16384" width="9.140625" style="4"/>
  </cols>
  <sheetData>
    <row r="1" spans="1:20" x14ac:dyDescent="0.25">
      <c r="A1" s="4">
        <f>'N fertilizer'!A1</f>
        <v>0</v>
      </c>
      <c r="B1" s="4" t="str">
        <f>'N fertilizer'!B1</f>
        <v>Crop 1</v>
      </c>
      <c r="C1" s="4" t="str">
        <f>'N fertilizer'!C1</f>
        <v>Crop 2</v>
      </c>
      <c r="D1" s="4" t="str">
        <f>'N fertilizer'!D1</f>
        <v>Crop 3</v>
      </c>
      <c r="E1" s="4" t="str">
        <f>'N fertilizer'!E1</f>
        <v>Crop 4</v>
      </c>
      <c r="F1" s="4">
        <f>'N fertilizer'!F1</f>
        <v>0</v>
      </c>
    </row>
    <row r="2" spans="1:20" x14ac:dyDescent="0.25">
      <c r="A2" s="4" t="str">
        <f>'N fertilizer'!A2</f>
        <v xml:space="preserve">Without legumes: </v>
      </c>
      <c r="B2" s="4" t="str">
        <f>'N fertilizer'!B2</f>
        <v>wrye</v>
      </c>
      <c r="C2" s="4" t="str">
        <f>'N fertilizer'!C2</f>
        <v>wrye</v>
      </c>
      <c r="D2" s="4" t="str">
        <f>'N fertilizer'!D2</f>
        <v>wrape</v>
      </c>
      <c r="E2" s="4">
        <f>'N fertilizer'!E2</f>
        <v>0</v>
      </c>
      <c r="F2" s="4">
        <f>'N fertilizer'!F2</f>
        <v>0</v>
      </c>
    </row>
    <row r="3" spans="1:20" x14ac:dyDescent="0.25">
      <c r="A3" s="4" t="str">
        <f>'N fertilizer'!A3</f>
        <v xml:space="preserve">With legumes option 1: </v>
      </c>
      <c r="B3" s="4" t="str">
        <f>'N fertilizer'!B3</f>
        <v>wrye</v>
      </c>
      <c r="C3" s="4" t="str">
        <f>'N fertilizer'!C3</f>
        <v>pea</v>
      </c>
      <c r="D3" s="4" t="str">
        <f>'N fertilizer'!D3</f>
        <v>wrye</v>
      </c>
      <c r="E3" s="4" t="str">
        <f>'N fertilizer'!E3</f>
        <v>wrape</v>
      </c>
      <c r="F3" s="4">
        <f>'N fertilizer'!F3</f>
        <v>0</v>
      </c>
    </row>
    <row r="4" spans="1:20" x14ac:dyDescent="0.25">
      <c r="A4" s="4" t="str">
        <f>'N fertilizer'!A4</f>
        <v xml:space="preserve">With legumes option 2: </v>
      </c>
      <c r="B4" s="4" t="str">
        <f>'N fertilizer'!B4</f>
        <v>wrye</v>
      </c>
      <c r="C4" s="4" t="str">
        <f>'N fertilizer'!C4</f>
        <v>lupin</v>
      </c>
      <c r="D4" s="4" t="str">
        <f>'N fertilizer'!D4</f>
        <v>wrye</v>
      </c>
      <c r="E4" s="4" t="str">
        <f>'N fertilizer'!E4</f>
        <v>wrape</v>
      </c>
      <c r="F4" s="4">
        <f>'N fertilizer'!F4</f>
        <v>0</v>
      </c>
    </row>
    <row r="6" spans="1:20" x14ac:dyDescent="0.25">
      <c r="A6" s="151" t="s">
        <v>306</v>
      </c>
      <c r="B6" s="4" t="s">
        <v>307</v>
      </c>
    </row>
    <row r="7" spans="1:20" x14ac:dyDescent="0.25">
      <c r="B7" s="35" t="str">
        <f>'N fertilizer'!B7</f>
        <v>wrye</v>
      </c>
      <c r="C7" s="35" t="str">
        <f>'N fertilizer'!C7</f>
        <v>wrye</v>
      </c>
      <c r="D7" s="35" t="str">
        <f>'N fertilizer'!D7</f>
        <v>wrape</v>
      </c>
      <c r="E7" s="35"/>
      <c r="F7" s="35"/>
      <c r="G7" s="35"/>
      <c r="I7" s="35" t="str">
        <f>'N fertilizer'!I7</f>
        <v>wrye</v>
      </c>
      <c r="J7" s="35" t="str">
        <f>'N fertilizer'!J7</f>
        <v>pea</v>
      </c>
      <c r="K7" s="35" t="str">
        <f>'N fertilizer'!K7</f>
        <v>wrye</v>
      </c>
      <c r="L7" s="35" t="str">
        <f>'N fertilizer'!L7</f>
        <v>wrape</v>
      </c>
      <c r="M7" s="35"/>
      <c r="N7" s="35"/>
      <c r="P7" s="35" t="str">
        <f>'N fertilizer'!P7</f>
        <v>wrye</v>
      </c>
      <c r="Q7" s="35" t="str">
        <f>'N fertilizer'!Q7</f>
        <v>lupin</v>
      </c>
      <c r="R7" s="35" t="str">
        <f>'N fertilizer'!R7</f>
        <v>wrye</v>
      </c>
      <c r="S7" s="35" t="str">
        <f>'N fertilizer'!S7</f>
        <v>wrape</v>
      </c>
      <c r="T7" s="35"/>
    </row>
    <row r="8" spans="1:20" x14ac:dyDescent="0.25">
      <c r="A8" s="35"/>
      <c r="B8" s="152">
        <f>VLOOKUP(B7,'Mapping crops'!$A:$B,2,FALSE)</f>
        <v>2</v>
      </c>
      <c r="C8" s="152">
        <f>VLOOKUP(C7,'Mapping crops'!$A:$B,2,FALSE)</f>
        <v>2</v>
      </c>
      <c r="D8" s="152">
        <f>VLOOKUP(D7,'Mapping crops'!$A:$B,2,FALSE)</f>
        <v>1</v>
      </c>
      <c r="E8" s="152"/>
      <c r="F8" s="152"/>
      <c r="G8" s="5"/>
      <c r="H8" s="152"/>
      <c r="I8" s="152">
        <f>VLOOKUP(I7,'Mapping crops'!$A:$B,2,FALSE)</f>
        <v>2</v>
      </c>
      <c r="J8" s="152">
        <f>VLOOKUP(J7,'Mapping crops'!$A:$B,2,FALSE)</f>
        <v>12</v>
      </c>
      <c r="K8" s="152">
        <f>VLOOKUP(K7,'Mapping crops'!$A:$B,2,FALSE)</f>
        <v>2</v>
      </c>
      <c r="L8" s="152">
        <f>VLOOKUP(L7,'Mapping crops'!$A:$B,2,FALSE)</f>
        <v>1</v>
      </c>
      <c r="M8" s="152"/>
      <c r="N8" s="152"/>
      <c r="O8" s="152"/>
      <c r="P8" s="152">
        <f>VLOOKUP(P7,'Mapping crops'!$A:$B,2,FALSE)</f>
        <v>2</v>
      </c>
      <c r="Q8" s="152">
        <f>VLOOKUP(Q7,'Mapping crops'!$A:$B,2,FALSE)</f>
        <v>12</v>
      </c>
      <c r="R8" s="152">
        <f>VLOOKUP(R7,'Mapping crops'!$A:$B,2,FALSE)</f>
        <v>2</v>
      </c>
      <c r="S8" s="152">
        <f>VLOOKUP(S7,'Mapping crops'!$A:$B,2,FALSE)</f>
        <v>1</v>
      </c>
      <c r="T8" s="152"/>
    </row>
    <row r="9" spans="1:20" x14ac:dyDescent="0.25">
      <c r="A9" s="150" t="s">
        <v>308</v>
      </c>
      <c r="B9" s="4">
        <f>IF(ISBLANK('N fertilizer'!B10),0,VLOOKUP('N fertilizer'!B10,'N2O default values'!$I:$J,2,FALSE)*'N fertilizer'!B13)</f>
        <v>4.7925000000000004</v>
      </c>
      <c r="C9" s="4">
        <f>IF(ISBLANK('N fertilizer'!C10),0,VLOOKUP('N fertilizer'!C10,'N2O default values'!$I:$J,2,FALSE)*'N fertilizer'!C13)</f>
        <v>5.1435000000000004</v>
      </c>
      <c r="D9" s="4">
        <f>IF(ISBLANK('N fertilizer'!D10),0,VLOOKUP('N fertilizer'!D10,'N2O default values'!$I:$J,2,FALSE)*'N fertilizer'!D13)</f>
        <v>7.6950000000000003</v>
      </c>
      <c r="I9" s="4">
        <f>IF(ISBLANK('N fertilizer'!I10),0,VLOOKUP('N fertilizer'!I10,'N2O default values'!$I:$J,2,FALSE)*'N fertilizer'!I13)</f>
        <v>4.7925000000000004</v>
      </c>
      <c r="J9" s="4">
        <f>IF(ISBLANK('N fertilizer'!J10),0,VLOOKUP('N fertilizer'!J10,'N2O default values'!$I:$J,2,FALSE)*'N fertilizer'!J13)</f>
        <v>0</v>
      </c>
      <c r="K9" s="4">
        <f>IF(ISBLANK('N fertilizer'!K10),0,VLOOKUP('N fertilizer'!K10,'N2O default values'!$I:$J,2,FALSE)*'N fertilizer'!K13)</f>
        <v>5.1435000000000004</v>
      </c>
      <c r="L9" s="4">
        <f>IF(ISBLANK('N fertilizer'!L10),0,VLOOKUP('N fertilizer'!L10,'N2O default values'!$I:$J,2,FALSE)*'N fertilizer'!L13)</f>
        <v>7.6950000000000003</v>
      </c>
      <c r="P9" s="4">
        <f>IF(ISBLANK('N fertilizer'!P10),0,VLOOKUP('N fertilizer'!P10,'N2O default values'!$I:$J,2,FALSE)*'N fertilizer'!P13)</f>
        <v>4.7925000000000004</v>
      </c>
      <c r="Q9" s="4">
        <f>IF(ISBLANK('N fertilizer'!Q10),0,VLOOKUP('N fertilizer'!Q10,'N2O default values'!$I:$J,2,FALSE)*'N fertilizer'!Q13)</f>
        <v>0</v>
      </c>
      <c r="R9" s="4">
        <f>IF(ISBLANK('N fertilizer'!R10),0,VLOOKUP('N fertilizer'!R10,'N2O default values'!$I:$J,2,FALSE)*'N fertilizer'!R13)</f>
        <v>5.1435000000000004</v>
      </c>
      <c r="S9" s="4">
        <f>IF(ISBLANK('N fertilizer'!S10),0,VLOOKUP('N fertilizer'!S10,'N2O default values'!$I:$J,2,FALSE)*'N fertilizer'!S13)</f>
        <v>7.6950000000000003</v>
      </c>
    </row>
    <row r="10" spans="1:20" x14ac:dyDescent="0.25">
      <c r="A10" s="150" t="s">
        <v>308</v>
      </c>
      <c r="B10" s="4">
        <f>IF(ISBLANK('N fertilizer'!B15),0,VLOOKUP('N fertilizer'!B15,'N2O default values'!$I:$J,2,FALSE)*'N fertilizer'!B18)</f>
        <v>0</v>
      </c>
      <c r="C10" s="4">
        <f>IF(ISBLANK('N fertilizer'!C15),0,VLOOKUP('N fertilizer'!C15,'N2O default values'!$I:$J,2,FALSE)*'N fertilizer'!C18)</f>
        <v>0</v>
      </c>
      <c r="D10" s="4">
        <f>IF(ISBLANK('N fertilizer'!D15),0,VLOOKUP('N fertilizer'!D15,'N2O default values'!$I:$J,2,FALSE)*'N fertilizer'!D18)</f>
        <v>1.8000000000000004E-3</v>
      </c>
      <c r="I10" s="4">
        <f>IF(ISBLANK('N fertilizer'!I15),0,VLOOKUP('N fertilizer'!I15,'N2O default values'!$I:$J,2,FALSE)*'N fertilizer'!I18)</f>
        <v>0</v>
      </c>
      <c r="J10" s="4">
        <f>IF(ISBLANK('N fertilizer'!J15),0,VLOOKUP('N fertilizer'!J15,'N2O default values'!$I:$J,2,FALSE)*'N fertilizer'!J18)</f>
        <v>0</v>
      </c>
      <c r="K10" s="4">
        <f>IF(ISBLANK('N fertilizer'!K15),0,VLOOKUP('N fertilizer'!K15,'N2O default values'!$I:$J,2,FALSE)*'N fertilizer'!K18)</f>
        <v>0</v>
      </c>
      <c r="L10" s="4">
        <f>IF(ISBLANK('N fertilizer'!L15),0,VLOOKUP('N fertilizer'!L15,'N2O default values'!$I:$J,2,FALSE)*'N fertilizer'!L18)</f>
        <v>1.8000000000000004E-3</v>
      </c>
      <c r="P10" s="4">
        <f>IF(ISBLANK('N fertilizer'!P15),0,VLOOKUP('N fertilizer'!P15,'N2O default values'!$I:$J,2,FALSE)*'N fertilizer'!P18)</f>
        <v>0</v>
      </c>
      <c r="Q10" s="4">
        <f>IF(ISBLANK('N fertilizer'!Q15),0,VLOOKUP('N fertilizer'!Q15,'N2O default values'!$I:$J,2,FALSE)*'N fertilizer'!Q18)</f>
        <v>0</v>
      </c>
      <c r="R10" s="4">
        <f>IF(ISBLANK('N fertilizer'!R15),0,VLOOKUP('N fertilizer'!R15,'N2O default values'!$I:$J,2,FALSE)*'N fertilizer'!R18)</f>
        <v>0</v>
      </c>
      <c r="S10" s="4">
        <f>IF(ISBLANK('N fertilizer'!S15),0,VLOOKUP('N fertilizer'!S15,'N2O default values'!$I:$J,2,FALSE)*'N fertilizer'!S18)</f>
        <v>1.8000000000000004E-3</v>
      </c>
    </row>
    <row r="11" spans="1:20" x14ac:dyDescent="0.25">
      <c r="A11" s="150" t="s">
        <v>308</v>
      </c>
      <c r="B11" s="4">
        <f>IF(ISBLANK('N fertilizer'!B21),0,VLOOKUP('N fertilizer'!B21,'N2O default values'!$I:$J,2,FALSE)*'N fertilizer'!B24)</f>
        <v>0</v>
      </c>
      <c r="C11" s="4">
        <f>IF(ISBLANK('N fertilizer'!C21),0,VLOOKUP('N fertilizer'!C21,'N2O default values'!$I:$J,2,FALSE)*'N fertilizer'!C24)</f>
        <v>0</v>
      </c>
      <c r="D11" s="4">
        <f>IF(ISBLANK('N fertilizer'!D21),0,VLOOKUP('N fertilizer'!D21,'N2O default values'!$I:$J,2,FALSE)*'N fertilizer'!D24)</f>
        <v>0</v>
      </c>
      <c r="I11" s="4">
        <f>IF(ISBLANK('N fertilizer'!I21),0,VLOOKUP('N fertilizer'!I21,'N2O default values'!$I:$J,2,FALSE)*'N fertilizer'!I24)</f>
        <v>0</v>
      </c>
      <c r="J11" s="4">
        <f>IF(ISBLANK('N fertilizer'!J21),0,VLOOKUP('N fertilizer'!J21,'N2O default values'!$I:$J,2,FALSE)*'N fertilizer'!J24)</f>
        <v>0</v>
      </c>
      <c r="K11" s="4">
        <f>IF(ISBLANK('N fertilizer'!K21),0,VLOOKUP('N fertilizer'!K21,'N2O default values'!$I:$J,2,FALSE)*'N fertilizer'!K24)</f>
        <v>0</v>
      </c>
      <c r="L11" s="4">
        <f>IF(ISBLANK('N fertilizer'!L21),0,VLOOKUP('N fertilizer'!L21,'N2O default values'!$I:$J,2,FALSE)*'N fertilizer'!L24)</f>
        <v>0</v>
      </c>
      <c r="P11" s="4">
        <f>IF(ISBLANK('N fertilizer'!P21),0,VLOOKUP('N fertilizer'!P21,'N2O default values'!$I:$J,2,FALSE)*'N fertilizer'!P24)</f>
        <v>0</v>
      </c>
      <c r="Q11" s="4">
        <f>IF(ISBLANK('N fertilizer'!Q21),0,VLOOKUP('N fertilizer'!Q21,'N2O default values'!$I:$J,2,FALSE)*'N fertilizer'!Q24)</f>
        <v>0</v>
      </c>
      <c r="R11" s="4">
        <f>IF(ISBLANK('N fertilizer'!R21),0,VLOOKUP('N fertilizer'!R21,'N2O default values'!$I:$J,2,FALSE)*'N fertilizer'!R24)</f>
        <v>0</v>
      </c>
      <c r="S11" s="4">
        <f>IF(ISBLANK('N fertilizer'!S21),0,VLOOKUP('N fertilizer'!S21,'N2O default values'!$I:$J,2,FALSE)*'N fertilizer'!S24)</f>
        <v>0</v>
      </c>
    </row>
    <row r="12" spans="1:20" x14ac:dyDescent="0.25">
      <c r="A12" s="150" t="s">
        <v>309</v>
      </c>
      <c r="B12" s="164">
        <v>28.3826681818182</v>
      </c>
      <c r="C12" s="164">
        <v>42.7428363636364</v>
      </c>
      <c r="D12" s="164">
        <v>68.4202636363636</v>
      </c>
      <c r="I12" s="164">
        <v>28.3826681818182</v>
      </c>
      <c r="J12" s="164">
        <v>28.5916282355264</v>
      </c>
      <c r="K12" s="164">
        <v>28.3826681818182</v>
      </c>
      <c r="L12" s="164">
        <v>68.4202636363636</v>
      </c>
      <c r="P12" s="164">
        <v>28.3826681818182</v>
      </c>
      <c r="Q12" s="164">
        <v>33.377324217052397</v>
      </c>
      <c r="R12" s="164">
        <v>28.3826681818182</v>
      </c>
      <c r="S12" s="164">
        <v>68.4202636363636</v>
      </c>
    </row>
    <row r="13" spans="1:20" x14ac:dyDescent="0.25">
      <c r="A13" s="150" t="s">
        <v>310</v>
      </c>
    </row>
    <row r="14" spans="1:20" x14ac:dyDescent="0.25">
      <c r="A14" s="150" t="s">
        <v>257</v>
      </c>
      <c r="B14" s="4">
        <f>GM!B$8*VLOOKUP(B8,'N2O default values'!$M:$U,7)</f>
        <v>5.6319999999999997</v>
      </c>
      <c r="C14" s="4">
        <f>GM!C$8*VLOOKUP(C8,'N2O default values'!$M:$U,7)</f>
        <v>4.6639999999999997</v>
      </c>
      <c r="D14" s="4">
        <f>GM!D$8*VLOOKUP(D8,'N2O default values'!$M:$U,7)</f>
        <v>2.5499999999999998</v>
      </c>
      <c r="I14" s="4">
        <f>GM!I$8*VLOOKUP(I8,'N2O default values'!$M:$U,7)</f>
        <v>5.6319999999999997</v>
      </c>
      <c r="J14" s="4">
        <f>GM!J$8*VLOOKUP(J8,'N2O default values'!$M:$U,7)</f>
        <v>2.2749999999999999</v>
      </c>
      <c r="K14" s="4">
        <f>GM!K$8*VLOOKUP(K8,'N2O default values'!$M:$U,7)</f>
        <v>5.6319999999999997</v>
      </c>
      <c r="L14" s="4">
        <f>GM!L$8*VLOOKUP(L8,'N2O default values'!$M:$U,7)</f>
        <v>2.5499999999999998</v>
      </c>
      <c r="P14" s="4">
        <f>GM!P$8*VLOOKUP(P8,'N2O default values'!$M:$U,7)</f>
        <v>5.6319999999999997</v>
      </c>
      <c r="Q14" s="4">
        <f>GM!Q$8*VLOOKUP(Q8,'N2O default values'!$M:$U,7)</f>
        <v>1.9110000000000003</v>
      </c>
      <c r="R14" s="4">
        <f>GM!R$8*VLOOKUP(R8,'N2O default values'!$M:$U,7)</f>
        <v>5.6319999999999997</v>
      </c>
      <c r="S14" s="4">
        <f>GM!S$8*VLOOKUP(S8,'N2O default values'!$M:$U,7)</f>
        <v>2.5499999999999998</v>
      </c>
    </row>
    <row r="15" spans="1:20" x14ac:dyDescent="0.25">
      <c r="A15" s="150" t="s">
        <v>311</v>
      </c>
      <c r="B15" s="4">
        <f>B14*VLOOKUP(B$8,'N2O default values'!$M:$U,5)*VLOOKUP(B$8,'N2O default values'!$M:$U,8)</f>
        <v>7.3216000000000001</v>
      </c>
      <c r="C15" s="4">
        <f>C14*VLOOKUP(C$8,'N2O default values'!$M:$U,5)*VLOOKUP(C$8,'N2O default values'!$M:$U,8)</f>
        <v>6.0632000000000001</v>
      </c>
      <c r="D15" s="4">
        <f>D14*VLOOKUP(D$8,'N2O default values'!$M:$U,5)*VLOOKUP(D$8,'N2O default values'!$M:$U,8)</f>
        <v>2.5499999999999998</v>
      </c>
      <c r="I15" s="4">
        <f>I14*VLOOKUP(I$8,'N2O default values'!$M:$U,5)*VLOOKUP(I$8,'N2O default values'!$M:$U,8)</f>
        <v>7.3216000000000001</v>
      </c>
      <c r="J15" s="4">
        <f>J14*VLOOKUP(J$8,'N2O default values'!$M:$U,5)*VLOOKUP(J$8,'N2O default values'!$M:$U,8)</f>
        <v>4.7774999999999999</v>
      </c>
      <c r="K15" s="4">
        <f>K14*VLOOKUP(K$8,'N2O default values'!$M:$U,5)*VLOOKUP(K$8,'N2O default values'!$M:$U,8)</f>
        <v>7.3216000000000001</v>
      </c>
      <c r="L15" s="4">
        <f>L14*VLOOKUP(L$8,'N2O default values'!$M:$U,5)*VLOOKUP(L$8,'N2O default values'!$M:$U,8)</f>
        <v>2.5499999999999998</v>
      </c>
      <c r="P15" s="4">
        <f>P14*VLOOKUP(P$8,'N2O default values'!$M:$U,5)*VLOOKUP(P$8,'N2O default values'!$M:$U,8)</f>
        <v>7.3216000000000001</v>
      </c>
      <c r="Q15" s="4">
        <f>Q14*VLOOKUP(Q$8,'N2O default values'!$M:$U,5)*VLOOKUP(Q$8,'N2O default values'!$M:$U,8)</f>
        <v>4.0131000000000006</v>
      </c>
      <c r="R15" s="4">
        <f>R14*VLOOKUP(R$8,'N2O default values'!$M:$U,5)*VLOOKUP(R$8,'N2O default values'!$M:$U,8)</f>
        <v>7.3216000000000001</v>
      </c>
      <c r="S15" s="4">
        <f>S14*VLOOKUP(S$8,'N2O default values'!$M:$U,5)*VLOOKUP(S$8,'N2O default values'!$M:$U,8)</f>
        <v>2.5499999999999998</v>
      </c>
    </row>
    <row r="16" spans="1:20" x14ac:dyDescent="0.25">
      <c r="A16" s="150" t="s">
        <v>312</v>
      </c>
      <c r="B16" s="4">
        <f>SUM(B14:B15)*VLOOKUP(B$8,'N2O default values'!$M:$U,6)</f>
        <v>2.8497919999999999</v>
      </c>
      <c r="C16" s="4">
        <f>SUM(C14:C15)*VLOOKUP(C$8,'N2O default values'!$M:$U,6)</f>
        <v>2.3599839999999999</v>
      </c>
      <c r="D16" s="4">
        <f>SUM(D14:D15)*VLOOKUP(D$8,'N2O default values'!$M:$U,6)</f>
        <v>1.1219999999999999</v>
      </c>
      <c r="I16" s="4">
        <f>SUM(I14:I15)*VLOOKUP(I$8,'N2O default values'!$M:$U,6)</f>
        <v>2.8497919999999999</v>
      </c>
      <c r="J16" s="4">
        <f>SUM(J14:J15)*VLOOKUP(J$8,'N2O default values'!$M:$U,6)</f>
        <v>1.3399750000000001</v>
      </c>
      <c r="K16" s="4">
        <f>SUM(K14:K15)*VLOOKUP(K$8,'N2O default values'!$M:$U,6)</f>
        <v>2.8497919999999999</v>
      </c>
      <c r="L16" s="4">
        <f>SUM(L14:L15)*VLOOKUP(L$8,'N2O default values'!$M:$U,6)</f>
        <v>1.1219999999999999</v>
      </c>
      <c r="P16" s="4">
        <f>SUM(P14:P15)*VLOOKUP(P$8,'N2O default values'!$M:$U,6)</f>
        <v>2.8497919999999999</v>
      </c>
      <c r="Q16" s="4">
        <f>SUM(Q14:Q15)*VLOOKUP(Q$8,'N2O default values'!$M:$U,6)</f>
        <v>1.1255790000000001</v>
      </c>
      <c r="R16" s="4">
        <f>SUM(R14:R15)*VLOOKUP(R$8,'N2O default values'!$M:$U,6)</f>
        <v>2.8497919999999999</v>
      </c>
      <c r="S16" s="4">
        <f>SUM(S14:S15)*VLOOKUP(S$8,'N2O default values'!$M:$U,6)</f>
        <v>1.1219999999999999</v>
      </c>
    </row>
    <row r="17" spans="1:20" x14ac:dyDescent="0.25">
      <c r="A17" s="150" t="s">
        <v>313</v>
      </c>
      <c r="B17" s="4">
        <f>(B15-GM!B11*VLOOKUP('N2O calculations'!B$8,'N2O default values'!$M:$U,9))*VLOOKUP('N2O calculations'!B$8,'N2O default values'!$M:$U,3)*1000</f>
        <v>43.929600000000001</v>
      </c>
      <c r="C17" s="4">
        <f>(C15-GM!C11*VLOOKUP('N2O calculations'!C$8,'N2O default values'!$M:$U,9))*VLOOKUP('N2O calculations'!C$8,'N2O default values'!$M:$U,3)*1000</f>
        <v>36.379199999999997</v>
      </c>
      <c r="D17" s="4">
        <f>(D15-GM!D11*VLOOKUP('N2O calculations'!D$8,'N2O default values'!$M:$U,9))*VLOOKUP('N2O calculations'!D$8,'N2O default values'!$M:$U,3)*1000</f>
        <v>20.399999999999999</v>
      </c>
      <c r="I17" s="4">
        <f>(I15-GM!I11*VLOOKUP('N2O calculations'!I$8,'N2O default values'!$M:$U,9))*VLOOKUP('N2O calculations'!I$8,'N2O default values'!$M:$U,3)*1000</f>
        <v>43.929600000000001</v>
      </c>
      <c r="J17" s="4">
        <f>(J15-GM!J11*VLOOKUP('N2O calculations'!J$8,'N2O default values'!$M:$U,9))*VLOOKUP('N2O calculations'!J$8,'N2O default values'!$M:$U,3)*1000</f>
        <v>38.22</v>
      </c>
      <c r="K17" s="4">
        <f>(K15-GM!K11*VLOOKUP('N2O calculations'!K$8,'N2O default values'!$M:$U,9))*VLOOKUP('N2O calculations'!K$8,'N2O default values'!$M:$U,3)*1000</f>
        <v>43.929600000000001</v>
      </c>
      <c r="L17" s="4">
        <f>(L15-GM!L11*VLOOKUP('N2O calculations'!L$8,'N2O default values'!$M:$U,9))*VLOOKUP('N2O calculations'!L$8,'N2O default values'!$M:$U,3)*1000</f>
        <v>20.399999999999999</v>
      </c>
      <c r="P17" s="4">
        <f>(P15-GM!P11*VLOOKUP('N2O calculations'!P$8,'N2O default values'!$M:$U,9))*VLOOKUP('N2O calculations'!P$8,'N2O default values'!$M:$U,3)*1000</f>
        <v>43.929600000000001</v>
      </c>
      <c r="Q17" s="4">
        <f>(Q15-GM!Q11*VLOOKUP('N2O calculations'!Q$8,'N2O default values'!$M:$U,9))*VLOOKUP('N2O calculations'!Q$8,'N2O default values'!$M:$U,3)*1000</f>
        <v>32.104800000000004</v>
      </c>
      <c r="R17" s="4">
        <f>(R15-GM!R11*VLOOKUP('N2O calculations'!R$8,'N2O default values'!$M:$U,9))*VLOOKUP('N2O calculations'!R$8,'N2O default values'!$M:$U,3)*1000</f>
        <v>43.929600000000001</v>
      </c>
      <c r="S17" s="4">
        <f>(S15-GM!S11*VLOOKUP('N2O calculations'!S$8,'N2O default values'!$M:$U,9))*VLOOKUP('N2O calculations'!S$8,'N2O default values'!$M:$U,3)*1000</f>
        <v>20.399999999999999</v>
      </c>
    </row>
    <row r="18" spans="1:20" x14ac:dyDescent="0.25">
      <c r="A18" s="150" t="s">
        <v>314</v>
      </c>
      <c r="B18" s="4">
        <f>B16*VLOOKUP(B$8,'N2O default values'!$M:$U,4)*1000</f>
        <v>25.648127999999996</v>
      </c>
      <c r="C18" s="4">
        <f>C16*VLOOKUP(C$8,'N2O default values'!$M:$U,4)*1000</f>
        <v>21.239856</v>
      </c>
      <c r="D18" s="4">
        <f>D16*VLOOKUP(D$8,'N2O default values'!$M:$U,4)*1000</f>
        <v>10.097999999999997</v>
      </c>
      <c r="I18" s="4">
        <f>I16*VLOOKUP(I$8,'N2O default values'!$M:$U,4)*1000</f>
        <v>25.648127999999996</v>
      </c>
      <c r="J18" s="4">
        <f>J16*VLOOKUP(J$8,'N2O default values'!$M:$U,4)*1000</f>
        <v>10.719800000000001</v>
      </c>
      <c r="K18" s="4">
        <f>K16*VLOOKUP(K$8,'N2O default values'!$M:$U,4)*1000</f>
        <v>25.648127999999996</v>
      </c>
      <c r="L18" s="4">
        <f>L16*VLOOKUP(L$8,'N2O default values'!$M:$U,4)*1000</f>
        <v>10.097999999999997</v>
      </c>
      <c r="P18" s="4">
        <f>P16*VLOOKUP(P$8,'N2O default values'!$M:$U,4)*1000</f>
        <v>25.648127999999996</v>
      </c>
      <c r="Q18" s="4">
        <f>Q16*VLOOKUP(Q$8,'N2O default values'!$M:$U,4)*1000</f>
        <v>9.0046320000000009</v>
      </c>
      <c r="R18" s="4">
        <f>R16*VLOOKUP(R$8,'N2O default values'!$M:$U,4)*1000</f>
        <v>25.648127999999996</v>
      </c>
      <c r="S18" s="4">
        <f>S16*VLOOKUP(S$8,'N2O default values'!$M:$U,4)*1000</f>
        <v>10.097999999999997</v>
      </c>
    </row>
    <row r="19" spans="1:20" x14ac:dyDescent="0.25">
      <c r="A19" s="150" t="s">
        <v>315</v>
      </c>
      <c r="B19" s="4">
        <f>SUM(B17:B18)</f>
        <v>69.577727999999993</v>
      </c>
      <c r="C19" s="4">
        <f t="shared" ref="C19:D19" si="0">SUM(C17:C18)</f>
        <v>57.619056</v>
      </c>
      <c r="D19" s="4">
        <f t="shared" si="0"/>
        <v>30.497999999999998</v>
      </c>
      <c r="I19" s="4">
        <f>SUM(I17:I18)</f>
        <v>69.577727999999993</v>
      </c>
      <c r="J19" s="4">
        <f t="shared" ref="J19:L19" si="1">SUM(J17:J18)</f>
        <v>48.939799999999998</v>
      </c>
      <c r="K19" s="4">
        <f t="shared" si="1"/>
        <v>69.577727999999993</v>
      </c>
      <c r="L19" s="4">
        <f t="shared" si="1"/>
        <v>30.497999999999998</v>
      </c>
      <c r="P19" s="4">
        <f>SUM(P17:P18)</f>
        <v>69.577727999999993</v>
      </c>
      <c r="Q19" s="4">
        <f t="shared" ref="Q19:S19" si="2">SUM(Q17:Q18)</f>
        <v>41.109432000000005</v>
      </c>
      <c r="R19" s="4">
        <f t="shared" si="2"/>
        <v>69.577727999999993</v>
      </c>
      <c r="S19" s="4">
        <f t="shared" si="2"/>
        <v>30.497999999999998</v>
      </c>
    </row>
    <row r="20" spans="1:20" x14ac:dyDescent="0.25">
      <c r="A20" s="150"/>
    </row>
    <row r="23" spans="1:20" x14ac:dyDescent="0.25">
      <c r="A23" s="4" t="s">
        <v>316</v>
      </c>
    </row>
    <row r="24" spans="1:20" x14ac:dyDescent="0.25">
      <c r="B24" s="35" t="str">
        <f>B7</f>
        <v>wrye</v>
      </c>
      <c r="C24" s="35" t="str">
        <f t="shared" ref="C24:D24" si="3">C7</f>
        <v>wrye</v>
      </c>
      <c r="D24" s="35" t="str">
        <f t="shared" si="3"/>
        <v>wrape</v>
      </c>
      <c r="E24" s="35"/>
      <c r="F24" s="35"/>
      <c r="G24" s="35"/>
      <c r="I24" s="35" t="str">
        <f>I7</f>
        <v>wrye</v>
      </c>
      <c r="J24" s="35" t="str">
        <f t="shared" ref="J24:L24" si="4">J7</f>
        <v>pea</v>
      </c>
      <c r="K24" s="35" t="str">
        <f t="shared" si="4"/>
        <v>wrye</v>
      </c>
      <c r="L24" s="35" t="str">
        <f t="shared" si="4"/>
        <v>wrape</v>
      </c>
      <c r="M24" s="35"/>
      <c r="N24" s="35"/>
      <c r="P24" s="35" t="str">
        <f>P7</f>
        <v>wrye</v>
      </c>
      <c r="Q24" s="35" t="str">
        <f t="shared" ref="Q24:S24" si="5">Q7</f>
        <v>lupin</v>
      </c>
      <c r="R24" s="35" t="str">
        <f t="shared" si="5"/>
        <v>wrye</v>
      </c>
      <c r="S24" s="35" t="str">
        <f t="shared" si="5"/>
        <v>wrape</v>
      </c>
      <c r="T24" s="35"/>
    </row>
    <row r="25" spans="1:20" x14ac:dyDescent="0.25">
      <c r="A25" s="150" t="s">
        <v>317</v>
      </c>
      <c r="B25" s="4">
        <f>'N fertilizer'!B13*'N2O default values'!$E$2+'N fertilizer'!B19*'N2O default values'!$E$2+'N fertilizer'!B24*'N2O default values'!$E$2</f>
        <v>1.5336000000000001</v>
      </c>
      <c r="C25" s="4">
        <f>'N fertilizer'!C13*'N2O default values'!$E$2+'N fertilizer'!C19*'N2O default values'!$E$2+'N fertilizer'!C24*'N2O default values'!$E$2</f>
        <v>1.64592</v>
      </c>
      <c r="D25" s="4">
        <f>'N fertilizer'!D13*'N2O default values'!$E$2+'N fertilizer'!D19*'N2O default values'!$E$2+'N fertilizer'!D24*'N2O default values'!$E$2</f>
        <v>2.4624000000000001</v>
      </c>
      <c r="I25" s="4">
        <f>'N fertilizer'!I13*'N2O default values'!$E$2+'N fertilizer'!I19*'N2O default values'!$E$2+'N fertilizer'!I24*'N2O default values'!$E$2</f>
        <v>1.5336000000000001</v>
      </c>
      <c r="J25" s="4">
        <f>'N fertilizer'!J13*'N2O default values'!$E$2+'N fertilizer'!J19*'N2O default values'!$E$2+'N fertilizer'!J24*'N2O default values'!$E$2</f>
        <v>0</v>
      </c>
      <c r="K25" s="4">
        <f>'N fertilizer'!K13*'N2O default values'!$E$2+'N fertilizer'!K19*'N2O default values'!$E$2+'N fertilizer'!K24*'N2O default values'!$E$2</f>
        <v>1.64592</v>
      </c>
      <c r="L25" s="4">
        <f>'N fertilizer'!L13*'N2O default values'!$E$2+'N fertilizer'!L19*'N2O default values'!$E$2+'N fertilizer'!L24*'N2O default values'!$E$2</f>
        <v>2.4624000000000001</v>
      </c>
      <c r="P25" s="4">
        <f>'N fertilizer'!P13*'N2O default values'!$E$2+'N fertilizer'!P19*'N2O default values'!$E$2+'N fertilizer'!P24*'N2O default values'!$E$2</f>
        <v>1.5336000000000001</v>
      </c>
      <c r="Q25" s="4">
        <f>'N fertilizer'!Q13*'N2O default values'!$E$2+'N fertilizer'!Q19*'N2O default values'!$E$2+'N fertilizer'!Q24*'N2O default values'!$E$2</f>
        <v>0</v>
      </c>
      <c r="R25" s="4">
        <f>'N fertilizer'!R13*'N2O default values'!$E$2+'N fertilizer'!R19*'N2O default values'!$E$2+'N fertilizer'!R24*'N2O default values'!$E$2</f>
        <v>1.64592</v>
      </c>
      <c r="S25" s="4">
        <f>'N fertilizer'!S13*'N2O default values'!$E$2+'N fertilizer'!S19*'N2O default values'!$E$2+'N fertilizer'!S24*'N2O default values'!$E$2</f>
        <v>2.4624000000000001</v>
      </c>
    </row>
    <row r="26" spans="1:20" x14ac:dyDescent="0.25">
      <c r="A26" s="4" t="s">
        <v>318</v>
      </c>
      <c r="B26" s="4">
        <f>(SUM(B9:B11)*'N2O default values'!$E$4)</f>
        <v>6.7095000000000002E-2</v>
      </c>
      <c r="C26" s="4">
        <f>(SUM(C9:C11)*'N2O default values'!$E$4)</f>
        <v>7.2009000000000004E-2</v>
      </c>
      <c r="D26" s="4">
        <f>(SUM(D9:D11)*'N2O default values'!$E$4)</f>
        <v>0.10775520000000001</v>
      </c>
      <c r="I26" s="4">
        <f>(SUM(I9:I11)*'N2O default values'!$E$4)</f>
        <v>6.7095000000000002E-2</v>
      </c>
      <c r="J26" s="4">
        <f>(SUM(J9:J11)*'N2O default values'!$E$4)</f>
        <v>0</v>
      </c>
      <c r="K26" s="4">
        <f>(SUM(K9:K11)*'N2O default values'!$E$4)</f>
        <v>7.2009000000000004E-2</v>
      </c>
      <c r="L26" s="4">
        <f>(SUM(L9:L11)*'N2O default values'!$E$4)</f>
        <v>0.10775520000000001</v>
      </c>
      <c r="P26" s="4">
        <f>(SUM(P9:P11)*'N2O default values'!$E$4)</f>
        <v>6.7095000000000002E-2</v>
      </c>
      <c r="Q26" s="4">
        <f>(SUM(Q9:Q11)*'N2O default values'!$E$4)</f>
        <v>0</v>
      </c>
      <c r="R26" s="4">
        <f>(SUM(R9:R11)*'N2O default values'!$E$4)</f>
        <v>7.2009000000000004E-2</v>
      </c>
      <c r="S26" s="4">
        <f>(SUM(S9:S11)*'N2O default values'!$E$4)</f>
        <v>0.10775520000000001</v>
      </c>
    </row>
    <row r="27" spans="1:20" x14ac:dyDescent="0.25">
      <c r="A27" s="4" t="s">
        <v>309</v>
      </c>
      <c r="B27" s="4">
        <f>B12*'N2O default values'!$E$5</f>
        <v>0.31220935000000016</v>
      </c>
      <c r="C27" s="4">
        <f>C12*'N2O default values'!$E$5</f>
        <v>0.47017120000000034</v>
      </c>
      <c r="D27" s="4">
        <f>D12*'N2O default values'!$E$5</f>
        <v>0.75262289999999954</v>
      </c>
      <c r="I27" s="4">
        <f>I12*'N2O default values'!$E$5</f>
        <v>0.31220935000000016</v>
      </c>
      <c r="J27" s="4">
        <f>J12*'N2O default values'!$E$5</f>
        <v>0.31450791059079036</v>
      </c>
      <c r="K27" s="4">
        <f>K12*'N2O default values'!$E$5</f>
        <v>0.31220935000000016</v>
      </c>
      <c r="L27" s="4">
        <f>L12*'N2O default values'!$E$5</f>
        <v>0.75262289999999954</v>
      </c>
      <c r="P27" s="4">
        <f>P12*'N2O default values'!$E$5</f>
        <v>0.31220935000000016</v>
      </c>
      <c r="Q27" s="4">
        <f>Q12*'N2O default values'!$E$5</f>
        <v>0.36715056638757637</v>
      </c>
      <c r="R27" s="4">
        <f>R12*'N2O default values'!$E$5</f>
        <v>0.31220935000000016</v>
      </c>
      <c r="S27" s="4">
        <f>S12*'N2O default values'!$E$5</f>
        <v>0.75262289999999954</v>
      </c>
    </row>
    <row r="28" spans="1:20" x14ac:dyDescent="0.25">
      <c r="A28" s="4" t="s">
        <v>319</v>
      </c>
      <c r="B28" s="4">
        <f>B19*'N2O default values'!$E$3</f>
        <v>0.41746636799999998</v>
      </c>
      <c r="C28" s="4">
        <f>C19*'N2O default values'!$E$3</f>
        <v>0.34571433600000001</v>
      </c>
      <c r="D28" s="4">
        <f>D19*'N2O default values'!$E$3</f>
        <v>0.18298799999999998</v>
      </c>
      <c r="I28" s="4">
        <f>I19*'N2O default values'!$E$3</f>
        <v>0.41746636799999998</v>
      </c>
      <c r="J28" s="4">
        <f>J19*'N2O default values'!$E$3</f>
        <v>0.29363879999999998</v>
      </c>
      <c r="K28" s="4">
        <f>K19*'N2O default values'!$E$3</f>
        <v>0.41746636799999998</v>
      </c>
      <c r="L28" s="4">
        <f>L19*'N2O default values'!$E$3</f>
        <v>0.18298799999999998</v>
      </c>
      <c r="P28" s="4">
        <f>P19*'N2O default values'!$E$3</f>
        <v>0.41746636799999998</v>
      </c>
      <c r="Q28" s="4">
        <f>Q19*'N2O default values'!$E$3</f>
        <v>0.24665659200000004</v>
      </c>
      <c r="R28" s="4">
        <f>R19*'N2O default values'!$E$3</f>
        <v>0.41746636799999998</v>
      </c>
      <c r="S28" s="4">
        <f>S19*'N2O default values'!$E$3</f>
        <v>0.18298799999999998</v>
      </c>
    </row>
    <row r="30" spans="1:20" x14ac:dyDescent="0.25">
      <c r="A30" s="4" t="s">
        <v>320</v>
      </c>
    </row>
    <row r="31" spans="1:20" x14ac:dyDescent="0.25">
      <c r="A31" s="4">
        <f>SUM(B31:F31)</f>
        <v>13.152780699142859</v>
      </c>
      <c r="B31" s="4">
        <f>SUM(B25:B28)*'N2O default values'!$G$2</f>
        <v>3.6620111282857146</v>
      </c>
      <c r="C31" s="4">
        <f>SUM(C25:C28)*'N2O default values'!$G$2</f>
        <v>3.9817085565714292</v>
      </c>
      <c r="D31" s="4">
        <f>SUM(D25:D28)*'N2O default values'!$G$2</f>
        <v>5.5090610142857139</v>
      </c>
      <c r="H31" s="4">
        <f>SUM(I31:M31)</f>
        <v>13.972967244642671</v>
      </c>
      <c r="I31" s="4">
        <f>SUM(I25:I28)*'N2O default values'!$G$2</f>
        <v>3.6620111282857146</v>
      </c>
      <c r="J31" s="4">
        <f>SUM(J25:J28)*'N2O default values'!$G$2</f>
        <v>0.95565911664267045</v>
      </c>
      <c r="K31" s="4">
        <f>SUM(K25:K28)*'N2O default values'!$G$2</f>
        <v>3.8462359854285713</v>
      </c>
      <c r="L31" s="4">
        <f>SUM(L25:L28)*'N2O default values'!$G$2</f>
        <v>5.5090610142857139</v>
      </c>
      <c r="O31" s="4">
        <f>SUM(P31:T31)</f>
        <v>13.981862234037621</v>
      </c>
      <c r="P31" s="4">
        <f>SUM(P25:P28)*'N2O default values'!$G$2</f>
        <v>3.6620111282857146</v>
      </c>
      <c r="Q31" s="4">
        <f>SUM(Q25:Q28)*'N2O default values'!$G$2</f>
        <v>0.96455410603762004</v>
      </c>
      <c r="R31" s="4">
        <f>SUM(R25:R28)*'N2O default values'!$G$2</f>
        <v>3.8462359854285713</v>
      </c>
      <c r="S31" s="4">
        <f>SUM(S25:S28)*'N2O default values'!$G$2</f>
        <v>5.5090610142857139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'N2O default values'!$C$1:$D$1</xm:f>
          </x14:formula1>
          <xm:sqref>B6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J41" sqref="J41"/>
    </sheetView>
  </sheetViews>
  <sheetFormatPr baseColWidth="10" defaultColWidth="9.140625" defaultRowHeight="15" x14ac:dyDescent="0.25"/>
  <cols>
    <col min="1" max="1" width="9.140625" style="4"/>
    <col min="2" max="2" width="17.7109375" style="4" bestFit="1" customWidth="1"/>
    <col min="3" max="10" width="9.140625" style="4"/>
    <col min="11" max="11" width="41.7109375" style="4" customWidth="1"/>
    <col min="12" max="12" width="7" style="4" customWidth="1"/>
    <col min="13" max="13" width="14.140625" style="4" bestFit="1" customWidth="1"/>
    <col min="14" max="14" width="41.85546875" style="4" customWidth="1"/>
    <col min="15" max="19" width="30.7109375" style="4" customWidth="1"/>
    <col min="20" max="16384" width="9.140625" style="4"/>
  </cols>
  <sheetData>
    <row r="1" spans="1:21" ht="45" x14ac:dyDescent="0.25">
      <c r="A1" s="4">
        <v>1</v>
      </c>
      <c r="C1" s="4" t="s">
        <v>307</v>
      </c>
      <c r="D1" s="4" t="s">
        <v>321</v>
      </c>
      <c r="G1" s="4" t="s">
        <v>322</v>
      </c>
      <c r="I1" s="4" t="s">
        <v>323</v>
      </c>
      <c r="K1" s="5"/>
      <c r="M1" s="4" t="s">
        <v>324</v>
      </c>
      <c r="N1" s="4" t="s">
        <v>283</v>
      </c>
      <c r="O1" s="39" t="s">
        <v>325</v>
      </c>
      <c r="P1" s="39" t="s">
        <v>326</v>
      </c>
      <c r="Q1" s="39" t="s">
        <v>327</v>
      </c>
      <c r="R1" s="39" t="s">
        <v>328</v>
      </c>
      <c r="S1" s="39" t="s">
        <v>284</v>
      </c>
      <c r="T1" s="39" t="s">
        <v>329</v>
      </c>
      <c r="U1" s="39" t="s">
        <v>330</v>
      </c>
    </row>
    <row r="2" spans="1:21" x14ac:dyDescent="0.25">
      <c r="A2" s="4">
        <v>2</v>
      </c>
      <c r="B2" s="4" t="s">
        <v>331</v>
      </c>
      <c r="C2" s="4">
        <v>1.6E-2</v>
      </c>
      <c r="D2" s="4">
        <v>5.0000000000000001E-3</v>
      </c>
      <c r="E2" s="4">
        <f>HLOOKUP('N2O calculations'!$B$6,$B$1:$D$10,A2)</f>
        <v>1.6E-2</v>
      </c>
      <c r="G2" s="4">
        <f>44/28</f>
        <v>1.5714285714285714</v>
      </c>
      <c r="I2" s="4" t="s">
        <v>332</v>
      </c>
      <c r="J2" s="4">
        <v>0.15</v>
      </c>
      <c r="K2" s="153" t="s">
        <v>333</v>
      </c>
      <c r="L2" s="154">
        <v>0.15</v>
      </c>
      <c r="M2" s="4">
        <v>1</v>
      </c>
      <c r="N2" s="39" t="s">
        <v>285</v>
      </c>
      <c r="O2" s="39">
        <v>8.0000000000000002E-3</v>
      </c>
      <c r="P2" s="39">
        <v>8.9999999999999993E-3</v>
      </c>
      <c r="Q2" s="39">
        <v>1</v>
      </c>
      <c r="R2" s="39">
        <v>0.22</v>
      </c>
      <c r="S2" s="39">
        <v>0.85</v>
      </c>
      <c r="T2" s="39">
        <v>1</v>
      </c>
      <c r="U2" s="4">
        <f>S2</f>
        <v>0.85</v>
      </c>
    </row>
    <row r="3" spans="1:21" x14ac:dyDescent="0.25">
      <c r="A3" s="4">
        <v>3</v>
      </c>
      <c r="B3" s="4" t="s">
        <v>334</v>
      </c>
      <c r="C3" s="4">
        <v>6.0000000000000001E-3</v>
      </c>
      <c r="D3" s="4">
        <v>5.0000000000000001E-3</v>
      </c>
      <c r="E3" s="4">
        <f>HLOOKUP('N2O calculations'!$B$6,$B$1:$D$10,A3)</f>
        <v>6.0000000000000001E-3</v>
      </c>
      <c r="I3" s="4" t="s">
        <v>335</v>
      </c>
      <c r="J3" s="4">
        <v>0.08</v>
      </c>
      <c r="K3" s="155" t="s">
        <v>336</v>
      </c>
      <c r="L3" s="154">
        <v>0.08</v>
      </c>
      <c r="M3" s="4">
        <v>2</v>
      </c>
      <c r="N3" s="4" t="s">
        <v>286</v>
      </c>
      <c r="O3" s="4">
        <v>6.0000000000000001E-3</v>
      </c>
      <c r="P3" s="4">
        <v>8.9999999999999993E-3</v>
      </c>
      <c r="Q3" s="4">
        <v>1.3</v>
      </c>
      <c r="R3" s="4">
        <v>0.22</v>
      </c>
      <c r="S3" s="4">
        <v>0.88</v>
      </c>
      <c r="T3" s="39">
        <v>1</v>
      </c>
      <c r="U3" s="4">
        <f t="shared" ref="U3:U22" si="0">S3</f>
        <v>0.88</v>
      </c>
    </row>
    <row r="4" spans="1:21" x14ac:dyDescent="0.25">
      <c r="A4" s="4">
        <v>4</v>
      </c>
      <c r="B4" s="4" t="s">
        <v>337</v>
      </c>
      <c r="C4" s="4">
        <v>1.4E-2</v>
      </c>
      <c r="D4" s="4">
        <v>5.0000000000000001E-3</v>
      </c>
      <c r="E4" s="4">
        <f>HLOOKUP('N2O calculations'!$B$6,$B$1:$D$10,A4)</f>
        <v>1.4E-2</v>
      </c>
      <c r="I4" s="4" t="s">
        <v>338</v>
      </c>
      <c r="J4" s="4">
        <v>0.01</v>
      </c>
      <c r="K4" s="155" t="s">
        <v>339</v>
      </c>
      <c r="L4" s="154">
        <v>0.01</v>
      </c>
      <c r="M4" s="4">
        <v>3</v>
      </c>
      <c r="N4" s="4" t="s">
        <v>287</v>
      </c>
      <c r="O4" s="4">
        <v>6.0000000000000001E-3</v>
      </c>
      <c r="P4" s="4">
        <v>8.9999999999999993E-3</v>
      </c>
      <c r="Q4" s="4">
        <v>1.3</v>
      </c>
      <c r="R4" s="4">
        <v>0.23</v>
      </c>
      <c r="S4" s="4">
        <v>0.89</v>
      </c>
      <c r="T4" s="39">
        <v>1</v>
      </c>
      <c r="U4" s="4">
        <f t="shared" si="0"/>
        <v>0.89</v>
      </c>
    </row>
    <row r="5" spans="1:21" x14ac:dyDescent="0.25">
      <c r="A5" s="4">
        <v>5</v>
      </c>
      <c r="B5" s="4" t="s">
        <v>309</v>
      </c>
      <c r="E5" s="4">
        <v>1.0999999999999999E-2</v>
      </c>
      <c r="I5" s="4" t="s">
        <v>340</v>
      </c>
      <c r="J5" s="4">
        <v>0.05</v>
      </c>
      <c r="K5" s="156" t="s">
        <v>341</v>
      </c>
      <c r="L5" s="156">
        <v>0.05</v>
      </c>
      <c r="M5" s="4">
        <v>4</v>
      </c>
      <c r="N5" s="4" t="s">
        <v>288</v>
      </c>
      <c r="O5" s="4">
        <v>6.0000000000000001E-3</v>
      </c>
      <c r="P5" s="4">
        <v>8.9999999999999993E-3</v>
      </c>
      <c r="Q5" s="4">
        <v>1.3</v>
      </c>
      <c r="R5" s="4">
        <v>0.28000000000000003</v>
      </c>
      <c r="S5" s="4">
        <v>0.89</v>
      </c>
      <c r="T5" s="39">
        <v>1</v>
      </c>
      <c r="U5" s="4">
        <f t="shared" si="0"/>
        <v>0.89</v>
      </c>
    </row>
    <row r="6" spans="1:21" x14ac:dyDescent="0.25">
      <c r="A6" s="4">
        <v>6</v>
      </c>
      <c r="I6" s="171" t="s">
        <v>178</v>
      </c>
      <c r="J6" s="171">
        <v>0.05</v>
      </c>
      <c r="K6" s="156" t="s">
        <v>342</v>
      </c>
      <c r="L6" s="156">
        <v>0.11</v>
      </c>
      <c r="M6" s="4">
        <v>5</v>
      </c>
      <c r="N6" s="4" t="s">
        <v>289</v>
      </c>
      <c r="O6" s="4">
        <v>7.0000000000000001E-3</v>
      </c>
      <c r="P6" s="4">
        <v>1.4E-2</v>
      </c>
      <c r="Q6" s="4">
        <v>1.2</v>
      </c>
      <c r="R6" s="4">
        <v>0.22</v>
      </c>
      <c r="S6" s="4">
        <v>0.89</v>
      </c>
      <c r="T6" s="39">
        <v>1</v>
      </c>
      <c r="U6" s="4">
        <f t="shared" si="0"/>
        <v>0.89</v>
      </c>
    </row>
    <row r="7" spans="1:21" x14ac:dyDescent="0.25">
      <c r="A7" s="4">
        <v>7</v>
      </c>
      <c r="I7" s="4" t="s">
        <v>343</v>
      </c>
      <c r="J7" s="4">
        <v>0.21199999999999999</v>
      </c>
      <c r="M7" s="4">
        <v>6</v>
      </c>
      <c r="N7" s="4" t="s">
        <v>290</v>
      </c>
      <c r="O7" s="4">
        <v>7.0000000000000001E-3</v>
      </c>
      <c r="P7" s="4">
        <v>8.0000000000000002E-3</v>
      </c>
      <c r="Q7" s="4">
        <v>1.3</v>
      </c>
      <c r="R7" s="4">
        <v>0.25</v>
      </c>
      <c r="S7" s="4">
        <v>0.89</v>
      </c>
      <c r="T7" s="39">
        <v>1</v>
      </c>
      <c r="U7" s="4">
        <f t="shared" si="0"/>
        <v>0.89</v>
      </c>
    </row>
    <row r="8" spans="1:21" x14ac:dyDescent="0.25">
      <c r="A8" s="4">
        <v>8</v>
      </c>
      <c r="I8" s="4" t="s">
        <v>344</v>
      </c>
      <c r="J8" s="4">
        <v>0.05</v>
      </c>
      <c r="M8" s="4">
        <v>7</v>
      </c>
      <c r="N8" s="4" t="s">
        <v>291</v>
      </c>
      <c r="O8" s="4">
        <v>6.0000000000000001E-3</v>
      </c>
      <c r="P8" s="4">
        <v>7.0000000000000001E-3</v>
      </c>
      <c r="Q8" s="4">
        <v>1</v>
      </c>
      <c r="R8" s="4">
        <v>0.22</v>
      </c>
      <c r="S8" s="4">
        <v>0.87</v>
      </c>
      <c r="T8" s="39">
        <v>1</v>
      </c>
      <c r="U8" s="4">
        <f t="shared" si="0"/>
        <v>0.87</v>
      </c>
    </row>
    <row r="9" spans="1:21" x14ac:dyDescent="0.25">
      <c r="A9" s="4">
        <v>9</v>
      </c>
      <c r="I9" s="4" t="s">
        <v>345</v>
      </c>
      <c r="J9" s="4">
        <v>0.05</v>
      </c>
      <c r="M9" s="4">
        <v>8</v>
      </c>
      <c r="N9" s="4" t="s">
        <v>292</v>
      </c>
      <c r="O9" s="4">
        <v>5.0000000000000001E-3</v>
      </c>
      <c r="P9" s="4">
        <v>1.0999999999999999E-2</v>
      </c>
      <c r="Q9" s="4">
        <v>1.6</v>
      </c>
      <c r="R9" s="157">
        <f>R2</f>
        <v>0.22</v>
      </c>
      <c r="S9" s="4">
        <v>0.88</v>
      </c>
      <c r="T9" s="39">
        <v>1</v>
      </c>
      <c r="U9" s="4">
        <f t="shared" si="0"/>
        <v>0.88</v>
      </c>
    </row>
    <row r="10" spans="1:21" x14ac:dyDescent="0.25">
      <c r="A10" s="4">
        <v>10</v>
      </c>
      <c r="I10" s="4" t="s">
        <v>346</v>
      </c>
      <c r="J10" s="4">
        <v>0.05</v>
      </c>
      <c r="M10" s="4">
        <v>9</v>
      </c>
      <c r="N10" s="4" t="s">
        <v>293</v>
      </c>
      <c r="O10" s="4">
        <v>7.0000000000000001E-3</v>
      </c>
      <c r="P10" s="157">
        <f>P2</f>
        <v>8.9999999999999993E-3</v>
      </c>
      <c r="Q10" s="4">
        <v>1.4</v>
      </c>
      <c r="R10" s="4">
        <v>0.16</v>
      </c>
      <c r="S10" s="4">
        <v>0.89</v>
      </c>
      <c r="T10" s="39">
        <v>1</v>
      </c>
      <c r="U10" s="4">
        <f t="shared" si="0"/>
        <v>0.89</v>
      </c>
    </row>
    <row r="11" spans="1:21" x14ac:dyDescent="0.25">
      <c r="I11" s="4" t="s">
        <v>347</v>
      </c>
      <c r="J11" s="150">
        <v>0.11</v>
      </c>
      <c r="M11" s="4">
        <v>10</v>
      </c>
      <c r="N11" s="4" t="s">
        <v>294</v>
      </c>
      <c r="O11" s="4">
        <v>7.0000000000000001E-3</v>
      </c>
      <c r="P11" s="157">
        <f>P2</f>
        <v>8.9999999999999993E-3</v>
      </c>
      <c r="Q11" s="4">
        <v>1.4</v>
      </c>
      <c r="R11" s="157">
        <f>R2</f>
        <v>0.22</v>
      </c>
      <c r="S11" s="133">
        <v>0.9</v>
      </c>
      <c r="T11" s="39">
        <v>1</v>
      </c>
      <c r="U11" s="4">
        <f t="shared" si="0"/>
        <v>0.9</v>
      </c>
    </row>
    <row r="12" spans="1:21" x14ac:dyDescent="0.25">
      <c r="I12" s="4" t="s">
        <v>348</v>
      </c>
      <c r="J12" s="150">
        <v>0.08</v>
      </c>
      <c r="M12" s="4">
        <v>11</v>
      </c>
      <c r="N12" s="4" t="s">
        <v>295</v>
      </c>
      <c r="O12" s="4">
        <v>7.0000000000000001E-3</v>
      </c>
      <c r="P12" s="4">
        <v>6.0000000000000001E-3</v>
      </c>
      <c r="Q12" s="4">
        <v>1.4</v>
      </c>
      <c r="R12" s="157">
        <f>R2</f>
        <v>0.22</v>
      </c>
      <c r="S12" s="4">
        <v>0.89</v>
      </c>
      <c r="T12" s="39">
        <v>1</v>
      </c>
      <c r="U12" s="4">
        <f t="shared" si="0"/>
        <v>0.89</v>
      </c>
    </row>
    <row r="13" spans="1:21" x14ac:dyDescent="0.25">
      <c r="I13" s="4" t="s">
        <v>349</v>
      </c>
      <c r="J13" s="4">
        <v>0.11</v>
      </c>
      <c r="M13" s="4">
        <v>12</v>
      </c>
      <c r="N13" s="4" t="s">
        <v>296</v>
      </c>
      <c r="O13" s="4">
        <v>8.0000000000000002E-3</v>
      </c>
      <c r="P13" s="4">
        <v>8.0000000000000002E-3</v>
      </c>
      <c r="Q13" s="4">
        <v>2.1</v>
      </c>
      <c r="R13" s="4">
        <v>0.19</v>
      </c>
      <c r="S13" s="4">
        <v>0.91</v>
      </c>
      <c r="T13" s="39">
        <v>1</v>
      </c>
      <c r="U13" s="4">
        <f t="shared" si="0"/>
        <v>0.91</v>
      </c>
    </row>
    <row r="14" spans="1:21" x14ac:dyDescent="0.25">
      <c r="I14" s="4" t="s">
        <v>350</v>
      </c>
      <c r="J14" s="4">
        <v>0.05</v>
      </c>
      <c r="M14" s="4">
        <v>13</v>
      </c>
      <c r="N14" s="4" t="s">
        <v>297</v>
      </c>
      <c r="O14" s="4">
        <v>8.0000000000000002E-3</v>
      </c>
      <c r="P14" s="4">
        <v>8.0000000000000002E-3</v>
      </c>
      <c r="Q14" s="4">
        <v>2.1</v>
      </c>
      <c r="R14" s="4">
        <v>0.19</v>
      </c>
      <c r="S14" s="4">
        <v>0.91</v>
      </c>
      <c r="T14" s="39">
        <v>1</v>
      </c>
      <c r="U14" s="4">
        <f t="shared" si="0"/>
        <v>0.91</v>
      </c>
    </row>
    <row r="15" spans="1:21" x14ac:dyDescent="0.25">
      <c r="I15" s="4" t="s">
        <v>351</v>
      </c>
      <c r="J15" s="4">
        <v>0.15</v>
      </c>
      <c r="M15" s="4">
        <v>14</v>
      </c>
      <c r="N15" s="4" t="s">
        <v>298</v>
      </c>
      <c r="O15" s="4">
        <v>1.9E-2</v>
      </c>
      <c r="P15" s="4">
        <v>1.4E-2</v>
      </c>
      <c r="Q15" s="4">
        <v>0.4</v>
      </c>
      <c r="R15" s="4">
        <v>0.2</v>
      </c>
      <c r="S15" s="4">
        <v>0.22</v>
      </c>
      <c r="T15" s="39">
        <v>1</v>
      </c>
      <c r="U15" s="4">
        <f t="shared" si="0"/>
        <v>0.22</v>
      </c>
    </row>
    <row r="16" spans="1:21" x14ac:dyDescent="0.25">
      <c r="I16" s="4" t="s">
        <v>352</v>
      </c>
      <c r="J16" s="4">
        <v>0.11</v>
      </c>
      <c r="M16" s="4">
        <v>15</v>
      </c>
      <c r="N16" s="4" t="s">
        <v>299</v>
      </c>
      <c r="O16" s="4">
        <v>1.6E-2</v>
      </c>
      <c r="P16" s="157">
        <f>P2</f>
        <v>8.9999999999999993E-3</v>
      </c>
      <c r="Q16" s="4">
        <v>1</v>
      </c>
      <c r="R16" s="157">
        <f>R2</f>
        <v>0.22</v>
      </c>
      <c r="S16" s="4">
        <v>0.94</v>
      </c>
      <c r="T16" s="39">
        <v>1</v>
      </c>
      <c r="U16" s="4">
        <f t="shared" si="0"/>
        <v>0.94</v>
      </c>
    </row>
    <row r="17" spans="9:21" x14ac:dyDescent="0.25">
      <c r="I17" s="4" t="s">
        <v>353</v>
      </c>
      <c r="J17" s="4">
        <v>0.08</v>
      </c>
      <c r="M17" s="4">
        <v>16</v>
      </c>
      <c r="N17" s="4" t="s">
        <v>300</v>
      </c>
      <c r="O17" s="4">
        <v>2.7E-2</v>
      </c>
      <c r="P17" s="4">
        <v>1.9E-2</v>
      </c>
      <c r="Q17" s="157">
        <f>Q$2</f>
        <v>1</v>
      </c>
      <c r="R17" s="4">
        <v>0.4</v>
      </c>
      <c r="S17" s="4">
        <v>0.9</v>
      </c>
      <c r="T17" s="39">
        <v>1</v>
      </c>
      <c r="U17" s="4">
        <f t="shared" si="0"/>
        <v>0.9</v>
      </c>
    </row>
    <row r="18" spans="9:21" x14ac:dyDescent="0.25">
      <c r="I18" s="4" t="s">
        <v>354</v>
      </c>
      <c r="J18" s="4">
        <v>0.11</v>
      </c>
      <c r="M18" s="4">
        <v>17</v>
      </c>
      <c r="N18" s="4" t="s">
        <v>301</v>
      </c>
      <c r="O18" s="4">
        <v>1.4999999999999999E-2</v>
      </c>
      <c r="P18" s="4">
        <v>1.2E-2</v>
      </c>
      <c r="Q18" s="157">
        <f>Q$2</f>
        <v>1</v>
      </c>
      <c r="R18" s="4">
        <v>0.54</v>
      </c>
      <c r="S18" s="4">
        <v>0.9</v>
      </c>
      <c r="T18" s="39"/>
      <c r="U18" s="4">
        <f t="shared" si="0"/>
        <v>0.9</v>
      </c>
    </row>
    <row r="19" spans="9:21" x14ac:dyDescent="0.25">
      <c r="I19" s="4" t="s">
        <v>355</v>
      </c>
      <c r="J19" s="4">
        <v>0.05</v>
      </c>
      <c r="M19" s="4">
        <v>18</v>
      </c>
      <c r="N19" s="4" t="s">
        <v>302</v>
      </c>
      <c r="O19" s="4">
        <v>2.7E-2</v>
      </c>
      <c r="P19" s="4">
        <v>2.1999999999999999E-2</v>
      </c>
      <c r="Q19" s="4">
        <v>0.3</v>
      </c>
      <c r="R19" s="4">
        <v>0.4</v>
      </c>
      <c r="S19" s="4">
        <v>0.9</v>
      </c>
      <c r="T19" s="39"/>
      <c r="U19" s="4">
        <f t="shared" si="0"/>
        <v>0.9</v>
      </c>
    </row>
    <row r="20" spans="9:21" x14ac:dyDescent="0.25">
      <c r="I20" s="4" t="s">
        <v>356</v>
      </c>
      <c r="J20" s="4">
        <v>0.08</v>
      </c>
      <c r="M20" s="4">
        <v>19</v>
      </c>
      <c r="N20" s="4" t="s">
        <v>303</v>
      </c>
      <c r="O20" s="4">
        <v>1.4999999999999999E-2</v>
      </c>
      <c r="P20" s="4">
        <v>1.2E-2</v>
      </c>
      <c r="Q20" s="4">
        <v>0.3</v>
      </c>
      <c r="R20" s="4">
        <v>0.54</v>
      </c>
      <c r="S20" s="4">
        <v>0.9</v>
      </c>
      <c r="T20" s="39"/>
      <c r="U20" s="4">
        <f t="shared" si="0"/>
        <v>0.9</v>
      </c>
    </row>
    <row r="21" spans="9:21" x14ac:dyDescent="0.25">
      <c r="I21" s="4" t="s">
        <v>357</v>
      </c>
      <c r="J21" s="4">
        <v>0.05</v>
      </c>
      <c r="M21" s="4">
        <v>20</v>
      </c>
      <c r="N21" s="4" t="s">
        <v>304</v>
      </c>
      <c r="O21" s="4">
        <v>1.4999999999999999E-2</v>
      </c>
      <c r="P21" s="4">
        <v>1.2E-2</v>
      </c>
      <c r="Q21" s="4">
        <v>0.3</v>
      </c>
      <c r="R21" s="4">
        <v>0.8</v>
      </c>
      <c r="S21" s="4">
        <v>0.9</v>
      </c>
      <c r="T21" s="39"/>
      <c r="U21" s="4">
        <f t="shared" si="0"/>
        <v>0.9</v>
      </c>
    </row>
    <row r="22" spans="9:21" x14ac:dyDescent="0.25">
      <c r="I22" s="4" t="s">
        <v>358</v>
      </c>
      <c r="J22" s="4">
        <v>0.11</v>
      </c>
      <c r="M22" s="4">
        <v>21</v>
      </c>
      <c r="N22" s="4" t="s">
        <v>305</v>
      </c>
      <c r="O22" s="4">
        <v>2.5000000000000001E-2</v>
      </c>
      <c r="P22" s="4">
        <v>1.6E-2</v>
      </c>
      <c r="Q22" s="4">
        <v>0.3</v>
      </c>
      <c r="R22" s="4">
        <v>0.8</v>
      </c>
      <c r="S22" s="4">
        <v>0.9</v>
      </c>
      <c r="T22" s="39"/>
      <c r="U22" s="4">
        <f t="shared" si="0"/>
        <v>0.9</v>
      </c>
    </row>
    <row r="23" spans="9:21" x14ac:dyDescent="0.25">
      <c r="I23" s="4" t="s">
        <v>359</v>
      </c>
      <c r="J23" s="4">
        <v>0.08</v>
      </c>
    </row>
    <row r="24" spans="9:21" x14ac:dyDescent="0.25">
      <c r="I24" s="4" t="s">
        <v>360</v>
      </c>
      <c r="J24" s="4">
        <v>0.01</v>
      </c>
    </row>
    <row r="25" spans="9:21" x14ac:dyDescent="0.25">
      <c r="I25" s="4" t="s">
        <v>361</v>
      </c>
      <c r="J25" s="4">
        <v>0.15</v>
      </c>
    </row>
    <row r="26" spans="9:21" x14ac:dyDescent="0.25">
      <c r="I26" s="4" t="s">
        <v>362</v>
      </c>
      <c r="J26" s="4">
        <v>0.05</v>
      </c>
    </row>
    <row r="27" spans="9:21" x14ac:dyDescent="0.25">
      <c r="I27" s="4" t="s">
        <v>363</v>
      </c>
      <c r="J27" s="4">
        <v>0.05</v>
      </c>
    </row>
    <row r="28" spans="9:21" x14ac:dyDescent="0.25">
      <c r="I28" s="171" t="s">
        <v>118</v>
      </c>
      <c r="J28" s="171">
        <v>0.05</v>
      </c>
    </row>
    <row r="29" spans="9:21" x14ac:dyDescent="0.25">
      <c r="I29" s="4" t="s">
        <v>364</v>
      </c>
      <c r="J29" s="4">
        <v>0.15</v>
      </c>
    </row>
    <row r="30" spans="9:21" x14ac:dyDescent="0.25">
      <c r="I30" s="4" t="s">
        <v>19</v>
      </c>
      <c r="J30" s="4">
        <v>0.21</v>
      </c>
    </row>
    <row r="31" spans="9:21" x14ac:dyDescent="0.25">
      <c r="I31" s="4" t="s">
        <v>365</v>
      </c>
      <c r="J31" s="4">
        <v>0.08</v>
      </c>
    </row>
    <row r="32" spans="9:21" x14ac:dyDescent="0.25">
      <c r="I32" s="4" t="s">
        <v>366</v>
      </c>
      <c r="J32" s="4">
        <v>0.05</v>
      </c>
    </row>
    <row r="33" spans="9:10" x14ac:dyDescent="0.25">
      <c r="I33" s="4" t="s">
        <v>367</v>
      </c>
      <c r="J33" s="4">
        <v>0.08</v>
      </c>
    </row>
    <row r="34" spans="9:10" x14ac:dyDescent="0.25">
      <c r="I34" s="4" t="s">
        <v>368</v>
      </c>
      <c r="J34" s="4">
        <v>0.15</v>
      </c>
    </row>
    <row r="35" spans="9:10" x14ac:dyDescent="0.25">
      <c r="I35" s="4" t="s">
        <v>369</v>
      </c>
      <c r="J35" s="4">
        <v>0.21</v>
      </c>
    </row>
    <row r="36" spans="9:10" x14ac:dyDescent="0.25">
      <c r="I36" s="4" t="s">
        <v>370</v>
      </c>
      <c r="J36" s="4">
        <v>0.11</v>
      </c>
    </row>
    <row r="37" spans="9:10" x14ac:dyDescent="0.25">
      <c r="I37" s="4" t="s">
        <v>371</v>
      </c>
      <c r="J37" s="4">
        <v>0.11</v>
      </c>
    </row>
    <row r="38" spans="9:10" x14ac:dyDescent="0.25">
      <c r="I38" s="4" t="s">
        <v>372</v>
      </c>
      <c r="J38" s="4">
        <v>0.11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21" sqref="B21"/>
    </sheetView>
  </sheetViews>
  <sheetFormatPr baseColWidth="10" defaultColWidth="9.140625" defaultRowHeight="15" x14ac:dyDescent="0.25"/>
  <cols>
    <col min="1" max="1" width="18" style="4" customWidth="1"/>
    <col min="2" max="16384" width="9.140625" style="4"/>
  </cols>
  <sheetData>
    <row r="1" spans="1:6" x14ac:dyDescent="0.25">
      <c r="A1" s="4" t="s">
        <v>283</v>
      </c>
      <c r="B1" s="4" t="s">
        <v>373</v>
      </c>
      <c r="E1" s="5"/>
    </row>
    <row r="2" spans="1:6" x14ac:dyDescent="0.25">
      <c r="A2" s="158" t="s">
        <v>255</v>
      </c>
      <c r="B2" s="4">
        <v>12</v>
      </c>
      <c r="C2" s="134"/>
      <c r="D2" s="39"/>
      <c r="E2" s="134"/>
    </row>
    <row r="3" spans="1:6" x14ac:dyDescent="0.25">
      <c r="A3" s="152" t="s">
        <v>374</v>
      </c>
      <c r="B3" s="4">
        <v>12</v>
      </c>
      <c r="C3" s="134"/>
      <c r="E3" s="134"/>
    </row>
    <row r="4" spans="1:6" x14ac:dyDescent="0.25">
      <c r="A4" s="152" t="s">
        <v>375</v>
      </c>
      <c r="B4" s="4">
        <v>5</v>
      </c>
      <c r="E4" s="134"/>
    </row>
    <row r="5" spans="1:6" x14ac:dyDescent="0.25">
      <c r="A5" s="152" t="s">
        <v>376</v>
      </c>
      <c r="B5" s="4">
        <v>5</v>
      </c>
      <c r="E5" s="130"/>
    </row>
    <row r="6" spans="1:6" x14ac:dyDescent="0.25">
      <c r="A6" s="152" t="s">
        <v>377</v>
      </c>
      <c r="B6" s="4">
        <v>6</v>
      </c>
      <c r="E6" s="134"/>
    </row>
    <row r="7" spans="1:6" x14ac:dyDescent="0.25">
      <c r="A7" s="152" t="s">
        <v>158</v>
      </c>
      <c r="B7" s="4">
        <v>1</v>
      </c>
      <c r="E7" s="134"/>
      <c r="F7" s="136"/>
    </row>
    <row r="8" spans="1:6" x14ac:dyDescent="0.25">
      <c r="A8" s="152" t="s">
        <v>378</v>
      </c>
      <c r="B8" s="4">
        <v>3</v>
      </c>
      <c r="E8" s="134"/>
      <c r="F8" s="136"/>
    </row>
    <row r="9" spans="1:6" x14ac:dyDescent="0.25">
      <c r="A9" s="159" t="s">
        <v>379</v>
      </c>
      <c r="B9" s="4">
        <v>13</v>
      </c>
      <c r="C9" s="134"/>
      <c r="E9" s="134"/>
    </row>
    <row r="10" spans="1:6" x14ac:dyDescent="0.25">
      <c r="A10" s="5" t="s">
        <v>291</v>
      </c>
      <c r="B10" s="4">
        <v>7</v>
      </c>
      <c r="C10" s="134"/>
      <c r="E10" s="134"/>
    </row>
    <row r="11" spans="1:6" x14ac:dyDescent="0.25">
      <c r="A11" s="152" t="s">
        <v>380</v>
      </c>
      <c r="B11" s="4">
        <v>1</v>
      </c>
      <c r="E11" s="134"/>
    </row>
    <row r="12" spans="1:6" x14ac:dyDescent="0.25">
      <c r="A12" s="35" t="s">
        <v>381</v>
      </c>
      <c r="B12" s="4">
        <v>12</v>
      </c>
      <c r="E12" s="134"/>
    </row>
    <row r="13" spans="1:6" x14ac:dyDescent="0.25">
      <c r="A13" s="152" t="s">
        <v>382</v>
      </c>
      <c r="B13" s="4">
        <v>12</v>
      </c>
      <c r="E13" s="134"/>
    </row>
    <row r="14" spans="1:6" x14ac:dyDescent="0.25">
      <c r="A14" s="39" t="s">
        <v>383</v>
      </c>
      <c r="B14" s="4">
        <v>13</v>
      </c>
      <c r="E14" s="134"/>
    </row>
    <row r="15" spans="1:6" x14ac:dyDescent="0.25">
      <c r="A15" s="39" t="s">
        <v>384</v>
      </c>
      <c r="B15" s="4">
        <v>7</v>
      </c>
      <c r="E15" s="134"/>
    </row>
    <row r="16" spans="1:6" x14ac:dyDescent="0.25">
      <c r="A16" s="4" t="s">
        <v>122</v>
      </c>
      <c r="B16" s="4">
        <v>12</v>
      </c>
      <c r="E16" s="134"/>
    </row>
    <row r="17" spans="1:5" x14ac:dyDescent="0.25">
      <c r="A17" s="4" t="s">
        <v>258</v>
      </c>
      <c r="B17" s="4">
        <v>2</v>
      </c>
      <c r="E17" s="134"/>
    </row>
    <row r="18" spans="1:5" x14ac:dyDescent="0.25">
      <c r="A18" s="4" t="s">
        <v>289</v>
      </c>
      <c r="B18" s="4">
        <v>5</v>
      </c>
    </row>
    <row r="19" spans="1:5" x14ac:dyDescent="0.25">
      <c r="A19" s="4" t="s">
        <v>254</v>
      </c>
      <c r="B19" s="4">
        <v>3</v>
      </c>
    </row>
    <row r="20" spans="1:5" x14ac:dyDescent="0.25">
      <c r="A20" s="4" t="s">
        <v>385</v>
      </c>
      <c r="B20" s="4">
        <v>14</v>
      </c>
    </row>
    <row r="21" spans="1:5" x14ac:dyDescent="0.25">
      <c r="A21" s="4" t="s">
        <v>386</v>
      </c>
      <c r="B21" s="4">
        <v>1</v>
      </c>
    </row>
    <row r="22" spans="1:5" x14ac:dyDescent="0.25">
      <c r="A22" s="4" t="s">
        <v>249</v>
      </c>
      <c r="B22" s="4">
        <v>3</v>
      </c>
    </row>
    <row r="23" spans="1:5" x14ac:dyDescent="0.25">
      <c r="A23" s="4" t="s">
        <v>239</v>
      </c>
      <c r="B23" s="4">
        <v>1</v>
      </c>
    </row>
    <row r="24" spans="1:5" x14ac:dyDescent="0.25">
      <c r="A24" s="4" t="s">
        <v>250</v>
      </c>
      <c r="B24" s="4">
        <v>5</v>
      </c>
    </row>
    <row r="25" spans="1:5" x14ac:dyDescent="0.25">
      <c r="A25" s="4" t="s">
        <v>238</v>
      </c>
      <c r="B25" s="4">
        <v>2</v>
      </c>
    </row>
    <row r="26" spans="1:5" x14ac:dyDescent="0.25">
      <c r="A26" s="4" t="s">
        <v>243</v>
      </c>
      <c r="B26" s="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G30" sqref="G30"/>
    </sheetView>
  </sheetViews>
  <sheetFormatPr baseColWidth="10" defaultColWidth="11.42578125" defaultRowHeight="15" x14ac:dyDescent="0.25"/>
  <sheetData>
    <row r="1" spans="1:3" x14ac:dyDescent="0.25">
      <c r="A1" s="124" t="s">
        <v>214</v>
      </c>
      <c r="B1" s="5"/>
      <c r="C1" s="5"/>
    </row>
    <row r="2" spans="1:3" x14ac:dyDescent="0.25">
      <c r="A2" s="4" t="s">
        <v>215</v>
      </c>
      <c r="B2" s="4"/>
      <c r="C2" s="4"/>
    </row>
    <row r="3" spans="1:3" x14ac:dyDescent="0.25">
      <c r="A3" s="4" t="s">
        <v>216</v>
      </c>
      <c r="B3" s="4"/>
      <c r="C3" s="4"/>
    </row>
    <row r="4" spans="1:3" x14ac:dyDescent="0.25">
      <c r="A4" s="4"/>
      <c r="B4" s="4"/>
      <c r="C4" s="4"/>
    </row>
    <row r="5" spans="1:3" x14ac:dyDescent="0.25">
      <c r="A5" s="124" t="s">
        <v>217</v>
      </c>
      <c r="B5" s="5"/>
      <c r="C5" s="5"/>
    </row>
    <row r="6" spans="1:3" x14ac:dyDescent="0.25">
      <c r="A6" s="125" t="s">
        <v>218</v>
      </c>
      <c r="B6" s="4"/>
      <c r="C6" s="4"/>
    </row>
    <row r="7" spans="1:3" x14ac:dyDescent="0.25">
      <c r="A7" s="4"/>
      <c r="B7" s="4"/>
      <c r="C7" s="4"/>
    </row>
    <row r="8" spans="1:3" x14ac:dyDescent="0.25">
      <c r="A8" s="5" t="s">
        <v>219</v>
      </c>
      <c r="B8" s="5"/>
      <c r="C8" s="5"/>
    </row>
    <row r="9" spans="1:3" x14ac:dyDescent="0.25">
      <c r="A9" s="4" t="s">
        <v>220</v>
      </c>
      <c r="B9" s="4"/>
      <c r="C9" s="4"/>
    </row>
    <row r="10" spans="1:3" x14ac:dyDescent="0.25">
      <c r="A10" s="4" t="s">
        <v>221</v>
      </c>
      <c r="B10" s="126" t="s">
        <v>222</v>
      </c>
      <c r="C10" s="4"/>
    </row>
    <row r="11" spans="1:3" x14ac:dyDescent="0.25">
      <c r="A11" s="4"/>
      <c r="B11" s="118" t="s">
        <v>223</v>
      </c>
      <c r="C11" s="4"/>
    </row>
    <row r="12" spans="1:3" x14ac:dyDescent="0.25">
      <c r="A12" s="4"/>
      <c r="B12" s="4"/>
      <c r="C12" s="4"/>
    </row>
    <row r="13" spans="1:3" x14ac:dyDescent="0.25">
      <c r="A13" s="4" t="s">
        <v>224</v>
      </c>
      <c r="B13" s="4"/>
      <c r="C13" s="4"/>
    </row>
    <row r="14" spans="1:3" x14ac:dyDescent="0.25">
      <c r="A14" s="118" t="s">
        <v>221</v>
      </c>
      <c r="B14" s="126" t="s">
        <v>225</v>
      </c>
      <c r="C14" s="4"/>
    </row>
    <row r="15" spans="1:3" x14ac:dyDescent="0.25">
      <c r="A15" s="118"/>
      <c r="B15" s="126" t="s">
        <v>232</v>
      </c>
      <c r="C15" s="4"/>
    </row>
    <row r="16" spans="1:3" x14ac:dyDescent="0.25">
      <c r="A16" s="4"/>
      <c r="B16" s="4" t="s">
        <v>226</v>
      </c>
      <c r="C16" s="4"/>
    </row>
    <row r="17" spans="1:3" x14ac:dyDescent="0.25">
      <c r="A17" s="4"/>
      <c r="B17" s="4"/>
      <c r="C17" s="4"/>
    </row>
    <row r="18" spans="1:3" x14ac:dyDescent="0.25">
      <c r="A18" s="126" t="s">
        <v>227</v>
      </c>
      <c r="B18" s="4"/>
      <c r="C18" s="4"/>
    </row>
    <row r="19" spans="1:3" x14ac:dyDescent="0.25">
      <c r="A19" s="126"/>
      <c r="B19" s="126" t="s">
        <v>231</v>
      </c>
      <c r="C19" s="4"/>
    </row>
    <row r="20" spans="1:3" x14ac:dyDescent="0.25">
      <c r="A20" s="126"/>
      <c r="B20" s="126" t="s">
        <v>228</v>
      </c>
      <c r="C20" s="4"/>
    </row>
    <row r="21" spans="1:3" x14ac:dyDescent="0.25">
      <c r="A21" s="126"/>
      <c r="B21" s="126"/>
      <c r="C21" s="4"/>
    </row>
    <row r="22" spans="1:3" x14ac:dyDescent="0.25">
      <c r="A22" s="5" t="s">
        <v>229</v>
      </c>
      <c r="B22" s="5"/>
      <c r="C22" s="5"/>
    </row>
    <row r="23" spans="1:3" x14ac:dyDescent="0.25">
      <c r="A23" s="4" t="s">
        <v>221</v>
      </c>
      <c r="B23" s="4" t="s">
        <v>230</v>
      </c>
      <c r="C23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9"/>
  <sheetViews>
    <sheetView topLeftCell="A11" zoomScale="90" zoomScaleNormal="90" workbookViewId="0">
      <selection activeCell="C36" sqref="C36"/>
    </sheetView>
  </sheetViews>
  <sheetFormatPr baseColWidth="10" defaultColWidth="11.42578125" defaultRowHeight="15" x14ac:dyDescent="0.25"/>
  <cols>
    <col min="1" max="1" width="21" customWidth="1"/>
    <col min="2" max="2" width="61.85546875" customWidth="1"/>
    <col min="3" max="3" width="14.7109375" bestFit="1" customWidth="1"/>
    <col min="4" max="4" width="15.85546875" customWidth="1"/>
    <col min="11" max="11" width="12.28515625" bestFit="1" customWidth="1"/>
  </cols>
  <sheetData>
    <row r="4" spans="1:9" s="4" customFormat="1" x14ac:dyDescent="0.25"/>
    <row r="5" spans="1:9" ht="15" customHeight="1" x14ac:dyDescent="0.25">
      <c r="A5" s="181" t="s">
        <v>59</v>
      </c>
      <c r="B5" s="176" t="s">
        <v>58</v>
      </c>
      <c r="C5" s="180" t="s">
        <v>209</v>
      </c>
      <c r="D5" s="178"/>
      <c r="I5" s="25"/>
    </row>
    <row r="6" spans="1:9" s="4" customFormat="1" ht="18.75" customHeight="1" x14ac:dyDescent="0.25">
      <c r="A6" s="181"/>
      <c r="B6" s="176"/>
      <c r="C6" s="180"/>
      <c r="D6" s="178"/>
      <c r="E6" s="23"/>
      <c r="F6" s="23"/>
    </row>
    <row r="7" spans="1:9" s="4" customFormat="1" ht="18.75" customHeight="1" x14ac:dyDescent="0.25">
      <c r="A7" s="181"/>
      <c r="B7" s="176"/>
      <c r="C7" s="24" t="s">
        <v>210</v>
      </c>
      <c r="D7" s="23"/>
      <c r="E7" s="23"/>
      <c r="F7" s="23"/>
    </row>
    <row r="8" spans="1:9" s="4" customFormat="1" ht="18.75" customHeight="1" x14ac:dyDescent="0.25">
      <c r="A8" s="31"/>
      <c r="B8" s="30"/>
      <c r="C8" s="24"/>
      <c r="D8" s="23"/>
      <c r="E8" s="23"/>
      <c r="F8" s="23"/>
    </row>
    <row r="9" spans="1:9" s="4" customFormat="1" ht="18.75" customHeight="1" x14ac:dyDescent="0.25">
      <c r="A9" s="31" t="s">
        <v>60</v>
      </c>
      <c r="B9" s="182" t="s">
        <v>61</v>
      </c>
      <c r="C9" s="24" t="s">
        <v>211</v>
      </c>
      <c r="D9" s="23"/>
      <c r="E9" s="23"/>
      <c r="F9" s="23"/>
    </row>
    <row r="10" spans="1:9" x14ac:dyDescent="0.25">
      <c r="A10" s="4"/>
      <c r="B10" s="182"/>
      <c r="C10" s="4"/>
    </row>
    <row r="11" spans="1:9" s="4" customFormat="1" ht="15" customHeight="1" x14ac:dyDescent="0.25">
      <c r="A11" s="177" t="s">
        <v>0</v>
      </c>
      <c r="B11" s="176" t="s">
        <v>62</v>
      </c>
      <c r="C11" s="178" t="s">
        <v>212</v>
      </c>
    </row>
    <row r="12" spans="1:9" x14ac:dyDescent="0.25">
      <c r="A12" s="177"/>
      <c r="B12" s="176"/>
      <c r="C12" s="178"/>
    </row>
    <row r="13" spans="1:9" s="4" customFormat="1" x14ac:dyDescent="0.25">
      <c r="A13" s="5"/>
    </row>
    <row r="14" spans="1:9" x14ac:dyDescent="0.25">
      <c r="A14" s="6" t="s">
        <v>1</v>
      </c>
      <c r="B14" s="28" t="s">
        <v>80</v>
      </c>
      <c r="C14" s="4">
        <v>35</v>
      </c>
    </row>
    <row r="15" spans="1:9" x14ac:dyDescent="0.25">
      <c r="A15" s="5"/>
      <c r="B15" s="4"/>
      <c r="C15" s="4"/>
    </row>
    <row r="16" spans="1:9" s="4" customFormat="1" x14ac:dyDescent="0.25">
      <c r="A16" s="38" t="s">
        <v>73</v>
      </c>
      <c r="B16" s="4" t="s">
        <v>74</v>
      </c>
    </row>
    <row r="17" spans="1:14" x14ac:dyDescent="0.25">
      <c r="B17" s="1"/>
      <c r="C17" s="12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32" t="s">
        <v>63</v>
      </c>
      <c r="B18" s="32"/>
      <c r="C18" s="4"/>
      <c r="D18" s="3"/>
      <c r="E18" s="3"/>
      <c r="F18" s="3"/>
      <c r="G18" s="3"/>
      <c r="I18" s="3"/>
      <c r="J18" s="3"/>
      <c r="L18" s="3"/>
      <c r="M18" s="3"/>
      <c r="N18" s="3"/>
    </row>
    <row r="19" spans="1:14" s="4" customFormat="1" x14ac:dyDescent="0.25">
      <c r="A19" s="179" t="s">
        <v>66</v>
      </c>
    </row>
    <row r="20" spans="1:14" ht="15" customHeight="1" x14ac:dyDescent="0.25">
      <c r="A20" s="179"/>
      <c r="B20" s="29" t="s">
        <v>64</v>
      </c>
      <c r="C20" t="s">
        <v>213</v>
      </c>
    </row>
    <row r="21" spans="1:14" x14ac:dyDescent="0.25">
      <c r="A21" s="179"/>
      <c r="B21" s="4"/>
      <c r="C21" s="4"/>
    </row>
    <row r="22" spans="1:14" x14ac:dyDescent="0.25">
      <c r="C22" s="4"/>
    </row>
    <row r="23" spans="1:14" ht="30" x14ac:dyDescent="0.25">
      <c r="A23" s="26" t="s">
        <v>51</v>
      </c>
      <c r="B23" s="29" t="s">
        <v>81</v>
      </c>
      <c r="C23" s="121">
        <v>0.63</v>
      </c>
    </row>
    <row r="24" spans="1:14" x14ac:dyDescent="0.25">
      <c r="A24" s="5"/>
      <c r="B24" s="4"/>
      <c r="C24" s="4"/>
    </row>
    <row r="25" spans="1:14" ht="15" customHeight="1" x14ac:dyDescent="0.25">
      <c r="A25" s="175" t="s">
        <v>4</v>
      </c>
      <c r="B25" s="173" t="s">
        <v>65</v>
      </c>
      <c r="C25" s="174">
        <v>11</v>
      </c>
    </row>
    <row r="26" spans="1:14" s="4" customFormat="1" x14ac:dyDescent="0.25">
      <c r="A26" s="175"/>
      <c r="B26" s="173"/>
      <c r="C26" s="174"/>
    </row>
    <row r="27" spans="1:14" x14ac:dyDescent="0.25">
      <c r="A27" s="175"/>
      <c r="B27" s="173"/>
      <c r="C27" s="174"/>
    </row>
    <row r="28" spans="1:14" s="4" customFormat="1" x14ac:dyDescent="0.25">
      <c r="A28" s="5"/>
      <c r="B28" s="27"/>
      <c r="C28" s="120"/>
    </row>
    <row r="29" spans="1:14" ht="30" x14ac:dyDescent="0.25">
      <c r="A29" s="26" t="s">
        <v>52</v>
      </c>
      <c r="B29" s="4" t="s">
        <v>82</v>
      </c>
      <c r="C29" s="4">
        <v>1.5</v>
      </c>
    </row>
    <row r="30" spans="1:14" x14ac:dyDescent="0.25">
      <c r="A30" s="5"/>
      <c r="B30" s="4"/>
      <c r="C30" s="4"/>
    </row>
    <row r="31" spans="1:14" x14ac:dyDescent="0.25">
      <c r="A31" s="6" t="s">
        <v>53</v>
      </c>
      <c r="B31" s="4" t="s">
        <v>83</v>
      </c>
      <c r="C31" s="4">
        <v>30</v>
      </c>
    </row>
    <row r="32" spans="1:14" x14ac:dyDescent="0.25">
      <c r="A32" s="5"/>
      <c r="B32" s="4"/>
      <c r="C32" s="4"/>
    </row>
    <row r="33" spans="1:3" ht="30" x14ac:dyDescent="0.25">
      <c r="A33" s="26" t="s">
        <v>54</v>
      </c>
      <c r="B33" s="4" t="s">
        <v>84</v>
      </c>
      <c r="C33" s="4">
        <v>1.7</v>
      </c>
    </row>
    <row r="34" spans="1:3" x14ac:dyDescent="0.25">
      <c r="A34" s="26"/>
      <c r="B34" s="4"/>
      <c r="C34" s="4"/>
    </row>
    <row r="35" spans="1:3" ht="45" x14ac:dyDescent="0.25">
      <c r="A35" s="26" t="s">
        <v>55</v>
      </c>
      <c r="B35" s="3" t="s">
        <v>85</v>
      </c>
      <c r="C35" s="4">
        <v>201.46</v>
      </c>
    </row>
    <row r="36" spans="1:3" x14ac:dyDescent="0.25">
      <c r="A36" s="26"/>
      <c r="B36" s="4"/>
      <c r="C36" s="4"/>
    </row>
    <row r="37" spans="1:3" ht="30" x14ac:dyDescent="0.25">
      <c r="A37" s="26" t="s">
        <v>57</v>
      </c>
      <c r="B37" s="4" t="s">
        <v>86</v>
      </c>
      <c r="C37" s="4">
        <v>510</v>
      </c>
    </row>
    <row r="38" spans="1:3" x14ac:dyDescent="0.25">
      <c r="A38" s="26"/>
      <c r="B38" s="4"/>
      <c r="C38" s="4"/>
    </row>
    <row r="39" spans="1:3" ht="30" x14ac:dyDescent="0.25">
      <c r="A39" s="26" t="s">
        <v>56</v>
      </c>
      <c r="B39" s="39" t="s">
        <v>87</v>
      </c>
      <c r="C39" s="4">
        <v>220</v>
      </c>
    </row>
  </sheetData>
  <mergeCells count="12">
    <mergeCell ref="C5:C6"/>
    <mergeCell ref="D5:D6"/>
    <mergeCell ref="B5:B7"/>
    <mergeCell ref="A5:A7"/>
    <mergeCell ref="B9:B10"/>
    <mergeCell ref="B25:B27"/>
    <mergeCell ref="C25:C27"/>
    <mergeCell ref="A25:A27"/>
    <mergeCell ref="B11:B12"/>
    <mergeCell ref="A11:A12"/>
    <mergeCell ref="C11:C12"/>
    <mergeCell ref="A19:A21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Y64"/>
  <sheetViews>
    <sheetView zoomScale="60" zoomScaleNormal="60" workbookViewId="0">
      <pane xSplit="3" topLeftCell="G1" activePane="topRight" state="frozen"/>
      <selection pane="topRight" activeCell="S26" sqref="S26"/>
    </sheetView>
  </sheetViews>
  <sheetFormatPr baseColWidth="10" defaultColWidth="11.42578125" defaultRowHeight="15" x14ac:dyDescent="0.25"/>
  <cols>
    <col min="1" max="1" width="11.42578125" style="4"/>
    <col min="2" max="2" width="44.140625" style="4" customWidth="1"/>
    <col min="3" max="3" width="51.5703125" style="4" bestFit="1" customWidth="1"/>
    <col min="4" max="4" width="1.7109375" style="7" customWidth="1"/>
    <col min="5" max="5" width="11.42578125" style="4"/>
    <col min="6" max="6" width="35" style="4" bestFit="1" customWidth="1"/>
    <col min="7" max="7" width="20.28515625" style="4" customWidth="1"/>
    <col min="8" max="8" width="11.42578125" style="4"/>
    <col min="9" max="9" width="25.85546875" style="4" bestFit="1" customWidth="1"/>
    <col min="10" max="10" width="28.140625" style="4" bestFit="1" customWidth="1"/>
    <col min="11" max="11" width="1.7109375" style="22" customWidth="1"/>
    <col min="12" max="12" width="8.5703125" style="4" bestFit="1" customWidth="1"/>
    <col min="13" max="13" width="35" style="4" bestFit="1" customWidth="1"/>
    <col min="14" max="15" width="9.28515625" style="4" customWidth="1"/>
    <col min="16" max="16" width="25.85546875" style="4" bestFit="1" customWidth="1"/>
    <col min="17" max="17" width="28.140625" style="4" bestFit="1" customWidth="1"/>
    <col min="18" max="18" width="1.7109375" style="22" customWidth="1"/>
    <col min="19" max="20" width="11.42578125" style="4"/>
    <col min="21" max="21" width="34.28515625" style="4" bestFit="1" customWidth="1"/>
    <col min="22" max="22" width="11.42578125" style="4"/>
    <col min="23" max="23" width="25.85546875" style="4" bestFit="1" customWidth="1"/>
    <col min="24" max="24" width="28.140625" style="4" bestFit="1" customWidth="1"/>
    <col min="25" max="25" width="1.7109375" style="7" customWidth="1"/>
    <col min="26" max="16384" width="11.42578125" style="4"/>
  </cols>
  <sheetData>
    <row r="6" spans="1:25" ht="15.75" thickBot="1" x14ac:dyDescent="0.3">
      <c r="A6" s="9"/>
      <c r="B6" s="9"/>
      <c r="C6" s="9"/>
    </row>
    <row r="7" spans="1:25" ht="15.75" thickBot="1" x14ac:dyDescent="0.3">
      <c r="A7" s="20"/>
      <c r="B7" s="21" t="s">
        <v>39</v>
      </c>
      <c r="C7" s="21" t="s">
        <v>40</v>
      </c>
      <c r="D7" s="19"/>
      <c r="E7" s="192" t="s">
        <v>47</v>
      </c>
      <c r="F7" s="193"/>
      <c r="G7" s="193"/>
      <c r="H7" s="193"/>
      <c r="I7" s="193"/>
      <c r="J7" s="193"/>
      <c r="K7" s="57"/>
      <c r="L7" s="192" t="s">
        <v>48</v>
      </c>
      <c r="M7" s="193"/>
      <c r="N7" s="193"/>
      <c r="O7" s="193"/>
      <c r="P7" s="193"/>
      <c r="Q7" s="193"/>
      <c r="R7" s="57"/>
      <c r="S7" s="192" t="s">
        <v>49</v>
      </c>
      <c r="T7" s="193"/>
      <c r="U7" s="193"/>
      <c r="V7" s="193"/>
      <c r="W7" s="193"/>
      <c r="X7" s="193"/>
      <c r="Y7" s="58"/>
    </row>
    <row r="8" spans="1:25" ht="15" customHeight="1" x14ac:dyDescent="0.25">
      <c r="A8" s="209" t="s">
        <v>38</v>
      </c>
      <c r="B8" s="212" t="s">
        <v>37</v>
      </c>
      <c r="C8" s="40" t="s">
        <v>2</v>
      </c>
      <c r="D8" s="8"/>
      <c r="E8" s="196" t="s">
        <v>115</v>
      </c>
      <c r="F8" s="197"/>
      <c r="G8" s="197"/>
      <c r="H8" s="197"/>
      <c r="I8" s="197"/>
      <c r="J8" s="197"/>
      <c r="K8" s="66"/>
      <c r="L8" s="196" t="s">
        <v>115</v>
      </c>
      <c r="M8" s="197"/>
      <c r="N8" s="197"/>
      <c r="O8" s="197"/>
      <c r="P8" s="197"/>
      <c r="Q8" s="197"/>
      <c r="R8" s="66"/>
      <c r="S8" s="196" t="s">
        <v>158</v>
      </c>
      <c r="T8" s="197"/>
      <c r="U8" s="197"/>
      <c r="V8" s="197"/>
      <c r="W8" s="197"/>
      <c r="X8" s="197"/>
    </row>
    <row r="9" spans="1:25" x14ac:dyDescent="0.25">
      <c r="A9" s="210"/>
      <c r="B9" s="213"/>
      <c r="C9" s="59" t="s">
        <v>3</v>
      </c>
      <c r="D9" s="8"/>
      <c r="E9" s="194" t="s">
        <v>75</v>
      </c>
      <c r="F9" s="195"/>
      <c r="G9" s="195"/>
      <c r="H9" s="195"/>
      <c r="I9" s="195"/>
      <c r="J9" s="195"/>
      <c r="K9" s="66"/>
      <c r="L9" s="194" t="s">
        <v>75</v>
      </c>
      <c r="M9" s="195"/>
      <c r="N9" s="195"/>
      <c r="O9" s="195"/>
      <c r="P9" s="195"/>
      <c r="Q9" s="195"/>
      <c r="R9" s="66"/>
      <c r="S9" s="194"/>
      <c r="T9" s="195"/>
      <c r="U9" s="195"/>
      <c r="V9" s="195"/>
      <c r="W9" s="195"/>
      <c r="X9" s="195"/>
    </row>
    <row r="10" spans="1:25" x14ac:dyDescent="0.25">
      <c r="A10" s="210"/>
      <c r="B10" s="213"/>
      <c r="C10" s="59" t="s">
        <v>107</v>
      </c>
      <c r="D10" s="8"/>
      <c r="E10" s="208"/>
      <c r="F10" s="208"/>
      <c r="G10" s="208"/>
      <c r="H10" s="208"/>
      <c r="I10" s="208"/>
      <c r="J10" s="208"/>
      <c r="K10" s="69"/>
      <c r="L10" s="208"/>
      <c r="M10" s="208"/>
      <c r="N10" s="208"/>
      <c r="O10" s="208"/>
      <c r="P10" s="208"/>
      <c r="Q10" s="208"/>
      <c r="R10" s="69"/>
      <c r="S10" s="208"/>
      <c r="T10" s="208"/>
      <c r="U10" s="208"/>
      <c r="V10" s="208"/>
      <c r="W10" s="208"/>
      <c r="X10" s="208"/>
      <c r="Y10" s="61"/>
    </row>
    <row r="11" spans="1:25" ht="15.75" thickBot="1" x14ac:dyDescent="0.3">
      <c r="A11" s="211"/>
      <c r="B11" s="214"/>
      <c r="C11" s="60" t="s">
        <v>67</v>
      </c>
      <c r="D11" s="62"/>
      <c r="E11" s="215"/>
      <c r="F11" s="216"/>
      <c r="G11" s="216"/>
      <c r="H11" s="216"/>
      <c r="I11" s="216"/>
      <c r="J11" s="217"/>
      <c r="K11" s="119"/>
      <c r="L11" s="215"/>
      <c r="M11" s="216"/>
      <c r="N11" s="216"/>
      <c r="O11" s="216"/>
      <c r="P11" s="216"/>
      <c r="Q11" s="217"/>
      <c r="R11" s="119"/>
      <c r="S11" s="215"/>
      <c r="T11" s="216"/>
      <c r="U11" s="216"/>
      <c r="V11" s="216"/>
      <c r="W11" s="216"/>
      <c r="X11" s="217"/>
      <c r="Y11" s="63"/>
    </row>
    <row r="12" spans="1:25" ht="15.75" thickBot="1" x14ac:dyDescent="0.3">
      <c r="A12" s="10"/>
      <c r="B12" s="12"/>
      <c r="C12" s="50"/>
      <c r="E12" s="183"/>
      <c r="F12" s="184"/>
      <c r="G12" s="184"/>
      <c r="H12" s="184"/>
      <c r="I12" s="184"/>
      <c r="J12" s="184"/>
      <c r="K12" s="71"/>
      <c r="L12" s="183"/>
      <c r="M12" s="184"/>
      <c r="N12" s="184"/>
      <c r="O12" s="184"/>
      <c r="P12" s="184"/>
      <c r="Q12" s="184"/>
      <c r="R12" s="71"/>
      <c r="S12" s="183"/>
      <c r="T12" s="184"/>
      <c r="U12" s="184"/>
      <c r="V12" s="184"/>
      <c r="W12" s="184"/>
      <c r="X12" s="184"/>
    </row>
    <row r="13" spans="1:25" ht="15" customHeight="1" x14ac:dyDescent="0.25">
      <c r="A13" s="206" t="s">
        <v>36</v>
      </c>
      <c r="B13" s="207" t="s">
        <v>101</v>
      </c>
      <c r="C13" s="48" t="s">
        <v>5</v>
      </c>
      <c r="E13" s="198" t="s">
        <v>135</v>
      </c>
      <c r="F13" s="199"/>
      <c r="G13" s="199"/>
      <c r="H13" s="199"/>
      <c r="I13" s="200"/>
      <c r="J13" s="72" t="s">
        <v>159</v>
      </c>
      <c r="K13" s="71"/>
      <c r="L13" s="198" t="s">
        <v>135</v>
      </c>
      <c r="M13" s="199"/>
      <c r="N13" s="199"/>
      <c r="O13" s="199"/>
      <c r="P13" s="200"/>
      <c r="Q13" s="72" t="s">
        <v>143</v>
      </c>
      <c r="R13" s="71"/>
      <c r="S13" s="198" t="s">
        <v>125</v>
      </c>
      <c r="T13" s="199"/>
      <c r="U13" s="199"/>
      <c r="V13" s="199"/>
      <c r="W13" s="200"/>
      <c r="X13" s="72" t="s">
        <v>189</v>
      </c>
    </row>
    <row r="14" spans="1:25" x14ac:dyDescent="0.25">
      <c r="A14" s="206"/>
      <c r="B14" s="207"/>
      <c r="C14" s="13" t="s">
        <v>6</v>
      </c>
      <c r="E14" s="201" t="s">
        <v>126</v>
      </c>
      <c r="F14" s="202"/>
      <c r="G14" s="202"/>
      <c r="H14" s="202"/>
      <c r="I14" s="203"/>
      <c r="J14" s="73" t="s">
        <v>154</v>
      </c>
      <c r="K14" s="71"/>
      <c r="L14" s="201" t="s">
        <v>126</v>
      </c>
      <c r="M14" s="202"/>
      <c r="N14" s="202"/>
      <c r="O14" s="202"/>
      <c r="P14" s="203"/>
      <c r="Q14" s="73" t="s">
        <v>144</v>
      </c>
      <c r="R14" s="71"/>
      <c r="S14" s="201" t="s">
        <v>126</v>
      </c>
      <c r="T14" s="202"/>
      <c r="U14" s="202"/>
      <c r="V14" s="202"/>
      <c r="W14" s="203"/>
      <c r="X14" s="73" t="s">
        <v>188</v>
      </c>
    </row>
    <row r="15" spans="1:25" ht="15.75" thickBot="1" x14ac:dyDescent="0.3">
      <c r="A15" s="206"/>
      <c r="B15" s="207"/>
      <c r="C15" s="49" t="s">
        <v>7</v>
      </c>
      <c r="E15" s="218"/>
      <c r="F15" s="219"/>
      <c r="G15" s="219"/>
      <c r="H15" s="219"/>
      <c r="I15" s="220"/>
      <c r="J15" s="74" t="s">
        <v>112</v>
      </c>
      <c r="K15" s="71"/>
      <c r="L15" s="218"/>
      <c r="M15" s="219"/>
      <c r="N15" s="219"/>
      <c r="O15" s="219"/>
      <c r="P15" s="220"/>
      <c r="Q15" s="74" t="s">
        <v>112</v>
      </c>
      <c r="R15" s="71"/>
      <c r="S15" s="218"/>
      <c r="T15" s="219"/>
      <c r="U15" s="219"/>
      <c r="V15" s="219"/>
      <c r="W15" s="220"/>
      <c r="X15" s="74" t="s">
        <v>112</v>
      </c>
    </row>
    <row r="16" spans="1:25" ht="15.75" thickBot="1" x14ac:dyDescent="0.3">
      <c r="A16" s="11"/>
      <c r="B16" s="14"/>
      <c r="C16" s="14"/>
      <c r="E16" s="183"/>
      <c r="F16" s="184"/>
      <c r="G16" s="184"/>
      <c r="H16" s="184"/>
      <c r="I16" s="184"/>
      <c r="J16" s="184"/>
      <c r="K16" s="71"/>
      <c r="L16" s="183"/>
      <c r="M16" s="184"/>
      <c r="N16" s="184"/>
      <c r="O16" s="184"/>
      <c r="P16" s="184"/>
      <c r="Q16" s="184"/>
      <c r="R16" s="71"/>
      <c r="S16" s="183"/>
      <c r="T16" s="184"/>
      <c r="U16" s="184"/>
      <c r="V16" s="184"/>
      <c r="W16" s="184"/>
      <c r="X16" s="184"/>
    </row>
    <row r="17" spans="1:24" x14ac:dyDescent="0.25">
      <c r="A17" s="227" t="s">
        <v>8</v>
      </c>
      <c r="B17" s="230" t="s">
        <v>102</v>
      </c>
      <c r="C17" s="46" t="s">
        <v>68</v>
      </c>
      <c r="E17" s="233" t="s">
        <v>160</v>
      </c>
      <c r="F17" s="234"/>
      <c r="G17" s="234"/>
      <c r="H17" s="234"/>
      <c r="I17" s="234"/>
      <c r="J17" s="234"/>
      <c r="K17" s="71"/>
      <c r="L17" s="233" t="s">
        <v>160</v>
      </c>
      <c r="M17" s="234"/>
      <c r="N17" s="234"/>
      <c r="O17" s="234"/>
      <c r="P17" s="234"/>
      <c r="Q17" s="234"/>
      <c r="R17" s="71"/>
      <c r="S17" s="233"/>
      <c r="T17" s="234"/>
      <c r="U17" s="234"/>
      <c r="V17" s="234"/>
      <c r="W17" s="234"/>
      <c r="X17" s="234"/>
    </row>
    <row r="18" spans="1:24" x14ac:dyDescent="0.25">
      <c r="A18" s="228"/>
      <c r="B18" s="231"/>
      <c r="C18" s="15" t="s">
        <v>79</v>
      </c>
      <c r="E18" s="235">
        <v>70</v>
      </c>
      <c r="F18" s="236"/>
      <c r="G18" s="236"/>
      <c r="H18" s="236"/>
      <c r="I18" s="236"/>
      <c r="J18" s="236"/>
      <c r="K18" s="71"/>
      <c r="L18" s="235">
        <v>70</v>
      </c>
      <c r="M18" s="236"/>
      <c r="N18" s="236"/>
      <c r="O18" s="236"/>
      <c r="P18" s="236"/>
      <c r="Q18" s="236"/>
      <c r="R18" s="71"/>
      <c r="S18" s="235">
        <v>3</v>
      </c>
      <c r="T18" s="236"/>
      <c r="U18" s="236"/>
      <c r="V18" s="236"/>
      <c r="W18" s="236"/>
      <c r="X18" s="236"/>
    </row>
    <row r="19" spans="1:24" ht="15.75" thickBot="1" x14ac:dyDescent="0.3">
      <c r="A19" s="229"/>
      <c r="B19" s="232"/>
      <c r="C19" s="47" t="s">
        <v>10</v>
      </c>
      <c r="E19" s="239" t="s">
        <v>128</v>
      </c>
      <c r="F19" s="240"/>
      <c r="G19" s="240"/>
      <c r="H19" s="240"/>
      <c r="I19" s="241"/>
      <c r="J19" s="75" t="s">
        <v>146</v>
      </c>
      <c r="K19" s="71"/>
      <c r="L19" s="239" t="s">
        <v>128</v>
      </c>
      <c r="M19" s="240"/>
      <c r="N19" s="240"/>
      <c r="O19" s="240"/>
      <c r="P19" s="241"/>
      <c r="Q19" s="75" t="s">
        <v>146</v>
      </c>
      <c r="R19" s="71"/>
      <c r="S19" s="239" t="s">
        <v>128</v>
      </c>
      <c r="T19" s="240"/>
      <c r="U19" s="240"/>
      <c r="V19" s="240"/>
      <c r="W19" s="241"/>
      <c r="X19" s="75" t="s">
        <v>154</v>
      </c>
    </row>
    <row r="20" spans="1:24" ht="15.75" thickBot="1" x14ac:dyDescent="0.3">
      <c r="A20" s="11"/>
      <c r="B20" s="14"/>
      <c r="C20" s="14"/>
      <c r="E20" s="237"/>
      <c r="F20" s="238"/>
      <c r="G20" s="238"/>
      <c r="H20" s="238"/>
      <c r="I20" s="238"/>
      <c r="J20" s="238"/>
      <c r="K20" s="71"/>
      <c r="L20" s="237"/>
      <c r="M20" s="238"/>
      <c r="N20" s="238"/>
      <c r="O20" s="238"/>
      <c r="P20" s="238"/>
      <c r="Q20" s="238"/>
      <c r="R20" s="71"/>
      <c r="S20" s="237"/>
      <c r="T20" s="238"/>
      <c r="U20" s="238"/>
      <c r="V20" s="238"/>
      <c r="W20" s="238"/>
      <c r="X20" s="238"/>
    </row>
    <row r="21" spans="1:24" ht="15.75" thickBot="1" x14ac:dyDescent="0.3">
      <c r="A21" s="221" t="s">
        <v>11</v>
      </c>
      <c r="B21" s="224" t="s">
        <v>103</v>
      </c>
      <c r="C21" s="45" t="s">
        <v>93</v>
      </c>
      <c r="E21" s="76" t="s">
        <v>32</v>
      </c>
      <c r="F21" s="77" t="s">
        <v>72</v>
      </c>
      <c r="G21" s="77" t="s">
        <v>20</v>
      </c>
      <c r="H21" s="77" t="s">
        <v>113</v>
      </c>
      <c r="I21" s="78" t="s">
        <v>99</v>
      </c>
      <c r="J21" s="78" t="s">
        <v>23</v>
      </c>
      <c r="K21" s="71"/>
      <c r="L21" s="76" t="s">
        <v>32</v>
      </c>
      <c r="M21" s="77" t="s">
        <v>72</v>
      </c>
      <c r="N21" s="77" t="s">
        <v>20</v>
      </c>
      <c r="O21" s="77" t="s">
        <v>113</v>
      </c>
      <c r="P21" s="78" t="s">
        <v>99</v>
      </c>
      <c r="Q21" s="78" t="s">
        <v>23</v>
      </c>
      <c r="R21" s="71"/>
      <c r="S21" s="76" t="s">
        <v>32</v>
      </c>
      <c r="T21" s="77" t="s">
        <v>72</v>
      </c>
      <c r="U21" s="77" t="s">
        <v>20</v>
      </c>
      <c r="V21" s="77" t="s">
        <v>113</v>
      </c>
      <c r="W21" s="78" t="s">
        <v>99</v>
      </c>
      <c r="X21" s="78" t="s">
        <v>23</v>
      </c>
    </row>
    <row r="22" spans="1:24" ht="15" customHeight="1" x14ac:dyDescent="0.25">
      <c r="A22" s="222"/>
      <c r="B22" s="225"/>
      <c r="C22" s="43" t="s">
        <v>12</v>
      </c>
      <c r="E22" s="79" t="s">
        <v>118</v>
      </c>
      <c r="F22" s="80" t="s">
        <v>119</v>
      </c>
      <c r="G22" s="81" t="s">
        <v>139</v>
      </c>
      <c r="H22" s="81" t="s">
        <v>117</v>
      </c>
      <c r="I22" s="82">
        <v>355</v>
      </c>
      <c r="J22" s="82">
        <v>1</v>
      </c>
      <c r="K22" s="71"/>
      <c r="L22" s="79" t="s">
        <v>118</v>
      </c>
      <c r="M22" s="80" t="s">
        <v>119</v>
      </c>
      <c r="N22" s="81" t="s">
        <v>136</v>
      </c>
      <c r="O22" s="81" t="s">
        <v>116</v>
      </c>
      <c r="P22" s="82">
        <v>381</v>
      </c>
      <c r="Q22" s="82">
        <v>1</v>
      </c>
      <c r="R22" s="71"/>
      <c r="S22" s="79" t="s">
        <v>118</v>
      </c>
      <c r="T22" s="80" t="s">
        <v>119</v>
      </c>
      <c r="U22" s="81" t="s">
        <v>139</v>
      </c>
      <c r="V22" s="81" t="s">
        <v>170</v>
      </c>
      <c r="W22" s="82" t="s">
        <v>166</v>
      </c>
      <c r="X22" s="82">
        <v>3</v>
      </c>
    </row>
    <row r="23" spans="1:24" x14ac:dyDescent="0.25">
      <c r="A23" s="222"/>
      <c r="B23" s="225"/>
      <c r="C23" s="16" t="s">
        <v>13</v>
      </c>
      <c r="E23" s="83" t="s">
        <v>78</v>
      </c>
      <c r="F23" s="84" t="s">
        <v>121</v>
      </c>
      <c r="G23" s="83" t="s">
        <v>138</v>
      </c>
      <c r="H23" s="83" t="s">
        <v>153</v>
      </c>
      <c r="I23" s="85">
        <v>113</v>
      </c>
      <c r="J23" s="82">
        <v>1</v>
      </c>
      <c r="K23" s="71"/>
      <c r="L23" s="83" t="s">
        <v>78</v>
      </c>
      <c r="M23" s="84" t="s">
        <v>121</v>
      </c>
      <c r="N23" s="83" t="s">
        <v>138</v>
      </c>
      <c r="O23" s="83" t="s">
        <v>147</v>
      </c>
      <c r="P23" s="85">
        <v>109</v>
      </c>
      <c r="Q23" s="82">
        <v>1</v>
      </c>
      <c r="R23" s="71"/>
      <c r="S23" s="83" t="s">
        <v>78</v>
      </c>
      <c r="T23" s="84" t="s">
        <v>121</v>
      </c>
      <c r="U23" s="83" t="s">
        <v>138</v>
      </c>
      <c r="V23" s="83" t="s">
        <v>167</v>
      </c>
      <c r="W23" s="85">
        <v>122</v>
      </c>
      <c r="X23" s="85">
        <v>1</v>
      </c>
    </row>
    <row r="24" spans="1:24" x14ac:dyDescent="0.25">
      <c r="A24" s="222"/>
      <c r="B24" s="225"/>
      <c r="C24" s="16" t="s">
        <v>14</v>
      </c>
      <c r="E24" s="86" t="s">
        <v>77</v>
      </c>
      <c r="F24" s="87" t="s">
        <v>120</v>
      </c>
      <c r="G24" s="83" t="s">
        <v>138</v>
      </c>
      <c r="H24" s="83" t="s">
        <v>153</v>
      </c>
      <c r="I24" s="85">
        <v>95</v>
      </c>
      <c r="J24" s="82">
        <v>1</v>
      </c>
      <c r="K24" s="71"/>
      <c r="L24" s="86" t="s">
        <v>77</v>
      </c>
      <c r="M24" s="87" t="s">
        <v>120</v>
      </c>
      <c r="N24" s="83" t="s">
        <v>138</v>
      </c>
      <c r="O24" s="83" t="s">
        <v>147</v>
      </c>
      <c r="P24" s="85">
        <v>80</v>
      </c>
      <c r="Q24" s="82">
        <v>1</v>
      </c>
      <c r="R24" s="71"/>
      <c r="S24" s="86" t="s">
        <v>77</v>
      </c>
      <c r="T24" s="87" t="s">
        <v>120</v>
      </c>
      <c r="U24" s="83" t="s">
        <v>138</v>
      </c>
      <c r="V24" s="83" t="s">
        <v>168</v>
      </c>
      <c r="W24" s="85">
        <v>75</v>
      </c>
      <c r="X24" s="85">
        <v>1</v>
      </c>
    </row>
    <row r="25" spans="1:24" x14ac:dyDescent="0.25">
      <c r="A25" s="222"/>
      <c r="B25" s="225"/>
      <c r="C25" s="16" t="s">
        <v>15</v>
      </c>
      <c r="E25" s="88"/>
      <c r="F25" s="85"/>
      <c r="G25" s="83"/>
      <c r="H25" s="83"/>
      <c r="I25" s="85"/>
      <c r="J25" s="85"/>
      <c r="K25" s="71"/>
      <c r="L25" s="88"/>
      <c r="M25" s="85"/>
      <c r="N25" s="83"/>
      <c r="O25" s="83"/>
      <c r="P25" s="85"/>
      <c r="Q25" s="85"/>
      <c r="R25" s="71"/>
      <c r="S25" s="88"/>
      <c r="T25" s="85"/>
      <c r="U25" s="83"/>
      <c r="V25" s="83"/>
      <c r="W25" s="85"/>
      <c r="X25" s="85"/>
    </row>
    <row r="26" spans="1:24" x14ac:dyDescent="0.25">
      <c r="A26" s="222"/>
      <c r="B26" s="225"/>
      <c r="C26" s="16" t="s">
        <v>16</v>
      </c>
      <c r="E26" s="88" t="s">
        <v>449</v>
      </c>
      <c r="F26" s="65" t="s">
        <v>206</v>
      </c>
      <c r="G26" s="89" t="s">
        <v>138</v>
      </c>
      <c r="H26" s="83" t="s">
        <v>156</v>
      </c>
      <c r="I26" s="85">
        <v>100</v>
      </c>
      <c r="J26" s="85">
        <v>1</v>
      </c>
      <c r="K26" s="71"/>
      <c r="L26" s="88" t="s">
        <v>449</v>
      </c>
      <c r="M26" s="65" t="s">
        <v>206</v>
      </c>
      <c r="N26" s="83" t="s">
        <v>138</v>
      </c>
      <c r="O26" s="83" t="s">
        <v>148</v>
      </c>
      <c r="P26" s="85">
        <v>100</v>
      </c>
      <c r="Q26" s="85">
        <v>1</v>
      </c>
      <c r="R26" s="71"/>
      <c r="S26" s="88" t="s">
        <v>449</v>
      </c>
      <c r="T26" s="65" t="s">
        <v>206</v>
      </c>
      <c r="U26" s="90" t="s">
        <v>169</v>
      </c>
      <c r="V26" s="83" t="s">
        <v>148</v>
      </c>
      <c r="W26" s="85">
        <v>100</v>
      </c>
      <c r="X26" s="85">
        <v>1</v>
      </c>
    </row>
    <row r="27" spans="1:24" x14ac:dyDescent="0.25">
      <c r="A27" s="222"/>
      <c r="B27" s="225"/>
      <c r="C27" s="16" t="s">
        <v>17</v>
      </c>
      <c r="E27" s="86" t="s">
        <v>76</v>
      </c>
      <c r="F27" s="85" t="s">
        <v>207</v>
      </c>
      <c r="G27" s="83" t="s">
        <v>164</v>
      </c>
      <c r="H27" s="83" t="s">
        <v>155</v>
      </c>
      <c r="I27" s="85">
        <v>333</v>
      </c>
      <c r="J27" s="85">
        <v>1</v>
      </c>
      <c r="K27" s="71"/>
      <c r="L27" s="86" t="s">
        <v>76</v>
      </c>
      <c r="M27" s="85" t="s">
        <v>207</v>
      </c>
      <c r="N27" s="83" t="s">
        <v>164</v>
      </c>
      <c r="O27" s="83" t="s">
        <v>145</v>
      </c>
      <c r="P27" s="85">
        <v>333</v>
      </c>
      <c r="Q27" s="85">
        <v>1</v>
      </c>
      <c r="R27" s="71"/>
      <c r="S27" s="86" t="s">
        <v>76</v>
      </c>
      <c r="T27" s="85" t="s">
        <v>207</v>
      </c>
      <c r="U27" s="83" t="s">
        <v>164</v>
      </c>
      <c r="V27" s="83" t="s">
        <v>157</v>
      </c>
      <c r="W27" s="85">
        <v>333</v>
      </c>
      <c r="X27" s="85">
        <v>1</v>
      </c>
    </row>
    <row r="28" spans="1:24" x14ac:dyDescent="0.25">
      <c r="A28" s="222"/>
      <c r="B28" s="225"/>
      <c r="C28" s="34" t="s">
        <v>132</v>
      </c>
      <c r="E28" s="91" t="s">
        <v>161</v>
      </c>
      <c r="F28" s="92"/>
      <c r="G28" s="82" t="s">
        <v>140</v>
      </c>
      <c r="H28" s="93" t="s">
        <v>162</v>
      </c>
      <c r="I28" s="92" t="s">
        <v>141</v>
      </c>
      <c r="J28" s="92">
        <v>1</v>
      </c>
      <c r="K28" s="71"/>
      <c r="L28" s="91"/>
      <c r="M28" s="92"/>
      <c r="N28" s="83"/>
      <c r="O28" s="93"/>
      <c r="P28" s="92"/>
      <c r="Q28" s="92"/>
      <c r="R28" s="71"/>
      <c r="S28" s="94" t="s">
        <v>178</v>
      </c>
      <c r="T28" s="92" t="s">
        <v>179</v>
      </c>
      <c r="U28" s="83" t="s">
        <v>137</v>
      </c>
      <c r="V28" s="83" t="s">
        <v>181</v>
      </c>
      <c r="W28" s="92" t="s">
        <v>208</v>
      </c>
      <c r="X28" s="92">
        <v>3</v>
      </c>
    </row>
    <row r="29" spans="1:24" ht="15.75" thickBot="1" x14ac:dyDescent="0.3">
      <c r="A29" s="222"/>
      <c r="B29" s="225"/>
      <c r="C29" s="34" t="s">
        <v>132</v>
      </c>
      <c r="E29" s="95"/>
      <c r="F29" s="96"/>
      <c r="G29" s="96"/>
      <c r="H29" s="97"/>
      <c r="I29" s="96"/>
      <c r="J29" s="96"/>
      <c r="K29" s="71"/>
      <c r="L29" s="96" t="s">
        <v>133</v>
      </c>
      <c r="M29" s="96"/>
      <c r="N29" s="96" t="s">
        <v>137</v>
      </c>
      <c r="O29" s="97" t="s">
        <v>150</v>
      </c>
      <c r="P29" s="96" t="s">
        <v>141</v>
      </c>
      <c r="Q29" s="96">
        <v>1</v>
      </c>
      <c r="R29" s="71"/>
      <c r="S29" s="95"/>
      <c r="T29" s="96"/>
      <c r="U29" s="97"/>
      <c r="V29" s="97"/>
      <c r="W29" s="96"/>
      <c r="X29" s="96"/>
    </row>
    <row r="30" spans="1:24" ht="18" thickBot="1" x14ac:dyDescent="0.3">
      <c r="A30" s="222"/>
      <c r="B30" s="225"/>
      <c r="C30" s="45" t="s">
        <v>91</v>
      </c>
      <c r="E30" s="76" t="s">
        <v>32</v>
      </c>
      <c r="F30" s="78" t="s">
        <v>92</v>
      </c>
      <c r="G30" s="77" t="s">
        <v>20</v>
      </c>
      <c r="H30" s="77" t="s">
        <v>113</v>
      </c>
      <c r="I30" s="78" t="s">
        <v>205</v>
      </c>
      <c r="J30" s="78" t="s">
        <v>23</v>
      </c>
      <c r="K30" s="71"/>
      <c r="L30" s="76" t="s">
        <v>32</v>
      </c>
      <c r="M30" s="78" t="s">
        <v>92</v>
      </c>
      <c r="N30" s="77" t="s">
        <v>20</v>
      </c>
      <c r="O30" s="77" t="s">
        <v>113</v>
      </c>
      <c r="P30" s="78" t="s">
        <v>205</v>
      </c>
      <c r="Q30" s="78" t="s">
        <v>23</v>
      </c>
      <c r="R30" s="71"/>
      <c r="S30" s="76" t="s">
        <v>32</v>
      </c>
      <c r="T30" s="78" t="s">
        <v>92</v>
      </c>
      <c r="U30" s="77" t="s">
        <v>20</v>
      </c>
      <c r="V30" s="77" t="s">
        <v>113</v>
      </c>
      <c r="W30" s="78" t="s">
        <v>205</v>
      </c>
      <c r="X30" s="78" t="s">
        <v>23</v>
      </c>
    </row>
    <row r="31" spans="1:24" x14ac:dyDescent="0.25">
      <c r="A31" s="222"/>
      <c r="B31" s="225"/>
      <c r="C31" s="43" t="s">
        <v>108</v>
      </c>
      <c r="E31" s="79"/>
      <c r="F31" s="82"/>
      <c r="G31" s="81"/>
      <c r="H31" s="81"/>
      <c r="I31" s="82"/>
      <c r="J31" s="82"/>
      <c r="K31" s="71"/>
      <c r="L31" s="79"/>
      <c r="M31" s="82"/>
      <c r="N31" s="81"/>
      <c r="O31" s="81"/>
      <c r="P31" s="82"/>
      <c r="Q31" s="82"/>
      <c r="R31" s="71"/>
      <c r="S31" s="79"/>
      <c r="T31" s="82"/>
      <c r="U31" s="81"/>
      <c r="V31" s="81"/>
      <c r="W31" s="82"/>
      <c r="X31" s="82"/>
    </row>
    <row r="32" spans="1:24" ht="15.75" thickBot="1" x14ac:dyDescent="0.3">
      <c r="A32" s="223"/>
      <c r="B32" s="226"/>
      <c r="C32" s="44" t="s">
        <v>109</v>
      </c>
      <c r="E32" s="95"/>
      <c r="F32" s="96"/>
      <c r="G32" s="83"/>
      <c r="H32" s="83"/>
      <c r="I32" s="96"/>
      <c r="J32" s="96"/>
      <c r="K32" s="71"/>
      <c r="L32" s="95"/>
      <c r="M32" s="96"/>
      <c r="N32" s="83"/>
      <c r="O32" s="83"/>
      <c r="P32" s="96"/>
      <c r="Q32" s="96"/>
      <c r="R32" s="71"/>
      <c r="S32" s="95"/>
      <c r="T32" s="96"/>
      <c r="U32" s="83"/>
      <c r="V32" s="83"/>
      <c r="W32" s="96"/>
      <c r="X32" s="96"/>
    </row>
    <row r="33" spans="1:25" ht="15.75" thickBot="1" x14ac:dyDescent="0.3">
      <c r="A33" s="17"/>
      <c r="B33" s="14"/>
      <c r="C33" s="14"/>
      <c r="E33" s="183"/>
      <c r="F33" s="184"/>
      <c r="G33" s="184"/>
      <c r="H33" s="184"/>
      <c r="I33" s="184"/>
      <c r="J33" s="184"/>
      <c r="K33" s="71"/>
      <c r="L33" s="183"/>
      <c r="M33" s="184"/>
      <c r="N33" s="184"/>
      <c r="O33" s="184"/>
      <c r="P33" s="184"/>
      <c r="Q33" s="184"/>
      <c r="R33" s="71"/>
      <c r="S33" s="183"/>
      <c r="T33" s="184"/>
      <c r="U33" s="184"/>
      <c r="V33" s="184"/>
      <c r="W33" s="184"/>
      <c r="X33" s="184"/>
    </row>
    <row r="34" spans="1:25" ht="60" customHeight="1" thickBot="1" x14ac:dyDescent="0.3">
      <c r="A34" s="242" t="s">
        <v>21</v>
      </c>
      <c r="B34" s="224" t="s">
        <v>104</v>
      </c>
      <c r="C34" s="45"/>
      <c r="E34" s="98" t="s">
        <v>32</v>
      </c>
      <c r="F34" s="99" t="s">
        <v>20</v>
      </c>
      <c r="G34" s="204" t="s">
        <v>94</v>
      </c>
      <c r="H34" s="205"/>
      <c r="I34" s="100" t="s">
        <v>23</v>
      </c>
      <c r="J34" s="101" t="s">
        <v>114</v>
      </c>
      <c r="K34" s="71"/>
      <c r="L34" s="98" t="s">
        <v>32</v>
      </c>
      <c r="M34" s="99" t="s">
        <v>20</v>
      </c>
      <c r="N34" s="204" t="s">
        <v>94</v>
      </c>
      <c r="O34" s="205"/>
      <c r="P34" s="100" t="s">
        <v>23</v>
      </c>
      <c r="Q34" s="101" t="s">
        <v>114</v>
      </c>
      <c r="R34" s="71"/>
      <c r="S34" s="98" t="s">
        <v>32</v>
      </c>
      <c r="T34" s="99" t="s">
        <v>20</v>
      </c>
      <c r="U34" s="204" t="s">
        <v>94</v>
      </c>
      <c r="V34" s="205"/>
      <c r="W34" s="100" t="s">
        <v>23</v>
      </c>
      <c r="X34" s="101" t="s">
        <v>114</v>
      </c>
    </row>
    <row r="35" spans="1:25" ht="17.25" customHeight="1" x14ac:dyDescent="0.25">
      <c r="A35" s="243"/>
      <c r="B35" s="225"/>
      <c r="C35" s="43" t="s">
        <v>24</v>
      </c>
      <c r="E35" s="102"/>
      <c r="F35" s="85"/>
      <c r="G35" s="185"/>
      <c r="H35" s="186"/>
      <c r="I35" s="81"/>
      <c r="J35" s="81"/>
      <c r="K35" s="71"/>
      <c r="L35" s="102"/>
      <c r="M35" s="85"/>
      <c r="N35" s="185"/>
      <c r="O35" s="186"/>
      <c r="P35" s="81"/>
      <c r="Q35" s="81"/>
      <c r="R35" s="71"/>
      <c r="S35" s="102" t="s">
        <v>171</v>
      </c>
      <c r="T35" s="83" t="s">
        <v>137</v>
      </c>
      <c r="U35" s="185" t="s">
        <v>172</v>
      </c>
      <c r="V35" s="186"/>
      <c r="W35" s="81">
        <v>1</v>
      </c>
      <c r="X35" s="81" t="s">
        <v>182</v>
      </c>
    </row>
    <row r="36" spans="1:25" ht="17.25" customHeight="1" x14ac:dyDescent="0.25">
      <c r="A36" s="243"/>
      <c r="B36" s="225"/>
      <c r="C36" s="16" t="s">
        <v>24</v>
      </c>
      <c r="E36" s="103" t="s">
        <v>134</v>
      </c>
      <c r="F36" s="85" t="s">
        <v>137</v>
      </c>
      <c r="G36" s="187" t="s">
        <v>124</v>
      </c>
      <c r="H36" s="188"/>
      <c r="I36" s="90">
        <v>1</v>
      </c>
      <c r="J36" s="83" t="s">
        <v>151</v>
      </c>
      <c r="K36" s="71"/>
      <c r="L36" s="103" t="s">
        <v>134</v>
      </c>
      <c r="M36" s="85" t="s">
        <v>137</v>
      </c>
      <c r="N36" s="187" t="s">
        <v>124</v>
      </c>
      <c r="O36" s="188"/>
      <c r="P36" s="90">
        <v>1</v>
      </c>
      <c r="Q36" s="83" t="s">
        <v>151</v>
      </c>
      <c r="R36" s="71"/>
      <c r="S36" s="103" t="s">
        <v>173</v>
      </c>
      <c r="T36" s="83" t="s">
        <v>137</v>
      </c>
      <c r="U36" s="187" t="s">
        <v>96</v>
      </c>
      <c r="V36" s="188"/>
      <c r="W36" s="81">
        <v>1</v>
      </c>
      <c r="X36" s="90" t="s">
        <v>183</v>
      </c>
    </row>
    <row r="37" spans="1:25" ht="17.25" customHeight="1" x14ac:dyDescent="0.25">
      <c r="A37" s="243"/>
      <c r="B37" s="225"/>
      <c r="C37" s="16" t="s">
        <v>25</v>
      </c>
      <c r="E37" s="103" t="s">
        <v>131</v>
      </c>
      <c r="F37" s="85" t="s">
        <v>137</v>
      </c>
      <c r="G37" s="187" t="s">
        <v>97</v>
      </c>
      <c r="H37" s="188"/>
      <c r="I37" s="90">
        <v>1</v>
      </c>
      <c r="J37" s="83" t="s">
        <v>150</v>
      </c>
      <c r="K37" s="71"/>
      <c r="L37" s="103" t="s">
        <v>131</v>
      </c>
      <c r="M37" s="85" t="s">
        <v>137</v>
      </c>
      <c r="N37" s="187" t="s">
        <v>97</v>
      </c>
      <c r="O37" s="188"/>
      <c r="P37" s="90">
        <v>1</v>
      </c>
      <c r="Q37" s="83" t="s">
        <v>150</v>
      </c>
      <c r="R37" s="71"/>
      <c r="S37" s="103" t="s">
        <v>174</v>
      </c>
      <c r="T37" s="83" t="s">
        <v>137</v>
      </c>
      <c r="U37" s="187" t="s">
        <v>97</v>
      </c>
      <c r="V37" s="188"/>
      <c r="W37" s="81">
        <v>1</v>
      </c>
      <c r="X37" s="90" t="s">
        <v>184</v>
      </c>
    </row>
    <row r="38" spans="1:25" ht="17.25" customHeight="1" x14ac:dyDescent="0.25">
      <c r="A38" s="243"/>
      <c r="B38" s="225"/>
      <c r="C38" s="16" t="s">
        <v>25</v>
      </c>
      <c r="E38" s="103"/>
      <c r="F38" s="85"/>
      <c r="G38" s="104"/>
      <c r="H38" s="103"/>
      <c r="I38" s="90"/>
      <c r="J38" s="83"/>
      <c r="K38" s="71"/>
      <c r="L38" s="103"/>
      <c r="M38" s="85"/>
      <c r="N38" s="104"/>
      <c r="O38" s="103"/>
      <c r="P38" s="90"/>
      <c r="Q38" s="83"/>
      <c r="R38" s="71"/>
      <c r="S38" s="103" t="s">
        <v>186</v>
      </c>
      <c r="T38" s="83" t="s">
        <v>137</v>
      </c>
      <c r="U38" s="104" t="s">
        <v>97</v>
      </c>
      <c r="V38" s="103"/>
      <c r="W38" s="81">
        <v>1</v>
      </c>
      <c r="X38" s="90" t="s">
        <v>183</v>
      </c>
    </row>
    <row r="39" spans="1:25" ht="17.25" customHeight="1" x14ac:dyDescent="0.25">
      <c r="A39" s="243"/>
      <c r="B39" s="225"/>
      <c r="C39" s="16" t="s">
        <v>25</v>
      </c>
      <c r="E39" s="103"/>
      <c r="F39" s="85"/>
      <c r="G39" s="104"/>
      <c r="H39" s="103"/>
      <c r="I39" s="90"/>
      <c r="J39" s="83"/>
      <c r="K39" s="71"/>
      <c r="L39" s="103"/>
      <c r="M39" s="85"/>
      <c r="N39" s="104"/>
      <c r="O39" s="103"/>
      <c r="P39" s="90"/>
      <c r="Q39" s="83"/>
      <c r="R39" s="71"/>
      <c r="S39" s="103" t="s">
        <v>187</v>
      </c>
      <c r="T39" s="83" t="s">
        <v>137</v>
      </c>
      <c r="U39" s="104" t="s">
        <v>96</v>
      </c>
      <c r="V39" s="103"/>
      <c r="W39" s="81">
        <v>1</v>
      </c>
      <c r="X39" s="90" t="s">
        <v>180</v>
      </c>
    </row>
    <row r="40" spans="1:25" x14ac:dyDescent="0.25">
      <c r="A40" s="243"/>
      <c r="B40" s="225"/>
      <c r="C40" s="16" t="s">
        <v>25</v>
      </c>
      <c r="E40" s="103" t="s">
        <v>129</v>
      </c>
      <c r="F40" s="85" t="s">
        <v>137</v>
      </c>
      <c r="G40" s="187" t="s">
        <v>130</v>
      </c>
      <c r="H40" s="188"/>
      <c r="I40" s="83">
        <v>1</v>
      </c>
      <c r="J40" s="83" t="s">
        <v>152</v>
      </c>
      <c r="K40" s="71"/>
      <c r="L40" s="103" t="s">
        <v>129</v>
      </c>
      <c r="M40" s="85" t="s">
        <v>137</v>
      </c>
      <c r="N40" s="187" t="s">
        <v>130</v>
      </c>
      <c r="O40" s="188"/>
      <c r="P40" s="83">
        <v>1</v>
      </c>
      <c r="Q40" s="83" t="s">
        <v>152</v>
      </c>
      <c r="R40" s="71"/>
      <c r="S40" s="103" t="s">
        <v>95</v>
      </c>
      <c r="T40" s="83" t="s">
        <v>137</v>
      </c>
      <c r="U40" s="191" t="s">
        <v>175</v>
      </c>
      <c r="V40" s="191"/>
      <c r="W40" s="81">
        <v>1</v>
      </c>
      <c r="X40" s="83" t="s">
        <v>155</v>
      </c>
    </row>
    <row r="41" spans="1:25" x14ac:dyDescent="0.25">
      <c r="A41" s="243"/>
      <c r="B41" s="225"/>
      <c r="C41" s="16" t="s">
        <v>22</v>
      </c>
      <c r="E41" s="103"/>
      <c r="F41" s="85"/>
      <c r="G41" s="191"/>
      <c r="H41" s="191"/>
      <c r="I41" s="83"/>
      <c r="J41" s="83"/>
      <c r="K41" s="71"/>
      <c r="L41" s="103"/>
      <c r="M41" s="85"/>
      <c r="N41" s="191"/>
      <c r="O41" s="191"/>
      <c r="P41" s="83"/>
      <c r="Q41" s="83"/>
      <c r="R41" s="71"/>
      <c r="S41" s="103" t="s">
        <v>176</v>
      </c>
      <c r="T41" s="83" t="s">
        <v>137</v>
      </c>
      <c r="U41" s="187" t="s">
        <v>141</v>
      </c>
      <c r="V41" s="188"/>
      <c r="W41" s="81">
        <v>1</v>
      </c>
      <c r="X41" s="83" t="s">
        <v>162</v>
      </c>
    </row>
    <row r="42" spans="1:25" ht="15.75" thickBot="1" x14ac:dyDescent="0.3">
      <c r="A42" s="243"/>
      <c r="B42" s="225"/>
      <c r="C42" s="16" t="s">
        <v>22</v>
      </c>
      <c r="E42" s="103"/>
      <c r="F42" s="85"/>
      <c r="G42" s="187"/>
      <c r="H42" s="188"/>
      <c r="I42" s="83"/>
      <c r="J42" s="105"/>
      <c r="K42" s="71"/>
      <c r="L42" s="103"/>
      <c r="M42" s="85"/>
      <c r="N42" s="187"/>
      <c r="O42" s="188"/>
      <c r="P42" s="83"/>
      <c r="Q42" s="105"/>
      <c r="R42" s="71"/>
      <c r="S42" s="106" t="s">
        <v>98</v>
      </c>
      <c r="T42" s="83" t="s">
        <v>137</v>
      </c>
      <c r="U42" s="189" t="s">
        <v>177</v>
      </c>
      <c r="V42" s="190"/>
      <c r="W42" s="81">
        <v>1</v>
      </c>
      <c r="X42" s="105" t="s">
        <v>185</v>
      </c>
    </row>
    <row r="43" spans="1:25" ht="15.75" thickBot="1" x14ac:dyDescent="0.3">
      <c r="A43" s="243"/>
      <c r="B43" s="225"/>
      <c r="C43" s="44" t="s">
        <v>22</v>
      </c>
      <c r="E43" s="106"/>
      <c r="F43" s="96"/>
      <c r="G43" s="189"/>
      <c r="H43" s="190"/>
      <c r="I43" s="97"/>
      <c r="J43" s="107"/>
      <c r="K43" s="71"/>
      <c r="L43" s="106"/>
      <c r="M43" s="96"/>
      <c r="N43" s="189"/>
      <c r="O43" s="190"/>
      <c r="P43" s="97"/>
      <c r="Q43" s="107"/>
      <c r="R43" s="71"/>
      <c r="S43" s="106"/>
      <c r="T43" s="96"/>
      <c r="U43" s="189"/>
      <c r="V43" s="190"/>
      <c r="W43" s="97"/>
      <c r="X43" s="107"/>
    </row>
    <row r="44" spans="1:25" s="35" customFormat="1" ht="15.75" thickBot="1" x14ac:dyDescent="0.3">
      <c r="A44" s="244"/>
      <c r="B44" s="226"/>
      <c r="C44" s="45" t="s">
        <v>69</v>
      </c>
      <c r="D44" s="22"/>
      <c r="E44" s="259"/>
      <c r="F44" s="259"/>
      <c r="G44" s="259"/>
      <c r="H44" s="205"/>
      <c r="I44" s="77"/>
      <c r="J44" s="108"/>
      <c r="K44" s="109"/>
      <c r="L44" s="259"/>
      <c r="M44" s="259"/>
      <c r="N44" s="259"/>
      <c r="O44" s="205"/>
      <c r="P44" s="77"/>
      <c r="Q44" s="108"/>
      <c r="R44" s="109"/>
      <c r="S44" s="259"/>
      <c r="T44" s="259"/>
      <c r="U44" s="259"/>
      <c r="V44" s="205"/>
      <c r="W44" s="77"/>
      <c r="X44" s="108"/>
      <c r="Y44" s="36"/>
    </row>
    <row r="45" spans="1:25" ht="15.75" thickBot="1" x14ac:dyDescent="0.3">
      <c r="A45" s="11"/>
      <c r="B45" s="14"/>
      <c r="C45" s="14"/>
      <c r="E45" s="183"/>
      <c r="F45" s="184"/>
      <c r="G45" s="184"/>
      <c r="H45" s="184"/>
      <c r="I45" s="184"/>
      <c r="J45" s="184"/>
      <c r="K45" s="71"/>
      <c r="L45" s="183"/>
      <c r="M45" s="184"/>
      <c r="N45" s="184"/>
      <c r="O45" s="184"/>
      <c r="P45" s="184"/>
      <c r="Q45" s="184"/>
      <c r="R45" s="71"/>
      <c r="S45" s="183"/>
      <c r="T45" s="184"/>
      <c r="U45" s="184"/>
      <c r="V45" s="184"/>
      <c r="W45" s="184"/>
      <c r="X45" s="184"/>
    </row>
    <row r="46" spans="1:25" ht="15.75" thickBot="1" x14ac:dyDescent="0.3">
      <c r="A46" s="249" t="s">
        <v>26</v>
      </c>
      <c r="B46" s="250" t="s">
        <v>105</v>
      </c>
      <c r="C46" s="46"/>
      <c r="D46" s="56"/>
      <c r="E46" s="253" t="s">
        <v>9</v>
      </c>
      <c r="F46" s="254"/>
      <c r="G46" s="255" t="s">
        <v>10</v>
      </c>
      <c r="H46" s="253"/>
      <c r="I46" s="254"/>
      <c r="J46" s="110" t="s">
        <v>113</v>
      </c>
      <c r="K46" s="111" t="s">
        <v>9</v>
      </c>
      <c r="L46" s="253" t="s">
        <v>9</v>
      </c>
      <c r="M46" s="254"/>
      <c r="N46" s="255" t="s">
        <v>10</v>
      </c>
      <c r="O46" s="253"/>
      <c r="P46" s="254"/>
      <c r="Q46" s="110" t="s">
        <v>113</v>
      </c>
      <c r="R46" s="111"/>
      <c r="S46" s="253" t="s">
        <v>9</v>
      </c>
      <c r="T46" s="254"/>
      <c r="U46" s="255" t="s">
        <v>10</v>
      </c>
      <c r="V46" s="253"/>
      <c r="W46" s="254"/>
      <c r="X46" s="110" t="s">
        <v>113</v>
      </c>
      <c r="Y46" s="56"/>
    </row>
    <row r="47" spans="1:25" ht="15" customHeight="1" x14ac:dyDescent="0.25">
      <c r="A47" s="249"/>
      <c r="B47" s="251"/>
      <c r="C47" s="15" t="s">
        <v>27</v>
      </c>
      <c r="E47" s="245"/>
      <c r="F47" s="246"/>
      <c r="G47" s="256" t="s">
        <v>100</v>
      </c>
      <c r="H47" s="257"/>
      <c r="I47" s="258"/>
      <c r="J47" s="112" t="s">
        <v>157</v>
      </c>
      <c r="K47" s="71"/>
      <c r="L47" s="245"/>
      <c r="M47" s="246"/>
      <c r="N47" s="256" t="s">
        <v>100</v>
      </c>
      <c r="O47" s="257"/>
      <c r="P47" s="258"/>
      <c r="Q47" s="112" t="s">
        <v>149</v>
      </c>
      <c r="R47" s="71"/>
      <c r="S47" s="245"/>
      <c r="T47" s="246"/>
      <c r="U47" s="256" t="s">
        <v>100</v>
      </c>
      <c r="V47" s="257"/>
      <c r="W47" s="258"/>
      <c r="X47" s="112" t="s">
        <v>142</v>
      </c>
    </row>
    <row r="48" spans="1:25" x14ac:dyDescent="0.25">
      <c r="A48" s="249"/>
      <c r="B48" s="251"/>
      <c r="C48" s="15" t="s">
        <v>28</v>
      </c>
      <c r="E48" s="247"/>
      <c r="F48" s="248"/>
      <c r="G48" s="260"/>
      <c r="H48" s="247"/>
      <c r="I48" s="248"/>
      <c r="J48" s="113"/>
      <c r="K48" s="71"/>
      <c r="L48" s="247"/>
      <c r="M48" s="248"/>
      <c r="N48" s="260"/>
      <c r="O48" s="247"/>
      <c r="P48" s="248"/>
      <c r="Q48" s="113"/>
      <c r="R48" s="71"/>
      <c r="S48" s="247"/>
      <c r="T48" s="248"/>
      <c r="U48" s="260"/>
      <c r="V48" s="247"/>
      <c r="W48" s="248"/>
      <c r="X48" s="113"/>
    </row>
    <row r="49" spans="1:25" ht="15.75" thickBot="1" x14ac:dyDescent="0.3">
      <c r="A49" s="249"/>
      <c r="B49" s="252"/>
      <c r="C49" s="47" t="s">
        <v>29</v>
      </c>
      <c r="E49" s="240"/>
      <c r="F49" s="241"/>
      <c r="G49" s="272"/>
      <c r="H49" s="240"/>
      <c r="I49" s="241"/>
      <c r="J49" s="75"/>
      <c r="K49" s="71"/>
      <c r="L49" s="240"/>
      <c r="M49" s="241"/>
      <c r="N49" s="272"/>
      <c r="O49" s="240"/>
      <c r="P49" s="241"/>
      <c r="Q49" s="75"/>
      <c r="R49" s="71"/>
      <c r="S49" s="240"/>
      <c r="T49" s="241"/>
      <c r="U49" s="272"/>
      <c r="V49" s="240"/>
      <c r="W49" s="241"/>
      <c r="X49" s="75"/>
    </row>
    <row r="50" spans="1:25" ht="15.75" thickBot="1" x14ac:dyDescent="0.3">
      <c r="A50" s="11"/>
      <c r="B50" s="14"/>
      <c r="C50" s="14"/>
      <c r="E50" s="183"/>
      <c r="F50" s="184"/>
      <c r="G50" s="184"/>
      <c r="H50" s="184"/>
      <c r="I50" s="184"/>
      <c r="J50" s="184"/>
      <c r="K50" s="71"/>
      <c r="L50" s="183"/>
      <c r="M50" s="184"/>
      <c r="N50" s="184"/>
      <c r="O50" s="184"/>
      <c r="P50" s="184"/>
      <c r="Q50" s="184"/>
      <c r="R50" s="71"/>
      <c r="S50" s="183"/>
      <c r="T50" s="184"/>
      <c r="U50" s="184"/>
      <c r="V50" s="184"/>
      <c r="W50" s="184"/>
      <c r="X50" s="184"/>
    </row>
    <row r="51" spans="1:25" ht="15" customHeight="1" thickBot="1" x14ac:dyDescent="0.3">
      <c r="A51" s="261" t="s">
        <v>30</v>
      </c>
      <c r="B51" s="263" t="s">
        <v>106</v>
      </c>
      <c r="C51" s="55"/>
      <c r="E51" s="114" t="s">
        <v>9</v>
      </c>
      <c r="F51" s="266" t="s">
        <v>88</v>
      </c>
      <c r="G51" s="267"/>
      <c r="H51" s="268" t="s">
        <v>127</v>
      </c>
      <c r="I51" s="268"/>
      <c r="J51" s="268"/>
      <c r="K51" s="71"/>
      <c r="L51" s="114" t="s">
        <v>9</v>
      </c>
      <c r="M51" s="266" t="s">
        <v>88</v>
      </c>
      <c r="N51" s="267"/>
      <c r="O51" s="268" t="s">
        <v>127</v>
      </c>
      <c r="P51" s="268"/>
      <c r="Q51" s="268"/>
      <c r="R51" s="71"/>
      <c r="S51" s="114" t="s">
        <v>9</v>
      </c>
      <c r="T51" s="266" t="s">
        <v>88</v>
      </c>
      <c r="U51" s="267"/>
      <c r="V51" s="268" t="s">
        <v>127</v>
      </c>
      <c r="W51" s="268"/>
      <c r="X51" s="268"/>
    </row>
    <row r="52" spans="1:25" ht="15" customHeight="1" x14ac:dyDescent="0.25">
      <c r="A52" s="262"/>
      <c r="B52" s="264"/>
      <c r="C52" s="54" t="s">
        <v>34</v>
      </c>
      <c r="E52" s="115"/>
      <c r="F52" s="269">
        <v>6.4</v>
      </c>
      <c r="G52" s="270"/>
      <c r="H52" s="271">
        <v>136.1</v>
      </c>
      <c r="I52" s="271"/>
      <c r="J52" s="271"/>
      <c r="K52" s="71"/>
      <c r="L52" s="115"/>
      <c r="M52" s="269">
        <v>5.3</v>
      </c>
      <c r="N52" s="270"/>
      <c r="O52" s="271">
        <v>136.1</v>
      </c>
      <c r="P52" s="271"/>
      <c r="Q52" s="271"/>
      <c r="R52" s="71"/>
      <c r="S52" s="115"/>
      <c r="T52" s="269">
        <v>3</v>
      </c>
      <c r="U52" s="270"/>
      <c r="V52" s="271">
        <v>360</v>
      </c>
      <c r="W52" s="271"/>
      <c r="X52" s="271"/>
    </row>
    <row r="53" spans="1:25" ht="15.75" thickBot="1" x14ac:dyDescent="0.3">
      <c r="A53" s="262"/>
      <c r="B53" s="265"/>
      <c r="C53" s="53" t="s">
        <v>33</v>
      </c>
      <c r="E53" s="116"/>
      <c r="F53" s="273"/>
      <c r="G53" s="220"/>
      <c r="H53" s="274"/>
      <c r="I53" s="274"/>
      <c r="J53" s="274"/>
      <c r="K53" s="71"/>
      <c r="L53" s="116"/>
      <c r="M53" s="273"/>
      <c r="N53" s="220"/>
      <c r="O53" s="274"/>
      <c r="P53" s="274"/>
      <c r="Q53" s="274"/>
      <c r="R53" s="71"/>
      <c r="S53" s="116"/>
      <c r="T53" s="273"/>
      <c r="U53" s="220"/>
      <c r="V53" s="274"/>
      <c r="W53" s="274"/>
      <c r="X53" s="274"/>
    </row>
    <row r="54" spans="1:25" ht="15.75" thickBot="1" x14ac:dyDescent="0.3">
      <c r="A54" s="11"/>
      <c r="B54" s="14"/>
      <c r="C54" s="14"/>
      <c r="E54" s="183"/>
      <c r="F54" s="184"/>
      <c r="G54" s="184"/>
      <c r="H54" s="184"/>
      <c r="I54" s="184"/>
      <c r="J54" s="184"/>
      <c r="K54" s="71"/>
      <c r="L54" s="183"/>
      <c r="M54" s="184"/>
      <c r="N54" s="184"/>
      <c r="O54" s="184"/>
      <c r="P54" s="184"/>
      <c r="Q54" s="184"/>
      <c r="R54" s="71"/>
      <c r="S54" s="183"/>
      <c r="T54" s="184"/>
      <c r="U54" s="184"/>
      <c r="V54" s="184"/>
      <c r="W54" s="184"/>
      <c r="X54" s="184"/>
    </row>
    <row r="55" spans="1:25" ht="15" customHeight="1" x14ac:dyDescent="0.25">
      <c r="A55" s="242" t="s">
        <v>31</v>
      </c>
      <c r="B55" s="275" t="s">
        <v>111</v>
      </c>
      <c r="C55" s="52" t="s">
        <v>35</v>
      </c>
      <c r="E55" s="278">
        <v>28</v>
      </c>
      <c r="F55" s="279"/>
      <c r="G55" s="279"/>
      <c r="H55" s="279"/>
      <c r="I55" s="279"/>
      <c r="J55" s="279"/>
      <c r="K55" s="71"/>
      <c r="L55" s="278">
        <v>28</v>
      </c>
      <c r="M55" s="279"/>
      <c r="N55" s="279"/>
      <c r="O55" s="279"/>
      <c r="P55" s="279"/>
      <c r="Q55" s="279"/>
      <c r="R55" s="71"/>
      <c r="S55" s="278">
        <v>38</v>
      </c>
      <c r="T55" s="279"/>
      <c r="U55" s="279"/>
      <c r="V55" s="279"/>
      <c r="W55" s="279"/>
      <c r="X55" s="279"/>
    </row>
    <row r="56" spans="1:25" x14ac:dyDescent="0.25">
      <c r="A56" s="243"/>
      <c r="B56" s="276"/>
      <c r="C56" s="18" t="s">
        <v>70</v>
      </c>
      <c r="E56" s="188">
        <v>270</v>
      </c>
      <c r="F56" s="191"/>
      <c r="G56" s="191"/>
      <c r="H56" s="191"/>
      <c r="I56" s="191"/>
      <c r="J56" s="191"/>
      <c r="K56" s="71"/>
      <c r="L56" s="188">
        <v>226</v>
      </c>
      <c r="M56" s="191"/>
      <c r="N56" s="191"/>
      <c r="O56" s="191"/>
      <c r="P56" s="191"/>
      <c r="Q56" s="191"/>
      <c r="R56" s="71"/>
      <c r="S56" s="188">
        <v>308</v>
      </c>
      <c r="T56" s="191"/>
      <c r="U56" s="191"/>
      <c r="V56" s="191"/>
      <c r="W56" s="191"/>
      <c r="X56" s="191"/>
    </row>
    <row r="57" spans="1:25" x14ac:dyDescent="0.25">
      <c r="A57" s="243"/>
      <c r="B57" s="276"/>
      <c r="C57" s="18" t="s">
        <v>41</v>
      </c>
      <c r="E57" s="188">
        <v>54</v>
      </c>
      <c r="F57" s="191"/>
      <c r="G57" s="191"/>
      <c r="H57" s="191"/>
      <c r="I57" s="191"/>
      <c r="J57" s="191"/>
      <c r="K57" s="71"/>
      <c r="L57" s="188">
        <v>54</v>
      </c>
      <c r="M57" s="191"/>
      <c r="N57" s="191"/>
      <c r="O57" s="191"/>
      <c r="P57" s="191"/>
      <c r="Q57" s="191"/>
      <c r="R57" s="71"/>
      <c r="S57" s="188">
        <v>135</v>
      </c>
      <c r="T57" s="191"/>
      <c r="U57" s="191"/>
      <c r="V57" s="191"/>
      <c r="W57" s="191"/>
      <c r="X57" s="191"/>
    </row>
    <row r="58" spans="1:25" x14ac:dyDescent="0.25">
      <c r="A58" s="243"/>
      <c r="B58" s="276"/>
      <c r="C58" s="18" t="s">
        <v>42</v>
      </c>
      <c r="E58" s="188">
        <v>102</v>
      </c>
      <c r="F58" s="191"/>
      <c r="G58" s="191"/>
      <c r="H58" s="191"/>
      <c r="I58" s="191"/>
      <c r="J58" s="191"/>
      <c r="K58" s="71"/>
      <c r="L58" s="188">
        <v>97</v>
      </c>
      <c r="M58" s="191"/>
      <c r="N58" s="191"/>
      <c r="O58" s="191"/>
      <c r="P58" s="191"/>
      <c r="Q58" s="191"/>
      <c r="R58" s="71"/>
      <c r="S58" s="188">
        <v>96</v>
      </c>
      <c r="T58" s="191"/>
      <c r="U58" s="191"/>
      <c r="V58" s="191"/>
      <c r="W58" s="191"/>
      <c r="X58" s="191"/>
    </row>
    <row r="59" spans="1:25" x14ac:dyDescent="0.25">
      <c r="A59" s="243"/>
      <c r="B59" s="276"/>
      <c r="C59" s="16" t="s">
        <v>43</v>
      </c>
      <c r="E59" s="280"/>
      <c r="F59" s="281"/>
      <c r="G59" s="281"/>
      <c r="H59" s="281"/>
      <c r="I59" s="281"/>
      <c r="J59" s="281"/>
      <c r="K59" s="71"/>
      <c r="L59" s="280"/>
      <c r="M59" s="281"/>
      <c r="N59" s="281"/>
      <c r="O59" s="281"/>
      <c r="P59" s="281"/>
      <c r="Q59" s="281"/>
      <c r="R59" s="71"/>
      <c r="S59" s="280"/>
      <c r="T59" s="281"/>
      <c r="U59" s="281"/>
      <c r="V59" s="281"/>
      <c r="W59" s="281"/>
      <c r="X59" s="281"/>
    </row>
    <row r="60" spans="1:25" x14ac:dyDescent="0.25">
      <c r="A60" s="243"/>
      <c r="B60" s="276"/>
      <c r="C60" s="16" t="s">
        <v>44</v>
      </c>
      <c r="E60" s="280"/>
      <c r="F60" s="281"/>
      <c r="G60" s="281"/>
      <c r="H60" s="281"/>
      <c r="I60" s="281"/>
      <c r="J60" s="281"/>
      <c r="K60" s="71"/>
      <c r="L60" s="280"/>
      <c r="M60" s="281"/>
      <c r="N60" s="281"/>
      <c r="O60" s="281"/>
      <c r="P60" s="281"/>
      <c r="Q60" s="281"/>
      <c r="R60" s="71"/>
      <c r="S60" s="280"/>
      <c r="T60" s="281"/>
      <c r="U60" s="281"/>
      <c r="V60" s="281"/>
      <c r="W60" s="281"/>
      <c r="X60" s="281"/>
    </row>
    <row r="61" spans="1:25" x14ac:dyDescent="0.25">
      <c r="A61" s="243"/>
      <c r="B61" s="276"/>
      <c r="C61" s="18" t="s">
        <v>45</v>
      </c>
      <c r="E61" s="280">
        <v>12</v>
      </c>
      <c r="F61" s="281"/>
      <c r="G61" s="281"/>
      <c r="H61" s="281"/>
      <c r="I61" s="281"/>
      <c r="J61" s="281"/>
      <c r="K61" s="71"/>
      <c r="L61" s="280">
        <v>10</v>
      </c>
      <c r="M61" s="281"/>
      <c r="N61" s="281"/>
      <c r="O61" s="281"/>
      <c r="P61" s="281"/>
      <c r="Q61" s="281"/>
      <c r="R61" s="71"/>
      <c r="S61" s="280">
        <v>4</v>
      </c>
      <c r="T61" s="281"/>
      <c r="U61" s="281"/>
      <c r="V61" s="281"/>
      <c r="W61" s="281"/>
      <c r="X61" s="281"/>
    </row>
    <row r="62" spans="1:25" x14ac:dyDescent="0.25">
      <c r="A62" s="243"/>
      <c r="B62" s="276"/>
      <c r="C62" s="16" t="s">
        <v>46</v>
      </c>
      <c r="E62" s="188" t="s">
        <v>163</v>
      </c>
      <c r="F62" s="191"/>
      <c r="G62" s="191"/>
      <c r="H62" s="191"/>
      <c r="I62" s="191"/>
      <c r="J62" s="191"/>
      <c r="K62" s="71"/>
      <c r="L62" s="188" t="s">
        <v>165</v>
      </c>
      <c r="M62" s="191"/>
      <c r="N62" s="191"/>
      <c r="O62" s="191"/>
      <c r="P62" s="191"/>
      <c r="Q62" s="191"/>
      <c r="R62" s="71"/>
      <c r="S62" s="188" t="s">
        <v>190</v>
      </c>
      <c r="T62" s="191"/>
      <c r="U62" s="191"/>
      <c r="V62" s="191"/>
      <c r="W62" s="191"/>
      <c r="X62" s="191"/>
    </row>
    <row r="63" spans="1:25" ht="15" customHeight="1" x14ac:dyDescent="0.25">
      <c r="A63" s="243"/>
      <c r="B63" s="276"/>
      <c r="C63" s="284" t="s">
        <v>71</v>
      </c>
      <c r="D63" s="42"/>
      <c r="E63" s="280"/>
      <c r="F63" s="281"/>
      <c r="G63" s="281"/>
      <c r="H63" s="281"/>
      <c r="I63" s="281"/>
      <c r="J63" s="281"/>
      <c r="K63" s="117"/>
      <c r="L63" s="280"/>
      <c r="M63" s="281"/>
      <c r="N63" s="281"/>
      <c r="O63" s="281"/>
      <c r="P63" s="281"/>
      <c r="Q63" s="281"/>
      <c r="R63" s="117"/>
      <c r="S63" s="280"/>
      <c r="T63" s="281"/>
      <c r="U63" s="281"/>
      <c r="V63" s="281"/>
      <c r="W63" s="281"/>
      <c r="X63" s="281"/>
      <c r="Y63" s="37"/>
    </row>
    <row r="64" spans="1:25" ht="15.75" thickBot="1" x14ac:dyDescent="0.3">
      <c r="A64" s="244"/>
      <c r="B64" s="277"/>
      <c r="C64" s="285"/>
      <c r="D64" s="42"/>
      <c r="E64" s="282"/>
      <c r="F64" s="283"/>
      <c r="G64" s="283"/>
      <c r="H64" s="283"/>
      <c r="I64" s="283"/>
      <c r="J64" s="283"/>
      <c r="K64" s="117"/>
      <c r="L64" s="282"/>
      <c r="M64" s="283"/>
      <c r="N64" s="283"/>
      <c r="O64" s="283"/>
      <c r="P64" s="283"/>
      <c r="Q64" s="283"/>
      <c r="R64" s="117"/>
      <c r="S64" s="282"/>
      <c r="T64" s="283"/>
      <c r="U64" s="283"/>
      <c r="V64" s="283"/>
      <c r="W64" s="283"/>
      <c r="X64" s="283"/>
      <c r="Y64" s="37"/>
    </row>
  </sheetData>
  <mergeCells count="167">
    <mergeCell ref="L56:Q56"/>
    <mergeCell ref="L33:Q33"/>
    <mergeCell ref="N34:O34"/>
    <mergeCell ref="N35:O35"/>
    <mergeCell ref="N36:O36"/>
    <mergeCell ref="N40:O40"/>
    <mergeCell ref="N41:O41"/>
    <mergeCell ref="N42:O42"/>
    <mergeCell ref="S60:X60"/>
    <mergeCell ref="V51:X51"/>
    <mergeCell ref="T52:U52"/>
    <mergeCell ref="V52:X52"/>
    <mergeCell ref="T53:U53"/>
    <mergeCell ref="V53:X53"/>
    <mergeCell ref="S54:X54"/>
    <mergeCell ref="L44:O44"/>
    <mergeCell ref="L58:Q58"/>
    <mergeCell ref="L59:Q59"/>
    <mergeCell ref="L60:Q60"/>
    <mergeCell ref="S58:X58"/>
    <mergeCell ref="S44:V44"/>
    <mergeCell ref="S45:X45"/>
    <mergeCell ref="S46:T46"/>
    <mergeCell ref="S47:T47"/>
    <mergeCell ref="S48:T48"/>
    <mergeCell ref="S49:T49"/>
    <mergeCell ref="S50:X50"/>
    <mergeCell ref="T51:U51"/>
    <mergeCell ref="L45:Q45"/>
    <mergeCell ref="L46:M46"/>
    <mergeCell ref="O51:Q51"/>
    <mergeCell ref="N46:P46"/>
    <mergeCell ref="N47:P47"/>
    <mergeCell ref="N48:P48"/>
    <mergeCell ref="U46:W46"/>
    <mergeCell ref="U47:W47"/>
    <mergeCell ref="U48:W48"/>
    <mergeCell ref="A55:A64"/>
    <mergeCell ref="B55:B64"/>
    <mergeCell ref="S55:X55"/>
    <mergeCell ref="S57:X57"/>
    <mergeCell ref="S59:X59"/>
    <mergeCell ref="E55:J55"/>
    <mergeCell ref="E56:J56"/>
    <mergeCell ref="E57:J57"/>
    <mergeCell ref="E58:J58"/>
    <mergeCell ref="E59:J59"/>
    <mergeCell ref="E60:J60"/>
    <mergeCell ref="E61:J61"/>
    <mergeCell ref="E62:J62"/>
    <mergeCell ref="E63:J64"/>
    <mergeCell ref="C63:C64"/>
    <mergeCell ref="S63:X64"/>
    <mergeCell ref="S62:X62"/>
    <mergeCell ref="S61:X61"/>
    <mergeCell ref="L63:Q64"/>
    <mergeCell ref="S56:X56"/>
    <mergeCell ref="L57:Q57"/>
    <mergeCell ref="L61:Q61"/>
    <mergeCell ref="L62:Q62"/>
    <mergeCell ref="L55:Q55"/>
    <mergeCell ref="A51:A53"/>
    <mergeCell ref="B51:B53"/>
    <mergeCell ref="F51:G51"/>
    <mergeCell ref="H51:J51"/>
    <mergeCell ref="F52:G52"/>
    <mergeCell ref="H52:J52"/>
    <mergeCell ref="U49:W49"/>
    <mergeCell ref="E54:J54"/>
    <mergeCell ref="L49:M49"/>
    <mergeCell ref="L50:Q50"/>
    <mergeCell ref="M51:N51"/>
    <mergeCell ref="E50:J50"/>
    <mergeCell ref="N49:P49"/>
    <mergeCell ref="F53:G53"/>
    <mergeCell ref="H53:J53"/>
    <mergeCell ref="G49:I49"/>
    <mergeCell ref="M52:N52"/>
    <mergeCell ref="O52:Q52"/>
    <mergeCell ref="M53:N53"/>
    <mergeCell ref="O53:Q53"/>
    <mergeCell ref="L54:Q54"/>
    <mergeCell ref="A34:A44"/>
    <mergeCell ref="B34:B44"/>
    <mergeCell ref="L47:M47"/>
    <mergeCell ref="L48:M48"/>
    <mergeCell ref="A46:A49"/>
    <mergeCell ref="B46:B49"/>
    <mergeCell ref="E46:F46"/>
    <mergeCell ref="E47:F47"/>
    <mergeCell ref="E48:F48"/>
    <mergeCell ref="E49:F49"/>
    <mergeCell ref="G36:H36"/>
    <mergeCell ref="G42:H42"/>
    <mergeCell ref="G43:H43"/>
    <mergeCell ref="E45:J45"/>
    <mergeCell ref="G34:H34"/>
    <mergeCell ref="G46:I46"/>
    <mergeCell ref="G47:I47"/>
    <mergeCell ref="E44:H44"/>
    <mergeCell ref="G48:I48"/>
    <mergeCell ref="E15:I15"/>
    <mergeCell ref="E10:J10"/>
    <mergeCell ref="A21:A32"/>
    <mergeCell ref="B21:B32"/>
    <mergeCell ref="A17:A19"/>
    <mergeCell ref="B17:B19"/>
    <mergeCell ref="S17:X17"/>
    <mergeCell ref="S18:X18"/>
    <mergeCell ref="L17:Q17"/>
    <mergeCell ref="L18:Q18"/>
    <mergeCell ref="L20:Q20"/>
    <mergeCell ref="L19:P19"/>
    <mergeCell ref="S19:W19"/>
    <mergeCell ref="S20:X20"/>
    <mergeCell ref="E19:I19"/>
    <mergeCell ref="E17:J17"/>
    <mergeCell ref="E18:J18"/>
    <mergeCell ref="E20:J20"/>
    <mergeCell ref="U43:V43"/>
    <mergeCell ref="U37:V37"/>
    <mergeCell ref="E9:J9"/>
    <mergeCell ref="A13:A15"/>
    <mergeCell ref="B13:B15"/>
    <mergeCell ref="S10:X10"/>
    <mergeCell ref="E12:J12"/>
    <mergeCell ref="S12:X12"/>
    <mergeCell ref="L8:Q8"/>
    <mergeCell ref="L9:Q9"/>
    <mergeCell ref="L10:Q10"/>
    <mergeCell ref="L12:Q12"/>
    <mergeCell ref="A8:A11"/>
    <mergeCell ref="B8:B11"/>
    <mergeCell ref="E11:J11"/>
    <mergeCell ref="L11:Q11"/>
    <mergeCell ref="S11:X11"/>
    <mergeCell ref="E8:J8"/>
    <mergeCell ref="L15:P15"/>
    <mergeCell ref="S13:W13"/>
    <mergeCell ref="S14:W14"/>
    <mergeCell ref="S15:W15"/>
    <mergeCell ref="E13:I13"/>
    <mergeCell ref="E14:I14"/>
    <mergeCell ref="E33:J33"/>
    <mergeCell ref="G35:H35"/>
    <mergeCell ref="G40:H40"/>
    <mergeCell ref="N43:O43"/>
    <mergeCell ref="G41:H41"/>
    <mergeCell ref="E16:J16"/>
    <mergeCell ref="N37:O37"/>
    <mergeCell ref="G37:H37"/>
    <mergeCell ref="S7:X7"/>
    <mergeCell ref="S9:X9"/>
    <mergeCell ref="S16:X16"/>
    <mergeCell ref="L7:Q7"/>
    <mergeCell ref="S8:X8"/>
    <mergeCell ref="L16:Q16"/>
    <mergeCell ref="L13:P13"/>
    <mergeCell ref="L14:P14"/>
    <mergeCell ref="E7:J7"/>
    <mergeCell ref="S33:X33"/>
    <mergeCell ref="U34:V34"/>
    <mergeCell ref="U35:V35"/>
    <mergeCell ref="U36:V36"/>
    <mergeCell ref="U40:V40"/>
    <mergeCell ref="U41:V41"/>
    <mergeCell ref="U42:V42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9"/>
  <sheetViews>
    <sheetView zoomScale="60" zoomScaleNormal="60" workbookViewId="0">
      <pane xSplit="3" topLeftCell="M1" activePane="topRight" state="frozen"/>
      <selection pane="topRight" activeCell="Y21" sqref="Y21"/>
    </sheetView>
  </sheetViews>
  <sheetFormatPr baseColWidth="10" defaultColWidth="11.42578125" defaultRowHeight="15" x14ac:dyDescent="0.25"/>
  <cols>
    <col min="1" max="1" width="11.42578125" style="4"/>
    <col min="2" max="2" width="44.140625" style="4" customWidth="1"/>
    <col min="3" max="3" width="51.5703125" style="4" bestFit="1" customWidth="1"/>
    <col min="4" max="4" width="11.42578125" style="4"/>
    <col min="5" max="5" width="35" style="4" bestFit="1" customWidth="1"/>
    <col min="6" max="7" width="11.42578125" style="4"/>
    <col min="8" max="8" width="25.85546875" style="4" bestFit="1" customWidth="1"/>
    <col min="9" max="9" width="28.140625" style="4" bestFit="1" customWidth="1"/>
    <col min="10" max="10" width="1.7109375" style="22" customWidth="1"/>
    <col min="11" max="11" width="8.5703125" style="4" bestFit="1" customWidth="1"/>
    <col min="12" max="12" width="35" style="4" bestFit="1" customWidth="1"/>
    <col min="13" max="14" width="9.28515625" style="4" customWidth="1"/>
    <col min="15" max="15" width="25.85546875" style="4" bestFit="1" customWidth="1"/>
    <col min="16" max="16" width="28.140625" style="4" bestFit="1" customWidth="1"/>
    <col min="17" max="17" width="1.7109375" style="22" customWidth="1"/>
    <col min="18" max="19" width="11.42578125" style="4"/>
    <col min="20" max="20" width="34.28515625" style="4" bestFit="1" customWidth="1"/>
    <col min="21" max="21" width="11.42578125" style="4"/>
    <col min="22" max="22" width="25.85546875" style="4" bestFit="1" customWidth="1"/>
    <col min="23" max="23" width="28.140625" style="4" bestFit="1" customWidth="1"/>
    <col min="24" max="24" width="1.7109375" style="7" customWidth="1"/>
    <col min="25" max="25" width="11.42578125" style="4"/>
    <col min="26" max="26" width="34.28515625" style="4" bestFit="1" customWidth="1"/>
    <col min="27" max="27" width="34.28515625" style="4" customWidth="1"/>
    <col min="28" max="28" width="11.42578125" style="4"/>
    <col min="29" max="29" width="25.85546875" style="4" bestFit="1" customWidth="1"/>
    <col min="30" max="30" width="28.140625" style="4" bestFit="1" customWidth="1"/>
    <col min="31" max="31" width="1.7109375" style="7" customWidth="1"/>
    <col min="32" max="16384" width="11.42578125" style="4"/>
  </cols>
  <sheetData>
    <row r="1" spans="1:31" ht="15.75" thickBot="1" x14ac:dyDescent="0.3"/>
    <row r="2" spans="1:31" ht="15.75" thickBot="1" x14ac:dyDescent="0.3">
      <c r="A2" s="20"/>
      <c r="B2" s="21" t="s">
        <v>39</v>
      </c>
      <c r="C2" s="21" t="s">
        <v>40</v>
      </c>
      <c r="D2" s="192" t="s">
        <v>47</v>
      </c>
      <c r="E2" s="193"/>
      <c r="F2" s="193"/>
      <c r="G2" s="193"/>
      <c r="H2" s="193"/>
      <c r="I2" s="193"/>
      <c r="J2" s="57"/>
      <c r="K2" s="288" t="s">
        <v>48</v>
      </c>
      <c r="L2" s="289"/>
      <c r="M2" s="289"/>
      <c r="N2" s="289"/>
      <c r="O2" s="289"/>
      <c r="P2" s="289"/>
      <c r="Q2" s="57"/>
      <c r="R2" s="192" t="s">
        <v>49</v>
      </c>
      <c r="S2" s="193"/>
      <c r="T2" s="193"/>
      <c r="U2" s="193"/>
      <c r="V2" s="193"/>
      <c r="W2" s="193"/>
      <c r="X2" s="58"/>
      <c r="Y2" s="288" t="s">
        <v>50</v>
      </c>
      <c r="Z2" s="289"/>
      <c r="AA2" s="289"/>
      <c r="AB2" s="289"/>
      <c r="AC2" s="289"/>
      <c r="AD2" s="289"/>
      <c r="AE2" s="58"/>
    </row>
    <row r="3" spans="1:31" ht="15" customHeight="1" x14ac:dyDescent="0.25">
      <c r="A3" s="209" t="s">
        <v>38</v>
      </c>
      <c r="B3" s="212" t="s">
        <v>37</v>
      </c>
      <c r="C3" s="40" t="s">
        <v>2</v>
      </c>
      <c r="D3" s="196" t="s">
        <v>115</v>
      </c>
      <c r="E3" s="197"/>
      <c r="F3" s="197"/>
      <c r="G3" s="197"/>
      <c r="H3" s="197"/>
      <c r="I3" s="197"/>
      <c r="J3" s="66"/>
      <c r="K3" s="196" t="s">
        <v>122</v>
      </c>
      <c r="L3" s="197"/>
      <c r="M3" s="197"/>
      <c r="N3" s="197"/>
      <c r="O3" s="197"/>
      <c r="P3" s="197"/>
      <c r="Q3" s="66"/>
      <c r="R3" s="196" t="s">
        <v>115</v>
      </c>
      <c r="S3" s="197"/>
      <c r="T3" s="197"/>
      <c r="U3" s="197"/>
      <c r="V3" s="197"/>
      <c r="W3" s="197"/>
      <c r="X3" s="67"/>
      <c r="Y3" s="196" t="s">
        <v>158</v>
      </c>
      <c r="Z3" s="197"/>
      <c r="AA3" s="197"/>
      <c r="AB3" s="197"/>
      <c r="AC3" s="197"/>
      <c r="AD3" s="197"/>
    </row>
    <row r="4" spans="1:31" x14ac:dyDescent="0.25">
      <c r="A4" s="210"/>
      <c r="B4" s="213"/>
      <c r="C4" s="41" t="s">
        <v>3</v>
      </c>
      <c r="D4" s="194" t="s">
        <v>75</v>
      </c>
      <c r="E4" s="195"/>
      <c r="F4" s="195"/>
      <c r="G4" s="195"/>
      <c r="H4" s="195"/>
      <c r="I4" s="195"/>
      <c r="J4" s="66"/>
      <c r="K4" s="194" t="s">
        <v>75</v>
      </c>
      <c r="L4" s="195"/>
      <c r="M4" s="195"/>
      <c r="N4" s="195"/>
      <c r="O4" s="195"/>
      <c r="P4" s="195"/>
      <c r="Q4" s="66"/>
      <c r="R4" s="194" t="s">
        <v>75</v>
      </c>
      <c r="S4" s="195"/>
      <c r="T4" s="195"/>
      <c r="U4" s="195"/>
      <c r="V4" s="195"/>
      <c r="W4" s="195"/>
      <c r="X4" s="67"/>
      <c r="Y4" s="194"/>
      <c r="Z4" s="195"/>
      <c r="AA4" s="195"/>
      <c r="AB4" s="195"/>
      <c r="AC4" s="195"/>
      <c r="AD4" s="195"/>
    </row>
    <row r="5" spans="1:31" x14ac:dyDescent="0.25">
      <c r="A5" s="210"/>
      <c r="B5" s="213"/>
      <c r="C5" s="59" t="s">
        <v>107</v>
      </c>
      <c r="D5" s="208"/>
      <c r="E5" s="208"/>
      <c r="F5" s="208"/>
      <c r="G5" s="208"/>
      <c r="H5" s="208"/>
      <c r="I5" s="208"/>
      <c r="J5" s="68"/>
      <c r="K5" s="208"/>
      <c r="L5" s="208"/>
      <c r="M5" s="208"/>
      <c r="N5" s="208"/>
      <c r="O5" s="208"/>
      <c r="P5" s="208"/>
      <c r="Q5" s="69"/>
      <c r="R5" s="208"/>
      <c r="S5" s="208"/>
      <c r="T5" s="208"/>
      <c r="U5" s="208"/>
      <c r="V5" s="208"/>
      <c r="W5" s="208"/>
      <c r="X5" s="69"/>
      <c r="Y5" s="208"/>
      <c r="Z5" s="208"/>
      <c r="AA5" s="208"/>
      <c r="AB5" s="208"/>
      <c r="AC5" s="208"/>
      <c r="AD5" s="208"/>
      <c r="AE5" s="61"/>
    </row>
    <row r="6" spans="1:31" ht="15.75" thickBot="1" x14ac:dyDescent="0.3">
      <c r="A6" s="211"/>
      <c r="B6" s="214"/>
      <c r="C6" s="51" t="s">
        <v>67</v>
      </c>
      <c r="D6" s="215"/>
      <c r="E6" s="216"/>
      <c r="F6" s="216"/>
      <c r="G6" s="216"/>
      <c r="H6" s="216"/>
      <c r="I6" s="217"/>
      <c r="J6" s="66"/>
      <c r="K6" s="215"/>
      <c r="L6" s="216"/>
      <c r="M6" s="216"/>
      <c r="N6" s="216"/>
      <c r="O6" s="216"/>
      <c r="P6" s="217"/>
      <c r="Q6" s="66"/>
      <c r="R6" s="215"/>
      <c r="S6" s="216"/>
      <c r="T6" s="216"/>
      <c r="U6" s="216"/>
      <c r="V6" s="216"/>
      <c r="W6" s="217"/>
      <c r="X6" s="70"/>
      <c r="Y6" s="215"/>
      <c r="Z6" s="216"/>
      <c r="AA6" s="216"/>
      <c r="AB6" s="216"/>
      <c r="AC6" s="216"/>
      <c r="AD6" s="217"/>
      <c r="AE6" s="33"/>
    </row>
    <row r="7" spans="1:31" ht="15.75" thickBot="1" x14ac:dyDescent="0.3">
      <c r="A7" s="10"/>
      <c r="B7" s="12"/>
      <c r="C7" s="50"/>
      <c r="D7" s="183"/>
      <c r="E7" s="184"/>
      <c r="F7" s="184"/>
      <c r="G7" s="184"/>
      <c r="H7" s="184"/>
      <c r="I7" s="184"/>
      <c r="J7" s="71"/>
      <c r="K7" s="183"/>
      <c r="L7" s="184"/>
      <c r="M7" s="184"/>
      <c r="N7" s="184"/>
      <c r="O7" s="184"/>
      <c r="P7" s="184"/>
      <c r="Q7" s="71"/>
      <c r="R7" s="183"/>
      <c r="S7" s="184"/>
      <c r="T7" s="184"/>
      <c r="U7" s="184"/>
      <c r="V7" s="184"/>
      <c r="W7" s="184"/>
      <c r="X7" s="67"/>
      <c r="Y7" s="183"/>
      <c r="Z7" s="184"/>
      <c r="AA7" s="184"/>
      <c r="AB7" s="184"/>
      <c r="AC7" s="184"/>
      <c r="AD7" s="184"/>
    </row>
    <row r="8" spans="1:31" ht="15" customHeight="1" x14ac:dyDescent="0.25">
      <c r="A8" s="206" t="s">
        <v>36</v>
      </c>
      <c r="B8" s="207" t="s">
        <v>101</v>
      </c>
      <c r="C8" s="48" t="s">
        <v>5</v>
      </c>
      <c r="D8" s="198" t="s">
        <v>135</v>
      </c>
      <c r="E8" s="199"/>
      <c r="F8" s="199"/>
      <c r="G8" s="199"/>
      <c r="H8" s="200"/>
      <c r="I8" s="72" t="s">
        <v>159</v>
      </c>
      <c r="J8" s="71"/>
      <c r="K8" s="198" t="s">
        <v>125</v>
      </c>
      <c r="L8" s="199"/>
      <c r="M8" s="199"/>
      <c r="N8" s="199"/>
      <c r="O8" s="200"/>
      <c r="P8" s="72" t="s">
        <v>191</v>
      </c>
      <c r="Q8" s="71"/>
      <c r="R8" s="198" t="s">
        <v>135</v>
      </c>
      <c r="S8" s="199"/>
      <c r="T8" s="199"/>
      <c r="U8" s="199"/>
      <c r="V8" s="200"/>
      <c r="W8" s="72" t="s">
        <v>159</v>
      </c>
      <c r="X8" s="67"/>
      <c r="Y8" s="198" t="s">
        <v>125</v>
      </c>
      <c r="Z8" s="199"/>
      <c r="AA8" s="199"/>
      <c r="AB8" s="199"/>
      <c r="AC8" s="200"/>
      <c r="AD8" s="72" t="s">
        <v>189</v>
      </c>
    </row>
    <row r="9" spans="1:31" x14ac:dyDescent="0.25">
      <c r="A9" s="206"/>
      <c r="B9" s="207"/>
      <c r="C9" s="13" t="s">
        <v>6</v>
      </c>
      <c r="D9" s="201" t="s">
        <v>126</v>
      </c>
      <c r="E9" s="202"/>
      <c r="F9" s="202"/>
      <c r="G9" s="202"/>
      <c r="H9" s="203"/>
      <c r="I9" s="73" t="s">
        <v>154</v>
      </c>
      <c r="J9" s="71"/>
      <c r="K9" s="201" t="s">
        <v>126</v>
      </c>
      <c r="L9" s="202"/>
      <c r="M9" s="202"/>
      <c r="N9" s="202"/>
      <c r="O9" s="203"/>
      <c r="P9" s="73" t="s">
        <v>192</v>
      </c>
      <c r="Q9" s="71"/>
      <c r="R9" s="201" t="s">
        <v>126</v>
      </c>
      <c r="S9" s="202"/>
      <c r="T9" s="202"/>
      <c r="U9" s="202"/>
      <c r="V9" s="203"/>
      <c r="W9" s="73" t="s">
        <v>154</v>
      </c>
      <c r="X9" s="67"/>
      <c r="Y9" s="201" t="s">
        <v>126</v>
      </c>
      <c r="Z9" s="202"/>
      <c r="AA9" s="202"/>
      <c r="AB9" s="202"/>
      <c r="AC9" s="203"/>
      <c r="AD9" s="73" t="s">
        <v>188</v>
      </c>
    </row>
    <row r="10" spans="1:31" ht="15.75" thickBot="1" x14ac:dyDescent="0.3">
      <c r="A10" s="206"/>
      <c r="B10" s="207"/>
      <c r="C10" s="49" t="s">
        <v>7</v>
      </c>
      <c r="D10" s="218"/>
      <c r="E10" s="219"/>
      <c r="F10" s="219"/>
      <c r="G10" s="219"/>
      <c r="H10" s="220"/>
      <c r="I10" s="74" t="s">
        <v>112</v>
      </c>
      <c r="J10" s="71"/>
      <c r="K10" s="201" t="s">
        <v>193</v>
      </c>
      <c r="L10" s="202"/>
      <c r="M10" s="202"/>
      <c r="N10" s="202"/>
      <c r="O10" s="203"/>
      <c r="P10" s="74" t="s">
        <v>194</v>
      </c>
      <c r="Q10" s="71"/>
      <c r="R10" s="218"/>
      <c r="S10" s="219"/>
      <c r="T10" s="219"/>
      <c r="U10" s="219"/>
      <c r="V10" s="220"/>
      <c r="W10" s="74" t="s">
        <v>112</v>
      </c>
      <c r="X10" s="67"/>
      <c r="Y10" s="218"/>
      <c r="Z10" s="219"/>
      <c r="AA10" s="219"/>
      <c r="AB10" s="219"/>
      <c r="AC10" s="220"/>
      <c r="AD10" s="74" t="s">
        <v>112</v>
      </c>
    </row>
    <row r="11" spans="1:31" ht="15.75" thickBot="1" x14ac:dyDescent="0.3">
      <c r="A11" s="11"/>
      <c r="B11" s="14"/>
      <c r="C11" s="14"/>
      <c r="D11" s="183"/>
      <c r="E11" s="184"/>
      <c r="F11" s="184"/>
      <c r="G11" s="184"/>
      <c r="H11" s="184"/>
      <c r="I11" s="184"/>
      <c r="J11" s="71"/>
      <c r="K11" s="183"/>
      <c r="L11" s="184"/>
      <c r="M11" s="184"/>
      <c r="N11" s="184"/>
      <c r="O11" s="184"/>
      <c r="P11" s="184"/>
      <c r="Q11" s="71"/>
      <c r="R11" s="183"/>
      <c r="S11" s="184"/>
      <c r="T11" s="184"/>
      <c r="U11" s="184"/>
      <c r="V11" s="184"/>
      <c r="W11" s="184"/>
      <c r="X11" s="67"/>
      <c r="Y11" s="183"/>
      <c r="Z11" s="184"/>
      <c r="AA11" s="184"/>
      <c r="AB11" s="184"/>
      <c r="AC11" s="184"/>
      <c r="AD11" s="184"/>
    </row>
    <row r="12" spans="1:31" ht="15" customHeight="1" x14ac:dyDescent="0.25">
      <c r="A12" s="227" t="s">
        <v>8</v>
      </c>
      <c r="B12" s="230" t="s">
        <v>102</v>
      </c>
      <c r="C12" s="46" t="s">
        <v>68</v>
      </c>
      <c r="D12" s="233" t="s">
        <v>160</v>
      </c>
      <c r="E12" s="234"/>
      <c r="F12" s="234"/>
      <c r="G12" s="234"/>
      <c r="H12" s="234"/>
      <c r="I12" s="234"/>
      <c r="J12" s="71"/>
      <c r="K12" s="233"/>
      <c r="L12" s="234"/>
      <c r="M12" s="234"/>
      <c r="N12" s="234"/>
      <c r="O12" s="234"/>
      <c r="P12" s="234"/>
      <c r="Q12" s="71"/>
      <c r="R12" s="233" t="s">
        <v>160</v>
      </c>
      <c r="S12" s="234"/>
      <c r="T12" s="234"/>
      <c r="U12" s="234"/>
      <c r="V12" s="234"/>
      <c r="W12" s="234"/>
      <c r="X12" s="67"/>
      <c r="Y12" s="233"/>
      <c r="Z12" s="234"/>
      <c r="AA12" s="234"/>
      <c r="AB12" s="234"/>
      <c r="AC12" s="234"/>
      <c r="AD12" s="234"/>
    </row>
    <row r="13" spans="1:31" x14ac:dyDescent="0.25">
      <c r="A13" s="228"/>
      <c r="B13" s="231"/>
      <c r="C13" s="15" t="s">
        <v>79</v>
      </c>
      <c r="D13" s="235">
        <v>70</v>
      </c>
      <c r="E13" s="236"/>
      <c r="F13" s="236"/>
      <c r="G13" s="236"/>
      <c r="H13" s="236"/>
      <c r="I13" s="236"/>
      <c r="J13" s="71"/>
      <c r="K13" s="235">
        <v>200</v>
      </c>
      <c r="L13" s="236"/>
      <c r="M13" s="236"/>
      <c r="N13" s="236"/>
      <c r="O13" s="236"/>
      <c r="P13" s="236"/>
      <c r="Q13" s="71"/>
      <c r="R13" s="235">
        <v>70</v>
      </c>
      <c r="S13" s="236"/>
      <c r="T13" s="236"/>
      <c r="U13" s="236"/>
      <c r="V13" s="236"/>
      <c r="W13" s="236"/>
      <c r="X13" s="67"/>
      <c r="Y13" s="235">
        <v>3</v>
      </c>
      <c r="Z13" s="236"/>
      <c r="AA13" s="236"/>
      <c r="AB13" s="236"/>
      <c r="AC13" s="236"/>
      <c r="AD13" s="236"/>
    </row>
    <row r="14" spans="1:31" ht="15.75" thickBot="1" x14ac:dyDescent="0.3">
      <c r="A14" s="229"/>
      <c r="B14" s="232"/>
      <c r="C14" s="47" t="s">
        <v>10</v>
      </c>
      <c r="D14" s="239" t="s">
        <v>128</v>
      </c>
      <c r="E14" s="240"/>
      <c r="F14" s="240"/>
      <c r="G14" s="240"/>
      <c r="H14" s="241"/>
      <c r="I14" s="75" t="s">
        <v>146</v>
      </c>
      <c r="J14" s="71"/>
      <c r="K14" s="239" t="s">
        <v>128</v>
      </c>
      <c r="L14" s="240"/>
      <c r="M14" s="240"/>
      <c r="N14" s="240"/>
      <c r="O14" s="241"/>
      <c r="P14" s="75" t="s">
        <v>194</v>
      </c>
      <c r="Q14" s="71"/>
      <c r="R14" s="239" t="s">
        <v>128</v>
      </c>
      <c r="S14" s="240"/>
      <c r="T14" s="240"/>
      <c r="U14" s="240"/>
      <c r="V14" s="241"/>
      <c r="W14" s="75" t="s">
        <v>146</v>
      </c>
      <c r="X14" s="67"/>
      <c r="Y14" s="239" t="s">
        <v>128</v>
      </c>
      <c r="Z14" s="240"/>
      <c r="AA14" s="240"/>
      <c r="AB14" s="240"/>
      <c r="AC14" s="241"/>
      <c r="AD14" s="75" t="s">
        <v>154</v>
      </c>
    </row>
    <row r="15" spans="1:31" ht="15.75" thickBot="1" x14ac:dyDescent="0.3">
      <c r="A15" s="11"/>
      <c r="B15" s="14"/>
      <c r="C15" s="14"/>
      <c r="D15" s="237"/>
      <c r="E15" s="238"/>
      <c r="F15" s="238"/>
      <c r="G15" s="238"/>
      <c r="H15" s="238"/>
      <c r="I15" s="238"/>
      <c r="J15" s="71"/>
      <c r="K15" s="237"/>
      <c r="L15" s="238"/>
      <c r="M15" s="238"/>
      <c r="N15" s="238"/>
      <c r="O15" s="238"/>
      <c r="P15" s="238"/>
      <c r="Q15" s="71"/>
      <c r="R15" s="237"/>
      <c r="S15" s="238"/>
      <c r="T15" s="238"/>
      <c r="U15" s="238"/>
      <c r="V15" s="238"/>
      <c r="W15" s="238"/>
      <c r="X15" s="67"/>
      <c r="Y15" s="237"/>
      <c r="Z15" s="238"/>
      <c r="AA15" s="238"/>
      <c r="AB15" s="238"/>
      <c r="AC15" s="238"/>
      <c r="AD15" s="238"/>
    </row>
    <row r="16" spans="1:31" ht="15.75" customHeight="1" thickBot="1" x14ac:dyDescent="0.3">
      <c r="A16" s="221" t="s">
        <v>11</v>
      </c>
      <c r="B16" s="224" t="s">
        <v>103</v>
      </c>
      <c r="C16" s="45" t="s">
        <v>93</v>
      </c>
      <c r="D16" s="76" t="s">
        <v>32</v>
      </c>
      <c r="E16" s="77" t="s">
        <v>72</v>
      </c>
      <c r="F16" s="77" t="s">
        <v>20</v>
      </c>
      <c r="G16" s="77" t="s">
        <v>113</v>
      </c>
      <c r="H16" s="78" t="s">
        <v>99</v>
      </c>
      <c r="I16" s="78" t="s">
        <v>23</v>
      </c>
      <c r="J16" s="71"/>
      <c r="K16" s="76" t="s">
        <v>32</v>
      </c>
      <c r="L16" s="77" t="s">
        <v>72</v>
      </c>
      <c r="M16" s="77" t="s">
        <v>20</v>
      </c>
      <c r="N16" s="77" t="s">
        <v>113</v>
      </c>
      <c r="O16" s="78" t="s">
        <v>99</v>
      </c>
      <c r="P16" s="78" t="s">
        <v>23</v>
      </c>
      <c r="Q16" s="71"/>
      <c r="R16" s="76" t="s">
        <v>32</v>
      </c>
      <c r="S16" s="77" t="s">
        <v>72</v>
      </c>
      <c r="T16" s="77" t="s">
        <v>20</v>
      </c>
      <c r="U16" s="77" t="s">
        <v>113</v>
      </c>
      <c r="V16" s="78" t="s">
        <v>99</v>
      </c>
      <c r="W16" s="78" t="s">
        <v>23</v>
      </c>
      <c r="X16" s="67"/>
      <c r="Y16" s="76" t="s">
        <v>32</v>
      </c>
      <c r="Z16" s="77" t="s">
        <v>72</v>
      </c>
      <c r="AA16" s="77" t="s">
        <v>20</v>
      </c>
      <c r="AB16" s="77" t="s">
        <v>113</v>
      </c>
      <c r="AC16" s="78" t="s">
        <v>99</v>
      </c>
      <c r="AD16" s="78" t="s">
        <v>23</v>
      </c>
    </row>
    <row r="17" spans="1:30" ht="15" customHeight="1" x14ac:dyDescent="0.25">
      <c r="A17" s="222"/>
      <c r="B17" s="225"/>
      <c r="C17" s="43" t="s">
        <v>12</v>
      </c>
      <c r="D17" s="79" t="s">
        <v>118</v>
      </c>
      <c r="E17" s="80" t="s">
        <v>119</v>
      </c>
      <c r="F17" s="81" t="s">
        <v>139</v>
      </c>
      <c r="G17" s="81" t="s">
        <v>117</v>
      </c>
      <c r="H17" s="82">
        <v>355</v>
      </c>
      <c r="I17" s="82">
        <v>1</v>
      </c>
      <c r="J17" s="71"/>
      <c r="K17" s="79"/>
      <c r="L17" s="80"/>
      <c r="M17" s="81"/>
      <c r="N17" s="81"/>
      <c r="O17" s="82"/>
      <c r="P17" s="82"/>
      <c r="Q17" s="71"/>
      <c r="R17" s="79" t="s">
        <v>118</v>
      </c>
      <c r="S17" s="80" t="s">
        <v>119</v>
      </c>
      <c r="T17" s="81" t="s">
        <v>139</v>
      </c>
      <c r="U17" s="81" t="s">
        <v>117</v>
      </c>
      <c r="V17" s="82">
        <v>355</v>
      </c>
      <c r="W17" s="82">
        <v>1</v>
      </c>
      <c r="X17" s="67"/>
      <c r="Y17" s="79" t="s">
        <v>118</v>
      </c>
      <c r="Z17" s="80" t="s">
        <v>119</v>
      </c>
      <c r="AA17" s="81" t="s">
        <v>139</v>
      </c>
      <c r="AB17" s="81" t="s">
        <v>170</v>
      </c>
      <c r="AC17" s="82" t="s">
        <v>166</v>
      </c>
      <c r="AD17" s="82">
        <v>3</v>
      </c>
    </row>
    <row r="18" spans="1:30" x14ac:dyDescent="0.25">
      <c r="A18" s="222"/>
      <c r="B18" s="225"/>
      <c r="C18" s="16" t="s">
        <v>13</v>
      </c>
      <c r="D18" s="83" t="s">
        <v>78</v>
      </c>
      <c r="E18" s="84" t="s">
        <v>121</v>
      </c>
      <c r="F18" s="83" t="s">
        <v>138</v>
      </c>
      <c r="G18" s="83" t="s">
        <v>153</v>
      </c>
      <c r="H18" s="85">
        <v>113</v>
      </c>
      <c r="I18" s="82">
        <v>1</v>
      </c>
      <c r="J18" s="71"/>
      <c r="K18" s="83" t="s">
        <v>78</v>
      </c>
      <c r="L18" s="84" t="s">
        <v>121</v>
      </c>
      <c r="M18" s="90" t="s">
        <v>138</v>
      </c>
      <c r="N18" s="83" t="s">
        <v>147</v>
      </c>
      <c r="O18" s="85">
        <v>62</v>
      </c>
      <c r="P18" s="85"/>
      <c r="Q18" s="71"/>
      <c r="R18" s="83" t="s">
        <v>78</v>
      </c>
      <c r="S18" s="84" t="s">
        <v>121</v>
      </c>
      <c r="T18" s="83" t="s">
        <v>138</v>
      </c>
      <c r="U18" s="83" t="s">
        <v>153</v>
      </c>
      <c r="V18" s="82">
        <v>113</v>
      </c>
      <c r="W18" s="82">
        <v>1</v>
      </c>
      <c r="X18" s="67"/>
      <c r="Y18" s="83" t="s">
        <v>78</v>
      </c>
      <c r="Z18" s="84" t="s">
        <v>121</v>
      </c>
      <c r="AA18" s="83" t="s">
        <v>138</v>
      </c>
      <c r="AB18" s="83" t="s">
        <v>167</v>
      </c>
      <c r="AC18" s="85">
        <v>122</v>
      </c>
      <c r="AD18" s="85">
        <v>1</v>
      </c>
    </row>
    <row r="19" spans="1:30" x14ac:dyDescent="0.25">
      <c r="A19" s="222"/>
      <c r="B19" s="225"/>
      <c r="C19" s="16" t="s">
        <v>14</v>
      </c>
      <c r="D19" s="86" t="s">
        <v>77</v>
      </c>
      <c r="E19" s="87" t="s">
        <v>120</v>
      </c>
      <c r="F19" s="83" t="s">
        <v>138</v>
      </c>
      <c r="G19" s="83" t="s">
        <v>153</v>
      </c>
      <c r="H19" s="85">
        <v>95</v>
      </c>
      <c r="I19" s="82">
        <v>1</v>
      </c>
      <c r="J19" s="71"/>
      <c r="K19" s="86" t="s">
        <v>77</v>
      </c>
      <c r="L19" s="87" t="s">
        <v>120</v>
      </c>
      <c r="M19" s="90" t="s">
        <v>138</v>
      </c>
      <c r="N19" s="83" t="s">
        <v>147</v>
      </c>
      <c r="O19" s="85">
        <v>88</v>
      </c>
      <c r="P19" s="85"/>
      <c r="Q19" s="71"/>
      <c r="R19" s="86" t="s">
        <v>77</v>
      </c>
      <c r="S19" s="87" t="s">
        <v>120</v>
      </c>
      <c r="T19" s="83" t="s">
        <v>138</v>
      </c>
      <c r="U19" s="83" t="s">
        <v>153</v>
      </c>
      <c r="V19" s="82">
        <v>95</v>
      </c>
      <c r="W19" s="82">
        <v>1</v>
      </c>
      <c r="X19" s="67"/>
      <c r="Y19" s="86" t="s">
        <v>77</v>
      </c>
      <c r="Z19" s="87" t="s">
        <v>120</v>
      </c>
      <c r="AA19" s="83" t="s">
        <v>138</v>
      </c>
      <c r="AB19" s="83" t="s">
        <v>168</v>
      </c>
      <c r="AC19" s="85">
        <v>75</v>
      </c>
      <c r="AD19" s="85">
        <v>1</v>
      </c>
    </row>
    <row r="20" spans="1:30" x14ac:dyDescent="0.25">
      <c r="A20" s="222"/>
      <c r="B20" s="225"/>
      <c r="C20" s="16" t="s">
        <v>15</v>
      </c>
      <c r="D20" s="88"/>
      <c r="E20" s="85"/>
      <c r="F20" s="83"/>
      <c r="G20" s="83"/>
      <c r="H20" s="85"/>
      <c r="I20" s="85"/>
      <c r="J20" s="71"/>
      <c r="K20" s="88"/>
      <c r="L20" s="85"/>
      <c r="M20" s="83"/>
      <c r="N20" s="83"/>
      <c r="O20" s="85"/>
      <c r="P20" s="85"/>
      <c r="Q20" s="71"/>
      <c r="R20" s="88"/>
      <c r="S20" s="85"/>
      <c r="T20" s="83"/>
      <c r="U20" s="83"/>
      <c r="V20" s="85"/>
      <c r="W20" s="123"/>
      <c r="X20" s="67"/>
      <c r="Y20" s="88"/>
      <c r="Z20" s="85"/>
      <c r="AA20" s="83"/>
      <c r="AB20" s="83"/>
      <c r="AC20" s="85"/>
      <c r="AD20" s="85"/>
    </row>
    <row r="21" spans="1:30" x14ac:dyDescent="0.25">
      <c r="A21" s="222"/>
      <c r="B21" s="225"/>
      <c r="C21" s="16" t="s">
        <v>16</v>
      </c>
      <c r="D21" s="88" t="s">
        <v>449</v>
      </c>
      <c r="E21" s="65" t="s">
        <v>206</v>
      </c>
      <c r="F21" s="89" t="s">
        <v>138</v>
      </c>
      <c r="G21" s="83" t="s">
        <v>156</v>
      </c>
      <c r="H21" s="85">
        <v>100</v>
      </c>
      <c r="I21" s="85">
        <v>1</v>
      </c>
      <c r="J21" s="71"/>
      <c r="K21" s="88" t="s">
        <v>449</v>
      </c>
      <c r="L21" s="65" t="s">
        <v>206</v>
      </c>
      <c r="M21" s="90" t="s">
        <v>138</v>
      </c>
      <c r="N21" s="83" t="s">
        <v>156</v>
      </c>
      <c r="O21" s="85">
        <v>100</v>
      </c>
      <c r="P21" s="85"/>
      <c r="Q21" s="71"/>
      <c r="R21" s="88" t="s">
        <v>449</v>
      </c>
      <c r="S21" s="65" t="s">
        <v>206</v>
      </c>
      <c r="T21" s="89" t="s">
        <v>138</v>
      </c>
      <c r="U21" s="83" t="s">
        <v>156</v>
      </c>
      <c r="V21" s="85">
        <v>100</v>
      </c>
      <c r="W21" s="123">
        <v>1</v>
      </c>
      <c r="X21" s="67"/>
      <c r="Y21" s="88" t="s">
        <v>449</v>
      </c>
      <c r="Z21" s="65" t="s">
        <v>206</v>
      </c>
      <c r="AA21" s="90" t="s">
        <v>169</v>
      </c>
      <c r="AB21" s="83" t="s">
        <v>148</v>
      </c>
      <c r="AC21" s="85">
        <v>100</v>
      </c>
      <c r="AD21" s="85">
        <v>1</v>
      </c>
    </row>
    <row r="22" spans="1:30" x14ac:dyDescent="0.25">
      <c r="A22" s="222"/>
      <c r="B22" s="225"/>
      <c r="C22" s="16" t="s">
        <v>17</v>
      </c>
      <c r="D22" s="86" t="s">
        <v>76</v>
      </c>
      <c r="E22" s="85" t="s">
        <v>207</v>
      </c>
      <c r="F22" s="83"/>
      <c r="G22" s="83" t="s">
        <v>155</v>
      </c>
      <c r="H22" s="85">
        <v>333</v>
      </c>
      <c r="I22" s="85">
        <v>1</v>
      </c>
      <c r="J22" s="71"/>
      <c r="K22" s="86" t="s">
        <v>76</v>
      </c>
      <c r="L22" s="85" t="s">
        <v>207</v>
      </c>
      <c r="M22" s="83" t="s">
        <v>164</v>
      </c>
      <c r="N22" s="83" t="s">
        <v>157</v>
      </c>
      <c r="O22" s="85">
        <v>333</v>
      </c>
      <c r="P22" s="85"/>
      <c r="Q22" s="71"/>
      <c r="R22" s="86" t="s">
        <v>76</v>
      </c>
      <c r="S22" s="85" t="s">
        <v>207</v>
      </c>
      <c r="T22" s="83"/>
      <c r="U22" s="83" t="s">
        <v>155</v>
      </c>
      <c r="V22" s="85">
        <v>333</v>
      </c>
      <c r="W22" s="123">
        <v>1</v>
      </c>
      <c r="X22" s="67"/>
      <c r="Y22" s="86" t="s">
        <v>76</v>
      </c>
      <c r="Z22" s="85" t="s">
        <v>207</v>
      </c>
      <c r="AA22" s="83" t="s">
        <v>164</v>
      </c>
      <c r="AB22" s="83" t="s">
        <v>157</v>
      </c>
      <c r="AC22" s="85">
        <v>333</v>
      </c>
      <c r="AD22" s="85">
        <v>1</v>
      </c>
    </row>
    <row r="23" spans="1:30" x14ac:dyDescent="0.25">
      <c r="A23" s="222"/>
      <c r="B23" s="225"/>
      <c r="C23" s="34" t="s">
        <v>132</v>
      </c>
      <c r="D23" s="91" t="s">
        <v>161</v>
      </c>
      <c r="E23" s="92"/>
      <c r="F23" s="82" t="s">
        <v>140</v>
      </c>
      <c r="G23" s="93" t="s">
        <v>162</v>
      </c>
      <c r="H23" s="92" t="s">
        <v>141</v>
      </c>
      <c r="I23" s="92">
        <v>1</v>
      </c>
      <c r="J23" s="71"/>
      <c r="K23" s="91"/>
      <c r="L23" s="92"/>
      <c r="M23" s="93"/>
      <c r="N23" s="93"/>
      <c r="O23" s="92"/>
      <c r="P23" s="92"/>
      <c r="Q23" s="71"/>
      <c r="R23" s="91" t="s">
        <v>161</v>
      </c>
      <c r="S23" s="92"/>
      <c r="T23" s="82" t="s">
        <v>140</v>
      </c>
      <c r="U23" s="93" t="s">
        <v>162</v>
      </c>
      <c r="V23" s="92" t="s">
        <v>141</v>
      </c>
      <c r="W23" s="92">
        <v>1</v>
      </c>
      <c r="X23" s="67"/>
      <c r="Y23" s="94" t="s">
        <v>178</v>
      </c>
      <c r="Z23" s="92" t="s">
        <v>179</v>
      </c>
      <c r="AA23" s="83" t="s">
        <v>137</v>
      </c>
      <c r="AB23" s="83" t="s">
        <v>181</v>
      </c>
      <c r="AC23" s="92" t="s">
        <v>208</v>
      </c>
      <c r="AD23" s="92">
        <v>3</v>
      </c>
    </row>
    <row r="24" spans="1:30" ht="15.75" thickBot="1" x14ac:dyDescent="0.3">
      <c r="A24" s="222"/>
      <c r="B24" s="225"/>
      <c r="C24" s="34" t="s">
        <v>132</v>
      </c>
      <c r="D24" s="95"/>
      <c r="E24" s="96"/>
      <c r="F24" s="82"/>
      <c r="G24" s="97"/>
      <c r="H24" s="96"/>
      <c r="I24" s="96"/>
      <c r="J24" s="71"/>
      <c r="K24" s="95"/>
      <c r="L24" s="96"/>
      <c r="M24" s="97"/>
      <c r="N24" s="97"/>
      <c r="O24" s="96"/>
      <c r="P24" s="96"/>
      <c r="Q24" s="71"/>
      <c r="R24" s="95"/>
      <c r="S24" s="96"/>
      <c r="T24" s="82"/>
      <c r="U24" s="97"/>
      <c r="V24" s="96"/>
      <c r="W24" s="96"/>
      <c r="X24" s="67"/>
      <c r="Y24" s="95"/>
      <c r="Z24" s="96"/>
      <c r="AA24" s="97"/>
      <c r="AB24" s="97"/>
      <c r="AC24" s="96"/>
      <c r="AD24" s="96"/>
    </row>
    <row r="25" spans="1:30" ht="18" thickBot="1" x14ac:dyDescent="0.3">
      <c r="A25" s="222"/>
      <c r="B25" s="225"/>
      <c r="C25" s="45" t="s">
        <v>91</v>
      </c>
      <c r="D25" s="76" t="s">
        <v>32</v>
      </c>
      <c r="E25" s="78" t="s">
        <v>92</v>
      </c>
      <c r="F25" s="77" t="s">
        <v>20</v>
      </c>
      <c r="G25" s="77" t="s">
        <v>113</v>
      </c>
      <c r="H25" s="78" t="s">
        <v>205</v>
      </c>
      <c r="I25" s="78" t="s">
        <v>23</v>
      </c>
      <c r="J25" s="71"/>
      <c r="K25" s="76" t="s">
        <v>32</v>
      </c>
      <c r="L25" s="78" t="s">
        <v>92</v>
      </c>
      <c r="M25" s="77" t="s">
        <v>20</v>
      </c>
      <c r="N25" s="77" t="s">
        <v>113</v>
      </c>
      <c r="O25" s="78" t="s">
        <v>205</v>
      </c>
      <c r="P25" s="78" t="s">
        <v>23</v>
      </c>
      <c r="Q25" s="71"/>
      <c r="R25" s="76" t="s">
        <v>32</v>
      </c>
      <c r="S25" s="78" t="s">
        <v>92</v>
      </c>
      <c r="T25" s="77" t="s">
        <v>20</v>
      </c>
      <c r="U25" s="77" t="s">
        <v>113</v>
      </c>
      <c r="V25" s="78" t="s">
        <v>205</v>
      </c>
      <c r="W25" s="78" t="s">
        <v>23</v>
      </c>
      <c r="X25" s="67"/>
      <c r="Y25" s="76" t="s">
        <v>32</v>
      </c>
      <c r="Z25" s="78" t="s">
        <v>92</v>
      </c>
      <c r="AA25" s="77" t="s">
        <v>20</v>
      </c>
      <c r="AB25" s="77" t="s">
        <v>113</v>
      </c>
      <c r="AC25" s="78" t="s">
        <v>205</v>
      </c>
      <c r="AD25" s="78" t="s">
        <v>23</v>
      </c>
    </row>
    <row r="26" spans="1:30" x14ac:dyDescent="0.25">
      <c r="A26" s="222"/>
      <c r="B26" s="225"/>
      <c r="C26" s="43" t="s">
        <v>19</v>
      </c>
      <c r="D26" s="79"/>
      <c r="E26" s="82"/>
      <c r="F26" s="81"/>
      <c r="G26" s="81"/>
      <c r="H26" s="82"/>
      <c r="I26" s="82"/>
      <c r="J26" s="71"/>
      <c r="K26" s="79"/>
      <c r="L26" s="82"/>
      <c r="M26" s="81"/>
      <c r="N26" s="81"/>
      <c r="O26" s="82"/>
      <c r="P26" s="82"/>
      <c r="Q26" s="71"/>
      <c r="R26" s="79"/>
      <c r="S26" s="82"/>
      <c r="T26" s="81"/>
      <c r="U26" s="81"/>
      <c r="V26" s="82"/>
      <c r="W26" s="82"/>
      <c r="X26" s="67"/>
      <c r="Y26" s="79"/>
      <c r="Z26" s="82"/>
      <c r="AA26" s="81"/>
      <c r="AB26" s="81"/>
      <c r="AC26" s="82"/>
      <c r="AD26" s="82"/>
    </row>
    <row r="27" spans="1:30" ht="15.75" thickBot="1" x14ac:dyDescent="0.3">
      <c r="A27" s="223"/>
      <c r="B27" s="226"/>
      <c r="C27" s="44" t="s">
        <v>18</v>
      </c>
      <c r="D27" s="95"/>
      <c r="E27" s="96"/>
      <c r="F27" s="83"/>
      <c r="G27" s="83"/>
      <c r="H27" s="96"/>
      <c r="I27" s="96"/>
      <c r="J27" s="71"/>
      <c r="K27" s="95"/>
      <c r="L27" s="96"/>
      <c r="M27" s="83"/>
      <c r="N27" s="83"/>
      <c r="O27" s="96"/>
      <c r="P27" s="96"/>
      <c r="Q27" s="71"/>
      <c r="R27" s="95"/>
      <c r="S27" s="96"/>
      <c r="T27" s="83"/>
      <c r="U27" s="83"/>
      <c r="V27" s="96"/>
      <c r="W27" s="96"/>
      <c r="X27" s="67"/>
      <c r="Y27" s="95"/>
      <c r="Z27" s="96"/>
      <c r="AA27" s="83"/>
      <c r="AB27" s="83"/>
      <c r="AC27" s="96"/>
      <c r="AD27" s="96"/>
    </row>
    <row r="28" spans="1:30" ht="15.75" thickBot="1" x14ac:dyDescent="0.3">
      <c r="A28" s="17"/>
      <c r="B28" s="14"/>
      <c r="C28" s="14"/>
      <c r="D28" s="183"/>
      <c r="E28" s="184"/>
      <c r="F28" s="184"/>
      <c r="G28" s="184"/>
      <c r="H28" s="184"/>
      <c r="I28" s="184"/>
      <c r="J28" s="71"/>
      <c r="K28" s="290"/>
      <c r="L28" s="291"/>
      <c r="M28" s="291"/>
      <c r="N28" s="291"/>
      <c r="O28" s="291"/>
      <c r="P28" s="291"/>
      <c r="Q28" s="71"/>
      <c r="R28" s="183"/>
      <c r="S28" s="184"/>
      <c r="T28" s="184"/>
      <c r="U28" s="184"/>
      <c r="V28" s="184"/>
      <c r="W28" s="184"/>
      <c r="X28" s="67"/>
      <c r="Y28" s="183"/>
      <c r="Z28" s="184"/>
      <c r="AA28" s="184"/>
      <c r="AB28" s="184"/>
      <c r="AC28" s="184"/>
      <c r="AD28" s="184"/>
    </row>
    <row r="29" spans="1:30" ht="60" customHeight="1" thickBot="1" x14ac:dyDescent="0.3">
      <c r="A29" s="242" t="s">
        <v>21</v>
      </c>
      <c r="B29" s="224" t="s">
        <v>104</v>
      </c>
      <c r="C29" s="45"/>
      <c r="D29" s="98" t="s">
        <v>32</v>
      </c>
      <c r="E29" s="99" t="s">
        <v>20</v>
      </c>
      <c r="F29" s="204" t="s">
        <v>94</v>
      </c>
      <c r="G29" s="205"/>
      <c r="H29" s="100" t="s">
        <v>23</v>
      </c>
      <c r="I29" s="101" t="s">
        <v>114</v>
      </c>
      <c r="J29" s="71"/>
      <c r="K29" s="98" t="s">
        <v>32</v>
      </c>
      <c r="L29" s="99" t="s">
        <v>20</v>
      </c>
      <c r="M29" s="204" t="s">
        <v>94</v>
      </c>
      <c r="N29" s="205"/>
      <c r="O29" s="100" t="s">
        <v>23</v>
      </c>
      <c r="P29" s="101" t="s">
        <v>114</v>
      </c>
      <c r="Q29" s="71"/>
      <c r="R29" s="98" t="s">
        <v>32</v>
      </c>
      <c r="S29" s="99" t="s">
        <v>20</v>
      </c>
      <c r="T29" s="204" t="s">
        <v>94</v>
      </c>
      <c r="U29" s="205"/>
      <c r="V29" s="100" t="s">
        <v>23</v>
      </c>
      <c r="W29" s="101" t="s">
        <v>114</v>
      </c>
      <c r="X29" s="67"/>
      <c r="Y29" s="98" t="s">
        <v>32</v>
      </c>
      <c r="Z29" s="99" t="s">
        <v>20</v>
      </c>
      <c r="AA29" s="204" t="s">
        <v>94</v>
      </c>
      <c r="AB29" s="205"/>
      <c r="AC29" s="100" t="s">
        <v>23</v>
      </c>
      <c r="AD29" s="101" t="s">
        <v>114</v>
      </c>
    </row>
    <row r="30" spans="1:30" ht="17.25" customHeight="1" x14ac:dyDescent="0.25">
      <c r="A30" s="243"/>
      <c r="B30" s="225"/>
      <c r="C30" s="43" t="s">
        <v>24</v>
      </c>
      <c r="D30" s="102"/>
      <c r="E30" s="85"/>
      <c r="F30" s="185"/>
      <c r="G30" s="186"/>
      <c r="H30" s="81"/>
      <c r="I30" s="81"/>
      <c r="J30" s="71"/>
      <c r="K30" s="102" t="s">
        <v>195</v>
      </c>
      <c r="L30" s="82" t="s">
        <v>196</v>
      </c>
      <c r="M30" s="185" t="s">
        <v>124</v>
      </c>
      <c r="N30" s="186"/>
      <c r="O30" s="83">
        <v>1</v>
      </c>
      <c r="P30" s="81" t="s">
        <v>197</v>
      </c>
      <c r="Q30" s="71"/>
      <c r="R30" s="102"/>
      <c r="S30" s="85"/>
      <c r="T30" s="185"/>
      <c r="U30" s="186"/>
      <c r="V30" s="81"/>
      <c r="W30" s="81"/>
      <c r="X30" s="67"/>
      <c r="Y30" s="102" t="s">
        <v>171</v>
      </c>
      <c r="Z30" s="83" t="s">
        <v>137</v>
      </c>
      <c r="AA30" s="185" t="s">
        <v>172</v>
      </c>
      <c r="AB30" s="186"/>
      <c r="AC30" s="81">
        <v>1</v>
      </c>
      <c r="AD30" s="81" t="s">
        <v>182</v>
      </c>
    </row>
    <row r="31" spans="1:30" ht="17.25" customHeight="1" x14ac:dyDescent="0.25">
      <c r="A31" s="243"/>
      <c r="B31" s="225"/>
      <c r="C31" s="16" t="s">
        <v>24</v>
      </c>
      <c r="D31" s="103" t="s">
        <v>134</v>
      </c>
      <c r="E31" s="85" t="s">
        <v>137</v>
      </c>
      <c r="F31" s="187" t="s">
        <v>124</v>
      </c>
      <c r="G31" s="188"/>
      <c r="H31" s="90">
        <v>1</v>
      </c>
      <c r="I31" s="83" t="s">
        <v>151</v>
      </c>
      <c r="J31" s="71"/>
      <c r="K31" s="103" t="s">
        <v>198</v>
      </c>
      <c r="L31" s="82" t="s">
        <v>196</v>
      </c>
      <c r="M31" s="187" t="s">
        <v>199</v>
      </c>
      <c r="N31" s="188"/>
      <c r="O31" s="83">
        <v>1</v>
      </c>
      <c r="P31" s="90" t="s">
        <v>200</v>
      </c>
      <c r="Q31" s="71"/>
      <c r="R31" s="103" t="s">
        <v>134</v>
      </c>
      <c r="S31" s="85" t="s">
        <v>137</v>
      </c>
      <c r="T31" s="187" t="s">
        <v>124</v>
      </c>
      <c r="U31" s="188"/>
      <c r="V31" s="90">
        <v>1</v>
      </c>
      <c r="W31" s="83" t="s">
        <v>151</v>
      </c>
      <c r="X31" s="67"/>
      <c r="Y31" s="103" t="s">
        <v>173</v>
      </c>
      <c r="Z31" s="83" t="s">
        <v>137</v>
      </c>
      <c r="AA31" s="187" t="s">
        <v>96</v>
      </c>
      <c r="AB31" s="188"/>
      <c r="AC31" s="81">
        <v>1</v>
      </c>
      <c r="AD31" s="90" t="s">
        <v>183</v>
      </c>
    </row>
    <row r="32" spans="1:30" ht="17.25" customHeight="1" x14ac:dyDescent="0.25">
      <c r="A32" s="243"/>
      <c r="B32" s="225"/>
      <c r="C32" s="16" t="s">
        <v>25</v>
      </c>
      <c r="D32" s="103" t="s">
        <v>131</v>
      </c>
      <c r="E32" s="85" t="s">
        <v>137</v>
      </c>
      <c r="F32" s="187" t="s">
        <v>97</v>
      </c>
      <c r="G32" s="188"/>
      <c r="H32" s="90">
        <v>1</v>
      </c>
      <c r="I32" s="83" t="s">
        <v>150</v>
      </c>
      <c r="J32" s="71"/>
      <c r="K32" s="103"/>
      <c r="L32" s="82"/>
      <c r="M32" s="104"/>
      <c r="N32" s="103"/>
      <c r="O32" s="83"/>
      <c r="P32" s="90"/>
      <c r="Q32" s="71"/>
      <c r="R32" s="103" t="s">
        <v>131</v>
      </c>
      <c r="S32" s="85" t="s">
        <v>137</v>
      </c>
      <c r="T32" s="187" t="s">
        <v>97</v>
      </c>
      <c r="U32" s="188"/>
      <c r="V32" s="90">
        <v>1</v>
      </c>
      <c r="W32" s="83" t="s">
        <v>150</v>
      </c>
      <c r="X32" s="67"/>
      <c r="Y32" s="103" t="s">
        <v>174</v>
      </c>
      <c r="Z32" s="83" t="s">
        <v>137</v>
      </c>
      <c r="AA32" s="187" t="s">
        <v>97</v>
      </c>
      <c r="AB32" s="188"/>
      <c r="AC32" s="81">
        <v>1</v>
      </c>
      <c r="AD32" s="90" t="s">
        <v>184</v>
      </c>
    </row>
    <row r="33" spans="1:31" ht="17.25" customHeight="1" x14ac:dyDescent="0.25">
      <c r="A33" s="243"/>
      <c r="B33" s="225"/>
      <c r="C33" s="16" t="s">
        <v>25</v>
      </c>
      <c r="D33" s="103"/>
      <c r="E33" s="85"/>
      <c r="F33" s="104"/>
      <c r="G33" s="103"/>
      <c r="H33" s="90"/>
      <c r="I33" s="83"/>
      <c r="J33" s="71"/>
      <c r="K33" s="103"/>
      <c r="L33" s="85"/>
      <c r="M33" s="187"/>
      <c r="N33" s="188"/>
      <c r="O33" s="83"/>
      <c r="P33" s="83"/>
      <c r="Q33" s="71"/>
      <c r="R33" s="103"/>
      <c r="S33" s="85"/>
      <c r="T33" s="104"/>
      <c r="U33" s="103"/>
      <c r="V33" s="90"/>
      <c r="W33" s="83"/>
      <c r="X33" s="67"/>
      <c r="Y33" s="103" t="s">
        <v>186</v>
      </c>
      <c r="Z33" s="83" t="s">
        <v>137</v>
      </c>
      <c r="AA33" s="104" t="s">
        <v>97</v>
      </c>
      <c r="AB33" s="103"/>
      <c r="AC33" s="81">
        <v>1</v>
      </c>
      <c r="AD33" s="90" t="s">
        <v>183</v>
      </c>
    </row>
    <row r="34" spans="1:31" ht="17.25" customHeight="1" x14ac:dyDescent="0.25">
      <c r="A34" s="243"/>
      <c r="B34" s="225"/>
      <c r="C34" s="16" t="s">
        <v>25</v>
      </c>
      <c r="D34" s="103"/>
      <c r="E34" s="85"/>
      <c r="F34" s="104"/>
      <c r="G34" s="103"/>
      <c r="H34" s="90"/>
      <c r="I34" s="83"/>
      <c r="J34" s="71"/>
      <c r="K34" s="103"/>
      <c r="L34" s="85"/>
      <c r="M34" s="187"/>
      <c r="N34" s="188"/>
      <c r="O34" s="83"/>
      <c r="P34" s="105"/>
      <c r="Q34" s="71"/>
      <c r="R34" s="103"/>
      <c r="S34" s="85"/>
      <c r="T34" s="104"/>
      <c r="U34" s="103"/>
      <c r="V34" s="90"/>
      <c r="W34" s="83"/>
      <c r="X34" s="67"/>
      <c r="Y34" s="103" t="s">
        <v>187</v>
      </c>
      <c r="Z34" s="83" t="s">
        <v>137</v>
      </c>
      <c r="AA34" s="104" t="s">
        <v>96</v>
      </c>
      <c r="AB34" s="103"/>
      <c r="AC34" s="81">
        <v>1</v>
      </c>
      <c r="AD34" s="90" t="s">
        <v>180</v>
      </c>
    </row>
    <row r="35" spans="1:31" x14ac:dyDescent="0.25">
      <c r="A35" s="243"/>
      <c r="B35" s="225"/>
      <c r="C35" s="16" t="s">
        <v>25</v>
      </c>
      <c r="D35" s="103" t="s">
        <v>129</v>
      </c>
      <c r="E35" s="85" t="s">
        <v>137</v>
      </c>
      <c r="F35" s="187" t="s">
        <v>130</v>
      </c>
      <c r="G35" s="188"/>
      <c r="H35" s="83">
        <v>1</v>
      </c>
      <c r="I35" s="83" t="s">
        <v>152</v>
      </c>
      <c r="J35" s="71"/>
      <c r="K35" s="103"/>
      <c r="L35" s="85"/>
      <c r="M35" s="187"/>
      <c r="N35" s="188"/>
      <c r="O35" s="83"/>
      <c r="P35" s="83"/>
      <c r="Q35" s="71"/>
      <c r="R35" s="103" t="s">
        <v>129</v>
      </c>
      <c r="S35" s="85" t="s">
        <v>137</v>
      </c>
      <c r="T35" s="187" t="s">
        <v>130</v>
      </c>
      <c r="U35" s="188"/>
      <c r="V35" s="83">
        <v>1</v>
      </c>
      <c r="W35" s="83" t="s">
        <v>152</v>
      </c>
      <c r="X35" s="67"/>
      <c r="Y35" s="103" t="s">
        <v>95</v>
      </c>
      <c r="Z35" s="83" t="s">
        <v>137</v>
      </c>
      <c r="AA35" s="191" t="s">
        <v>175</v>
      </c>
      <c r="AB35" s="191"/>
      <c r="AC35" s="81">
        <v>1</v>
      </c>
      <c r="AD35" s="83" t="s">
        <v>155</v>
      </c>
    </row>
    <row r="36" spans="1:31" x14ac:dyDescent="0.25">
      <c r="A36" s="243"/>
      <c r="B36" s="225"/>
      <c r="C36" s="16" t="s">
        <v>22</v>
      </c>
      <c r="D36" s="103"/>
      <c r="E36" s="85"/>
      <c r="F36" s="191"/>
      <c r="G36" s="191"/>
      <c r="H36" s="83"/>
      <c r="I36" s="83"/>
      <c r="J36" s="71"/>
      <c r="K36" s="103" t="s">
        <v>95</v>
      </c>
      <c r="L36" s="82" t="s">
        <v>196</v>
      </c>
      <c r="M36" s="191" t="s">
        <v>201</v>
      </c>
      <c r="N36" s="191"/>
      <c r="O36" s="83">
        <v>1</v>
      </c>
      <c r="P36" s="83" t="s">
        <v>202</v>
      </c>
      <c r="Q36" s="71"/>
      <c r="R36" s="103"/>
      <c r="S36" s="85"/>
      <c r="T36" s="191"/>
      <c r="U36" s="191"/>
      <c r="V36" s="83"/>
      <c r="W36" s="83"/>
      <c r="X36" s="67"/>
      <c r="Y36" s="103" t="s">
        <v>176</v>
      </c>
      <c r="Z36" s="83" t="s">
        <v>137</v>
      </c>
      <c r="AA36" s="187" t="s">
        <v>141</v>
      </c>
      <c r="AB36" s="188"/>
      <c r="AC36" s="81">
        <v>1</v>
      </c>
      <c r="AD36" s="83" t="s">
        <v>162</v>
      </c>
    </row>
    <row r="37" spans="1:31" x14ac:dyDescent="0.25">
      <c r="A37" s="243"/>
      <c r="B37" s="225"/>
      <c r="C37" s="16" t="s">
        <v>22</v>
      </c>
      <c r="D37" s="103"/>
      <c r="E37" s="85"/>
      <c r="F37" s="187"/>
      <c r="G37" s="188"/>
      <c r="H37" s="83"/>
      <c r="I37" s="105"/>
      <c r="J37" s="71"/>
      <c r="K37" s="103"/>
      <c r="L37" s="85"/>
      <c r="M37" s="187"/>
      <c r="N37" s="188"/>
      <c r="O37" s="83"/>
      <c r="P37" s="105"/>
      <c r="Q37" s="71"/>
      <c r="R37" s="103"/>
      <c r="S37" s="85"/>
      <c r="T37" s="187"/>
      <c r="U37" s="188"/>
      <c r="V37" s="83"/>
      <c r="W37" s="105"/>
      <c r="X37" s="67"/>
      <c r="Y37" s="127" t="s">
        <v>98</v>
      </c>
      <c r="Z37" s="83" t="s">
        <v>137</v>
      </c>
      <c r="AA37" s="187" t="s">
        <v>177</v>
      </c>
      <c r="AB37" s="188"/>
      <c r="AC37" s="81">
        <v>1</v>
      </c>
      <c r="AD37" s="105" t="s">
        <v>185</v>
      </c>
    </row>
    <row r="38" spans="1:31" ht="15.75" thickBot="1" x14ac:dyDescent="0.3">
      <c r="A38" s="243"/>
      <c r="B38" s="225"/>
      <c r="C38" s="44" t="s">
        <v>22</v>
      </c>
      <c r="D38" s="106"/>
      <c r="E38" s="96"/>
      <c r="F38" s="189"/>
      <c r="G38" s="190"/>
      <c r="H38" s="97"/>
      <c r="I38" s="107"/>
      <c r="J38" s="71"/>
      <c r="K38" s="106"/>
      <c r="L38" s="96"/>
      <c r="M38" s="189"/>
      <c r="N38" s="190"/>
      <c r="O38" s="97"/>
      <c r="P38" s="107"/>
      <c r="Q38" s="71"/>
      <c r="R38" s="106"/>
      <c r="S38" s="96"/>
      <c r="T38" s="189"/>
      <c r="U38" s="190"/>
      <c r="V38" s="97"/>
      <c r="W38" s="107"/>
      <c r="X38" s="67"/>
      <c r="Y38" s="128"/>
      <c r="Z38" s="96"/>
      <c r="AA38" s="286"/>
      <c r="AB38" s="287"/>
      <c r="AC38" s="97"/>
      <c r="AD38" s="107"/>
    </row>
    <row r="39" spans="1:31" s="35" customFormat="1" ht="15.75" thickBot="1" x14ac:dyDescent="0.3">
      <c r="A39" s="244"/>
      <c r="B39" s="226"/>
      <c r="C39" s="45" t="s">
        <v>69</v>
      </c>
      <c r="D39" s="259"/>
      <c r="E39" s="259"/>
      <c r="F39" s="259"/>
      <c r="G39" s="205"/>
      <c r="H39" s="77"/>
      <c r="I39" s="108"/>
      <c r="J39" s="109"/>
      <c r="K39" s="259"/>
      <c r="L39" s="259"/>
      <c r="M39" s="259"/>
      <c r="N39" s="205"/>
      <c r="O39" s="77"/>
      <c r="P39" s="108"/>
      <c r="Q39" s="109"/>
      <c r="R39" s="259"/>
      <c r="S39" s="259"/>
      <c r="T39" s="259"/>
      <c r="U39" s="205"/>
      <c r="V39" s="77"/>
      <c r="W39" s="108"/>
      <c r="X39" s="109"/>
      <c r="Y39" s="259"/>
      <c r="Z39" s="259"/>
      <c r="AA39" s="259"/>
      <c r="AB39" s="205"/>
      <c r="AC39" s="77"/>
      <c r="AD39" s="108"/>
      <c r="AE39" s="36"/>
    </row>
    <row r="40" spans="1:31" ht="15.75" thickBot="1" x14ac:dyDescent="0.3">
      <c r="A40" s="11"/>
      <c r="B40" s="14"/>
      <c r="C40" s="14"/>
      <c r="D40" s="183"/>
      <c r="E40" s="184"/>
      <c r="F40" s="184"/>
      <c r="G40" s="184"/>
      <c r="H40" s="184"/>
      <c r="I40" s="184"/>
      <c r="J40" s="71"/>
      <c r="K40" s="237"/>
      <c r="L40" s="238"/>
      <c r="M40" s="238"/>
      <c r="N40" s="238"/>
      <c r="O40" s="238"/>
      <c r="P40" s="238"/>
      <c r="Q40" s="71"/>
      <c r="R40" s="183"/>
      <c r="S40" s="184"/>
      <c r="T40" s="184"/>
      <c r="U40" s="184"/>
      <c r="V40" s="184"/>
      <c r="W40" s="184"/>
      <c r="X40" s="67"/>
      <c r="Y40" s="183"/>
      <c r="Z40" s="184"/>
      <c r="AA40" s="184"/>
      <c r="AB40" s="184"/>
      <c r="AC40" s="184"/>
      <c r="AD40" s="184"/>
    </row>
    <row r="41" spans="1:31" ht="15.75" customHeight="1" thickBot="1" x14ac:dyDescent="0.3">
      <c r="A41" s="249" t="s">
        <v>26</v>
      </c>
      <c r="B41" s="250" t="s">
        <v>105</v>
      </c>
      <c r="C41" s="46"/>
      <c r="D41" s="253" t="s">
        <v>9</v>
      </c>
      <c r="E41" s="254"/>
      <c r="F41" s="255" t="s">
        <v>10</v>
      </c>
      <c r="G41" s="253"/>
      <c r="H41" s="254"/>
      <c r="I41" s="110" t="s">
        <v>113</v>
      </c>
      <c r="J41" s="111" t="s">
        <v>9</v>
      </c>
      <c r="K41" s="253" t="s">
        <v>9</v>
      </c>
      <c r="L41" s="254"/>
      <c r="M41" s="255" t="s">
        <v>10</v>
      </c>
      <c r="N41" s="253"/>
      <c r="O41" s="254"/>
      <c r="P41" s="110" t="s">
        <v>113</v>
      </c>
      <c r="Q41" s="111"/>
      <c r="R41" s="253" t="s">
        <v>9</v>
      </c>
      <c r="S41" s="254"/>
      <c r="T41" s="255" t="s">
        <v>10</v>
      </c>
      <c r="U41" s="253"/>
      <c r="V41" s="254"/>
      <c r="W41" s="110" t="s">
        <v>113</v>
      </c>
      <c r="X41" s="111"/>
      <c r="Y41" s="253" t="s">
        <v>9</v>
      </c>
      <c r="Z41" s="254"/>
      <c r="AA41" s="255" t="s">
        <v>10</v>
      </c>
      <c r="AB41" s="253"/>
      <c r="AC41" s="254"/>
      <c r="AD41" s="110" t="s">
        <v>113</v>
      </c>
      <c r="AE41" s="56"/>
    </row>
    <row r="42" spans="1:31" ht="15" customHeight="1" x14ac:dyDescent="0.25">
      <c r="A42" s="249"/>
      <c r="B42" s="251"/>
      <c r="C42" s="15" t="s">
        <v>27</v>
      </c>
      <c r="D42" s="245"/>
      <c r="E42" s="246"/>
      <c r="F42" s="256" t="s">
        <v>100</v>
      </c>
      <c r="G42" s="257"/>
      <c r="H42" s="258"/>
      <c r="I42" s="112" t="s">
        <v>157</v>
      </c>
      <c r="J42" s="71"/>
      <c r="K42" s="257"/>
      <c r="L42" s="258"/>
      <c r="M42" s="256" t="s">
        <v>100</v>
      </c>
      <c r="N42" s="257"/>
      <c r="O42" s="258"/>
      <c r="P42" s="112" t="s">
        <v>149</v>
      </c>
      <c r="Q42" s="71"/>
      <c r="R42" s="245"/>
      <c r="S42" s="246"/>
      <c r="T42" s="256" t="s">
        <v>100</v>
      </c>
      <c r="U42" s="257"/>
      <c r="V42" s="258"/>
      <c r="W42" s="112" t="s">
        <v>157</v>
      </c>
      <c r="X42" s="67"/>
      <c r="Y42" s="245"/>
      <c r="Z42" s="246"/>
      <c r="AA42" s="256" t="s">
        <v>100</v>
      </c>
      <c r="AB42" s="257"/>
      <c r="AC42" s="258"/>
      <c r="AD42" s="112" t="s">
        <v>142</v>
      </c>
    </row>
    <row r="43" spans="1:31" x14ac:dyDescent="0.25">
      <c r="A43" s="249"/>
      <c r="B43" s="251"/>
      <c r="C43" s="15" t="s">
        <v>28</v>
      </c>
      <c r="D43" s="247"/>
      <c r="E43" s="248"/>
      <c r="F43" s="260"/>
      <c r="G43" s="247"/>
      <c r="H43" s="248"/>
      <c r="I43" s="113"/>
      <c r="J43" s="71"/>
      <c r="K43" s="247"/>
      <c r="L43" s="248"/>
      <c r="M43" s="260"/>
      <c r="N43" s="247"/>
      <c r="O43" s="248"/>
      <c r="P43" s="113"/>
      <c r="Q43" s="71"/>
      <c r="R43" s="247"/>
      <c r="S43" s="248"/>
      <c r="T43" s="260"/>
      <c r="U43" s="247"/>
      <c r="V43" s="248"/>
      <c r="W43" s="113"/>
      <c r="X43" s="67"/>
      <c r="Y43" s="247"/>
      <c r="Z43" s="248"/>
      <c r="AA43" s="260"/>
      <c r="AB43" s="247"/>
      <c r="AC43" s="248"/>
      <c r="AD43" s="113"/>
    </row>
    <row r="44" spans="1:31" ht="15.75" thickBot="1" x14ac:dyDescent="0.3">
      <c r="A44" s="249"/>
      <c r="B44" s="252"/>
      <c r="C44" s="47" t="s">
        <v>29</v>
      </c>
      <c r="D44" s="240"/>
      <c r="E44" s="241"/>
      <c r="F44" s="272"/>
      <c r="G44" s="240"/>
      <c r="H44" s="241"/>
      <c r="I44" s="75"/>
      <c r="J44" s="71"/>
      <c r="K44" s="240"/>
      <c r="L44" s="241"/>
      <c r="M44" s="272"/>
      <c r="N44" s="240"/>
      <c r="O44" s="241"/>
      <c r="P44" s="75"/>
      <c r="Q44" s="71"/>
      <c r="R44" s="240"/>
      <c r="S44" s="241"/>
      <c r="T44" s="272"/>
      <c r="U44" s="240"/>
      <c r="V44" s="241"/>
      <c r="W44" s="75"/>
      <c r="X44" s="67"/>
      <c r="Y44" s="240"/>
      <c r="Z44" s="241"/>
      <c r="AA44" s="272"/>
      <c r="AB44" s="240"/>
      <c r="AC44" s="241"/>
      <c r="AD44" s="75"/>
    </row>
    <row r="45" spans="1:31" ht="15.75" thickBot="1" x14ac:dyDescent="0.3">
      <c r="A45" s="11"/>
      <c r="B45" s="14"/>
      <c r="C45" s="14"/>
      <c r="D45" s="183"/>
      <c r="E45" s="184"/>
      <c r="F45" s="184"/>
      <c r="G45" s="184"/>
      <c r="H45" s="184"/>
      <c r="I45" s="184"/>
      <c r="J45" s="71"/>
      <c r="K45" s="237"/>
      <c r="L45" s="238"/>
      <c r="M45" s="238"/>
      <c r="N45" s="238"/>
      <c r="O45" s="238"/>
      <c r="P45" s="238"/>
      <c r="Q45" s="71"/>
      <c r="R45" s="183"/>
      <c r="S45" s="184"/>
      <c r="T45" s="184"/>
      <c r="U45" s="184"/>
      <c r="V45" s="184"/>
      <c r="W45" s="184"/>
      <c r="X45" s="67"/>
      <c r="Y45" s="183"/>
      <c r="Z45" s="184"/>
      <c r="AA45" s="184"/>
      <c r="AB45" s="184"/>
      <c r="AC45" s="184"/>
      <c r="AD45" s="184"/>
    </row>
    <row r="46" spans="1:31" ht="15" customHeight="1" thickBot="1" x14ac:dyDescent="0.3">
      <c r="A46" s="261" t="s">
        <v>30</v>
      </c>
      <c r="B46" s="263" t="s">
        <v>106</v>
      </c>
      <c r="C46" s="55"/>
      <c r="D46" s="114" t="s">
        <v>9</v>
      </c>
      <c r="E46" s="266" t="s">
        <v>88</v>
      </c>
      <c r="F46" s="267"/>
      <c r="G46" s="268" t="s">
        <v>127</v>
      </c>
      <c r="H46" s="268"/>
      <c r="I46" s="268"/>
      <c r="J46" s="71"/>
      <c r="K46" s="114" t="s">
        <v>9</v>
      </c>
      <c r="L46" s="266" t="s">
        <v>88</v>
      </c>
      <c r="M46" s="267"/>
      <c r="N46" s="266" t="s">
        <v>127</v>
      </c>
      <c r="O46" s="293"/>
      <c r="P46" s="267"/>
      <c r="Q46" s="71"/>
      <c r="R46" s="114" t="s">
        <v>9</v>
      </c>
      <c r="S46" s="266" t="s">
        <v>88</v>
      </c>
      <c r="T46" s="267"/>
      <c r="U46" s="268" t="s">
        <v>127</v>
      </c>
      <c r="V46" s="268"/>
      <c r="W46" s="268"/>
      <c r="X46" s="67"/>
      <c r="Y46" s="114" t="s">
        <v>9</v>
      </c>
      <c r="Z46" s="266" t="s">
        <v>88</v>
      </c>
      <c r="AA46" s="267"/>
      <c r="AB46" s="268" t="s">
        <v>127</v>
      </c>
      <c r="AC46" s="268"/>
      <c r="AD46" s="268"/>
    </row>
    <row r="47" spans="1:31" ht="15" customHeight="1" x14ac:dyDescent="0.25">
      <c r="A47" s="262"/>
      <c r="B47" s="264"/>
      <c r="C47" s="54" t="s">
        <v>34</v>
      </c>
      <c r="D47" s="115"/>
      <c r="E47" s="269">
        <v>6.4</v>
      </c>
      <c r="F47" s="270"/>
      <c r="G47" s="271">
        <v>159</v>
      </c>
      <c r="H47" s="271"/>
      <c r="I47" s="271"/>
      <c r="J47" s="71"/>
      <c r="K47" s="115"/>
      <c r="L47" s="292">
        <v>2.5</v>
      </c>
      <c r="M47" s="200"/>
      <c r="N47" s="292">
        <v>193</v>
      </c>
      <c r="O47" s="199"/>
      <c r="P47" s="200"/>
      <c r="Q47" s="71"/>
      <c r="R47" s="115"/>
      <c r="S47" s="269">
        <v>6.4</v>
      </c>
      <c r="T47" s="270"/>
      <c r="U47" s="271">
        <v>159</v>
      </c>
      <c r="V47" s="271"/>
      <c r="W47" s="271"/>
      <c r="X47" s="67"/>
      <c r="Y47" s="115"/>
      <c r="Z47" s="269">
        <v>3</v>
      </c>
      <c r="AA47" s="270"/>
      <c r="AB47" s="271">
        <v>360</v>
      </c>
      <c r="AC47" s="271"/>
      <c r="AD47" s="271"/>
    </row>
    <row r="48" spans="1:31" ht="15.75" thickBot="1" x14ac:dyDescent="0.3">
      <c r="A48" s="262"/>
      <c r="B48" s="265"/>
      <c r="C48" s="53" t="s">
        <v>33</v>
      </c>
      <c r="D48" s="116"/>
      <c r="E48" s="273"/>
      <c r="F48" s="220"/>
      <c r="G48" s="274"/>
      <c r="H48" s="274"/>
      <c r="I48" s="274"/>
      <c r="J48" s="71"/>
      <c r="K48" s="116"/>
      <c r="L48" s="273"/>
      <c r="M48" s="295"/>
      <c r="N48" s="296"/>
      <c r="O48" s="219"/>
      <c r="P48" s="220"/>
      <c r="Q48" s="71"/>
      <c r="R48" s="116"/>
      <c r="S48" s="273"/>
      <c r="T48" s="220"/>
      <c r="U48" s="274"/>
      <c r="V48" s="274"/>
      <c r="W48" s="274"/>
      <c r="X48" s="67"/>
      <c r="Y48" s="116"/>
      <c r="Z48" s="273"/>
      <c r="AA48" s="220"/>
      <c r="AB48" s="274"/>
      <c r="AC48" s="274"/>
      <c r="AD48" s="274"/>
    </row>
    <row r="49" spans="1:31" ht="15.75" thickBot="1" x14ac:dyDescent="0.3">
      <c r="A49" s="11"/>
      <c r="B49" s="14"/>
      <c r="C49" s="14"/>
      <c r="D49" s="183"/>
      <c r="E49" s="184"/>
      <c r="F49" s="184"/>
      <c r="G49" s="184"/>
      <c r="H49" s="184"/>
      <c r="I49" s="184"/>
      <c r="J49" s="71"/>
      <c r="K49" s="237"/>
      <c r="L49" s="238"/>
      <c r="M49" s="238"/>
      <c r="N49" s="238"/>
      <c r="O49" s="238"/>
      <c r="P49" s="238"/>
      <c r="Q49" s="71"/>
      <c r="R49" s="183"/>
      <c r="S49" s="184"/>
      <c r="T49" s="184"/>
      <c r="U49" s="184"/>
      <c r="V49" s="184"/>
      <c r="W49" s="184"/>
      <c r="X49" s="67"/>
      <c r="Y49" s="183"/>
      <c r="Z49" s="184"/>
      <c r="AA49" s="184"/>
      <c r="AB49" s="184"/>
      <c r="AC49" s="184"/>
      <c r="AD49" s="184"/>
    </row>
    <row r="50" spans="1:31" ht="15" customHeight="1" x14ac:dyDescent="0.25">
      <c r="A50" s="242" t="s">
        <v>31</v>
      </c>
      <c r="B50" s="275" t="s">
        <v>111</v>
      </c>
      <c r="C50" s="52" t="s">
        <v>35</v>
      </c>
      <c r="D50" s="278">
        <v>28</v>
      </c>
      <c r="E50" s="279"/>
      <c r="F50" s="279"/>
      <c r="G50" s="279"/>
      <c r="H50" s="279"/>
      <c r="I50" s="279"/>
      <c r="J50" s="71"/>
      <c r="K50" s="278">
        <v>120</v>
      </c>
      <c r="L50" s="279"/>
      <c r="M50" s="279"/>
      <c r="N50" s="279"/>
      <c r="O50" s="279"/>
      <c r="P50" s="279"/>
      <c r="Q50" s="71"/>
      <c r="R50" s="278">
        <v>28</v>
      </c>
      <c r="S50" s="279"/>
      <c r="T50" s="279"/>
      <c r="U50" s="279"/>
      <c r="V50" s="279"/>
      <c r="W50" s="279"/>
      <c r="X50" s="67"/>
      <c r="Y50" s="278">
        <v>38</v>
      </c>
      <c r="Z50" s="279"/>
      <c r="AA50" s="279"/>
      <c r="AB50" s="279"/>
      <c r="AC50" s="279"/>
      <c r="AD50" s="279"/>
    </row>
    <row r="51" spans="1:31" x14ac:dyDescent="0.25">
      <c r="A51" s="243"/>
      <c r="B51" s="276"/>
      <c r="C51" s="18" t="s">
        <v>70</v>
      </c>
      <c r="D51" s="188">
        <v>270</v>
      </c>
      <c r="E51" s="191"/>
      <c r="F51" s="191"/>
      <c r="G51" s="191"/>
      <c r="H51" s="191"/>
      <c r="I51" s="191"/>
      <c r="J51" s="71"/>
      <c r="K51" s="188">
        <v>108</v>
      </c>
      <c r="L51" s="191"/>
      <c r="M51" s="191"/>
      <c r="N51" s="191"/>
      <c r="O51" s="191"/>
      <c r="P51" s="191"/>
      <c r="Q51" s="71"/>
      <c r="R51" s="188">
        <v>270</v>
      </c>
      <c r="S51" s="191"/>
      <c r="T51" s="191"/>
      <c r="U51" s="191"/>
      <c r="V51" s="191"/>
      <c r="W51" s="191"/>
      <c r="X51" s="67"/>
      <c r="Y51" s="188">
        <v>308</v>
      </c>
      <c r="Z51" s="191"/>
      <c r="AA51" s="191"/>
      <c r="AB51" s="191"/>
      <c r="AC51" s="191"/>
      <c r="AD51" s="191"/>
    </row>
    <row r="52" spans="1:31" x14ac:dyDescent="0.25">
      <c r="A52" s="243"/>
      <c r="B52" s="276"/>
      <c r="C52" s="18" t="s">
        <v>41</v>
      </c>
      <c r="D52" s="188">
        <v>54</v>
      </c>
      <c r="E52" s="191"/>
      <c r="F52" s="191"/>
      <c r="G52" s="191"/>
      <c r="H52" s="191"/>
      <c r="I52" s="191"/>
      <c r="J52" s="71"/>
      <c r="K52" s="188">
        <v>66</v>
      </c>
      <c r="L52" s="191"/>
      <c r="M52" s="191"/>
      <c r="N52" s="191"/>
      <c r="O52" s="191"/>
      <c r="P52" s="191"/>
      <c r="Q52" s="71"/>
      <c r="R52" s="188">
        <v>54</v>
      </c>
      <c r="S52" s="191"/>
      <c r="T52" s="191"/>
      <c r="U52" s="191"/>
      <c r="V52" s="191"/>
      <c r="W52" s="191"/>
      <c r="X52" s="67"/>
      <c r="Y52" s="188">
        <v>135</v>
      </c>
      <c r="Z52" s="191"/>
      <c r="AA52" s="191"/>
      <c r="AB52" s="191"/>
      <c r="AC52" s="191"/>
      <c r="AD52" s="191"/>
    </row>
    <row r="53" spans="1:31" x14ac:dyDescent="0.25">
      <c r="A53" s="243"/>
      <c r="B53" s="276"/>
      <c r="C53" s="18" t="s">
        <v>42</v>
      </c>
      <c r="D53" s="188">
        <v>102</v>
      </c>
      <c r="E53" s="191"/>
      <c r="F53" s="191"/>
      <c r="G53" s="191"/>
      <c r="H53" s="191"/>
      <c r="I53" s="191"/>
      <c r="J53" s="71"/>
      <c r="K53" s="188">
        <v>91</v>
      </c>
      <c r="L53" s="191"/>
      <c r="M53" s="191"/>
      <c r="N53" s="191"/>
      <c r="O53" s="191"/>
      <c r="P53" s="191"/>
      <c r="Q53" s="71"/>
      <c r="R53" s="188">
        <v>102</v>
      </c>
      <c r="S53" s="191"/>
      <c r="T53" s="191"/>
      <c r="U53" s="191"/>
      <c r="V53" s="191"/>
      <c r="W53" s="191"/>
      <c r="X53" s="67"/>
      <c r="Y53" s="188">
        <v>96</v>
      </c>
      <c r="Z53" s="191"/>
      <c r="AA53" s="191"/>
      <c r="AB53" s="191"/>
      <c r="AC53" s="191"/>
      <c r="AD53" s="191"/>
    </row>
    <row r="54" spans="1:31" x14ac:dyDescent="0.25">
      <c r="A54" s="243"/>
      <c r="B54" s="276"/>
      <c r="C54" s="16" t="s">
        <v>43</v>
      </c>
      <c r="D54" s="280"/>
      <c r="E54" s="281"/>
      <c r="F54" s="281"/>
      <c r="G54" s="281"/>
      <c r="H54" s="281"/>
      <c r="I54" s="281"/>
      <c r="J54" s="71"/>
      <c r="K54" s="280"/>
      <c r="L54" s="281"/>
      <c r="M54" s="281"/>
      <c r="N54" s="281"/>
      <c r="O54" s="281"/>
      <c r="P54" s="281"/>
      <c r="Q54" s="71"/>
      <c r="R54" s="280"/>
      <c r="S54" s="281"/>
      <c r="T54" s="281"/>
      <c r="U54" s="281"/>
      <c r="V54" s="281"/>
      <c r="W54" s="281"/>
      <c r="X54" s="67"/>
      <c r="Y54" s="280"/>
      <c r="Z54" s="281"/>
      <c r="AA54" s="281"/>
      <c r="AB54" s="281"/>
      <c r="AC54" s="281"/>
      <c r="AD54" s="281"/>
    </row>
    <row r="55" spans="1:31" x14ac:dyDescent="0.25">
      <c r="A55" s="243"/>
      <c r="B55" s="276"/>
      <c r="C55" s="16" t="s">
        <v>44</v>
      </c>
      <c r="D55" s="280"/>
      <c r="E55" s="281"/>
      <c r="F55" s="281"/>
      <c r="G55" s="281"/>
      <c r="H55" s="281"/>
      <c r="I55" s="281"/>
      <c r="J55" s="71"/>
      <c r="K55" s="280"/>
      <c r="L55" s="281"/>
      <c r="M55" s="281"/>
      <c r="N55" s="281"/>
      <c r="O55" s="281"/>
      <c r="P55" s="281"/>
      <c r="Q55" s="71"/>
      <c r="R55" s="280"/>
      <c r="S55" s="281"/>
      <c r="T55" s="281"/>
      <c r="U55" s="281"/>
      <c r="V55" s="281"/>
      <c r="W55" s="281"/>
      <c r="X55" s="67"/>
      <c r="Y55" s="280"/>
      <c r="Z55" s="281"/>
      <c r="AA55" s="281"/>
      <c r="AB55" s="281"/>
      <c r="AC55" s="281"/>
      <c r="AD55" s="281"/>
    </row>
    <row r="56" spans="1:31" x14ac:dyDescent="0.25">
      <c r="A56" s="243"/>
      <c r="B56" s="276"/>
      <c r="C56" s="18" t="s">
        <v>45</v>
      </c>
      <c r="D56" s="280">
        <v>12</v>
      </c>
      <c r="E56" s="281"/>
      <c r="F56" s="281"/>
      <c r="G56" s="281"/>
      <c r="H56" s="281"/>
      <c r="I56" s="281"/>
      <c r="J56" s="71"/>
      <c r="K56" s="294">
        <v>27</v>
      </c>
      <c r="L56" s="294"/>
      <c r="M56" s="294"/>
      <c r="N56" s="294"/>
      <c r="O56" s="294"/>
      <c r="P56" s="280"/>
      <c r="Q56" s="71"/>
      <c r="R56" s="280">
        <v>12</v>
      </c>
      <c r="S56" s="281"/>
      <c r="T56" s="281"/>
      <c r="U56" s="281"/>
      <c r="V56" s="281"/>
      <c r="W56" s="281"/>
      <c r="X56" s="67"/>
      <c r="Y56" s="280">
        <v>4</v>
      </c>
      <c r="Z56" s="281"/>
      <c r="AA56" s="281"/>
      <c r="AB56" s="281"/>
      <c r="AC56" s="281"/>
      <c r="AD56" s="281"/>
    </row>
    <row r="57" spans="1:31" x14ac:dyDescent="0.25">
      <c r="A57" s="243"/>
      <c r="B57" s="276"/>
      <c r="C57" s="16" t="s">
        <v>46</v>
      </c>
      <c r="D57" s="188" t="s">
        <v>163</v>
      </c>
      <c r="E57" s="191"/>
      <c r="F57" s="191"/>
      <c r="G57" s="191"/>
      <c r="H57" s="191"/>
      <c r="I57" s="191"/>
      <c r="J57" s="71"/>
      <c r="K57" s="188" t="s">
        <v>203</v>
      </c>
      <c r="L57" s="191"/>
      <c r="M57" s="191"/>
      <c r="N57" s="191"/>
      <c r="O57" s="191"/>
      <c r="P57" s="191"/>
      <c r="Q57" s="71"/>
      <c r="R57" s="188" t="s">
        <v>163</v>
      </c>
      <c r="S57" s="191"/>
      <c r="T57" s="191"/>
      <c r="U57" s="191"/>
      <c r="V57" s="191"/>
      <c r="W57" s="191"/>
      <c r="X57" s="67"/>
      <c r="Y57" s="188" t="s">
        <v>190</v>
      </c>
      <c r="Z57" s="191"/>
      <c r="AA57" s="191"/>
      <c r="AB57" s="191"/>
      <c r="AC57" s="191"/>
      <c r="AD57" s="191"/>
    </row>
    <row r="58" spans="1:31" ht="15" customHeight="1" x14ac:dyDescent="0.25">
      <c r="A58" s="243"/>
      <c r="B58" s="276"/>
      <c r="C58" s="284" t="s">
        <v>71</v>
      </c>
      <c r="D58" s="280"/>
      <c r="E58" s="281"/>
      <c r="F58" s="281"/>
      <c r="G58" s="281"/>
      <c r="H58" s="281"/>
      <c r="I58" s="281"/>
      <c r="J58" s="117"/>
      <c r="K58" s="280"/>
      <c r="L58" s="281"/>
      <c r="M58" s="281"/>
      <c r="N58" s="281"/>
      <c r="O58" s="281"/>
      <c r="P58" s="281"/>
      <c r="Q58" s="117"/>
      <c r="R58" s="280"/>
      <c r="S58" s="281"/>
      <c r="T58" s="281"/>
      <c r="U58" s="281"/>
      <c r="V58" s="281"/>
      <c r="W58" s="281"/>
      <c r="X58" s="117"/>
      <c r="Y58" s="280"/>
      <c r="Z58" s="281"/>
      <c r="AA58" s="281"/>
      <c r="AB58" s="281"/>
      <c r="AC58" s="281"/>
      <c r="AD58" s="281"/>
      <c r="AE58" s="37"/>
    </row>
    <row r="59" spans="1:31" ht="15.75" thickBot="1" x14ac:dyDescent="0.3">
      <c r="A59" s="244"/>
      <c r="B59" s="277"/>
      <c r="C59" s="285"/>
      <c r="D59" s="282"/>
      <c r="E59" s="283"/>
      <c r="F59" s="283"/>
      <c r="G59" s="283"/>
      <c r="H59" s="283"/>
      <c r="I59" s="283"/>
      <c r="J59" s="117"/>
      <c r="K59" s="282"/>
      <c r="L59" s="283"/>
      <c r="M59" s="283"/>
      <c r="N59" s="283"/>
      <c r="O59" s="283"/>
      <c r="P59" s="283"/>
      <c r="Q59" s="117"/>
      <c r="R59" s="282"/>
      <c r="S59" s="283"/>
      <c r="T59" s="283"/>
      <c r="U59" s="283"/>
      <c r="V59" s="283"/>
      <c r="W59" s="283"/>
      <c r="X59" s="117"/>
      <c r="Y59" s="282"/>
      <c r="Z59" s="283"/>
      <c r="AA59" s="283"/>
      <c r="AB59" s="283"/>
      <c r="AC59" s="283"/>
      <c r="AD59" s="283"/>
      <c r="AE59" s="37"/>
    </row>
  </sheetData>
  <mergeCells count="218">
    <mergeCell ref="R55:W55"/>
    <mergeCell ref="Y55:AD55"/>
    <mergeCell ref="D58:I59"/>
    <mergeCell ref="R58:W59"/>
    <mergeCell ref="D57:I57"/>
    <mergeCell ref="K57:P57"/>
    <mergeCell ref="R57:W57"/>
    <mergeCell ref="Y57:AD57"/>
    <mergeCell ref="L48:M48"/>
    <mergeCell ref="N48:P48"/>
    <mergeCell ref="S48:T48"/>
    <mergeCell ref="U48:W48"/>
    <mergeCell ref="D49:I49"/>
    <mergeCell ref="K49:P49"/>
    <mergeCell ref="R49:W49"/>
    <mergeCell ref="R53:W53"/>
    <mergeCell ref="Y53:AD53"/>
    <mergeCell ref="D51:I51"/>
    <mergeCell ref="K51:P51"/>
    <mergeCell ref="R51:W51"/>
    <mergeCell ref="Y51:AD51"/>
    <mergeCell ref="Y49:AD49"/>
    <mergeCell ref="Z48:AA48"/>
    <mergeCell ref="AB48:AD48"/>
    <mergeCell ref="A50:A59"/>
    <mergeCell ref="B50:B59"/>
    <mergeCell ref="D50:I50"/>
    <mergeCell ref="K50:P50"/>
    <mergeCell ref="R50:W50"/>
    <mergeCell ref="Y50:AD50"/>
    <mergeCell ref="D52:I52"/>
    <mergeCell ref="K52:P52"/>
    <mergeCell ref="R52:W52"/>
    <mergeCell ref="Y52:AD52"/>
    <mergeCell ref="D54:I54"/>
    <mergeCell ref="K54:P54"/>
    <mergeCell ref="R54:W54"/>
    <mergeCell ref="Y54:AD54"/>
    <mergeCell ref="D56:I56"/>
    <mergeCell ref="K56:P56"/>
    <mergeCell ref="R56:W56"/>
    <mergeCell ref="Y56:AD56"/>
    <mergeCell ref="C58:C59"/>
    <mergeCell ref="D53:I53"/>
    <mergeCell ref="K53:P53"/>
    <mergeCell ref="K58:P59"/>
    <mergeCell ref="D55:I55"/>
    <mergeCell ref="K55:P55"/>
    <mergeCell ref="A46:A48"/>
    <mergeCell ref="B46:B48"/>
    <mergeCell ref="E46:F46"/>
    <mergeCell ref="G46:I46"/>
    <mergeCell ref="A41:A44"/>
    <mergeCell ref="B41:B44"/>
    <mergeCell ref="D44:E44"/>
    <mergeCell ref="F44:H44"/>
    <mergeCell ref="D45:I45"/>
    <mergeCell ref="F43:H43"/>
    <mergeCell ref="D42:E42"/>
    <mergeCell ref="E47:F47"/>
    <mergeCell ref="G47:I47"/>
    <mergeCell ref="E48:F48"/>
    <mergeCell ref="G48:I48"/>
    <mergeCell ref="L47:M47"/>
    <mergeCell ref="Z47:AA47"/>
    <mergeCell ref="AB47:AD47"/>
    <mergeCell ref="S46:T46"/>
    <mergeCell ref="U46:W46"/>
    <mergeCell ref="Z46:AA46"/>
    <mergeCell ref="AB46:AD46"/>
    <mergeCell ref="S47:T47"/>
    <mergeCell ref="U47:W47"/>
    <mergeCell ref="N47:P47"/>
    <mergeCell ref="N46:P46"/>
    <mergeCell ref="L46:M46"/>
    <mergeCell ref="AA43:AC43"/>
    <mergeCell ref="AA44:AC44"/>
    <mergeCell ref="D43:E43"/>
    <mergeCell ref="K43:L43"/>
    <mergeCell ref="Y45:AD45"/>
    <mergeCell ref="R44:S44"/>
    <mergeCell ref="Y44:Z44"/>
    <mergeCell ref="T44:V44"/>
    <mergeCell ref="R45:W45"/>
    <mergeCell ref="T43:V43"/>
    <mergeCell ref="K45:P45"/>
    <mergeCell ref="R43:S43"/>
    <mergeCell ref="Y43:Z43"/>
    <mergeCell ref="D15:I15"/>
    <mergeCell ref="K15:P15"/>
    <mergeCell ref="R15:W15"/>
    <mergeCell ref="Y15:AD15"/>
    <mergeCell ref="D13:I13"/>
    <mergeCell ref="K13:P13"/>
    <mergeCell ref="R13:W13"/>
    <mergeCell ref="Y13:AD13"/>
    <mergeCell ref="K28:P28"/>
    <mergeCell ref="D28:I28"/>
    <mergeCell ref="R28:W28"/>
    <mergeCell ref="Y28:AD28"/>
    <mergeCell ref="D11:I11"/>
    <mergeCell ref="K11:P11"/>
    <mergeCell ref="R11:W11"/>
    <mergeCell ref="Y11:AD11"/>
    <mergeCell ref="Y8:AC8"/>
    <mergeCell ref="Y9:AC9"/>
    <mergeCell ref="Y10:AC10"/>
    <mergeCell ref="A12:A14"/>
    <mergeCell ref="B12:B14"/>
    <mergeCell ref="D12:I12"/>
    <mergeCell ref="K12:P12"/>
    <mergeCell ref="R12:W12"/>
    <mergeCell ref="Y12:AD12"/>
    <mergeCell ref="D14:H14"/>
    <mergeCell ref="K14:O14"/>
    <mergeCell ref="R14:V14"/>
    <mergeCell ref="Y14:AC14"/>
    <mergeCell ref="A8:A10"/>
    <mergeCell ref="B8:B10"/>
    <mergeCell ref="D8:H8"/>
    <mergeCell ref="D9:H9"/>
    <mergeCell ref="D10:H10"/>
    <mergeCell ref="K8:O8"/>
    <mergeCell ref="K9:O9"/>
    <mergeCell ref="K10:O10"/>
    <mergeCell ref="R8:V8"/>
    <mergeCell ref="R9:V9"/>
    <mergeCell ref="R10:V10"/>
    <mergeCell ref="D7:I7"/>
    <mergeCell ref="K7:P7"/>
    <mergeCell ref="R7:W7"/>
    <mergeCell ref="Y7:AD7"/>
    <mergeCell ref="D4:I4"/>
    <mergeCell ref="K4:P4"/>
    <mergeCell ref="R4:W4"/>
    <mergeCell ref="Y4:AD4"/>
    <mergeCell ref="D5:I5"/>
    <mergeCell ref="K5:P5"/>
    <mergeCell ref="R5:W5"/>
    <mergeCell ref="Y5:AD5"/>
    <mergeCell ref="D2:I2"/>
    <mergeCell ref="K2:P2"/>
    <mergeCell ref="R2:W2"/>
    <mergeCell ref="Y2:AD2"/>
    <mergeCell ref="A3:A6"/>
    <mergeCell ref="B3:B6"/>
    <mergeCell ref="D3:I3"/>
    <mergeCell ref="K3:P3"/>
    <mergeCell ref="R3:W3"/>
    <mergeCell ref="Y3:AD3"/>
    <mergeCell ref="D6:I6"/>
    <mergeCell ref="K6:P6"/>
    <mergeCell ref="R6:W6"/>
    <mergeCell ref="Y6:AD6"/>
    <mergeCell ref="AA41:AC41"/>
    <mergeCell ref="AA42:AC42"/>
    <mergeCell ref="T35:U35"/>
    <mergeCell ref="AA35:AB35"/>
    <mergeCell ref="R41:S41"/>
    <mergeCell ref="T41:V41"/>
    <mergeCell ref="T42:V42"/>
    <mergeCell ref="R42:S42"/>
    <mergeCell ref="M37:N37"/>
    <mergeCell ref="K39:N39"/>
    <mergeCell ref="K40:P40"/>
    <mergeCell ref="M35:N35"/>
    <mergeCell ref="T36:U36"/>
    <mergeCell ref="AA36:AB36"/>
    <mergeCell ref="T37:U37"/>
    <mergeCell ref="R39:U39"/>
    <mergeCell ref="Y42:Z42"/>
    <mergeCell ref="Y41:Z41"/>
    <mergeCell ref="K41:L41"/>
    <mergeCell ref="B16:B27"/>
    <mergeCell ref="A16:A27"/>
    <mergeCell ref="M43:O43"/>
    <mergeCell ref="M44:O44"/>
    <mergeCell ref="K44:L44"/>
    <mergeCell ref="K42:L42"/>
    <mergeCell ref="M42:O42"/>
    <mergeCell ref="M41:O41"/>
    <mergeCell ref="F42:H42"/>
    <mergeCell ref="F29:G29"/>
    <mergeCell ref="M29:N29"/>
    <mergeCell ref="F35:G35"/>
    <mergeCell ref="F31:G31"/>
    <mergeCell ref="M31:N31"/>
    <mergeCell ref="F30:G30"/>
    <mergeCell ref="M30:N30"/>
    <mergeCell ref="F36:G36"/>
    <mergeCell ref="F37:G37"/>
    <mergeCell ref="D40:I40"/>
    <mergeCell ref="D39:G39"/>
    <mergeCell ref="M38:N38"/>
    <mergeCell ref="Y58:AD59"/>
    <mergeCell ref="M33:N33"/>
    <mergeCell ref="M36:N36"/>
    <mergeCell ref="M34:N34"/>
    <mergeCell ref="T30:U30"/>
    <mergeCell ref="AA30:AB30"/>
    <mergeCell ref="T29:U29"/>
    <mergeCell ref="AA29:AB29"/>
    <mergeCell ref="A29:A39"/>
    <mergeCell ref="B29:B39"/>
    <mergeCell ref="F38:G38"/>
    <mergeCell ref="D41:E41"/>
    <mergeCell ref="F41:H41"/>
    <mergeCell ref="F32:G32"/>
    <mergeCell ref="T32:U32"/>
    <mergeCell ref="AA32:AB32"/>
    <mergeCell ref="T31:U31"/>
    <mergeCell ref="AA31:AB31"/>
    <mergeCell ref="T38:U38"/>
    <mergeCell ref="R40:W40"/>
    <mergeCell ref="Y40:AD40"/>
    <mergeCell ref="AA37:AB37"/>
    <mergeCell ref="AA38:AB38"/>
    <mergeCell ref="Y39:AB39"/>
  </mergeCells>
  <pageMargins left="0.7" right="0.7" top="0.78740157499999996" bottom="0.78740157499999996" header="0.3" footer="0.3"/>
  <pageSetup paperSize="9" orientation="portrait" horizontalDpi="4294967294" verticalDpi="4294967294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7"/>
  <sheetViews>
    <sheetView topLeftCell="A7" zoomScale="60" zoomScaleNormal="60" workbookViewId="0">
      <pane xSplit="3" topLeftCell="N1" activePane="topRight" state="frozen"/>
      <selection pane="topRight" activeCell="Y21" sqref="Y21"/>
    </sheetView>
  </sheetViews>
  <sheetFormatPr baseColWidth="10" defaultColWidth="11.42578125" defaultRowHeight="15" x14ac:dyDescent="0.25"/>
  <cols>
    <col min="1" max="1" width="11.42578125" style="4"/>
    <col min="2" max="2" width="44.140625" style="4" customWidth="1"/>
    <col min="3" max="3" width="51.5703125" style="4" bestFit="1" customWidth="1"/>
    <col min="4" max="4" width="11.42578125" style="4"/>
    <col min="5" max="5" width="35" style="4" bestFit="1" customWidth="1"/>
    <col min="6" max="7" width="11.42578125" style="4"/>
    <col min="8" max="8" width="25.85546875" style="4" bestFit="1" customWidth="1"/>
    <col min="9" max="9" width="28.140625" style="4" bestFit="1" customWidth="1"/>
    <col min="10" max="10" width="1.7109375" style="22" customWidth="1"/>
    <col min="11" max="11" width="8.5703125" style="4" bestFit="1" customWidth="1"/>
    <col min="12" max="12" width="35" style="4" bestFit="1" customWidth="1"/>
    <col min="13" max="14" width="9.28515625" style="4" customWidth="1"/>
    <col min="15" max="15" width="25.85546875" style="4" bestFit="1" customWidth="1"/>
    <col min="16" max="16" width="28.140625" style="4" bestFit="1" customWidth="1"/>
    <col min="17" max="17" width="1.7109375" style="22" customWidth="1"/>
    <col min="18" max="19" width="11.42578125" style="4"/>
    <col min="20" max="20" width="34.28515625" style="4" bestFit="1" customWidth="1"/>
    <col min="21" max="21" width="11.42578125" style="4"/>
    <col min="22" max="22" width="25.85546875" style="4" bestFit="1" customWidth="1"/>
    <col min="23" max="23" width="28.140625" style="4" bestFit="1" customWidth="1"/>
    <col min="24" max="24" width="1.7109375" style="7" customWidth="1"/>
    <col min="25" max="25" width="11.42578125" style="4"/>
    <col min="26" max="26" width="34.28515625" style="4" bestFit="1" customWidth="1"/>
    <col min="27" max="27" width="34.28515625" style="4" customWidth="1"/>
    <col min="28" max="28" width="11.42578125" style="4"/>
    <col min="29" max="29" width="25.85546875" style="4" bestFit="1" customWidth="1"/>
    <col min="30" max="30" width="28.140625" style="4" bestFit="1" customWidth="1"/>
    <col min="31" max="31" width="1.7109375" style="7" customWidth="1"/>
    <col min="32" max="16384" width="11.42578125" style="4"/>
  </cols>
  <sheetData>
    <row r="1" spans="1:31" ht="15.75" thickBot="1" x14ac:dyDescent="0.3"/>
    <row r="2" spans="1:31" ht="15.75" thickBot="1" x14ac:dyDescent="0.3">
      <c r="A2" s="20"/>
      <c r="B2" s="21" t="s">
        <v>39</v>
      </c>
      <c r="C2" s="21" t="s">
        <v>40</v>
      </c>
      <c r="D2" s="192" t="s">
        <v>47</v>
      </c>
      <c r="E2" s="193"/>
      <c r="F2" s="193"/>
      <c r="G2" s="193"/>
      <c r="H2" s="193"/>
      <c r="I2" s="193"/>
      <c r="J2" s="57"/>
      <c r="K2" s="288" t="s">
        <v>48</v>
      </c>
      <c r="L2" s="289"/>
      <c r="M2" s="289"/>
      <c r="N2" s="289"/>
      <c r="O2" s="289"/>
      <c r="P2" s="289"/>
      <c r="Q2" s="57"/>
      <c r="R2" s="192" t="s">
        <v>49</v>
      </c>
      <c r="S2" s="193"/>
      <c r="T2" s="193"/>
      <c r="U2" s="193"/>
      <c r="V2" s="193"/>
      <c r="W2" s="193"/>
      <c r="X2" s="58"/>
      <c r="Y2" s="288" t="s">
        <v>50</v>
      </c>
      <c r="Z2" s="289"/>
      <c r="AA2" s="289"/>
      <c r="AB2" s="289"/>
      <c r="AC2" s="289"/>
      <c r="AD2" s="289"/>
      <c r="AE2" s="58"/>
    </row>
    <row r="3" spans="1:31" ht="15" customHeight="1" x14ac:dyDescent="0.25">
      <c r="A3" s="209" t="s">
        <v>38</v>
      </c>
      <c r="B3" s="212" t="s">
        <v>37</v>
      </c>
      <c r="C3" s="40" t="s">
        <v>2</v>
      </c>
      <c r="D3" s="196" t="s">
        <v>115</v>
      </c>
      <c r="E3" s="197"/>
      <c r="F3" s="197"/>
      <c r="G3" s="197"/>
      <c r="H3" s="197"/>
      <c r="I3" s="197"/>
      <c r="J3" s="66"/>
      <c r="K3" s="196" t="s">
        <v>123</v>
      </c>
      <c r="L3" s="197"/>
      <c r="M3" s="197"/>
      <c r="N3" s="197"/>
      <c r="O3" s="197"/>
      <c r="P3" s="197"/>
      <c r="Q3" s="66"/>
      <c r="R3" s="196" t="s">
        <v>115</v>
      </c>
      <c r="S3" s="197"/>
      <c r="T3" s="197"/>
      <c r="U3" s="197"/>
      <c r="V3" s="197"/>
      <c r="W3" s="197"/>
      <c r="X3" s="67"/>
      <c r="Y3" s="196" t="s">
        <v>158</v>
      </c>
      <c r="Z3" s="197"/>
      <c r="AA3" s="197"/>
      <c r="AB3" s="197"/>
      <c r="AC3" s="197"/>
      <c r="AD3" s="197"/>
    </row>
    <row r="4" spans="1:31" x14ac:dyDescent="0.25">
      <c r="A4" s="210"/>
      <c r="B4" s="213"/>
      <c r="C4" s="41" t="s">
        <v>3</v>
      </c>
      <c r="D4" s="194" t="s">
        <v>75</v>
      </c>
      <c r="E4" s="195"/>
      <c r="F4" s="195"/>
      <c r="G4" s="195"/>
      <c r="H4" s="195"/>
      <c r="I4" s="195"/>
      <c r="J4" s="66"/>
      <c r="K4" s="194"/>
      <c r="L4" s="195"/>
      <c r="M4" s="195"/>
      <c r="N4" s="195"/>
      <c r="O4" s="195"/>
      <c r="P4" s="195"/>
      <c r="Q4" s="66"/>
      <c r="R4" s="194" t="s">
        <v>75</v>
      </c>
      <c r="S4" s="195"/>
      <c r="T4" s="195"/>
      <c r="U4" s="195"/>
      <c r="V4" s="195"/>
      <c r="W4" s="195"/>
      <c r="X4" s="67"/>
      <c r="Y4" s="194"/>
      <c r="Z4" s="195"/>
      <c r="AA4" s="195"/>
      <c r="AB4" s="195"/>
      <c r="AC4" s="195"/>
      <c r="AD4" s="195"/>
    </row>
    <row r="5" spans="1:31" x14ac:dyDescent="0.25">
      <c r="A5" s="210"/>
      <c r="B5" s="213"/>
      <c r="C5" s="59" t="s">
        <v>107</v>
      </c>
      <c r="D5" s="208"/>
      <c r="E5" s="208"/>
      <c r="F5" s="208"/>
      <c r="G5" s="208"/>
      <c r="H5" s="208"/>
      <c r="I5" s="208"/>
      <c r="J5" s="68"/>
      <c r="K5" s="208"/>
      <c r="L5" s="208"/>
      <c r="M5" s="208"/>
      <c r="N5" s="208"/>
      <c r="O5" s="208"/>
      <c r="P5" s="208"/>
      <c r="Q5" s="69"/>
      <c r="R5" s="208"/>
      <c r="S5" s="208"/>
      <c r="T5" s="208"/>
      <c r="U5" s="208"/>
      <c r="V5" s="208"/>
      <c r="W5" s="208"/>
      <c r="X5" s="69"/>
      <c r="Y5" s="208"/>
      <c r="Z5" s="208"/>
      <c r="AA5" s="208"/>
      <c r="AB5" s="208"/>
      <c r="AC5" s="208"/>
      <c r="AD5" s="208"/>
      <c r="AE5" s="61"/>
    </row>
    <row r="6" spans="1:31" ht="15.75" thickBot="1" x14ac:dyDescent="0.3">
      <c r="A6" s="211"/>
      <c r="B6" s="214"/>
      <c r="C6" s="51" t="s">
        <v>67</v>
      </c>
      <c r="D6" s="215"/>
      <c r="E6" s="216"/>
      <c r="F6" s="216"/>
      <c r="G6" s="216"/>
      <c r="H6" s="216"/>
      <c r="I6" s="217"/>
      <c r="J6" s="66"/>
      <c r="K6" s="215"/>
      <c r="L6" s="216"/>
      <c r="M6" s="216"/>
      <c r="N6" s="216"/>
      <c r="O6" s="216"/>
      <c r="P6" s="217"/>
      <c r="Q6" s="66"/>
      <c r="R6" s="215"/>
      <c r="S6" s="216"/>
      <c r="T6" s="216"/>
      <c r="U6" s="216"/>
      <c r="V6" s="216"/>
      <c r="W6" s="217"/>
      <c r="X6" s="70"/>
      <c r="Y6" s="215"/>
      <c r="Z6" s="216"/>
      <c r="AA6" s="216"/>
      <c r="AB6" s="216"/>
      <c r="AC6" s="216"/>
      <c r="AD6" s="217"/>
      <c r="AE6" s="33"/>
    </row>
    <row r="7" spans="1:31" ht="15.75" thickBot="1" x14ac:dyDescent="0.3">
      <c r="A7" s="10"/>
      <c r="B7" s="12"/>
      <c r="C7" s="50"/>
      <c r="D7" s="183"/>
      <c r="E7" s="184"/>
      <c r="F7" s="184"/>
      <c r="G7" s="184"/>
      <c r="H7" s="184"/>
      <c r="I7" s="184"/>
      <c r="J7" s="71"/>
      <c r="K7" s="183"/>
      <c r="L7" s="184"/>
      <c r="M7" s="184"/>
      <c r="N7" s="184"/>
      <c r="O7" s="184"/>
      <c r="P7" s="184"/>
      <c r="Q7" s="71"/>
      <c r="R7" s="183"/>
      <c r="S7" s="184"/>
      <c r="T7" s="184"/>
      <c r="U7" s="184"/>
      <c r="V7" s="184"/>
      <c r="W7" s="184"/>
      <c r="X7" s="67"/>
      <c r="Y7" s="183"/>
      <c r="Z7" s="184"/>
      <c r="AA7" s="184"/>
      <c r="AB7" s="184"/>
      <c r="AC7" s="184"/>
      <c r="AD7" s="184"/>
    </row>
    <row r="8" spans="1:31" ht="15" customHeight="1" x14ac:dyDescent="0.25">
      <c r="A8" s="206" t="s">
        <v>36</v>
      </c>
      <c r="B8" s="207" t="s">
        <v>101</v>
      </c>
      <c r="C8" s="48" t="s">
        <v>5</v>
      </c>
      <c r="D8" s="198" t="s">
        <v>135</v>
      </c>
      <c r="E8" s="199"/>
      <c r="F8" s="199"/>
      <c r="G8" s="199"/>
      <c r="H8" s="200"/>
      <c r="I8" s="72" t="s">
        <v>159</v>
      </c>
      <c r="J8" s="71"/>
      <c r="K8" s="198" t="s">
        <v>125</v>
      </c>
      <c r="L8" s="199"/>
      <c r="M8" s="199"/>
      <c r="N8" s="199"/>
      <c r="O8" s="200"/>
      <c r="P8" s="72" t="s">
        <v>191</v>
      </c>
      <c r="Q8" s="71"/>
      <c r="R8" s="198" t="s">
        <v>135</v>
      </c>
      <c r="S8" s="199"/>
      <c r="T8" s="199"/>
      <c r="U8" s="199"/>
      <c r="V8" s="200"/>
      <c r="W8" s="72" t="s">
        <v>159</v>
      </c>
      <c r="X8" s="67"/>
      <c r="Y8" s="198" t="s">
        <v>125</v>
      </c>
      <c r="Z8" s="199"/>
      <c r="AA8" s="199"/>
      <c r="AB8" s="199"/>
      <c r="AC8" s="200"/>
      <c r="AD8" s="72" t="s">
        <v>189</v>
      </c>
    </row>
    <row r="9" spans="1:31" x14ac:dyDescent="0.25">
      <c r="A9" s="206"/>
      <c r="B9" s="207"/>
      <c r="C9" s="13" t="s">
        <v>6</v>
      </c>
      <c r="D9" s="201" t="s">
        <v>126</v>
      </c>
      <c r="E9" s="202"/>
      <c r="F9" s="202"/>
      <c r="G9" s="202"/>
      <c r="H9" s="203"/>
      <c r="I9" s="73" t="s">
        <v>154</v>
      </c>
      <c r="J9" s="71"/>
      <c r="K9" s="201" t="s">
        <v>126</v>
      </c>
      <c r="L9" s="202"/>
      <c r="M9" s="202"/>
      <c r="N9" s="202"/>
      <c r="O9" s="203"/>
      <c r="P9" s="73" t="s">
        <v>192</v>
      </c>
      <c r="Q9" s="71"/>
      <c r="R9" s="201" t="s">
        <v>126</v>
      </c>
      <c r="S9" s="202"/>
      <c r="T9" s="202"/>
      <c r="U9" s="202"/>
      <c r="V9" s="203"/>
      <c r="W9" s="73" t="s">
        <v>154</v>
      </c>
      <c r="X9" s="67"/>
      <c r="Y9" s="201" t="s">
        <v>126</v>
      </c>
      <c r="Z9" s="202"/>
      <c r="AA9" s="202"/>
      <c r="AB9" s="202"/>
      <c r="AC9" s="203"/>
      <c r="AD9" s="73" t="s">
        <v>188</v>
      </c>
    </row>
    <row r="10" spans="1:31" ht="15.75" thickBot="1" x14ac:dyDescent="0.3">
      <c r="A10" s="206"/>
      <c r="B10" s="207"/>
      <c r="C10" s="49" t="s">
        <v>7</v>
      </c>
      <c r="D10" s="218"/>
      <c r="E10" s="219"/>
      <c r="F10" s="219"/>
      <c r="G10" s="219"/>
      <c r="H10" s="220"/>
      <c r="I10" s="74" t="s">
        <v>112</v>
      </c>
      <c r="J10" s="71"/>
      <c r="K10" s="201" t="s">
        <v>193</v>
      </c>
      <c r="L10" s="202"/>
      <c r="M10" s="202"/>
      <c r="N10" s="202"/>
      <c r="O10" s="203"/>
      <c r="P10" s="74" t="s">
        <v>194</v>
      </c>
      <c r="Q10" s="71"/>
      <c r="R10" s="218"/>
      <c r="S10" s="219"/>
      <c r="T10" s="219"/>
      <c r="U10" s="219"/>
      <c r="V10" s="220"/>
      <c r="W10" s="74" t="s">
        <v>112</v>
      </c>
      <c r="X10" s="67"/>
      <c r="Y10" s="218"/>
      <c r="Z10" s="219"/>
      <c r="AA10" s="219"/>
      <c r="AB10" s="219"/>
      <c r="AC10" s="220"/>
      <c r="AD10" s="74" t="s">
        <v>112</v>
      </c>
    </row>
    <row r="11" spans="1:31" ht="15.75" thickBot="1" x14ac:dyDescent="0.3">
      <c r="A11" s="11"/>
      <c r="B11" s="14"/>
      <c r="C11" s="14"/>
      <c r="D11" s="183"/>
      <c r="E11" s="184"/>
      <c r="F11" s="184"/>
      <c r="G11" s="184"/>
      <c r="H11" s="184"/>
      <c r="I11" s="184"/>
      <c r="J11" s="71"/>
      <c r="K11" s="183"/>
      <c r="L11" s="184"/>
      <c r="M11" s="184"/>
      <c r="N11" s="184"/>
      <c r="O11" s="184"/>
      <c r="P11" s="184"/>
      <c r="Q11" s="71"/>
      <c r="R11" s="183"/>
      <c r="S11" s="184"/>
      <c r="T11" s="184"/>
      <c r="U11" s="184"/>
      <c r="V11" s="184"/>
      <c r="W11" s="184"/>
      <c r="X11" s="67"/>
      <c r="Y11" s="183"/>
      <c r="Z11" s="184"/>
      <c r="AA11" s="184"/>
      <c r="AB11" s="184"/>
      <c r="AC11" s="184"/>
      <c r="AD11" s="184"/>
    </row>
    <row r="12" spans="1:31" ht="15" customHeight="1" x14ac:dyDescent="0.25">
      <c r="A12" s="227" t="s">
        <v>8</v>
      </c>
      <c r="B12" s="230" t="s">
        <v>102</v>
      </c>
      <c r="C12" s="46" t="s">
        <v>68</v>
      </c>
      <c r="D12" s="233" t="s">
        <v>160</v>
      </c>
      <c r="E12" s="234"/>
      <c r="F12" s="234"/>
      <c r="G12" s="234"/>
      <c r="H12" s="234"/>
      <c r="I12" s="234"/>
      <c r="J12" s="71"/>
      <c r="K12" s="233"/>
      <c r="L12" s="234"/>
      <c r="M12" s="234"/>
      <c r="N12" s="234"/>
      <c r="O12" s="234"/>
      <c r="P12" s="234"/>
      <c r="Q12" s="71"/>
      <c r="R12" s="233" t="s">
        <v>160</v>
      </c>
      <c r="S12" s="234"/>
      <c r="T12" s="234"/>
      <c r="U12" s="234"/>
      <c r="V12" s="234"/>
      <c r="W12" s="234"/>
      <c r="X12" s="67"/>
      <c r="Y12" s="233"/>
      <c r="Z12" s="234"/>
      <c r="AA12" s="234"/>
      <c r="AB12" s="234"/>
      <c r="AC12" s="234"/>
      <c r="AD12" s="234"/>
    </row>
    <row r="13" spans="1:31" x14ac:dyDescent="0.25">
      <c r="A13" s="228"/>
      <c r="B13" s="231"/>
      <c r="C13" s="15" t="s">
        <v>79</v>
      </c>
      <c r="D13" s="235">
        <v>70</v>
      </c>
      <c r="E13" s="236"/>
      <c r="F13" s="236"/>
      <c r="G13" s="236"/>
      <c r="H13" s="236"/>
      <c r="I13" s="236"/>
      <c r="J13" s="71"/>
      <c r="K13" s="235">
        <v>200</v>
      </c>
      <c r="L13" s="236"/>
      <c r="M13" s="236"/>
      <c r="N13" s="236"/>
      <c r="O13" s="236"/>
      <c r="P13" s="236"/>
      <c r="Q13" s="71"/>
      <c r="R13" s="235">
        <v>70</v>
      </c>
      <c r="S13" s="236"/>
      <c r="T13" s="236"/>
      <c r="U13" s="236"/>
      <c r="V13" s="236"/>
      <c r="W13" s="236"/>
      <c r="X13" s="67"/>
      <c r="Y13" s="235">
        <v>3</v>
      </c>
      <c r="Z13" s="236"/>
      <c r="AA13" s="236"/>
      <c r="AB13" s="236"/>
      <c r="AC13" s="236"/>
      <c r="AD13" s="236"/>
    </row>
    <row r="14" spans="1:31" ht="15.75" thickBot="1" x14ac:dyDescent="0.3">
      <c r="A14" s="229"/>
      <c r="B14" s="232"/>
      <c r="C14" s="47" t="s">
        <v>10</v>
      </c>
      <c r="D14" s="239" t="s">
        <v>128</v>
      </c>
      <c r="E14" s="240"/>
      <c r="F14" s="240"/>
      <c r="G14" s="240"/>
      <c r="H14" s="241"/>
      <c r="I14" s="75" t="s">
        <v>146</v>
      </c>
      <c r="J14" s="71"/>
      <c r="K14" s="239" t="s">
        <v>128</v>
      </c>
      <c r="L14" s="240"/>
      <c r="M14" s="240"/>
      <c r="N14" s="240"/>
      <c r="O14" s="241"/>
      <c r="P14" s="75" t="s">
        <v>194</v>
      </c>
      <c r="Q14" s="71"/>
      <c r="R14" s="239" t="s">
        <v>128</v>
      </c>
      <c r="S14" s="240"/>
      <c r="T14" s="240"/>
      <c r="U14" s="240"/>
      <c r="V14" s="241"/>
      <c r="W14" s="75" t="s">
        <v>146</v>
      </c>
      <c r="X14" s="67"/>
      <c r="Y14" s="239" t="s">
        <v>128</v>
      </c>
      <c r="Z14" s="240"/>
      <c r="AA14" s="240"/>
      <c r="AB14" s="240"/>
      <c r="AC14" s="241"/>
      <c r="AD14" s="75" t="s">
        <v>154</v>
      </c>
    </row>
    <row r="15" spans="1:31" ht="15.75" thickBot="1" x14ac:dyDescent="0.3">
      <c r="A15" s="11"/>
      <c r="B15" s="14"/>
      <c r="C15" s="14"/>
      <c r="D15" s="237"/>
      <c r="E15" s="238"/>
      <c r="F15" s="238"/>
      <c r="G15" s="238"/>
      <c r="H15" s="238"/>
      <c r="I15" s="238"/>
      <c r="J15" s="71"/>
      <c r="K15" s="237"/>
      <c r="L15" s="238"/>
      <c r="M15" s="238"/>
      <c r="N15" s="238"/>
      <c r="O15" s="238"/>
      <c r="P15" s="238"/>
      <c r="Q15" s="71"/>
      <c r="R15" s="237"/>
      <c r="S15" s="238"/>
      <c r="T15" s="238"/>
      <c r="U15" s="238"/>
      <c r="V15" s="238"/>
      <c r="W15" s="238"/>
      <c r="X15" s="67"/>
      <c r="Y15" s="237"/>
      <c r="Z15" s="238"/>
      <c r="AA15" s="238"/>
      <c r="AB15" s="238"/>
      <c r="AC15" s="238"/>
      <c r="AD15" s="238"/>
    </row>
    <row r="16" spans="1:31" ht="15.75" customHeight="1" thickBot="1" x14ac:dyDescent="0.3">
      <c r="A16" s="221" t="s">
        <v>11</v>
      </c>
      <c r="B16" s="224" t="s">
        <v>103</v>
      </c>
      <c r="C16" s="45" t="s">
        <v>93</v>
      </c>
      <c r="D16" s="76" t="s">
        <v>32</v>
      </c>
      <c r="E16" s="77" t="s">
        <v>72</v>
      </c>
      <c r="F16" s="77" t="s">
        <v>20</v>
      </c>
      <c r="G16" s="77" t="s">
        <v>113</v>
      </c>
      <c r="H16" s="78" t="s">
        <v>99</v>
      </c>
      <c r="I16" s="78" t="s">
        <v>23</v>
      </c>
      <c r="J16" s="71"/>
      <c r="K16" s="76" t="s">
        <v>32</v>
      </c>
      <c r="L16" s="77" t="s">
        <v>72</v>
      </c>
      <c r="M16" s="77" t="s">
        <v>20</v>
      </c>
      <c r="N16" s="77" t="s">
        <v>113</v>
      </c>
      <c r="O16" s="78" t="s">
        <v>99</v>
      </c>
      <c r="P16" s="78" t="s">
        <v>23</v>
      </c>
      <c r="Q16" s="71"/>
      <c r="R16" s="76" t="s">
        <v>32</v>
      </c>
      <c r="S16" s="77" t="s">
        <v>72</v>
      </c>
      <c r="T16" s="77" t="s">
        <v>20</v>
      </c>
      <c r="U16" s="77" t="s">
        <v>113</v>
      </c>
      <c r="V16" s="78" t="s">
        <v>99</v>
      </c>
      <c r="W16" s="78" t="s">
        <v>23</v>
      </c>
      <c r="X16" s="67"/>
      <c r="Y16" s="76" t="s">
        <v>32</v>
      </c>
      <c r="Z16" s="77" t="s">
        <v>72</v>
      </c>
      <c r="AA16" s="77" t="s">
        <v>20</v>
      </c>
      <c r="AB16" s="77" t="s">
        <v>113</v>
      </c>
      <c r="AC16" s="78" t="s">
        <v>99</v>
      </c>
      <c r="AD16" s="78" t="s">
        <v>23</v>
      </c>
    </row>
    <row r="17" spans="1:30" ht="15" customHeight="1" x14ac:dyDescent="0.25">
      <c r="A17" s="222"/>
      <c r="B17" s="225"/>
      <c r="C17" s="43" t="s">
        <v>12</v>
      </c>
      <c r="D17" s="79" t="s">
        <v>118</v>
      </c>
      <c r="E17" s="80" t="s">
        <v>119</v>
      </c>
      <c r="F17" s="81" t="s">
        <v>139</v>
      </c>
      <c r="G17" s="81" t="s">
        <v>117</v>
      </c>
      <c r="H17" s="82">
        <v>355</v>
      </c>
      <c r="I17" s="82">
        <v>1</v>
      </c>
      <c r="J17" s="71"/>
      <c r="K17" s="79"/>
      <c r="L17" s="80"/>
      <c r="M17" s="81"/>
      <c r="N17" s="81"/>
      <c r="O17" s="82"/>
      <c r="P17" s="82"/>
      <c r="Q17" s="71"/>
      <c r="R17" s="79" t="s">
        <v>118</v>
      </c>
      <c r="S17" s="80" t="s">
        <v>119</v>
      </c>
      <c r="T17" s="81" t="s">
        <v>139</v>
      </c>
      <c r="U17" s="81" t="s">
        <v>117</v>
      </c>
      <c r="V17" s="82">
        <v>355</v>
      </c>
      <c r="W17" s="82">
        <v>1</v>
      </c>
      <c r="X17" s="67"/>
      <c r="Y17" s="79" t="s">
        <v>118</v>
      </c>
      <c r="Z17" s="80" t="s">
        <v>119</v>
      </c>
      <c r="AA17" s="81" t="s">
        <v>139</v>
      </c>
      <c r="AB17" s="81" t="s">
        <v>170</v>
      </c>
      <c r="AC17" s="82" t="s">
        <v>166</v>
      </c>
      <c r="AD17" s="82">
        <v>3</v>
      </c>
    </row>
    <row r="18" spans="1:30" x14ac:dyDescent="0.25">
      <c r="A18" s="222"/>
      <c r="B18" s="225"/>
      <c r="C18" s="16" t="s">
        <v>13</v>
      </c>
      <c r="D18" s="83" t="s">
        <v>78</v>
      </c>
      <c r="E18" s="84" t="s">
        <v>121</v>
      </c>
      <c r="F18" s="83" t="s">
        <v>138</v>
      </c>
      <c r="G18" s="83" t="s">
        <v>153</v>
      </c>
      <c r="H18" s="85">
        <v>113</v>
      </c>
      <c r="I18" s="82">
        <v>1</v>
      </c>
      <c r="J18" s="71"/>
      <c r="K18" s="83" t="s">
        <v>78</v>
      </c>
      <c r="L18" s="84" t="s">
        <v>121</v>
      </c>
      <c r="M18" s="83" t="s">
        <v>138</v>
      </c>
      <c r="N18" s="83" t="s">
        <v>147</v>
      </c>
      <c r="O18" s="85">
        <v>66.7</v>
      </c>
      <c r="P18" s="85">
        <v>1</v>
      </c>
      <c r="Q18" s="71"/>
      <c r="R18" s="83" t="s">
        <v>78</v>
      </c>
      <c r="S18" s="84" t="s">
        <v>121</v>
      </c>
      <c r="T18" s="83" t="s">
        <v>138</v>
      </c>
      <c r="U18" s="83" t="s">
        <v>153</v>
      </c>
      <c r="V18" s="85">
        <v>113</v>
      </c>
      <c r="W18" s="82">
        <v>1</v>
      </c>
      <c r="X18" s="67"/>
      <c r="Y18" s="83" t="s">
        <v>78</v>
      </c>
      <c r="Z18" s="84" t="s">
        <v>121</v>
      </c>
      <c r="AA18" s="83" t="s">
        <v>138</v>
      </c>
      <c r="AB18" s="83" t="s">
        <v>167</v>
      </c>
      <c r="AC18" s="85">
        <v>122</v>
      </c>
      <c r="AD18" s="85">
        <v>1</v>
      </c>
    </row>
    <row r="19" spans="1:30" x14ac:dyDescent="0.25">
      <c r="A19" s="222"/>
      <c r="B19" s="225"/>
      <c r="C19" s="16" t="s">
        <v>14</v>
      </c>
      <c r="D19" s="86" t="s">
        <v>77</v>
      </c>
      <c r="E19" s="87" t="s">
        <v>120</v>
      </c>
      <c r="F19" s="83" t="s">
        <v>138</v>
      </c>
      <c r="G19" s="83" t="s">
        <v>153</v>
      </c>
      <c r="H19" s="85">
        <v>95</v>
      </c>
      <c r="I19" s="82">
        <v>1</v>
      </c>
      <c r="J19" s="71"/>
      <c r="K19" s="86" t="s">
        <v>77</v>
      </c>
      <c r="L19" s="87" t="s">
        <v>120</v>
      </c>
      <c r="M19" s="83" t="s">
        <v>138</v>
      </c>
      <c r="N19" s="83" t="s">
        <v>147</v>
      </c>
      <c r="O19" s="85">
        <v>72.5</v>
      </c>
      <c r="P19" s="85">
        <v>1</v>
      </c>
      <c r="Q19" s="71"/>
      <c r="R19" s="86" t="s">
        <v>77</v>
      </c>
      <c r="S19" s="87" t="s">
        <v>120</v>
      </c>
      <c r="T19" s="83" t="s">
        <v>138</v>
      </c>
      <c r="U19" s="83" t="s">
        <v>153</v>
      </c>
      <c r="V19" s="85">
        <v>95</v>
      </c>
      <c r="W19" s="82">
        <v>1</v>
      </c>
      <c r="X19" s="67"/>
      <c r="Y19" s="86" t="s">
        <v>77</v>
      </c>
      <c r="Z19" s="87" t="s">
        <v>120</v>
      </c>
      <c r="AA19" s="83" t="s">
        <v>138</v>
      </c>
      <c r="AB19" s="83" t="s">
        <v>168</v>
      </c>
      <c r="AC19" s="85">
        <v>75</v>
      </c>
      <c r="AD19" s="85">
        <v>1</v>
      </c>
    </row>
    <row r="20" spans="1:30" x14ac:dyDescent="0.25">
      <c r="A20" s="222"/>
      <c r="B20" s="225"/>
      <c r="C20" s="16" t="s">
        <v>15</v>
      </c>
      <c r="D20" s="88"/>
      <c r="E20" s="85"/>
      <c r="F20" s="83"/>
      <c r="G20" s="83"/>
      <c r="H20" s="85"/>
      <c r="I20" s="85"/>
      <c r="J20" s="71"/>
      <c r="K20" s="88"/>
      <c r="L20" s="85"/>
      <c r="M20" s="83"/>
      <c r="N20" s="83"/>
      <c r="O20" s="85"/>
      <c r="P20" s="85"/>
      <c r="Q20" s="71"/>
      <c r="R20" s="88"/>
      <c r="S20" s="85"/>
      <c r="T20" s="83"/>
      <c r="U20" s="83"/>
      <c r="V20" s="85"/>
      <c r="W20" s="85"/>
      <c r="X20" s="67"/>
      <c r="Y20" s="88"/>
      <c r="Z20" s="85"/>
      <c r="AA20" s="83"/>
      <c r="AB20" s="83"/>
      <c r="AC20" s="85"/>
      <c r="AD20" s="85"/>
    </row>
    <row r="21" spans="1:30" x14ac:dyDescent="0.25">
      <c r="A21" s="222"/>
      <c r="B21" s="225"/>
      <c r="C21" s="16" t="s">
        <v>16</v>
      </c>
      <c r="D21" s="88" t="s">
        <v>449</v>
      </c>
      <c r="E21" s="65" t="s">
        <v>206</v>
      </c>
      <c r="F21" s="89" t="s">
        <v>138</v>
      </c>
      <c r="G21" s="83" t="s">
        <v>156</v>
      </c>
      <c r="H21" s="85">
        <v>100</v>
      </c>
      <c r="I21" s="85">
        <v>1</v>
      </c>
      <c r="J21" s="71"/>
      <c r="K21" s="88" t="s">
        <v>449</v>
      </c>
      <c r="L21" s="65" t="s">
        <v>206</v>
      </c>
      <c r="M21" s="83" t="s">
        <v>138</v>
      </c>
      <c r="N21" s="83" t="s">
        <v>156</v>
      </c>
      <c r="O21" s="85">
        <v>100</v>
      </c>
      <c r="P21" s="85">
        <v>1</v>
      </c>
      <c r="Q21" s="71"/>
      <c r="R21" s="88" t="s">
        <v>449</v>
      </c>
      <c r="S21" s="65" t="s">
        <v>206</v>
      </c>
      <c r="T21" s="89" t="s">
        <v>138</v>
      </c>
      <c r="U21" s="83" t="s">
        <v>156</v>
      </c>
      <c r="V21" s="85">
        <v>100</v>
      </c>
      <c r="W21" s="85">
        <v>1</v>
      </c>
      <c r="X21" s="67"/>
      <c r="Y21" s="88" t="s">
        <v>449</v>
      </c>
      <c r="Z21" s="65" t="s">
        <v>206</v>
      </c>
      <c r="AA21" s="90" t="s">
        <v>169</v>
      </c>
      <c r="AB21" s="83" t="s">
        <v>148</v>
      </c>
      <c r="AC21" s="85">
        <v>100</v>
      </c>
      <c r="AD21" s="85">
        <v>1</v>
      </c>
    </row>
    <row r="22" spans="1:30" x14ac:dyDescent="0.25">
      <c r="A22" s="222"/>
      <c r="B22" s="225"/>
      <c r="C22" s="16" t="s">
        <v>17</v>
      </c>
      <c r="D22" s="86" t="s">
        <v>76</v>
      </c>
      <c r="E22" s="85" t="s">
        <v>207</v>
      </c>
      <c r="F22" s="83"/>
      <c r="G22" s="83" t="s">
        <v>155</v>
      </c>
      <c r="H22" s="85">
        <v>333</v>
      </c>
      <c r="I22" s="85">
        <v>1</v>
      </c>
      <c r="J22" s="71"/>
      <c r="K22" s="86" t="s">
        <v>76</v>
      </c>
      <c r="L22" s="85" t="s">
        <v>207</v>
      </c>
      <c r="M22" s="83"/>
      <c r="N22" s="83" t="s">
        <v>157</v>
      </c>
      <c r="O22" s="85">
        <v>333</v>
      </c>
      <c r="P22" s="85">
        <v>1</v>
      </c>
      <c r="Q22" s="71"/>
      <c r="R22" s="86" t="s">
        <v>76</v>
      </c>
      <c r="S22" s="85" t="s">
        <v>207</v>
      </c>
      <c r="T22" s="83"/>
      <c r="U22" s="83" t="s">
        <v>155</v>
      </c>
      <c r="V22" s="85">
        <v>333</v>
      </c>
      <c r="W22" s="85">
        <v>1</v>
      </c>
      <c r="X22" s="67"/>
      <c r="Y22" s="86" t="s">
        <v>76</v>
      </c>
      <c r="Z22" s="85" t="s">
        <v>207</v>
      </c>
      <c r="AA22" s="83" t="s">
        <v>164</v>
      </c>
      <c r="AB22" s="83" t="s">
        <v>157</v>
      </c>
      <c r="AC22" s="85">
        <v>333</v>
      </c>
      <c r="AD22" s="85">
        <v>1</v>
      </c>
    </row>
    <row r="23" spans="1:30" x14ac:dyDescent="0.25">
      <c r="A23" s="222"/>
      <c r="B23" s="225"/>
      <c r="C23" s="34" t="s">
        <v>132</v>
      </c>
      <c r="D23" s="91" t="s">
        <v>161</v>
      </c>
      <c r="E23" s="92"/>
      <c r="F23" s="82" t="s">
        <v>140</v>
      </c>
      <c r="G23" s="93" t="s">
        <v>162</v>
      </c>
      <c r="H23" s="92" t="s">
        <v>141</v>
      </c>
      <c r="I23" s="92">
        <v>1</v>
      </c>
      <c r="J23" s="71"/>
      <c r="K23" s="91"/>
      <c r="L23" s="92"/>
      <c r="M23" s="83"/>
      <c r="N23" s="93"/>
      <c r="O23" s="92"/>
      <c r="P23" s="92"/>
      <c r="Q23" s="71"/>
      <c r="R23" s="91" t="s">
        <v>161</v>
      </c>
      <c r="S23" s="92"/>
      <c r="T23" s="82" t="s">
        <v>140</v>
      </c>
      <c r="U23" s="93" t="s">
        <v>162</v>
      </c>
      <c r="V23" s="92" t="s">
        <v>141</v>
      </c>
      <c r="W23" s="92">
        <v>1</v>
      </c>
      <c r="X23" s="67"/>
      <c r="Y23" s="94" t="s">
        <v>178</v>
      </c>
      <c r="Z23" s="92" t="s">
        <v>179</v>
      </c>
      <c r="AA23" s="83" t="s">
        <v>137</v>
      </c>
      <c r="AB23" s="83" t="s">
        <v>181</v>
      </c>
      <c r="AC23" s="92" t="s">
        <v>208</v>
      </c>
      <c r="AD23" s="92">
        <v>3</v>
      </c>
    </row>
    <row r="24" spans="1:30" ht="15.75" thickBot="1" x14ac:dyDescent="0.3">
      <c r="A24" s="222"/>
      <c r="B24" s="225"/>
      <c r="C24" s="34" t="s">
        <v>132</v>
      </c>
      <c r="D24" s="95"/>
      <c r="E24" s="96"/>
      <c r="F24" s="82"/>
      <c r="G24" s="97"/>
      <c r="H24" s="96"/>
      <c r="I24" s="96"/>
      <c r="J24" s="71"/>
      <c r="K24" s="95"/>
      <c r="L24" s="96"/>
      <c r="M24" s="85"/>
      <c r="N24" s="97"/>
      <c r="O24" s="96"/>
      <c r="P24" s="96"/>
      <c r="Q24" s="71"/>
      <c r="R24" s="95"/>
      <c r="S24" s="96"/>
      <c r="T24" s="82"/>
      <c r="U24" s="97"/>
      <c r="V24" s="96"/>
      <c r="W24" s="96"/>
      <c r="X24" s="67"/>
      <c r="Y24" s="95"/>
      <c r="Z24" s="96"/>
      <c r="AA24" s="97"/>
      <c r="AB24" s="97"/>
      <c r="AC24" s="96"/>
      <c r="AD24" s="96"/>
    </row>
    <row r="25" spans="1:30" ht="18" thickBot="1" x14ac:dyDescent="0.3">
      <c r="A25" s="222"/>
      <c r="B25" s="225"/>
      <c r="C25" s="45" t="s">
        <v>91</v>
      </c>
      <c r="D25" s="76" t="s">
        <v>32</v>
      </c>
      <c r="E25" s="78" t="s">
        <v>92</v>
      </c>
      <c r="F25" s="77" t="s">
        <v>20</v>
      </c>
      <c r="G25" s="77" t="s">
        <v>113</v>
      </c>
      <c r="H25" s="78" t="s">
        <v>205</v>
      </c>
      <c r="I25" s="78" t="s">
        <v>23</v>
      </c>
      <c r="J25" s="71"/>
      <c r="K25" s="76" t="s">
        <v>32</v>
      </c>
      <c r="L25" s="78" t="s">
        <v>92</v>
      </c>
      <c r="M25" s="77" t="s">
        <v>20</v>
      </c>
      <c r="N25" s="77" t="s">
        <v>113</v>
      </c>
      <c r="O25" s="78" t="s">
        <v>205</v>
      </c>
      <c r="P25" s="78" t="s">
        <v>23</v>
      </c>
      <c r="Q25" s="71"/>
      <c r="R25" s="76" t="s">
        <v>32</v>
      </c>
      <c r="S25" s="78" t="s">
        <v>92</v>
      </c>
      <c r="T25" s="77" t="s">
        <v>20</v>
      </c>
      <c r="U25" s="77" t="s">
        <v>113</v>
      </c>
      <c r="V25" s="78" t="s">
        <v>205</v>
      </c>
      <c r="W25" s="78" t="s">
        <v>23</v>
      </c>
      <c r="X25" s="67"/>
      <c r="Y25" s="76" t="s">
        <v>32</v>
      </c>
      <c r="Z25" s="78" t="s">
        <v>92</v>
      </c>
      <c r="AA25" s="77" t="s">
        <v>20</v>
      </c>
      <c r="AB25" s="77" t="s">
        <v>113</v>
      </c>
      <c r="AC25" s="78" t="s">
        <v>205</v>
      </c>
      <c r="AD25" s="78" t="s">
        <v>23</v>
      </c>
    </row>
    <row r="26" spans="1:30" x14ac:dyDescent="0.25">
      <c r="A26" s="222"/>
      <c r="B26" s="225"/>
      <c r="C26" s="43" t="s">
        <v>19</v>
      </c>
      <c r="D26" s="79"/>
      <c r="E26" s="82"/>
      <c r="F26" s="81"/>
      <c r="G26" s="81"/>
      <c r="H26" s="82"/>
      <c r="I26" s="82"/>
      <c r="J26" s="71"/>
      <c r="K26" s="79"/>
      <c r="L26" s="82"/>
      <c r="M26" s="81"/>
      <c r="N26" s="81"/>
      <c r="O26" s="82"/>
      <c r="P26" s="82"/>
      <c r="Q26" s="71"/>
      <c r="R26" s="79"/>
      <c r="S26" s="82"/>
      <c r="T26" s="81"/>
      <c r="U26" s="81"/>
      <c r="V26" s="82"/>
      <c r="W26" s="82"/>
      <c r="X26" s="67"/>
      <c r="Y26" s="79"/>
      <c r="Z26" s="82"/>
      <c r="AA26" s="81"/>
      <c r="AB26" s="81"/>
      <c r="AC26" s="82"/>
      <c r="AD26" s="82"/>
    </row>
    <row r="27" spans="1:30" ht="15.75" thickBot="1" x14ac:dyDescent="0.3">
      <c r="A27" s="223"/>
      <c r="B27" s="226"/>
      <c r="C27" s="44" t="s">
        <v>18</v>
      </c>
      <c r="D27" s="95"/>
      <c r="E27" s="96"/>
      <c r="F27" s="83"/>
      <c r="G27" s="83"/>
      <c r="H27" s="96"/>
      <c r="I27" s="96"/>
      <c r="J27" s="71"/>
      <c r="K27" s="95"/>
      <c r="L27" s="96"/>
      <c r="M27" s="83"/>
      <c r="N27" s="83"/>
      <c r="O27" s="96"/>
      <c r="P27" s="96"/>
      <c r="Q27" s="71"/>
      <c r="R27" s="95"/>
      <c r="S27" s="96"/>
      <c r="T27" s="83"/>
      <c r="U27" s="83"/>
      <c r="V27" s="96"/>
      <c r="W27" s="96"/>
      <c r="X27" s="67"/>
      <c r="Y27" s="95"/>
      <c r="Z27" s="96"/>
      <c r="AA27" s="83"/>
      <c r="AB27" s="83"/>
      <c r="AC27" s="96"/>
      <c r="AD27" s="96"/>
    </row>
    <row r="28" spans="1:30" ht="15.75" thickBot="1" x14ac:dyDescent="0.3">
      <c r="A28" s="17"/>
      <c r="B28" s="14"/>
      <c r="C28" s="14"/>
      <c r="D28" s="183"/>
      <c r="E28" s="184"/>
      <c r="F28" s="184"/>
      <c r="G28" s="184"/>
      <c r="H28" s="184"/>
      <c r="I28" s="184"/>
      <c r="J28" s="71"/>
      <c r="K28" s="183"/>
      <c r="L28" s="184"/>
      <c r="M28" s="184"/>
      <c r="N28" s="184"/>
      <c r="O28" s="184"/>
      <c r="P28" s="184"/>
      <c r="Q28" s="71"/>
      <c r="R28" s="183"/>
      <c r="S28" s="184"/>
      <c r="T28" s="184"/>
      <c r="U28" s="184"/>
      <c r="V28" s="184"/>
      <c r="W28" s="184"/>
      <c r="X28" s="67"/>
      <c r="Y28" s="183"/>
      <c r="Z28" s="184"/>
      <c r="AA28" s="184"/>
      <c r="AB28" s="184"/>
      <c r="AC28" s="184"/>
      <c r="AD28" s="184"/>
    </row>
    <row r="29" spans="1:30" ht="60" customHeight="1" thickBot="1" x14ac:dyDescent="0.3">
      <c r="A29" s="242" t="s">
        <v>21</v>
      </c>
      <c r="B29" s="224" t="s">
        <v>104</v>
      </c>
      <c r="C29" s="45"/>
      <c r="D29" s="98" t="s">
        <v>32</v>
      </c>
      <c r="E29" s="99" t="s">
        <v>20</v>
      </c>
      <c r="F29" s="204" t="s">
        <v>94</v>
      </c>
      <c r="G29" s="205"/>
      <c r="H29" s="100" t="s">
        <v>23</v>
      </c>
      <c r="I29" s="101" t="s">
        <v>114</v>
      </c>
      <c r="J29" s="71"/>
      <c r="K29" s="98" t="s">
        <v>32</v>
      </c>
      <c r="L29" s="99" t="s">
        <v>20</v>
      </c>
      <c r="M29" s="204" t="s">
        <v>94</v>
      </c>
      <c r="N29" s="205"/>
      <c r="O29" s="100" t="s">
        <v>23</v>
      </c>
      <c r="P29" s="101" t="s">
        <v>114</v>
      </c>
      <c r="Q29" s="71"/>
      <c r="R29" s="98" t="s">
        <v>32</v>
      </c>
      <c r="S29" s="99" t="s">
        <v>20</v>
      </c>
      <c r="T29" s="204" t="s">
        <v>94</v>
      </c>
      <c r="U29" s="205"/>
      <c r="V29" s="100" t="s">
        <v>23</v>
      </c>
      <c r="W29" s="101" t="s">
        <v>114</v>
      </c>
      <c r="X29" s="67"/>
      <c r="Y29" s="98" t="s">
        <v>32</v>
      </c>
      <c r="Z29" s="99" t="s">
        <v>20</v>
      </c>
      <c r="AA29" s="204" t="s">
        <v>94</v>
      </c>
      <c r="AB29" s="205"/>
      <c r="AC29" s="100" t="s">
        <v>23</v>
      </c>
      <c r="AD29" s="101" t="s">
        <v>114</v>
      </c>
    </row>
    <row r="30" spans="1:30" ht="17.25" customHeight="1" x14ac:dyDescent="0.25">
      <c r="A30" s="243"/>
      <c r="B30" s="225"/>
      <c r="C30" s="43" t="s">
        <v>24</v>
      </c>
      <c r="D30" s="102"/>
      <c r="E30" s="85"/>
      <c r="F30" s="185"/>
      <c r="G30" s="186"/>
      <c r="H30" s="81"/>
      <c r="I30" s="81"/>
      <c r="J30" s="71"/>
      <c r="K30" s="102" t="s">
        <v>195</v>
      </c>
      <c r="L30" s="82" t="s">
        <v>196</v>
      </c>
      <c r="M30" s="185" t="s">
        <v>124</v>
      </c>
      <c r="N30" s="186"/>
      <c r="O30" s="83">
        <v>1</v>
      </c>
      <c r="P30" s="81" t="s">
        <v>197</v>
      </c>
      <c r="Q30" s="71"/>
      <c r="R30" s="102"/>
      <c r="S30" s="85"/>
      <c r="T30" s="185"/>
      <c r="U30" s="186"/>
      <c r="V30" s="81"/>
      <c r="W30" s="81"/>
      <c r="X30" s="67"/>
      <c r="Y30" s="102" t="s">
        <v>171</v>
      </c>
      <c r="Z30" s="83" t="s">
        <v>137</v>
      </c>
      <c r="AA30" s="185" t="s">
        <v>172</v>
      </c>
      <c r="AB30" s="186"/>
      <c r="AC30" s="81">
        <v>1</v>
      </c>
      <c r="AD30" s="81" t="s">
        <v>182</v>
      </c>
    </row>
    <row r="31" spans="1:30" ht="17.25" customHeight="1" x14ac:dyDescent="0.25">
      <c r="A31" s="243"/>
      <c r="B31" s="225"/>
      <c r="C31" s="16" t="s">
        <v>24</v>
      </c>
      <c r="D31" s="103" t="s">
        <v>134</v>
      </c>
      <c r="E31" s="85" t="s">
        <v>137</v>
      </c>
      <c r="F31" s="187" t="s">
        <v>124</v>
      </c>
      <c r="G31" s="188"/>
      <c r="H31" s="90">
        <v>1</v>
      </c>
      <c r="I31" s="83" t="s">
        <v>151</v>
      </c>
      <c r="J31" s="71"/>
      <c r="K31" s="103" t="s">
        <v>198</v>
      </c>
      <c r="L31" s="82" t="s">
        <v>196</v>
      </c>
      <c r="M31" s="187" t="s">
        <v>199</v>
      </c>
      <c r="N31" s="188"/>
      <c r="O31" s="83">
        <v>1</v>
      </c>
      <c r="P31" s="90" t="s">
        <v>200</v>
      </c>
      <c r="Q31" s="71"/>
      <c r="R31" s="103" t="s">
        <v>134</v>
      </c>
      <c r="S31" s="85" t="s">
        <v>137</v>
      </c>
      <c r="T31" s="187" t="s">
        <v>124</v>
      </c>
      <c r="U31" s="188"/>
      <c r="V31" s="90">
        <v>1</v>
      </c>
      <c r="W31" s="83" t="s">
        <v>151</v>
      </c>
      <c r="X31" s="67"/>
      <c r="Y31" s="103" t="s">
        <v>173</v>
      </c>
      <c r="Z31" s="83" t="s">
        <v>137</v>
      </c>
      <c r="AA31" s="187" t="s">
        <v>96</v>
      </c>
      <c r="AB31" s="188"/>
      <c r="AC31" s="81">
        <v>1</v>
      </c>
      <c r="AD31" s="90" t="s">
        <v>183</v>
      </c>
    </row>
    <row r="32" spans="1:30" ht="17.25" customHeight="1" x14ac:dyDescent="0.25">
      <c r="A32" s="243"/>
      <c r="B32" s="225"/>
      <c r="C32" s="16" t="s">
        <v>25</v>
      </c>
      <c r="D32" s="103" t="s">
        <v>131</v>
      </c>
      <c r="E32" s="85" t="s">
        <v>137</v>
      </c>
      <c r="F32" s="187" t="s">
        <v>97</v>
      </c>
      <c r="G32" s="188"/>
      <c r="H32" s="90">
        <v>1</v>
      </c>
      <c r="I32" s="83" t="s">
        <v>150</v>
      </c>
      <c r="J32" s="71"/>
      <c r="K32" s="103"/>
      <c r="L32" s="82"/>
      <c r="M32" s="104"/>
      <c r="N32" s="103"/>
      <c r="O32" s="83"/>
      <c r="P32" s="90"/>
      <c r="Q32" s="71"/>
      <c r="R32" s="103" t="s">
        <v>131</v>
      </c>
      <c r="S32" s="85" t="s">
        <v>137</v>
      </c>
      <c r="T32" s="187" t="s">
        <v>97</v>
      </c>
      <c r="U32" s="188"/>
      <c r="V32" s="90">
        <v>1</v>
      </c>
      <c r="W32" s="83" t="s">
        <v>150</v>
      </c>
      <c r="X32" s="67"/>
      <c r="Y32" s="103" t="s">
        <v>174</v>
      </c>
      <c r="Z32" s="83" t="s">
        <v>137</v>
      </c>
      <c r="AA32" s="187" t="s">
        <v>97</v>
      </c>
      <c r="AB32" s="188"/>
      <c r="AC32" s="81">
        <v>1</v>
      </c>
      <c r="AD32" s="90" t="s">
        <v>184</v>
      </c>
    </row>
    <row r="33" spans="1:31" ht="17.25" customHeight="1" x14ac:dyDescent="0.25">
      <c r="A33" s="243"/>
      <c r="B33" s="225"/>
      <c r="C33" s="16" t="s">
        <v>25</v>
      </c>
      <c r="D33" s="103"/>
      <c r="E33" s="85"/>
      <c r="F33" s="104"/>
      <c r="G33" s="103"/>
      <c r="H33" s="90"/>
      <c r="I33" s="83"/>
      <c r="J33" s="71"/>
      <c r="K33" s="103"/>
      <c r="L33" s="85"/>
      <c r="M33" s="187"/>
      <c r="N33" s="188"/>
      <c r="O33" s="83"/>
      <c r="P33" s="83"/>
      <c r="Q33" s="71"/>
      <c r="R33" s="103"/>
      <c r="S33" s="85"/>
      <c r="T33" s="104"/>
      <c r="U33" s="103"/>
      <c r="V33" s="90"/>
      <c r="W33" s="83"/>
      <c r="X33" s="67"/>
      <c r="Y33" s="103" t="s">
        <v>186</v>
      </c>
      <c r="Z33" s="83" t="s">
        <v>137</v>
      </c>
      <c r="AA33" s="104" t="s">
        <v>97</v>
      </c>
      <c r="AB33" s="103"/>
      <c r="AC33" s="81">
        <v>1</v>
      </c>
      <c r="AD33" s="90" t="s">
        <v>183</v>
      </c>
    </row>
    <row r="34" spans="1:31" ht="17.25" customHeight="1" x14ac:dyDescent="0.25">
      <c r="A34" s="243"/>
      <c r="B34" s="225"/>
      <c r="C34" s="16" t="s">
        <v>25</v>
      </c>
      <c r="D34" s="103"/>
      <c r="E34" s="85"/>
      <c r="F34" s="104"/>
      <c r="G34" s="103"/>
      <c r="H34" s="90"/>
      <c r="I34" s="83"/>
      <c r="J34" s="71"/>
      <c r="K34" s="103"/>
      <c r="L34" s="85"/>
      <c r="M34" s="187"/>
      <c r="N34" s="188"/>
      <c r="O34" s="83"/>
      <c r="P34" s="105"/>
      <c r="Q34" s="71"/>
      <c r="R34" s="103"/>
      <c r="S34" s="85"/>
      <c r="T34" s="104"/>
      <c r="U34" s="103"/>
      <c r="V34" s="90"/>
      <c r="W34" s="83"/>
      <c r="X34" s="67"/>
      <c r="Y34" s="103" t="s">
        <v>187</v>
      </c>
      <c r="Z34" s="83" t="s">
        <v>137</v>
      </c>
      <c r="AA34" s="104" t="s">
        <v>96</v>
      </c>
      <c r="AB34" s="103"/>
      <c r="AC34" s="81">
        <v>1</v>
      </c>
      <c r="AD34" s="90" t="s">
        <v>180</v>
      </c>
    </row>
    <row r="35" spans="1:31" x14ac:dyDescent="0.25">
      <c r="A35" s="243"/>
      <c r="B35" s="225"/>
      <c r="C35" s="16" t="s">
        <v>25</v>
      </c>
      <c r="D35" s="103" t="s">
        <v>129</v>
      </c>
      <c r="E35" s="85" t="s">
        <v>137</v>
      </c>
      <c r="F35" s="187" t="s">
        <v>130</v>
      </c>
      <c r="G35" s="188"/>
      <c r="H35" s="83">
        <v>1</v>
      </c>
      <c r="I35" s="83" t="s">
        <v>152</v>
      </c>
      <c r="J35" s="71"/>
      <c r="K35" s="103"/>
      <c r="L35" s="85"/>
      <c r="M35" s="187"/>
      <c r="N35" s="188"/>
      <c r="O35" s="83"/>
      <c r="P35" s="83"/>
      <c r="Q35" s="71"/>
      <c r="R35" s="103" t="s">
        <v>129</v>
      </c>
      <c r="S35" s="85" t="s">
        <v>137</v>
      </c>
      <c r="T35" s="187" t="s">
        <v>130</v>
      </c>
      <c r="U35" s="188"/>
      <c r="V35" s="83">
        <v>1</v>
      </c>
      <c r="W35" s="83" t="s">
        <v>152</v>
      </c>
      <c r="X35" s="67"/>
      <c r="Y35" s="103" t="s">
        <v>95</v>
      </c>
      <c r="Z35" s="83" t="s">
        <v>137</v>
      </c>
      <c r="AA35" s="191" t="s">
        <v>175</v>
      </c>
      <c r="AB35" s="191"/>
      <c r="AC35" s="81">
        <v>1</v>
      </c>
      <c r="AD35" s="83" t="s">
        <v>155</v>
      </c>
    </row>
    <row r="36" spans="1:31" x14ac:dyDescent="0.25">
      <c r="A36" s="243"/>
      <c r="B36" s="225"/>
      <c r="C36" s="16" t="s">
        <v>22</v>
      </c>
      <c r="D36" s="103"/>
      <c r="E36" s="85"/>
      <c r="F36" s="191"/>
      <c r="G36" s="191"/>
      <c r="H36" s="83"/>
      <c r="I36" s="83"/>
      <c r="J36" s="71"/>
      <c r="K36" s="103" t="s">
        <v>95</v>
      </c>
      <c r="L36" s="82" t="s">
        <v>196</v>
      </c>
      <c r="M36" s="191" t="s">
        <v>201</v>
      </c>
      <c r="N36" s="191"/>
      <c r="O36" s="83">
        <v>1</v>
      </c>
      <c r="P36" s="83" t="s">
        <v>202</v>
      </c>
      <c r="Q36" s="71"/>
      <c r="R36" s="103"/>
      <c r="S36" s="85"/>
      <c r="T36" s="191"/>
      <c r="U36" s="191"/>
      <c r="V36" s="83"/>
      <c r="W36" s="83"/>
      <c r="X36" s="67"/>
      <c r="Y36" s="103" t="s">
        <v>176</v>
      </c>
      <c r="Z36" s="83" t="s">
        <v>137</v>
      </c>
      <c r="AA36" s="187" t="s">
        <v>141</v>
      </c>
      <c r="AB36" s="188"/>
      <c r="AC36" s="81">
        <v>1</v>
      </c>
      <c r="AD36" s="83" t="s">
        <v>162</v>
      </c>
    </row>
    <row r="37" spans="1:31" ht="15.75" thickBot="1" x14ac:dyDescent="0.3">
      <c r="A37" s="243"/>
      <c r="B37" s="225"/>
      <c r="C37" s="16" t="s">
        <v>22</v>
      </c>
      <c r="D37" s="103"/>
      <c r="E37" s="85"/>
      <c r="F37" s="187"/>
      <c r="G37" s="188"/>
      <c r="H37" s="83"/>
      <c r="I37" s="105"/>
      <c r="J37" s="71"/>
      <c r="K37" s="103"/>
      <c r="L37" s="85"/>
      <c r="M37" s="187"/>
      <c r="N37" s="188"/>
      <c r="O37" s="83"/>
      <c r="P37" s="105"/>
      <c r="Q37" s="71"/>
      <c r="R37" s="103"/>
      <c r="S37" s="85"/>
      <c r="T37" s="187"/>
      <c r="U37" s="188"/>
      <c r="V37" s="83"/>
      <c r="W37" s="105"/>
      <c r="X37" s="67"/>
      <c r="Y37" s="106" t="s">
        <v>98</v>
      </c>
      <c r="Z37" s="83" t="s">
        <v>137</v>
      </c>
      <c r="AA37" s="189" t="s">
        <v>177</v>
      </c>
      <c r="AB37" s="190"/>
      <c r="AC37" s="81">
        <v>1</v>
      </c>
      <c r="AD37" s="105" t="s">
        <v>185</v>
      </c>
    </row>
    <row r="38" spans="1:31" ht="15.75" thickBot="1" x14ac:dyDescent="0.3">
      <c r="A38" s="243"/>
      <c r="B38" s="225"/>
      <c r="C38" s="44" t="s">
        <v>22</v>
      </c>
      <c r="D38" s="106"/>
      <c r="E38" s="96"/>
      <c r="F38" s="189"/>
      <c r="G38" s="190"/>
      <c r="H38" s="97"/>
      <c r="I38" s="107"/>
      <c r="J38" s="71"/>
      <c r="K38" s="106"/>
      <c r="L38" s="96"/>
      <c r="M38" s="189"/>
      <c r="N38" s="190"/>
      <c r="O38" s="97"/>
      <c r="P38" s="107"/>
      <c r="Q38" s="71"/>
      <c r="R38" s="106"/>
      <c r="S38" s="96"/>
      <c r="T38" s="189"/>
      <c r="U38" s="190"/>
      <c r="V38" s="97"/>
      <c r="W38" s="107"/>
      <c r="X38" s="67"/>
      <c r="Y38" s="106"/>
      <c r="Z38" s="96"/>
      <c r="AA38" s="189"/>
      <c r="AB38" s="190"/>
      <c r="AC38" s="97"/>
      <c r="AD38" s="107"/>
    </row>
    <row r="39" spans="1:31" s="35" customFormat="1" ht="15.75" thickBot="1" x14ac:dyDescent="0.3">
      <c r="A39" s="244"/>
      <c r="B39" s="226"/>
      <c r="C39" s="45" t="s">
        <v>69</v>
      </c>
      <c r="D39" s="259"/>
      <c r="E39" s="259"/>
      <c r="F39" s="259"/>
      <c r="G39" s="205"/>
      <c r="H39" s="77"/>
      <c r="I39" s="108"/>
      <c r="J39" s="109"/>
      <c r="K39" s="259"/>
      <c r="L39" s="259"/>
      <c r="M39" s="259"/>
      <c r="N39" s="205"/>
      <c r="O39" s="77"/>
      <c r="P39" s="108"/>
      <c r="Q39" s="109"/>
      <c r="R39" s="259"/>
      <c r="S39" s="259"/>
      <c r="T39" s="259"/>
      <c r="U39" s="205"/>
      <c r="V39" s="77"/>
      <c r="W39" s="108"/>
      <c r="X39" s="109"/>
      <c r="Y39" s="259"/>
      <c r="Z39" s="259"/>
      <c r="AA39" s="259"/>
      <c r="AB39" s="205"/>
      <c r="AC39" s="77"/>
      <c r="AD39" s="108"/>
      <c r="AE39" s="36"/>
    </row>
    <row r="40" spans="1:31" ht="15.75" thickBot="1" x14ac:dyDescent="0.3">
      <c r="A40" s="11"/>
      <c r="B40" s="14"/>
      <c r="C40" s="14"/>
      <c r="D40" s="183"/>
      <c r="E40" s="184"/>
      <c r="F40" s="184"/>
      <c r="G40" s="184"/>
      <c r="H40" s="184"/>
      <c r="I40" s="184"/>
      <c r="J40" s="71"/>
      <c r="K40" s="183"/>
      <c r="L40" s="184"/>
      <c r="M40" s="184"/>
      <c r="N40" s="184"/>
      <c r="O40" s="184"/>
      <c r="P40" s="184"/>
      <c r="Q40" s="71"/>
      <c r="R40" s="183"/>
      <c r="S40" s="184"/>
      <c r="T40" s="184"/>
      <c r="U40" s="184"/>
      <c r="V40" s="184"/>
      <c r="W40" s="184"/>
      <c r="X40" s="67"/>
      <c r="Y40" s="183"/>
      <c r="Z40" s="184"/>
      <c r="AA40" s="184"/>
      <c r="AB40" s="184"/>
      <c r="AC40" s="184"/>
      <c r="AD40" s="184"/>
    </row>
    <row r="41" spans="1:31" ht="15.75" customHeight="1" thickBot="1" x14ac:dyDescent="0.3">
      <c r="A41" s="249" t="s">
        <v>26</v>
      </c>
      <c r="B41" s="250" t="s">
        <v>105</v>
      </c>
      <c r="C41" s="46"/>
      <c r="D41" s="253" t="s">
        <v>9</v>
      </c>
      <c r="E41" s="254"/>
      <c r="F41" s="255" t="s">
        <v>10</v>
      </c>
      <c r="G41" s="253"/>
      <c r="H41" s="254"/>
      <c r="I41" s="110" t="s">
        <v>113</v>
      </c>
      <c r="J41" s="111" t="s">
        <v>9</v>
      </c>
      <c r="K41" s="253" t="s">
        <v>9</v>
      </c>
      <c r="L41" s="254"/>
      <c r="M41" s="255" t="s">
        <v>10</v>
      </c>
      <c r="N41" s="253"/>
      <c r="O41" s="254"/>
      <c r="P41" s="110" t="s">
        <v>113</v>
      </c>
      <c r="Q41" s="111"/>
      <c r="R41" s="253" t="s">
        <v>9</v>
      </c>
      <c r="S41" s="254"/>
      <c r="T41" s="255" t="s">
        <v>10</v>
      </c>
      <c r="U41" s="253"/>
      <c r="V41" s="254"/>
      <c r="W41" s="110" t="s">
        <v>113</v>
      </c>
      <c r="X41" s="111"/>
      <c r="Y41" s="253" t="s">
        <v>9</v>
      </c>
      <c r="Z41" s="254"/>
      <c r="AA41" s="255" t="s">
        <v>10</v>
      </c>
      <c r="AB41" s="253"/>
      <c r="AC41" s="254"/>
      <c r="AD41" s="110" t="s">
        <v>113</v>
      </c>
      <c r="AE41" s="56"/>
    </row>
    <row r="42" spans="1:31" ht="15" customHeight="1" x14ac:dyDescent="0.25">
      <c r="A42" s="249"/>
      <c r="B42" s="251"/>
      <c r="C42" s="15" t="s">
        <v>27</v>
      </c>
      <c r="D42" s="245"/>
      <c r="E42" s="246"/>
      <c r="F42" s="256" t="s">
        <v>100</v>
      </c>
      <c r="G42" s="257"/>
      <c r="H42" s="258"/>
      <c r="I42" s="112" t="s">
        <v>157</v>
      </c>
      <c r="J42" s="71"/>
      <c r="K42" s="245"/>
      <c r="L42" s="246"/>
      <c r="M42" s="256" t="s">
        <v>100</v>
      </c>
      <c r="N42" s="257"/>
      <c r="O42" s="258"/>
      <c r="P42" s="112" t="s">
        <v>149</v>
      </c>
      <c r="Q42" s="71"/>
      <c r="R42" s="245"/>
      <c r="S42" s="246"/>
      <c r="T42" s="256" t="s">
        <v>100</v>
      </c>
      <c r="U42" s="257"/>
      <c r="V42" s="258"/>
      <c r="W42" s="112" t="s">
        <v>157</v>
      </c>
      <c r="X42" s="67"/>
      <c r="Y42" s="245"/>
      <c r="Z42" s="246"/>
      <c r="AA42" s="256" t="s">
        <v>100</v>
      </c>
      <c r="AB42" s="257"/>
      <c r="AC42" s="258"/>
      <c r="AD42" s="112" t="s">
        <v>142</v>
      </c>
    </row>
    <row r="43" spans="1:31" x14ac:dyDescent="0.25">
      <c r="A43" s="249"/>
      <c r="B43" s="251"/>
      <c r="C43" s="15" t="s">
        <v>28</v>
      </c>
      <c r="D43" s="247"/>
      <c r="E43" s="248"/>
      <c r="F43" s="260"/>
      <c r="G43" s="247"/>
      <c r="H43" s="248"/>
      <c r="I43" s="113"/>
      <c r="J43" s="71"/>
      <c r="K43" s="247"/>
      <c r="L43" s="248"/>
      <c r="M43" s="260"/>
      <c r="N43" s="247"/>
      <c r="O43" s="248"/>
      <c r="P43" s="113"/>
      <c r="Q43" s="71"/>
      <c r="R43" s="247"/>
      <c r="S43" s="248"/>
      <c r="T43" s="260"/>
      <c r="U43" s="247"/>
      <c r="V43" s="248"/>
      <c r="W43" s="113"/>
      <c r="X43" s="67"/>
      <c r="Y43" s="247"/>
      <c r="Z43" s="248"/>
      <c r="AA43" s="260"/>
      <c r="AB43" s="247"/>
      <c r="AC43" s="248"/>
      <c r="AD43" s="113"/>
    </row>
    <row r="44" spans="1:31" ht="15.75" thickBot="1" x14ac:dyDescent="0.3">
      <c r="A44" s="249"/>
      <c r="B44" s="252"/>
      <c r="C44" s="47" t="s">
        <v>29</v>
      </c>
      <c r="D44" s="240"/>
      <c r="E44" s="241"/>
      <c r="F44" s="272"/>
      <c r="G44" s="240"/>
      <c r="H44" s="241"/>
      <c r="I44" s="75"/>
      <c r="J44" s="71"/>
      <c r="K44" s="240"/>
      <c r="L44" s="241"/>
      <c r="M44" s="272"/>
      <c r="N44" s="240"/>
      <c r="O44" s="241"/>
      <c r="P44" s="75"/>
      <c r="Q44" s="71"/>
      <c r="R44" s="240"/>
      <c r="S44" s="241"/>
      <c r="T44" s="272"/>
      <c r="U44" s="240"/>
      <c r="V44" s="241"/>
      <c r="W44" s="75"/>
      <c r="X44" s="67"/>
      <c r="Y44" s="240"/>
      <c r="Z44" s="241"/>
      <c r="AA44" s="272"/>
      <c r="AB44" s="240"/>
      <c r="AC44" s="241"/>
      <c r="AD44" s="75"/>
    </row>
    <row r="45" spans="1:31" ht="15.75" thickBot="1" x14ac:dyDescent="0.3">
      <c r="A45" s="11"/>
      <c r="B45" s="14"/>
      <c r="C45" s="14"/>
      <c r="D45" s="183"/>
      <c r="E45" s="184"/>
      <c r="F45" s="184"/>
      <c r="G45" s="184"/>
      <c r="H45" s="184"/>
      <c r="I45" s="184"/>
      <c r="J45" s="71"/>
      <c r="K45" s="183"/>
      <c r="L45" s="184"/>
      <c r="M45" s="184"/>
      <c r="N45" s="184"/>
      <c r="O45" s="184"/>
      <c r="P45" s="184"/>
      <c r="Q45" s="71"/>
      <c r="R45" s="183"/>
      <c r="S45" s="184"/>
      <c r="T45" s="184"/>
      <c r="U45" s="184"/>
      <c r="V45" s="184"/>
      <c r="W45" s="184"/>
      <c r="X45" s="67"/>
      <c r="Y45" s="183"/>
      <c r="Z45" s="184"/>
      <c r="AA45" s="184"/>
      <c r="AB45" s="184"/>
      <c r="AC45" s="184"/>
      <c r="AD45" s="184"/>
    </row>
    <row r="46" spans="1:31" ht="15" customHeight="1" thickBot="1" x14ac:dyDescent="0.3">
      <c r="A46" s="261" t="s">
        <v>30</v>
      </c>
      <c r="B46" s="263" t="s">
        <v>106</v>
      </c>
      <c r="C46" s="55"/>
      <c r="D46" s="114" t="s">
        <v>9</v>
      </c>
      <c r="E46" s="266" t="s">
        <v>88</v>
      </c>
      <c r="F46" s="267"/>
      <c r="G46" s="268" t="s">
        <v>127</v>
      </c>
      <c r="H46" s="268"/>
      <c r="I46" s="268"/>
      <c r="J46" s="71"/>
      <c r="K46" s="114" t="s">
        <v>9</v>
      </c>
      <c r="L46" s="266" t="s">
        <v>88</v>
      </c>
      <c r="M46" s="267"/>
      <c r="N46" s="268" t="s">
        <v>127</v>
      </c>
      <c r="O46" s="268"/>
      <c r="P46" s="268"/>
      <c r="Q46" s="71"/>
      <c r="R46" s="114" t="s">
        <v>9</v>
      </c>
      <c r="S46" s="266" t="s">
        <v>88</v>
      </c>
      <c r="T46" s="267"/>
      <c r="U46" s="268" t="s">
        <v>127</v>
      </c>
      <c r="V46" s="268"/>
      <c r="W46" s="268"/>
      <c r="X46" s="67"/>
      <c r="Y46" s="114" t="s">
        <v>9</v>
      </c>
      <c r="Z46" s="266" t="s">
        <v>88</v>
      </c>
      <c r="AA46" s="267"/>
      <c r="AB46" s="268" t="s">
        <v>127</v>
      </c>
      <c r="AC46" s="268"/>
      <c r="AD46" s="268"/>
    </row>
    <row r="47" spans="1:31" ht="15" customHeight="1" x14ac:dyDescent="0.25">
      <c r="A47" s="262"/>
      <c r="B47" s="264"/>
      <c r="C47" s="54" t="s">
        <v>34</v>
      </c>
      <c r="D47" s="115"/>
      <c r="E47" s="269">
        <v>6.4</v>
      </c>
      <c r="F47" s="270"/>
      <c r="G47" s="271">
        <v>159</v>
      </c>
      <c r="H47" s="271"/>
      <c r="I47" s="271"/>
      <c r="J47" s="71"/>
      <c r="K47" s="115"/>
      <c r="L47" s="269">
        <v>2.1</v>
      </c>
      <c r="M47" s="270"/>
      <c r="N47" s="271">
        <v>206.1</v>
      </c>
      <c r="O47" s="271"/>
      <c r="P47" s="271"/>
      <c r="Q47" s="71"/>
      <c r="R47" s="115"/>
      <c r="S47" s="269">
        <v>6.4</v>
      </c>
      <c r="T47" s="270"/>
      <c r="U47" s="271">
        <v>159</v>
      </c>
      <c r="V47" s="271"/>
      <c r="W47" s="271"/>
      <c r="X47" s="67"/>
      <c r="Y47" s="115"/>
      <c r="Z47" s="269">
        <v>3</v>
      </c>
      <c r="AA47" s="270"/>
      <c r="AB47" s="271">
        <v>360</v>
      </c>
      <c r="AC47" s="271"/>
      <c r="AD47" s="271"/>
    </row>
    <row r="48" spans="1:31" ht="15.75" thickBot="1" x14ac:dyDescent="0.3">
      <c r="A48" s="262"/>
      <c r="B48" s="265"/>
      <c r="C48" s="53" t="s">
        <v>33</v>
      </c>
      <c r="D48" s="116"/>
      <c r="E48" s="273"/>
      <c r="F48" s="220"/>
      <c r="G48" s="274"/>
      <c r="H48" s="274"/>
      <c r="I48" s="274"/>
      <c r="J48" s="71"/>
      <c r="K48" s="116"/>
      <c r="L48" s="273"/>
      <c r="M48" s="220"/>
      <c r="N48" s="274"/>
      <c r="O48" s="274"/>
      <c r="P48" s="274"/>
      <c r="Q48" s="71"/>
      <c r="R48" s="116"/>
      <c r="S48" s="273"/>
      <c r="T48" s="220"/>
      <c r="U48" s="274"/>
      <c r="V48" s="274"/>
      <c r="W48" s="274"/>
      <c r="X48" s="67"/>
      <c r="Y48" s="116"/>
      <c r="Z48" s="273"/>
      <c r="AA48" s="220"/>
      <c r="AB48" s="274"/>
      <c r="AC48" s="274"/>
      <c r="AD48" s="274"/>
    </row>
    <row r="49" spans="1:31" ht="15.75" thickBot="1" x14ac:dyDescent="0.3">
      <c r="A49" s="11"/>
      <c r="B49" s="14"/>
      <c r="C49" s="14"/>
      <c r="D49" s="183"/>
      <c r="E49" s="184"/>
      <c r="F49" s="184"/>
      <c r="G49" s="184"/>
      <c r="H49" s="184"/>
      <c r="I49" s="184"/>
      <c r="J49" s="71"/>
      <c r="K49" s="183"/>
      <c r="L49" s="184"/>
      <c r="M49" s="184"/>
      <c r="N49" s="184"/>
      <c r="O49" s="184"/>
      <c r="P49" s="184"/>
      <c r="Q49" s="71"/>
      <c r="R49" s="183"/>
      <c r="S49" s="184"/>
      <c r="T49" s="184"/>
      <c r="U49" s="184"/>
      <c r="V49" s="184"/>
      <c r="W49" s="184"/>
      <c r="X49" s="67"/>
      <c r="Y49" s="183"/>
      <c r="Z49" s="184"/>
      <c r="AA49" s="184"/>
      <c r="AB49" s="184"/>
      <c r="AC49" s="184"/>
      <c r="AD49" s="184"/>
    </row>
    <row r="50" spans="1:31" ht="15" customHeight="1" x14ac:dyDescent="0.25">
      <c r="A50" s="242" t="s">
        <v>31</v>
      </c>
      <c r="B50" s="275" t="s">
        <v>111</v>
      </c>
      <c r="C50" s="52" t="s">
        <v>35</v>
      </c>
      <c r="D50" s="278">
        <v>28</v>
      </c>
      <c r="E50" s="279"/>
      <c r="F50" s="279"/>
      <c r="G50" s="279"/>
      <c r="H50" s="279"/>
      <c r="I50" s="279"/>
      <c r="J50" s="71"/>
      <c r="K50" s="278">
        <v>135</v>
      </c>
      <c r="L50" s="279"/>
      <c r="M50" s="279"/>
      <c r="N50" s="279"/>
      <c r="O50" s="279"/>
      <c r="P50" s="279"/>
      <c r="Q50" s="71"/>
      <c r="R50" s="278">
        <v>28</v>
      </c>
      <c r="S50" s="279"/>
      <c r="T50" s="279"/>
      <c r="U50" s="279"/>
      <c r="V50" s="279"/>
      <c r="W50" s="279"/>
      <c r="X50" s="67"/>
      <c r="Y50" s="278">
        <v>38</v>
      </c>
      <c r="Z50" s="279"/>
      <c r="AA50" s="279"/>
      <c r="AB50" s="279"/>
      <c r="AC50" s="279"/>
      <c r="AD50" s="279"/>
    </row>
    <row r="51" spans="1:31" x14ac:dyDescent="0.25">
      <c r="A51" s="243"/>
      <c r="B51" s="276"/>
      <c r="C51" s="18" t="s">
        <v>70</v>
      </c>
      <c r="D51" s="188">
        <v>270</v>
      </c>
      <c r="E51" s="191"/>
      <c r="F51" s="191"/>
      <c r="G51" s="191"/>
      <c r="H51" s="191"/>
      <c r="I51" s="191"/>
      <c r="J51" s="71"/>
      <c r="K51" s="188">
        <v>94</v>
      </c>
      <c r="L51" s="191"/>
      <c r="M51" s="191"/>
      <c r="N51" s="191"/>
      <c r="O51" s="191"/>
      <c r="P51" s="191"/>
      <c r="Q51" s="71"/>
      <c r="R51" s="188">
        <v>270</v>
      </c>
      <c r="S51" s="191"/>
      <c r="T51" s="191"/>
      <c r="U51" s="191"/>
      <c r="V51" s="191"/>
      <c r="W51" s="191"/>
      <c r="X51" s="67"/>
      <c r="Y51" s="188">
        <v>308</v>
      </c>
      <c r="Z51" s="191"/>
      <c r="AA51" s="191"/>
      <c r="AB51" s="191"/>
      <c r="AC51" s="191"/>
      <c r="AD51" s="191"/>
    </row>
    <row r="52" spans="1:31" x14ac:dyDescent="0.25">
      <c r="A52" s="243"/>
      <c r="B52" s="276"/>
      <c r="C52" s="18" t="s">
        <v>41</v>
      </c>
      <c r="D52" s="188">
        <v>54</v>
      </c>
      <c r="E52" s="191"/>
      <c r="F52" s="191"/>
      <c r="G52" s="191"/>
      <c r="H52" s="191"/>
      <c r="I52" s="191"/>
      <c r="J52" s="71"/>
      <c r="K52" s="188">
        <v>46</v>
      </c>
      <c r="L52" s="191"/>
      <c r="M52" s="191"/>
      <c r="N52" s="191"/>
      <c r="O52" s="191"/>
      <c r="P52" s="191"/>
      <c r="Q52" s="71"/>
      <c r="R52" s="188">
        <v>54</v>
      </c>
      <c r="S52" s="191"/>
      <c r="T52" s="191"/>
      <c r="U52" s="191"/>
      <c r="V52" s="191"/>
      <c r="W52" s="191"/>
      <c r="X52" s="67"/>
      <c r="Y52" s="188">
        <v>135</v>
      </c>
      <c r="Z52" s="191"/>
      <c r="AA52" s="191"/>
      <c r="AB52" s="191"/>
      <c r="AC52" s="191"/>
      <c r="AD52" s="191"/>
    </row>
    <row r="53" spans="1:31" x14ac:dyDescent="0.25">
      <c r="A53" s="243"/>
      <c r="B53" s="276"/>
      <c r="C53" s="18" t="s">
        <v>42</v>
      </c>
      <c r="D53" s="188">
        <v>102</v>
      </c>
      <c r="E53" s="191"/>
      <c r="F53" s="191"/>
      <c r="G53" s="191"/>
      <c r="H53" s="191"/>
      <c r="I53" s="191"/>
      <c r="J53" s="71"/>
      <c r="K53" s="188">
        <v>89</v>
      </c>
      <c r="L53" s="191"/>
      <c r="M53" s="191"/>
      <c r="N53" s="191"/>
      <c r="O53" s="191"/>
      <c r="P53" s="191"/>
      <c r="Q53" s="71"/>
      <c r="R53" s="188">
        <v>102</v>
      </c>
      <c r="S53" s="191"/>
      <c r="T53" s="191"/>
      <c r="U53" s="191"/>
      <c r="V53" s="191"/>
      <c r="W53" s="191"/>
      <c r="X53" s="67"/>
      <c r="Y53" s="188">
        <v>96</v>
      </c>
      <c r="Z53" s="191"/>
      <c r="AA53" s="191"/>
      <c r="AB53" s="191"/>
      <c r="AC53" s="191"/>
      <c r="AD53" s="191"/>
    </row>
    <row r="54" spans="1:31" x14ac:dyDescent="0.25">
      <c r="A54" s="243"/>
      <c r="B54" s="276"/>
      <c r="C54" s="16" t="s">
        <v>43</v>
      </c>
      <c r="D54" s="280"/>
      <c r="E54" s="281"/>
      <c r="F54" s="281"/>
      <c r="G54" s="281"/>
      <c r="H54" s="281"/>
      <c r="I54" s="281"/>
      <c r="J54" s="71"/>
      <c r="K54" s="280"/>
      <c r="L54" s="281"/>
      <c r="M54" s="281"/>
      <c r="N54" s="281"/>
      <c r="O54" s="281"/>
      <c r="P54" s="281"/>
      <c r="Q54" s="71"/>
      <c r="R54" s="280"/>
      <c r="S54" s="281"/>
      <c r="T54" s="281"/>
      <c r="U54" s="281"/>
      <c r="V54" s="281"/>
      <c r="W54" s="281"/>
      <c r="X54" s="67"/>
      <c r="Y54" s="280"/>
      <c r="Z54" s="281"/>
      <c r="AA54" s="281"/>
      <c r="AB54" s="281"/>
      <c r="AC54" s="281"/>
      <c r="AD54" s="281"/>
    </row>
    <row r="55" spans="1:31" x14ac:dyDescent="0.25">
      <c r="A55" s="243"/>
      <c r="B55" s="276"/>
      <c r="C55" s="16" t="s">
        <v>44</v>
      </c>
      <c r="D55" s="280"/>
      <c r="E55" s="281"/>
      <c r="F55" s="281"/>
      <c r="G55" s="281"/>
      <c r="H55" s="281"/>
      <c r="I55" s="281"/>
      <c r="J55" s="71"/>
      <c r="K55" s="280"/>
      <c r="L55" s="281"/>
      <c r="M55" s="281"/>
      <c r="N55" s="281"/>
      <c r="O55" s="281"/>
      <c r="P55" s="281"/>
      <c r="Q55" s="71"/>
      <c r="R55" s="280"/>
      <c r="S55" s="281"/>
      <c r="T55" s="281"/>
      <c r="U55" s="281"/>
      <c r="V55" s="281"/>
      <c r="W55" s="281"/>
      <c r="X55" s="67"/>
      <c r="Y55" s="280"/>
      <c r="Z55" s="281"/>
      <c r="AA55" s="281"/>
      <c r="AB55" s="281"/>
      <c r="AC55" s="281"/>
      <c r="AD55" s="281"/>
    </row>
    <row r="56" spans="1:31" x14ac:dyDescent="0.25">
      <c r="A56" s="243"/>
      <c r="B56" s="276"/>
      <c r="C56" s="18" t="s">
        <v>45</v>
      </c>
      <c r="D56" s="280">
        <v>12</v>
      </c>
      <c r="E56" s="281"/>
      <c r="F56" s="281"/>
      <c r="G56" s="281"/>
      <c r="H56" s="281"/>
      <c r="I56" s="281"/>
      <c r="J56" s="71"/>
      <c r="K56" s="280">
        <v>13</v>
      </c>
      <c r="L56" s="281"/>
      <c r="M56" s="281"/>
      <c r="N56" s="281"/>
      <c r="O56" s="281"/>
      <c r="P56" s="281"/>
      <c r="Q56" s="71"/>
      <c r="R56" s="280">
        <v>12</v>
      </c>
      <c r="S56" s="281"/>
      <c r="T56" s="281"/>
      <c r="U56" s="281"/>
      <c r="V56" s="281"/>
      <c r="W56" s="281"/>
      <c r="X56" s="67"/>
      <c r="Y56" s="280">
        <v>4</v>
      </c>
      <c r="Z56" s="281"/>
      <c r="AA56" s="281"/>
      <c r="AB56" s="281"/>
      <c r="AC56" s="281"/>
      <c r="AD56" s="281"/>
    </row>
    <row r="57" spans="1:31" x14ac:dyDescent="0.25">
      <c r="A57" s="243"/>
      <c r="B57" s="276"/>
      <c r="C57" s="16" t="s">
        <v>46</v>
      </c>
      <c r="D57" s="188" t="s">
        <v>163</v>
      </c>
      <c r="E57" s="191"/>
      <c r="F57" s="191"/>
      <c r="G57" s="191"/>
      <c r="H57" s="191"/>
      <c r="I57" s="191"/>
      <c r="J57" s="71"/>
      <c r="K57" s="188" t="s">
        <v>204</v>
      </c>
      <c r="L57" s="191"/>
      <c r="M57" s="191"/>
      <c r="N57" s="191"/>
      <c r="O57" s="191"/>
      <c r="P57" s="191"/>
      <c r="Q57" s="71"/>
      <c r="R57" s="188" t="s">
        <v>163</v>
      </c>
      <c r="S57" s="191"/>
      <c r="T57" s="191"/>
      <c r="U57" s="191"/>
      <c r="V57" s="191"/>
      <c r="W57" s="191"/>
      <c r="X57" s="67"/>
      <c r="Y57" s="188" t="s">
        <v>190</v>
      </c>
      <c r="Z57" s="191"/>
      <c r="AA57" s="191"/>
      <c r="AB57" s="191"/>
      <c r="AC57" s="191"/>
      <c r="AD57" s="191"/>
    </row>
    <row r="58" spans="1:31" ht="15" customHeight="1" x14ac:dyDescent="0.25">
      <c r="A58" s="243"/>
      <c r="B58" s="276"/>
      <c r="C58" s="284" t="s">
        <v>71</v>
      </c>
      <c r="D58" s="280"/>
      <c r="E58" s="281"/>
      <c r="F58" s="281"/>
      <c r="G58" s="281"/>
      <c r="H58" s="281"/>
      <c r="I58" s="281"/>
      <c r="J58" s="117"/>
      <c r="K58" s="280"/>
      <c r="L58" s="281"/>
      <c r="M58" s="281"/>
      <c r="N58" s="281"/>
      <c r="O58" s="281"/>
      <c r="P58" s="281"/>
      <c r="Q58" s="117"/>
      <c r="R58" s="280"/>
      <c r="S58" s="281"/>
      <c r="T58" s="281"/>
      <c r="U58" s="281"/>
      <c r="V58" s="281"/>
      <c r="W58" s="281"/>
      <c r="X58" s="117"/>
      <c r="Y58" s="280"/>
      <c r="Z58" s="281"/>
      <c r="AA58" s="281"/>
      <c r="AB58" s="281"/>
      <c r="AC58" s="281"/>
      <c r="AD58" s="281"/>
      <c r="AE58" s="37"/>
    </row>
    <row r="59" spans="1:31" ht="15.75" thickBot="1" x14ac:dyDescent="0.3">
      <c r="A59" s="244"/>
      <c r="B59" s="277"/>
      <c r="C59" s="285"/>
      <c r="D59" s="282"/>
      <c r="E59" s="283"/>
      <c r="F59" s="283"/>
      <c r="G59" s="283"/>
      <c r="H59" s="283"/>
      <c r="I59" s="283"/>
      <c r="J59" s="117"/>
      <c r="K59" s="282"/>
      <c r="L59" s="283"/>
      <c r="M59" s="283"/>
      <c r="N59" s="283"/>
      <c r="O59" s="283"/>
      <c r="P59" s="283"/>
      <c r="Q59" s="117"/>
      <c r="R59" s="282"/>
      <c r="S59" s="283"/>
      <c r="T59" s="283"/>
      <c r="U59" s="283"/>
      <c r="V59" s="283"/>
      <c r="W59" s="283"/>
      <c r="X59" s="117"/>
      <c r="Y59" s="282"/>
      <c r="Z59" s="283"/>
      <c r="AA59" s="283"/>
      <c r="AB59" s="283"/>
      <c r="AC59" s="283"/>
      <c r="AD59" s="283"/>
      <c r="AE59" s="37"/>
    </row>
    <row r="60" spans="1:31" x14ac:dyDescent="0.25">
      <c r="D60" s="118"/>
      <c r="E60" s="118"/>
      <c r="F60" s="118"/>
      <c r="G60" s="118"/>
      <c r="H60" s="118"/>
      <c r="I60" s="118"/>
      <c r="J60" s="71"/>
      <c r="K60" s="118"/>
      <c r="L60" s="118"/>
      <c r="M60" s="118"/>
      <c r="N60" s="118"/>
      <c r="O60" s="118"/>
      <c r="P60" s="118"/>
      <c r="Q60" s="71"/>
      <c r="R60" s="118"/>
      <c r="S60" s="118"/>
      <c r="T60" s="118"/>
      <c r="U60" s="118"/>
      <c r="V60" s="118"/>
      <c r="W60" s="118"/>
      <c r="X60" s="67"/>
      <c r="Y60" s="118"/>
      <c r="Z60" s="118"/>
      <c r="AA60" s="118"/>
      <c r="AB60" s="118"/>
      <c r="AC60" s="118"/>
      <c r="AD60" s="118"/>
    </row>
    <row r="61" spans="1:31" x14ac:dyDescent="0.25">
      <c r="D61" s="118"/>
      <c r="E61" s="118"/>
      <c r="F61" s="118"/>
      <c r="G61" s="118"/>
      <c r="H61" s="118"/>
      <c r="I61" s="118"/>
      <c r="J61" s="71"/>
      <c r="K61" s="118"/>
      <c r="L61" s="118"/>
      <c r="M61" s="118"/>
      <c r="N61" s="118"/>
      <c r="O61" s="118"/>
      <c r="P61" s="118"/>
      <c r="Q61" s="71"/>
      <c r="R61" s="118"/>
      <c r="S61" s="118"/>
      <c r="T61" s="118"/>
      <c r="U61" s="118"/>
      <c r="V61" s="118"/>
      <c r="W61" s="118"/>
      <c r="X61" s="67"/>
      <c r="Y61" s="118"/>
      <c r="Z61" s="118"/>
      <c r="AA61" s="118"/>
      <c r="AB61" s="118"/>
      <c r="AC61" s="118"/>
      <c r="AD61" s="118"/>
    </row>
    <row r="62" spans="1:31" x14ac:dyDescent="0.25">
      <c r="D62" s="118"/>
      <c r="E62" s="118"/>
      <c r="F62" s="118"/>
      <c r="G62" s="118"/>
      <c r="H62" s="118"/>
      <c r="I62" s="118"/>
      <c r="J62" s="71"/>
      <c r="K62" s="118"/>
      <c r="L62" s="118"/>
      <c r="M62" s="118"/>
      <c r="N62" s="118"/>
      <c r="O62" s="118"/>
      <c r="P62" s="118"/>
      <c r="Q62" s="71"/>
      <c r="R62" s="118"/>
      <c r="S62" s="118"/>
      <c r="T62" s="118"/>
      <c r="U62" s="118"/>
      <c r="V62" s="118"/>
      <c r="W62" s="118"/>
      <c r="X62" s="67"/>
      <c r="Y62" s="118"/>
      <c r="Z62" s="118"/>
      <c r="AA62" s="118"/>
      <c r="AB62" s="118"/>
      <c r="AC62" s="118"/>
      <c r="AD62" s="118"/>
    </row>
    <row r="63" spans="1:31" x14ac:dyDescent="0.25">
      <c r="D63" s="118"/>
      <c r="E63" s="118"/>
      <c r="F63" s="118"/>
      <c r="G63" s="118"/>
      <c r="H63" s="118"/>
      <c r="I63" s="118"/>
      <c r="J63" s="71"/>
      <c r="K63" s="118"/>
      <c r="L63" s="118"/>
      <c r="M63" s="118"/>
      <c r="N63" s="118"/>
      <c r="O63" s="118"/>
      <c r="P63" s="118"/>
      <c r="Q63" s="71"/>
      <c r="R63" s="118"/>
      <c r="S63" s="118"/>
      <c r="T63" s="118"/>
      <c r="U63" s="118"/>
      <c r="V63" s="118"/>
      <c r="W63" s="118"/>
      <c r="X63" s="67"/>
      <c r="Y63" s="118"/>
      <c r="Z63" s="118"/>
      <c r="AA63" s="118"/>
      <c r="AB63" s="118"/>
      <c r="AC63" s="118"/>
      <c r="AD63" s="118"/>
    </row>
    <row r="64" spans="1:31" x14ac:dyDescent="0.25">
      <c r="D64" s="118"/>
      <c r="E64" s="118"/>
      <c r="F64" s="118"/>
      <c r="G64" s="118"/>
      <c r="H64" s="118"/>
      <c r="I64" s="118"/>
      <c r="J64" s="71"/>
      <c r="K64" s="118"/>
      <c r="L64" s="118"/>
      <c r="M64" s="118"/>
      <c r="N64" s="118"/>
      <c r="O64" s="118"/>
      <c r="P64" s="118"/>
      <c r="Q64" s="71"/>
      <c r="R64" s="118"/>
      <c r="S64" s="118"/>
      <c r="T64" s="118"/>
      <c r="U64" s="118"/>
      <c r="V64" s="118"/>
      <c r="W64" s="118"/>
      <c r="X64" s="67"/>
      <c r="Y64" s="118"/>
      <c r="Z64" s="118"/>
      <c r="AA64" s="118"/>
      <c r="AB64" s="118"/>
      <c r="AC64" s="118"/>
      <c r="AD64" s="118"/>
    </row>
    <row r="65" spans="4:30" x14ac:dyDescent="0.25">
      <c r="D65" s="118"/>
      <c r="E65" s="118"/>
      <c r="F65" s="118"/>
      <c r="G65" s="118"/>
      <c r="H65" s="118"/>
      <c r="I65" s="118"/>
      <c r="J65" s="71"/>
      <c r="K65" s="118"/>
      <c r="L65" s="118"/>
      <c r="M65" s="118"/>
      <c r="N65" s="118"/>
      <c r="O65" s="118"/>
      <c r="P65" s="118"/>
      <c r="Q65" s="71"/>
      <c r="R65" s="118"/>
      <c r="S65" s="118"/>
      <c r="T65" s="118"/>
      <c r="U65" s="118"/>
      <c r="V65" s="118"/>
      <c r="W65" s="118"/>
      <c r="X65" s="67"/>
      <c r="Y65" s="118"/>
      <c r="Z65" s="118"/>
      <c r="AA65" s="118"/>
      <c r="AB65" s="118"/>
      <c r="AC65" s="118"/>
      <c r="AD65" s="118"/>
    </row>
    <row r="66" spans="4:30" x14ac:dyDescent="0.25">
      <c r="D66" s="118"/>
      <c r="E66" s="118"/>
      <c r="F66" s="118"/>
      <c r="G66" s="118"/>
      <c r="H66" s="118"/>
      <c r="I66" s="118"/>
      <c r="J66" s="71"/>
      <c r="K66" s="118"/>
      <c r="L66" s="118"/>
      <c r="M66" s="118"/>
      <c r="N66" s="118"/>
      <c r="O66" s="118"/>
      <c r="P66" s="118"/>
      <c r="Q66" s="71"/>
      <c r="R66" s="118"/>
      <c r="S66" s="118"/>
      <c r="T66" s="118"/>
      <c r="U66" s="118"/>
      <c r="V66" s="118"/>
      <c r="W66" s="118"/>
      <c r="X66" s="67"/>
      <c r="Y66" s="118"/>
      <c r="Z66" s="118"/>
      <c r="AA66" s="118"/>
      <c r="AB66" s="118"/>
      <c r="AC66" s="118"/>
      <c r="AD66" s="118"/>
    </row>
    <row r="67" spans="4:30" x14ac:dyDescent="0.25">
      <c r="D67" s="118"/>
      <c r="E67" s="118"/>
      <c r="F67" s="118"/>
      <c r="G67" s="118"/>
      <c r="H67" s="118"/>
      <c r="I67" s="118"/>
      <c r="J67" s="71"/>
      <c r="K67" s="118"/>
      <c r="L67" s="118"/>
      <c r="M67" s="118"/>
      <c r="N67" s="118"/>
      <c r="O67" s="118"/>
      <c r="P67" s="118"/>
      <c r="Q67" s="71"/>
      <c r="R67" s="118"/>
      <c r="S67" s="118"/>
      <c r="T67" s="118"/>
      <c r="U67" s="118"/>
      <c r="V67" s="118"/>
      <c r="W67" s="118"/>
      <c r="X67" s="67"/>
      <c r="Y67" s="118"/>
      <c r="Z67" s="118"/>
      <c r="AA67" s="118"/>
      <c r="AB67" s="118"/>
      <c r="AC67" s="118"/>
      <c r="AD67" s="118"/>
    </row>
  </sheetData>
  <mergeCells count="218">
    <mergeCell ref="K53:P53"/>
    <mergeCell ref="R53:W53"/>
    <mergeCell ref="Y53:AD53"/>
    <mergeCell ref="C58:C59"/>
    <mergeCell ref="D58:I59"/>
    <mergeCell ref="D57:I57"/>
    <mergeCell ref="K57:P57"/>
    <mergeCell ref="R57:W57"/>
    <mergeCell ref="Y57:AD57"/>
    <mergeCell ref="D56:I56"/>
    <mergeCell ref="Y55:AD55"/>
    <mergeCell ref="K58:P59"/>
    <mergeCell ref="R58:W59"/>
    <mergeCell ref="Y58:AD59"/>
    <mergeCell ref="K56:P56"/>
    <mergeCell ref="R56:W56"/>
    <mergeCell ref="Y56:AD56"/>
    <mergeCell ref="Z46:AA46"/>
    <mergeCell ref="AB46:AD46"/>
    <mergeCell ref="D51:I51"/>
    <mergeCell ref="K51:P51"/>
    <mergeCell ref="R51:W51"/>
    <mergeCell ref="Y51:AD51"/>
    <mergeCell ref="A50:A59"/>
    <mergeCell ref="B50:B59"/>
    <mergeCell ref="D50:I50"/>
    <mergeCell ref="K50:P50"/>
    <mergeCell ref="R50:W50"/>
    <mergeCell ref="Y50:AD50"/>
    <mergeCell ref="D52:I52"/>
    <mergeCell ref="K52:P52"/>
    <mergeCell ref="R52:W52"/>
    <mergeCell ref="Y52:AD52"/>
    <mergeCell ref="D54:I54"/>
    <mergeCell ref="K54:P54"/>
    <mergeCell ref="R54:W54"/>
    <mergeCell ref="Y54:AD54"/>
    <mergeCell ref="D55:I55"/>
    <mergeCell ref="K55:P55"/>
    <mergeCell ref="R55:W55"/>
    <mergeCell ref="D53:I53"/>
    <mergeCell ref="D49:I49"/>
    <mergeCell ref="K49:P49"/>
    <mergeCell ref="R49:W49"/>
    <mergeCell ref="Y49:AD49"/>
    <mergeCell ref="L47:M47"/>
    <mergeCell ref="N47:P47"/>
    <mergeCell ref="S47:T47"/>
    <mergeCell ref="U47:W47"/>
    <mergeCell ref="Z47:AA47"/>
    <mergeCell ref="AB47:AD47"/>
    <mergeCell ref="E48:F48"/>
    <mergeCell ref="G48:I48"/>
    <mergeCell ref="G47:I47"/>
    <mergeCell ref="Z48:AA48"/>
    <mergeCell ref="AB48:AD48"/>
    <mergeCell ref="A46:A48"/>
    <mergeCell ref="B46:B48"/>
    <mergeCell ref="E46:F46"/>
    <mergeCell ref="G46:I46"/>
    <mergeCell ref="L46:M46"/>
    <mergeCell ref="N46:P46"/>
    <mergeCell ref="D45:I45"/>
    <mergeCell ref="K45:P45"/>
    <mergeCell ref="R45:W45"/>
    <mergeCell ref="E47:F47"/>
    <mergeCell ref="L48:M48"/>
    <mergeCell ref="N48:P48"/>
    <mergeCell ref="S48:T48"/>
    <mergeCell ref="U48:W48"/>
    <mergeCell ref="S46:T46"/>
    <mergeCell ref="U46:W46"/>
    <mergeCell ref="A41:A44"/>
    <mergeCell ref="B41:B44"/>
    <mergeCell ref="K41:L41"/>
    <mergeCell ref="D44:E44"/>
    <mergeCell ref="K44:L44"/>
    <mergeCell ref="Y43:Z43"/>
    <mergeCell ref="F44:H44"/>
    <mergeCell ref="M41:O41"/>
    <mergeCell ref="M42:O42"/>
    <mergeCell ref="M44:O44"/>
    <mergeCell ref="D42:E42"/>
    <mergeCell ref="K42:L42"/>
    <mergeCell ref="R42:S42"/>
    <mergeCell ref="Y42:Z42"/>
    <mergeCell ref="R41:S41"/>
    <mergeCell ref="Y41:Z41"/>
    <mergeCell ref="AA43:AC43"/>
    <mergeCell ref="K40:P40"/>
    <mergeCell ref="R40:W40"/>
    <mergeCell ref="Y40:AD40"/>
    <mergeCell ref="K43:L43"/>
    <mergeCell ref="M43:O43"/>
    <mergeCell ref="R43:S43"/>
    <mergeCell ref="T43:V43"/>
    <mergeCell ref="Y45:AD45"/>
    <mergeCell ref="R44:S44"/>
    <mergeCell ref="Y44:Z44"/>
    <mergeCell ref="AA41:AC41"/>
    <mergeCell ref="AA42:AC42"/>
    <mergeCell ref="AA44:AC44"/>
    <mergeCell ref="D40:I40"/>
    <mergeCell ref="D43:E43"/>
    <mergeCell ref="F41:H41"/>
    <mergeCell ref="F42:H42"/>
    <mergeCell ref="F43:H43"/>
    <mergeCell ref="T44:V44"/>
    <mergeCell ref="D41:E41"/>
    <mergeCell ref="T41:V41"/>
    <mergeCell ref="T42:V42"/>
    <mergeCell ref="K28:P28"/>
    <mergeCell ref="R28:W28"/>
    <mergeCell ref="Y28:AD28"/>
    <mergeCell ref="A16:A27"/>
    <mergeCell ref="B16:B27"/>
    <mergeCell ref="D28:I28"/>
    <mergeCell ref="A29:A39"/>
    <mergeCell ref="B29:B39"/>
    <mergeCell ref="F29:G29"/>
    <mergeCell ref="M29:N29"/>
    <mergeCell ref="F35:G35"/>
    <mergeCell ref="M35:N35"/>
    <mergeCell ref="F31:G31"/>
    <mergeCell ref="M31:N31"/>
    <mergeCell ref="F38:G38"/>
    <mergeCell ref="M38:N38"/>
    <mergeCell ref="D39:G39"/>
    <mergeCell ref="AA38:AB38"/>
    <mergeCell ref="R39:U39"/>
    <mergeCell ref="Y39:AB39"/>
    <mergeCell ref="K39:N39"/>
    <mergeCell ref="T29:U29"/>
    <mergeCell ref="AA29:AB29"/>
    <mergeCell ref="T30:U30"/>
    <mergeCell ref="A12:A14"/>
    <mergeCell ref="B12:B14"/>
    <mergeCell ref="D12:I12"/>
    <mergeCell ref="K12:P12"/>
    <mergeCell ref="R12:W12"/>
    <mergeCell ref="Y12:AD12"/>
    <mergeCell ref="D14:H14"/>
    <mergeCell ref="R14:V14"/>
    <mergeCell ref="D15:I15"/>
    <mergeCell ref="K15:P15"/>
    <mergeCell ref="R15:W15"/>
    <mergeCell ref="Y15:AD15"/>
    <mergeCell ref="D13:I13"/>
    <mergeCell ref="K13:P13"/>
    <mergeCell ref="R13:W13"/>
    <mergeCell ref="Y13:AD13"/>
    <mergeCell ref="K14:O14"/>
    <mergeCell ref="A8:A10"/>
    <mergeCell ref="B8:B10"/>
    <mergeCell ref="D8:H8"/>
    <mergeCell ref="D9:H9"/>
    <mergeCell ref="D10:H10"/>
    <mergeCell ref="R8:V8"/>
    <mergeCell ref="R9:V9"/>
    <mergeCell ref="R10:V10"/>
    <mergeCell ref="D11:I11"/>
    <mergeCell ref="K11:P11"/>
    <mergeCell ref="R11:W11"/>
    <mergeCell ref="K8:O8"/>
    <mergeCell ref="K9:O9"/>
    <mergeCell ref="K10:O10"/>
    <mergeCell ref="D7:I7"/>
    <mergeCell ref="K7:P7"/>
    <mergeCell ref="R7:W7"/>
    <mergeCell ref="Y7:AD7"/>
    <mergeCell ref="D4:I4"/>
    <mergeCell ref="K4:P4"/>
    <mergeCell ref="R4:W4"/>
    <mergeCell ref="Y4:AD4"/>
    <mergeCell ref="D5:I5"/>
    <mergeCell ref="K5:P5"/>
    <mergeCell ref="R5:W5"/>
    <mergeCell ref="Y5:AD5"/>
    <mergeCell ref="D2:I2"/>
    <mergeCell ref="K2:P2"/>
    <mergeCell ref="R2:W2"/>
    <mergeCell ref="Y2:AD2"/>
    <mergeCell ref="A3:A6"/>
    <mergeCell ref="B3:B6"/>
    <mergeCell ref="D3:I3"/>
    <mergeCell ref="K3:P3"/>
    <mergeCell ref="R3:W3"/>
    <mergeCell ref="Y3:AD3"/>
    <mergeCell ref="D6:I6"/>
    <mergeCell ref="K6:P6"/>
    <mergeCell ref="R6:W6"/>
    <mergeCell ref="Y6:AD6"/>
    <mergeCell ref="F36:G36"/>
    <mergeCell ref="M36:N36"/>
    <mergeCell ref="T36:U36"/>
    <mergeCell ref="AA36:AB36"/>
    <mergeCell ref="T35:U35"/>
    <mergeCell ref="F30:G30"/>
    <mergeCell ref="M30:N30"/>
    <mergeCell ref="F37:G37"/>
    <mergeCell ref="M37:N37"/>
    <mergeCell ref="AA35:AB35"/>
    <mergeCell ref="T31:U31"/>
    <mergeCell ref="AA31:AB31"/>
    <mergeCell ref="T32:U32"/>
    <mergeCell ref="F32:G32"/>
    <mergeCell ref="AA30:AB30"/>
    <mergeCell ref="M33:N33"/>
    <mergeCell ref="M34:N34"/>
    <mergeCell ref="Y8:AC8"/>
    <mergeCell ref="Y9:AC9"/>
    <mergeCell ref="Y10:AC10"/>
    <mergeCell ref="Y14:AC14"/>
    <mergeCell ref="Y11:AD11"/>
    <mergeCell ref="AA32:AB32"/>
    <mergeCell ref="T37:U37"/>
    <mergeCell ref="T38:U38"/>
    <mergeCell ref="AA37:AB37"/>
  </mergeCells>
  <pageMargins left="0.7" right="0.7" top="0.78740157499999996" bottom="0.78740157499999996" header="0.3" footer="0.3"/>
  <pageSetup paperSize="9" orientation="portrait" horizontalDpi="4294967294" verticalDpi="4294967294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61"/>
  <sheetViews>
    <sheetView workbookViewId="0">
      <selection activeCell="H31" sqref="H31"/>
    </sheetView>
  </sheetViews>
  <sheetFormatPr baseColWidth="10" defaultColWidth="11.42578125" defaultRowHeight="15" x14ac:dyDescent="0.25"/>
  <cols>
    <col min="1" max="1" width="16.42578125" bestFit="1" customWidth="1"/>
    <col min="5" max="5" width="14.85546875" bestFit="1" customWidth="1"/>
    <col min="8" max="8" width="21.28515625" bestFit="1" customWidth="1"/>
    <col min="9" max="9" width="14.85546875" bestFit="1" customWidth="1"/>
    <col min="13" max="13" width="14.85546875" bestFit="1" customWidth="1"/>
    <col min="17" max="17" width="14.85546875" bestFit="1" customWidth="1"/>
    <col min="21" max="21" width="14.85546875" bestFit="1" customWidth="1"/>
  </cols>
  <sheetData>
    <row r="5" spans="1:23" x14ac:dyDescent="0.25">
      <c r="A5" s="178" t="s">
        <v>110</v>
      </c>
      <c r="B5" s="178"/>
      <c r="C5" s="178"/>
      <c r="E5" s="178" t="s">
        <v>233</v>
      </c>
      <c r="F5" s="178"/>
      <c r="G5" s="178"/>
      <c r="I5" s="178" t="s">
        <v>234</v>
      </c>
      <c r="J5" s="178"/>
      <c r="K5" s="178"/>
      <c r="M5" s="178" t="s">
        <v>235</v>
      </c>
      <c r="N5" s="178"/>
      <c r="O5" s="178"/>
      <c r="Q5" s="178" t="s">
        <v>236</v>
      </c>
      <c r="R5" s="178"/>
      <c r="S5" s="178"/>
      <c r="U5" s="178"/>
      <c r="V5" s="178"/>
      <c r="W5" s="178"/>
    </row>
    <row r="6" spans="1:23" x14ac:dyDescent="0.25">
      <c r="A6" s="4" t="s">
        <v>90</v>
      </c>
      <c r="B6" s="4" t="s">
        <v>73</v>
      </c>
      <c r="C6" s="4" t="s">
        <v>89</v>
      </c>
      <c r="E6" s="4" t="s">
        <v>90</v>
      </c>
      <c r="F6" s="4" t="s">
        <v>73</v>
      </c>
      <c r="G6" s="4" t="s">
        <v>89</v>
      </c>
      <c r="I6" s="4" t="s">
        <v>90</v>
      </c>
      <c r="J6" s="4" t="s">
        <v>73</v>
      </c>
      <c r="K6" s="4" t="s">
        <v>89</v>
      </c>
      <c r="M6" s="4" t="s">
        <v>90</v>
      </c>
      <c r="N6" s="4" t="s">
        <v>73</v>
      </c>
      <c r="O6" s="4" t="s">
        <v>89</v>
      </c>
      <c r="Q6" s="4" t="s">
        <v>90</v>
      </c>
      <c r="R6" s="4" t="s">
        <v>73</v>
      </c>
      <c r="S6" s="4" t="s">
        <v>89</v>
      </c>
      <c r="U6" s="4"/>
      <c r="V6" s="4"/>
      <c r="W6" s="4"/>
    </row>
    <row r="7" spans="1:23" x14ac:dyDescent="0.25">
      <c r="A7" s="4">
        <v>1</v>
      </c>
      <c r="B7" s="4">
        <v>2009</v>
      </c>
      <c r="C7" s="64">
        <v>2.7800000000000002</v>
      </c>
      <c r="E7" s="4">
        <v>1</v>
      </c>
      <c r="F7" s="4">
        <v>2010</v>
      </c>
      <c r="G7" s="4">
        <v>4.4800000000000004</v>
      </c>
      <c r="I7" s="4">
        <v>1</v>
      </c>
      <c r="J7" s="4">
        <v>2010</v>
      </c>
      <c r="K7" s="4">
        <v>3.78</v>
      </c>
      <c r="M7" s="4">
        <v>1</v>
      </c>
      <c r="N7" s="4">
        <v>2010</v>
      </c>
      <c r="O7" s="4">
        <v>2.41</v>
      </c>
      <c r="Q7" s="4">
        <v>1</v>
      </c>
      <c r="R7" s="4">
        <v>2010</v>
      </c>
      <c r="S7" s="4">
        <v>1</v>
      </c>
      <c r="U7" s="4"/>
      <c r="V7" s="4"/>
      <c r="W7" s="4"/>
    </row>
    <row r="8" spans="1:23" x14ac:dyDescent="0.25">
      <c r="A8" s="4">
        <v>2</v>
      </c>
      <c r="B8" s="4">
        <v>2010</v>
      </c>
      <c r="C8" s="64">
        <v>2.52</v>
      </c>
      <c r="E8" s="4">
        <v>2</v>
      </c>
      <c r="F8" s="4">
        <v>2011</v>
      </c>
      <c r="G8" s="4">
        <v>3.39</v>
      </c>
      <c r="I8" s="4">
        <v>2</v>
      </c>
      <c r="J8" s="4">
        <v>2011</v>
      </c>
      <c r="K8" s="4">
        <v>1.82</v>
      </c>
      <c r="M8" s="4">
        <v>2</v>
      </c>
      <c r="N8" s="4">
        <v>2011</v>
      </c>
      <c r="O8" s="4">
        <v>1.98</v>
      </c>
      <c r="Q8" s="4">
        <v>2</v>
      </c>
      <c r="R8" s="4">
        <v>2011</v>
      </c>
      <c r="S8" s="4">
        <v>1.39</v>
      </c>
      <c r="U8" s="4"/>
      <c r="V8" s="4"/>
      <c r="W8" s="4"/>
    </row>
    <row r="9" spans="1:23" x14ac:dyDescent="0.25">
      <c r="A9" s="4">
        <v>3</v>
      </c>
      <c r="B9" s="4">
        <v>2011</v>
      </c>
      <c r="C9" s="64">
        <v>2.27</v>
      </c>
      <c r="E9" s="4">
        <v>3</v>
      </c>
      <c r="F9" s="4">
        <v>2012</v>
      </c>
      <c r="G9" s="4">
        <v>5.52</v>
      </c>
      <c r="I9" s="4">
        <v>3</v>
      </c>
      <c r="J9" s="4">
        <v>2012</v>
      </c>
      <c r="K9" s="4">
        <v>3.02</v>
      </c>
      <c r="M9" s="4">
        <v>3</v>
      </c>
      <c r="N9" s="4">
        <v>2012</v>
      </c>
      <c r="O9" s="4">
        <v>2.91</v>
      </c>
      <c r="Q9" s="4">
        <v>3</v>
      </c>
      <c r="R9" s="4">
        <v>2012</v>
      </c>
      <c r="S9" s="4">
        <v>1.87</v>
      </c>
      <c r="U9" s="4"/>
      <c r="V9" s="4"/>
      <c r="W9" s="4"/>
    </row>
    <row r="10" spans="1:23" x14ac:dyDescent="0.25">
      <c r="A10" s="4">
        <v>4</v>
      </c>
      <c r="B10" s="4">
        <v>2012</v>
      </c>
      <c r="C10" s="64">
        <v>3.79</v>
      </c>
      <c r="E10" s="4">
        <v>4</v>
      </c>
      <c r="F10" s="4">
        <v>2013</v>
      </c>
      <c r="G10" s="4">
        <v>6.01</v>
      </c>
      <c r="I10" s="4">
        <v>4</v>
      </c>
      <c r="J10" s="4">
        <v>2013</v>
      </c>
      <c r="K10" s="4">
        <v>4.04</v>
      </c>
      <c r="M10" s="4">
        <v>4</v>
      </c>
      <c r="N10" s="4">
        <v>2013</v>
      </c>
      <c r="O10" s="4">
        <v>3.04</v>
      </c>
      <c r="Q10" s="4">
        <v>4</v>
      </c>
      <c r="R10" s="4">
        <v>2013</v>
      </c>
      <c r="S10" s="4">
        <v>2.3199999999999998</v>
      </c>
      <c r="U10" s="4"/>
      <c r="V10" s="4"/>
      <c r="W10" s="4"/>
    </row>
    <row r="11" spans="1:23" x14ac:dyDescent="0.25">
      <c r="A11" s="4">
        <v>5</v>
      </c>
      <c r="B11" s="4">
        <v>2013</v>
      </c>
      <c r="C11" s="64">
        <v>2.95</v>
      </c>
      <c r="E11" s="4">
        <v>5</v>
      </c>
      <c r="F11" s="4">
        <v>2014</v>
      </c>
      <c r="G11" s="4">
        <v>5.98</v>
      </c>
      <c r="I11" s="4">
        <v>5</v>
      </c>
      <c r="J11" s="4">
        <v>2014</v>
      </c>
      <c r="K11" s="4">
        <v>4.4400000000000004</v>
      </c>
      <c r="M11" s="4">
        <v>5</v>
      </c>
      <c r="N11" s="4">
        <v>2014</v>
      </c>
      <c r="O11" s="4">
        <v>3.78</v>
      </c>
      <c r="Q11" s="4">
        <v>5</v>
      </c>
      <c r="R11" s="4">
        <v>2014</v>
      </c>
      <c r="S11" s="4">
        <v>1.87</v>
      </c>
      <c r="U11" s="4"/>
      <c r="V11" s="4"/>
      <c r="W11" s="4"/>
    </row>
    <row r="12" spans="1:23" x14ac:dyDescent="0.25">
      <c r="A12" s="4">
        <v>6</v>
      </c>
      <c r="B12" s="4">
        <v>2014</v>
      </c>
      <c r="C12" s="64">
        <v>3.0950000000000002</v>
      </c>
      <c r="E12" s="4">
        <v>6</v>
      </c>
      <c r="F12" s="4">
        <v>2015</v>
      </c>
      <c r="G12" s="4">
        <v>4.8099999999999996</v>
      </c>
      <c r="I12" s="4">
        <v>6</v>
      </c>
      <c r="J12" s="4">
        <v>2015</v>
      </c>
      <c r="K12" s="4">
        <v>3.64</v>
      </c>
      <c r="M12" s="4">
        <v>6</v>
      </c>
      <c r="N12" s="4">
        <v>2015</v>
      </c>
      <c r="O12" s="4">
        <v>2.82</v>
      </c>
      <c r="Q12" s="4">
        <v>6</v>
      </c>
      <c r="R12" s="4">
        <v>2015</v>
      </c>
      <c r="S12" s="4">
        <v>0.92</v>
      </c>
      <c r="U12" s="4"/>
      <c r="V12" s="4"/>
      <c r="W12" s="4"/>
    </row>
    <row r="13" spans="1:23" x14ac:dyDescent="0.25">
      <c r="A13" s="4">
        <v>7</v>
      </c>
      <c r="B13" s="4">
        <v>2015</v>
      </c>
      <c r="C13" s="64">
        <v>2.4</v>
      </c>
      <c r="E13" s="4">
        <v>7</v>
      </c>
      <c r="F13" s="4">
        <v>2016</v>
      </c>
      <c r="G13" s="4">
        <v>5.59</v>
      </c>
      <c r="I13" s="4">
        <v>7</v>
      </c>
      <c r="J13" s="4">
        <v>2016</v>
      </c>
      <c r="K13" s="4">
        <v>2.4700000000000002</v>
      </c>
      <c r="M13" s="4">
        <v>7</v>
      </c>
      <c r="N13" s="4">
        <v>2016</v>
      </c>
      <c r="O13" s="4">
        <v>3.27</v>
      </c>
      <c r="Q13" s="4">
        <v>7</v>
      </c>
      <c r="R13" s="4">
        <v>2016</v>
      </c>
      <c r="S13" s="4">
        <v>0.96</v>
      </c>
      <c r="U13" s="4"/>
      <c r="V13" s="4"/>
      <c r="W13" s="4"/>
    </row>
    <row r="14" spans="1:23" x14ac:dyDescent="0.25">
      <c r="A14" s="4">
        <v>8</v>
      </c>
      <c r="B14" s="4">
        <v>2016</v>
      </c>
      <c r="C14" s="64">
        <v>4.4799999999999995</v>
      </c>
      <c r="E14" s="4">
        <v>8</v>
      </c>
      <c r="F14" s="4">
        <v>2017</v>
      </c>
      <c r="G14" s="4">
        <v>4.99</v>
      </c>
      <c r="I14" s="4">
        <v>8</v>
      </c>
      <c r="J14" s="4">
        <v>2017</v>
      </c>
      <c r="K14" s="4">
        <v>2.5099999999999998</v>
      </c>
      <c r="M14" s="4">
        <v>8</v>
      </c>
      <c r="N14" s="4">
        <v>2017</v>
      </c>
      <c r="O14" s="4">
        <v>3.48</v>
      </c>
      <c r="Q14" s="4">
        <v>8</v>
      </c>
      <c r="R14" s="4">
        <v>2017</v>
      </c>
      <c r="S14" s="4">
        <v>1.7</v>
      </c>
      <c r="U14" s="4"/>
      <c r="V14" s="4"/>
      <c r="W14" s="4"/>
    </row>
    <row r="15" spans="1:23" x14ac:dyDescent="0.25">
      <c r="A15" s="4">
        <v>9</v>
      </c>
      <c r="B15" s="4">
        <v>2017</v>
      </c>
      <c r="C15" s="64">
        <v>2.17</v>
      </c>
      <c r="E15" s="4">
        <v>9</v>
      </c>
      <c r="F15" s="4">
        <v>2018</v>
      </c>
      <c r="G15" s="4">
        <v>3.86</v>
      </c>
      <c r="I15" s="4">
        <v>9</v>
      </c>
      <c r="J15" s="4">
        <v>2018</v>
      </c>
      <c r="K15" s="4">
        <v>2.57</v>
      </c>
      <c r="M15" s="4">
        <v>9</v>
      </c>
      <c r="N15" s="4">
        <v>2018</v>
      </c>
      <c r="O15" s="4">
        <v>2.19</v>
      </c>
      <c r="Q15" s="4">
        <v>9</v>
      </c>
      <c r="R15" s="4">
        <v>2018</v>
      </c>
      <c r="S15" s="4">
        <v>0.54</v>
      </c>
      <c r="U15" s="4"/>
      <c r="V15" s="4"/>
      <c r="W15" s="4"/>
    </row>
    <row r="16" spans="1:23" x14ac:dyDescent="0.25">
      <c r="A16" s="4">
        <v>10</v>
      </c>
      <c r="B16" s="4">
        <v>2018</v>
      </c>
      <c r="C16" s="64">
        <v>3.0100000000000002</v>
      </c>
      <c r="E16" s="4">
        <v>10</v>
      </c>
      <c r="F16" s="4">
        <v>2019</v>
      </c>
      <c r="G16" s="4">
        <v>5.37</v>
      </c>
      <c r="I16" s="4">
        <v>10</v>
      </c>
      <c r="J16" s="4">
        <v>2019</v>
      </c>
      <c r="K16" s="4">
        <v>2.31</v>
      </c>
      <c r="M16" s="4">
        <v>10</v>
      </c>
      <c r="N16" s="4">
        <v>2019</v>
      </c>
      <c r="O16" s="4">
        <v>3.53</v>
      </c>
      <c r="Q16" s="4">
        <v>10</v>
      </c>
      <c r="R16" s="4">
        <v>2019</v>
      </c>
      <c r="S16" s="4">
        <v>0.85</v>
      </c>
      <c r="U16" s="4"/>
      <c r="V16" s="4"/>
      <c r="W16" s="4"/>
    </row>
    <row r="17" spans="1:23" x14ac:dyDescent="0.25">
      <c r="C17" s="129">
        <f>_xlfn.STDEV.P(C7:C16)/AVERAGE(C7:C16)</f>
        <v>0.23163174288024402</v>
      </c>
      <c r="G17" s="129">
        <f>_xlfn.STDEV.P(G7:G16)/AVERAGE(G7:G16)</f>
        <v>0.16654368796204755</v>
      </c>
      <c r="K17" s="129">
        <f>_xlfn.STDEV.P(K7:K16)/AVERAGE(K7:K16)</f>
        <v>0.26773462938907272</v>
      </c>
      <c r="O17" s="129">
        <f>_xlfn.STDEV.P(O7:O16)/AVERAGE(O7:O16)</f>
        <v>0.19367706514099334</v>
      </c>
      <c r="S17" s="129">
        <f>_xlfn.STDEV.P(S7:S16)/AVERAGE(S7:S16)</f>
        <v>0.4061451467828241</v>
      </c>
    </row>
    <row r="20" spans="1:23" x14ac:dyDescent="0.25">
      <c r="A20" s="178"/>
      <c r="B20" s="178"/>
      <c r="C20" s="178"/>
      <c r="D20" s="4"/>
      <c r="E20" s="178"/>
      <c r="F20" s="178"/>
      <c r="G20" s="178"/>
      <c r="H20" s="4"/>
      <c r="I20" s="178"/>
      <c r="J20" s="178"/>
      <c r="K20" s="178"/>
      <c r="L20" s="4"/>
      <c r="M20" s="178"/>
      <c r="N20" s="178"/>
      <c r="O20" s="178"/>
      <c r="P20" s="4"/>
      <c r="Q20" s="178"/>
      <c r="R20" s="178"/>
      <c r="S20" s="178"/>
      <c r="T20" s="4"/>
      <c r="U20" s="178"/>
      <c r="V20" s="178"/>
      <c r="W20" s="178"/>
    </row>
    <row r="21" spans="1:23" x14ac:dyDescent="0.25">
      <c r="A21" s="4"/>
      <c r="B21" s="4"/>
      <c r="C21" s="4"/>
      <c r="D21" s="4"/>
      <c r="E21" s="4"/>
      <c r="F21" s="4"/>
      <c r="G21" s="4"/>
      <c r="H21" s="5" t="s">
        <v>280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25">
      <c r="A22" s="4"/>
      <c r="B22" s="4"/>
      <c r="C22" s="4"/>
      <c r="D22" s="4"/>
      <c r="E22" s="4"/>
      <c r="F22" s="4"/>
      <c r="H22" s="4" t="s">
        <v>237</v>
      </c>
      <c r="I22" s="4" t="s">
        <v>238</v>
      </c>
      <c r="J22" s="4" t="s">
        <v>238</v>
      </c>
      <c r="K22" s="4" t="s">
        <v>239</v>
      </c>
      <c r="L22" s="4"/>
      <c r="M22" s="130">
        <f>AVERAGE(G17,G17,K17)</f>
        <v>0.20027400177105595</v>
      </c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5">
      <c r="A23" s="4"/>
      <c r="B23" s="4"/>
      <c r="C23" s="4"/>
      <c r="D23" s="4"/>
      <c r="E23" s="4"/>
      <c r="F23" s="4"/>
      <c r="H23" s="4" t="s">
        <v>240</v>
      </c>
      <c r="I23" s="4" t="s">
        <v>238</v>
      </c>
      <c r="J23" s="4" t="s">
        <v>241</v>
      </c>
      <c r="K23" s="4" t="s">
        <v>238</v>
      </c>
      <c r="L23" s="4" t="s">
        <v>239</v>
      </c>
      <c r="M23" s="130">
        <f>AVERAGE(G17,G17,K17,O17)</f>
        <v>0.19862476761354031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5">
      <c r="A24" s="4"/>
      <c r="B24" s="4"/>
      <c r="C24" s="4"/>
      <c r="D24" s="4"/>
      <c r="E24" s="4"/>
      <c r="F24" s="4"/>
      <c r="H24" s="4" t="s">
        <v>242</v>
      </c>
      <c r="I24" s="4" t="s">
        <v>238</v>
      </c>
      <c r="J24" s="4" t="s">
        <v>243</v>
      </c>
      <c r="K24" s="4" t="s">
        <v>238</v>
      </c>
      <c r="L24" s="4" t="s">
        <v>239</v>
      </c>
      <c r="M24" s="130">
        <f>AVERAGE(G17,G17,K17,S17)</f>
        <v>0.25174178802399799</v>
      </c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R27" s="4"/>
      <c r="S27" s="4"/>
      <c r="T27" s="4"/>
      <c r="U27" s="4"/>
      <c r="V27" s="4"/>
      <c r="W27" s="4"/>
    </row>
    <row r="28" spans="1:23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R28" s="4"/>
      <c r="S28" s="4"/>
      <c r="T28" s="4"/>
      <c r="U28" s="4"/>
      <c r="V28" s="4"/>
      <c r="W28" s="4"/>
    </row>
    <row r="29" spans="1:23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R29" s="4"/>
      <c r="S29" s="4"/>
      <c r="T29" s="4"/>
      <c r="U29" s="4"/>
      <c r="V29" s="4"/>
      <c r="W29" s="4"/>
    </row>
    <row r="30" spans="1:2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5" spans="1:23" x14ac:dyDescent="0.25">
      <c r="A35" s="178"/>
      <c r="B35" s="178"/>
      <c r="C35" s="178"/>
      <c r="D35" s="4"/>
      <c r="E35" s="178"/>
      <c r="F35" s="178"/>
      <c r="G35" s="178"/>
      <c r="H35" s="4"/>
      <c r="I35" s="178"/>
      <c r="J35" s="178"/>
      <c r="K35" s="178"/>
      <c r="L35" s="4"/>
      <c r="M35" s="178"/>
      <c r="N35" s="178"/>
      <c r="O35" s="178"/>
      <c r="P35" s="4"/>
      <c r="Q35" s="178"/>
      <c r="R35" s="178"/>
      <c r="S35" s="178"/>
      <c r="T35" s="4"/>
      <c r="U35" s="178"/>
      <c r="V35" s="178"/>
      <c r="W35" s="178"/>
    </row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50" spans="1:23" x14ac:dyDescent="0.25">
      <c r="A50" s="178"/>
      <c r="B50" s="178"/>
      <c r="C50" s="178"/>
      <c r="D50" s="4"/>
      <c r="E50" s="178"/>
      <c r="F50" s="178"/>
      <c r="G50" s="178"/>
      <c r="H50" s="4"/>
      <c r="I50" s="178"/>
      <c r="J50" s="178"/>
      <c r="K50" s="178"/>
      <c r="L50" s="4"/>
      <c r="M50" s="178"/>
      <c r="N50" s="178"/>
      <c r="O50" s="178"/>
      <c r="P50" s="4"/>
      <c r="Q50" s="178"/>
      <c r="R50" s="178"/>
      <c r="S50" s="178"/>
      <c r="T50" s="4"/>
      <c r="U50" s="178"/>
      <c r="V50" s="178"/>
      <c r="W50" s="178"/>
    </row>
    <row r="51" spans="1:23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</sheetData>
  <mergeCells count="24">
    <mergeCell ref="U5:W5"/>
    <mergeCell ref="A20:C20"/>
    <mergeCell ref="E20:G20"/>
    <mergeCell ref="I20:K20"/>
    <mergeCell ref="M20:O20"/>
    <mergeCell ref="Q20:S20"/>
    <mergeCell ref="U20:W20"/>
    <mergeCell ref="A5:C5"/>
    <mergeCell ref="E5:G5"/>
    <mergeCell ref="I5:K5"/>
    <mergeCell ref="M5:O5"/>
    <mergeCell ref="Q5:S5"/>
    <mergeCell ref="U35:W35"/>
    <mergeCell ref="A50:C50"/>
    <mergeCell ref="E50:G50"/>
    <mergeCell ref="I50:K50"/>
    <mergeCell ref="M50:O50"/>
    <mergeCell ref="Q50:S50"/>
    <mergeCell ref="U50:W50"/>
    <mergeCell ref="A35:C35"/>
    <mergeCell ref="E35:G35"/>
    <mergeCell ref="I35:K35"/>
    <mergeCell ref="M35:O35"/>
    <mergeCell ref="Q35:S35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4" workbookViewId="0">
      <selection activeCell="B24" sqref="B24:B25"/>
    </sheetView>
  </sheetViews>
  <sheetFormatPr baseColWidth="10" defaultColWidth="11.42578125" defaultRowHeight="15" x14ac:dyDescent="0.25"/>
  <cols>
    <col min="1" max="1" width="35.85546875" style="4" bestFit="1" customWidth="1"/>
    <col min="2" max="16384" width="11.42578125" style="4"/>
  </cols>
  <sheetData>
    <row r="1" spans="1:22" x14ac:dyDescent="0.25">
      <c r="B1" s="4" t="s">
        <v>244</v>
      </c>
      <c r="C1" s="4" t="s">
        <v>245</v>
      </c>
      <c r="D1" s="4" t="s">
        <v>246</v>
      </c>
      <c r="E1" s="4" t="s">
        <v>247</v>
      </c>
    </row>
    <row r="2" spans="1:22" x14ac:dyDescent="0.25">
      <c r="A2" s="4" t="s">
        <v>237</v>
      </c>
      <c r="B2" s="4" t="s">
        <v>238</v>
      </c>
      <c r="C2" s="4" t="s">
        <v>238</v>
      </c>
      <c r="D2" s="4" t="s">
        <v>239</v>
      </c>
    </row>
    <row r="3" spans="1:22" x14ac:dyDescent="0.25">
      <c r="A3" s="4" t="s">
        <v>240</v>
      </c>
      <c r="B3" s="4" t="s">
        <v>238</v>
      </c>
      <c r="C3" s="4" t="s">
        <v>241</v>
      </c>
      <c r="D3" s="4" t="s">
        <v>238</v>
      </c>
      <c r="E3" s="4" t="s">
        <v>239</v>
      </c>
    </row>
    <row r="4" spans="1:22" x14ac:dyDescent="0.25">
      <c r="A4" s="4" t="s">
        <v>242</v>
      </c>
      <c r="B4" s="4" t="s">
        <v>238</v>
      </c>
      <c r="C4" s="4" t="s">
        <v>243</v>
      </c>
      <c r="D4" s="4" t="s">
        <v>238</v>
      </c>
      <c r="E4" s="4" t="s">
        <v>239</v>
      </c>
    </row>
    <row r="7" spans="1:22" x14ac:dyDescent="0.25">
      <c r="B7" s="4" t="s">
        <v>238</v>
      </c>
      <c r="C7" s="4" t="s">
        <v>238</v>
      </c>
      <c r="D7" s="4" t="s">
        <v>239</v>
      </c>
      <c r="I7" s="4" t="s">
        <v>238</v>
      </c>
      <c r="J7" s="4" t="s">
        <v>241</v>
      </c>
      <c r="K7" s="4" t="s">
        <v>238</v>
      </c>
      <c r="L7" s="4" t="s">
        <v>239</v>
      </c>
      <c r="P7" s="4" t="s">
        <v>238</v>
      </c>
      <c r="Q7" s="4" t="s">
        <v>243</v>
      </c>
      <c r="R7" s="4" t="s">
        <v>238</v>
      </c>
      <c r="S7" s="4" t="s">
        <v>239</v>
      </c>
    </row>
    <row r="8" spans="1:22" x14ac:dyDescent="0.25">
      <c r="A8" s="4" t="s">
        <v>387</v>
      </c>
      <c r="B8" s="131">
        <v>6.3999999999999995</v>
      </c>
      <c r="C8" s="131">
        <v>5.3</v>
      </c>
      <c r="D8" s="131">
        <v>3</v>
      </c>
      <c r="I8" s="131">
        <v>6.3999999999999995</v>
      </c>
      <c r="J8" s="131">
        <v>2.5</v>
      </c>
      <c r="K8" s="131">
        <v>6.3999999999999995</v>
      </c>
      <c r="L8" s="131">
        <v>3</v>
      </c>
      <c r="P8" s="131">
        <v>6.3999999999999995</v>
      </c>
      <c r="Q8" s="131">
        <v>2.1</v>
      </c>
      <c r="R8" s="131">
        <v>6.3999999999999995</v>
      </c>
      <c r="S8" s="131">
        <v>3</v>
      </c>
    </row>
    <row r="9" spans="1:22" x14ac:dyDescent="0.25">
      <c r="A9" s="4" t="s">
        <v>431</v>
      </c>
      <c r="B9" s="132">
        <v>136.1</v>
      </c>
      <c r="C9" s="132">
        <v>136.1</v>
      </c>
      <c r="D9" s="132">
        <v>360</v>
      </c>
      <c r="I9" s="132">
        <v>136.1</v>
      </c>
      <c r="J9" s="132">
        <v>193</v>
      </c>
      <c r="K9" s="132">
        <v>136.1</v>
      </c>
      <c r="L9" s="132">
        <v>360</v>
      </c>
      <c r="P9" s="132">
        <v>136.1</v>
      </c>
      <c r="Q9" s="132">
        <v>206.1</v>
      </c>
      <c r="R9" s="132">
        <v>136.1</v>
      </c>
      <c r="S9" s="132">
        <v>360</v>
      </c>
    </row>
    <row r="10" spans="1:22" x14ac:dyDescent="0.25">
      <c r="A10" s="4" t="s">
        <v>432</v>
      </c>
      <c r="B10" s="4">
        <f>B8*B9</f>
        <v>871.03999999999985</v>
      </c>
      <c r="C10" s="4">
        <f>C8*C9</f>
        <v>721.32999999999993</v>
      </c>
      <c r="D10" s="4">
        <f>D8*D9</f>
        <v>1080</v>
      </c>
      <c r="I10" s="4">
        <f>I8*I9</f>
        <v>871.03999999999985</v>
      </c>
      <c r="J10" s="4">
        <f t="shared" ref="J10" si="0">J8*J9</f>
        <v>482.5</v>
      </c>
      <c r="K10" s="4">
        <f>K8*K9</f>
        <v>871.03999999999985</v>
      </c>
      <c r="L10" s="4">
        <f>L8*L9</f>
        <v>1080</v>
      </c>
      <c r="P10" s="4">
        <f>P8*P9</f>
        <v>871.03999999999985</v>
      </c>
      <c r="Q10" s="4">
        <f t="shared" ref="Q10:S10" si="1">Q8*Q9</f>
        <v>432.81</v>
      </c>
      <c r="R10" s="4">
        <f t="shared" si="1"/>
        <v>871.03999999999985</v>
      </c>
      <c r="S10" s="4">
        <f t="shared" si="1"/>
        <v>1080</v>
      </c>
    </row>
    <row r="11" spans="1:22" x14ac:dyDescent="0.25">
      <c r="A11" s="150" t="s">
        <v>433</v>
      </c>
    </row>
    <row r="12" spans="1:22" x14ac:dyDescent="0.25">
      <c r="A12" s="4" t="s">
        <v>434</v>
      </c>
      <c r="B12" s="141">
        <v>479</v>
      </c>
      <c r="C12" s="141">
        <v>428</v>
      </c>
      <c r="D12" s="141">
        <v>596</v>
      </c>
      <c r="I12" s="141">
        <v>479</v>
      </c>
      <c r="J12" s="141">
        <v>423</v>
      </c>
      <c r="K12" s="141">
        <v>479</v>
      </c>
      <c r="L12" s="141">
        <v>596</v>
      </c>
      <c r="P12" s="141">
        <v>479</v>
      </c>
      <c r="Q12" s="141">
        <v>388</v>
      </c>
      <c r="R12" s="141">
        <v>479</v>
      </c>
      <c r="S12" s="141">
        <v>596</v>
      </c>
    </row>
    <row r="13" spans="1:22" x14ac:dyDescent="0.25">
      <c r="A13" s="4" t="s">
        <v>435</v>
      </c>
      <c r="B13" s="4">
        <f>B10-B12</f>
        <v>392.03999999999985</v>
      </c>
      <c r="C13" s="4">
        <f>C10-C12</f>
        <v>293.32999999999993</v>
      </c>
      <c r="D13" s="4">
        <f>D10-D12</f>
        <v>484</v>
      </c>
      <c r="I13" s="4">
        <f>I10-I12</f>
        <v>392.03999999999985</v>
      </c>
      <c r="J13" s="4">
        <f>J10-J12</f>
        <v>59.5</v>
      </c>
      <c r="K13" s="4">
        <f>K10-K12</f>
        <v>392.03999999999985</v>
      </c>
      <c r="L13" s="4">
        <f>L10-L12</f>
        <v>484</v>
      </c>
      <c r="P13" s="4">
        <f>P10-P12</f>
        <v>392.03999999999985</v>
      </c>
      <c r="Q13" s="4">
        <f t="shared" ref="Q13:S13" si="2">Q10-Q12</f>
        <v>44.81</v>
      </c>
      <c r="R13" s="4">
        <f t="shared" si="2"/>
        <v>392.03999999999985</v>
      </c>
      <c r="S13" s="4">
        <f t="shared" si="2"/>
        <v>484</v>
      </c>
    </row>
    <row r="15" spans="1:22" x14ac:dyDescent="0.25">
      <c r="A15" s="4" t="s">
        <v>436</v>
      </c>
      <c r="B15" s="133">
        <f>AVERAGE(B13:D13)</f>
        <v>389.78999999999996</v>
      </c>
      <c r="I15" s="4">
        <f>AVERAGE(I13:L13)</f>
        <v>331.89499999999992</v>
      </c>
      <c r="J15" s="133"/>
      <c r="P15" s="4">
        <f>AVERAGE(P13:S13)</f>
        <v>328.22249999999991</v>
      </c>
      <c r="Q15" s="133"/>
      <c r="V15" s="133"/>
    </row>
    <row r="17" spans="1:22" x14ac:dyDescent="0.25">
      <c r="A17" s="4" t="s">
        <v>437</v>
      </c>
      <c r="J17" s="4">
        <f>J8*B28-J12</f>
        <v>216.5</v>
      </c>
      <c r="Q17" s="4">
        <f>Q8*B30-Q12</f>
        <v>127.13</v>
      </c>
    </row>
    <row r="18" spans="1:22" x14ac:dyDescent="0.25">
      <c r="A18" s="4" t="s">
        <v>438</v>
      </c>
      <c r="C18" s="133"/>
      <c r="I18" s="4">
        <f>AVERAGE(I13,J17,K13,L13)</f>
        <v>371.14499999999992</v>
      </c>
      <c r="J18" s="133"/>
      <c r="P18" s="4">
        <f>AVERAGE(P13,Q17,R13,S13)</f>
        <v>348.8024999999999</v>
      </c>
      <c r="R18" s="133"/>
      <c r="V18" s="133"/>
    </row>
    <row r="21" spans="1:22" x14ac:dyDescent="0.25">
      <c r="A21" s="4" t="s">
        <v>439</v>
      </c>
    </row>
    <row r="23" spans="1:22" x14ac:dyDescent="0.25">
      <c r="A23" s="4" t="s">
        <v>440</v>
      </c>
    </row>
    <row r="24" spans="1:22" x14ac:dyDescent="0.25">
      <c r="A24" s="4" t="s">
        <v>253</v>
      </c>
      <c r="B24" s="4">
        <v>355.3</v>
      </c>
    </row>
    <row r="25" spans="1:22" x14ac:dyDescent="0.25">
      <c r="A25" s="4" t="s">
        <v>254</v>
      </c>
      <c r="B25" s="137">
        <v>166.6</v>
      </c>
    </row>
    <row r="27" spans="1:22" x14ac:dyDescent="0.25">
      <c r="A27" s="4" t="s">
        <v>441</v>
      </c>
    </row>
    <row r="28" spans="1:22" x14ac:dyDescent="0.25">
      <c r="A28" s="4" t="s">
        <v>122</v>
      </c>
      <c r="B28" s="4">
        <v>255.8</v>
      </c>
    </row>
    <row r="29" spans="1:22" x14ac:dyDescent="0.25">
      <c r="A29" s="4" t="s">
        <v>255</v>
      </c>
      <c r="B29" s="4">
        <v>257.5</v>
      </c>
    </row>
    <row r="30" spans="1:22" x14ac:dyDescent="0.25">
      <c r="A30" s="4" t="s">
        <v>123</v>
      </c>
      <c r="B30" s="4">
        <v>245.3</v>
      </c>
    </row>
    <row r="33" spans="1:1" x14ac:dyDescent="0.25">
      <c r="A33" s="4" t="s">
        <v>442</v>
      </c>
    </row>
    <row r="34" spans="1:1" x14ac:dyDescent="0.25">
      <c r="A34" s="4" t="s">
        <v>443</v>
      </c>
    </row>
    <row r="35" spans="1:1" x14ac:dyDescent="0.25">
      <c r="A35" s="4" t="s">
        <v>444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L30" sqref="L30"/>
    </sheetView>
  </sheetViews>
  <sheetFormatPr baseColWidth="10" defaultColWidth="11.42578125" defaultRowHeight="15" x14ac:dyDescent="0.25"/>
  <cols>
    <col min="1" max="1" width="23" style="4" bestFit="1" customWidth="1"/>
    <col min="2" max="7" width="11.42578125" style="4"/>
    <col min="8" max="8" width="23" style="4" bestFit="1" customWidth="1"/>
    <col min="9" max="14" width="11.42578125" style="4"/>
    <col min="15" max="15" width="23" style="4" bestFit="1" customWidth="1"/>
    <col min="16" max="16384" width="11.42578125" style="4"/>
  </cols>
  <sheetData>
    <row r="1" spans="1:19" x14ac:dyDescent="0.25">
      <c r="B1" s="4" t="s">
        <v>244</v>
      </c>
      <c r="C1" s="4" t="s">
        <v>245</v>
      </c>
      <c r="D1" s="4" t="s">
        <v>246</v>
      </c>
      <c r="E1" s="4" t="s">
        <v>247</v>
      </c>
    </row>
    <row r="2" spans="1:19" x14ac:dyDescent="0.25">
      <c r="A2" s="4" t="s">
        <v>248</v>
      </c>
      <c r="B2" s="4" t="s">
        <v>238</v>
      </c>
      <c r="C2" s="4" t="s">
        <v>238</v>
      </c>
      <c r="D2" s="4" t="s">
        <v>239</v>
      </c>
    </row>
    <row r="3" spans="1:19" x14ac:dyDescent="0.25">
      <c r="A3" s="4" t="s">
        <v>251</v>
      </c>
      <c r="B3" s="4" t="s">
        <v>238</v>
      </c>
      <c r="C3" s="4" t="s">
        <v>241</v>
      </c>
      <c r="D3" s="4" t="s">
        <v>238</v>
      </c>
      <c r="E3" s="4" t="s">
        <v>239</v>
      </c>
    </row>
    <row r="4" spans="1:19" x14ac:dyDescent="0.25">
      <c r="A4" s="4" t="s">
        <v>252</v>
      </c>
      <c r="B4" s="4" t="s">
        <v>238</v>
      </c>
      <c r="C4" s="4" t="s">
        <v>243</v>
      </c>
      <c r="D4" s="4" t="s">
        <v>238</v>
      </c>
      <c r="E4" s="4" t="s">
        <v>239</v>
      </c>
    </row>
    <row r="7" spans="1:19" x14ac:dyDescent="0.25">
      <c r="A7" s="146"/>
      <c r="B7" s="5" t="s">
        <v>238</v>
      </c>
      <c r="C7" s="5" t="s">
        <v>238</v>
      </c>
      <c r="D7" s="5" t="s">
        <v>239</v>
      </c>
      <c r="E7" s="5"/>
      <c r="F7" s="5"/>
      <c r="G7" s="5"/>
      <c r="H7" s="148"/>
      <c r="I7" s="5" t="s">
        <v>238</v>
      </c>
      <c r="J7" s="5" t="s">
        <v>241</v>
      </c>
      <c r="K7" s="5" t="s">
        <v>238</v>
      </c>
      <c r="L7" s="5" t="s">
        <v>239</v>
      </c>
      <c r="M7" s="5"/>
      <c r="N7" s="5"/>
      <c r="O7" s="148"/>
      <c r="P7" s="5" t="s">
        <v>238</v>
      </c>
      <c r="Q7" s="5" t="s">
        <v>243</v>
      </c>
      <c r="R7" s="5" t="s">
        <v>238</v>
      </c>
      <c r="S7" s="5" t="s">
        <v>239</v>
      </c>
    </row>
    <row r="8" spans="1:19" x14ac:dyDescent="0.25">
      <c r="A8" s="147" t="s">
        <v>387</v>
      </c>
      <c r="B8" s="145">
        <v>6.3999999999999995</v>
      </c>
      <c r="C8" s="144">
        <v>5.3</v>
      </c>
      <c r="D8" s="144">
        <v>3</v>
      </c>
      <c r="E8" s="143"/>
      <c r="F8" s="143"/>
      <c r="G8" s="143"/>
      <c r="H8" s="147" t="s">
        <v>387</v>
      </c>
      <c r="I8" s="145">
        <v>6.3999999999999995</v>
      </c>
      <c r="J8" s="144">
        <v>2.5</v>
      </c>
      <c r="K8" s="144">
        <v>6.3999999999999995</v>
      </c>
      <c r="L8" s="144">
        <v>3</v>
      </c>
      <c r="M8" s="149"/>
      <c r="N8" s="143"/>
      <c r="O8" s="147" t="s">
        <v>387</v>
      </c>
      <c r="P8" s="145">
        <v>6.3999999999999995</v>
      </c>
      <c r="Q8" s="144">
        <v>2.1</v>
      </c>
      <c r="R8" s="144">
        <v>6.3999999999999995</v>
      </c>
      <c r="S8" s="144">
        <v>3</v>
      </c>
    </row>
    <row r="9" spans="1:19" x14ac:dyDescent="0.25">
      <c r="A9" s="148" t="s">
        <v>281</v>
      </c>
      <c r="B9" s="142"/>
      <c r="C9" s="142"/>
      <c r="D9" s="142"/>
      <c r="H9" s="148" t="s">
        <v>281</v>
      </c>
      <c r="I9" s="142"/>
      <c r="J9" s="142"/>
      <c r="K9" s="142"/>
      <c r="L9" s="142"/>
      <c r="M9" s="142"/>
      <c r="O9" s="148" t="s">
        <v>281</v>
      </c>
      <c r="P9" s="142"/>
      <c r="Q9" s="142"/>
      <c r="R9" s="142"/>
      <c r="S9" s="142"/>
    </row>
    <row r="10" spans="1:19" x14ac:dyDescent="0.25">
      <c r="A10" s="146" t="s">
        <v>32</v>
      </c>
      <c r="B10" s="4" t="s">
        <v>118</v>
      </c>
      <c r="C10" s="4" t="s">
        <v>118</v>
      </c>
      <c r="D10" s="4" t="s">
        <v>118</v>
      </c>
      <c r="H10" s="146" t="s">
        <v>32</v>
      </c>
      <c r="I10" s="4" t="s">
        <v>118</v>
      </c>
      <c r="K10" s="4" t="s">
        <v>118</v>
      </c>
      <c r="L10" s="4" t="s">
        <v>118</v>
      </c>
      <c r="O10" s="146" t="s">
        <v>32</v>
      </c>
      <c r="P10" s="4" t="s">
        <v>118</v>
      </c>
      <c r="R10" s="4" t="s">
        <v>118</v>
      </c>
      <c r="S10" s="4" t="s">
        <v>118</v>
      </c>
    </row>
    <row r="11" spans="1:19" x14ac:dyDescent="0.25">
      <c r="A11" s="146" t="s">
        <v>256</v>
      </c>
      <c r="B11" s="130">
        <v>0.27</v>
      </c>
      <c r="C11" s="130">
        <v>0.27</v>
      </c>
      <c r="D11" s="130">
        <v>0.27</v>
      </c>
      <c r="E11" s="130"/>
      <c r="F11" s="130"/>
      <c r="H11" s="146" t="s">
        <v>256</v>
      </c>
      <c r="I11" s="130">
        <v>0.27</v>
      </c>
      <c r="J11" s="130"/>
      <c r="K11" s="130">
        <v>0.27</v>
      </c>
      <c r="L11" s="130">
        <v>0.27</v>
      </c>
      <c r="M11" s="130"/>
      <c r="O11" s="146" t="s">
        <v>256</v>
      </c>
      <c r="P11" s="130">
        <v>0.27</v>
      </c>
      <c r="Q11" s="130"/>
      <c r="R11" s="130">
        <v>0.27</v>
      </c>
      <c r="S11" s="130">
        <v>0.27</v>
      </c>
    </row>
    <row r="12" spans="1:19" x14ac:dyDescent="0.25">
      <c r="A12" s="146" t="s">
        <v>445</v>
      </c>
      <c r="B12" s="4">
        <v>355</v>
      </c>
      <c r="C12" s="4">
        <v>381</v>
      </c>
      <c r="D12" s="4">
        <v>570</v>
      </c>
      <c r="H12" s="146" t="s">
        <v>445</v>
      </c>
      <c r="I12" s="4">
        <v>355</v>
      </c>
      <c r="K12" s="4">
        <v>381</v>
      </c>
      <c r="L12" s="4">
        <v>570</v>
      </c>
      <c r="O12" s="146" t="s">
        <v>445</v>
      </c>
      <c r="P12" s="4">
        <v>355</v>
      </c>
      <c r="R12" s="4">
        <v>381</v>
      </c>
      <c r="S12" s="4">
        <v>570</v>
      </c>
    </row>
    <row r="13" spans="1:19" x14ac:dyDescent="0.25">
      <c r="A13" s="146" t="s">
        <v>446</v>
      </c>
      <c r="B13" s="4">
        <f>B11*B12</f>
        <v>95.850000000000009</v>
      </c>
      <c r="C13" s="4">
        <f>C11*C12</f>
        <v>102.87</v>
      </c>
      <c r="D13" s="4">
        <f>D11*D12</f>
        <v>153.9</v>
      </c>
      <c r="H13" s="146" t="s">
        <v>446</v>
      </c>
      <c r="I13" s="4">
        <f>I11*I12</f>
        <v>95.850000000000009</v>
      </c>
      <c r="K13" s="4">
        <f>K11*K12</f>
        <v>102.87</v>
      </c>
      <c r="L13" s="4">
        <f>L11*L12</f>
        <v>153.9</v>
      </c>
      <c r="O13" s="146" t="s">
        <v>446</v>
      </c>
      <c r="P13" s="4">
        <f>P11*P12</f>
        <v>95.850000000000009</v>
      </c>
      <c r="R13" s="4">
        <f>R11*R12</f>
        <v>102.87</v>
      </c>
      <c r="S13" s="4">
        <f>S11*S12</f>
        <v>153.9</v>
      </c>
    </row>
    <row r="14" spans="1:19" x14ac:dyDescent="0.25">
      <c r="A14" s="146"/>
      <c r="H14" s="146"/>
      <c r="O14" s="146"/>
    </row>
    <row r="15" spans="1:19" x14ac:dyDescent="0.25">
      <c r="A15" s="146" t="s">
        <v>32</v>
      </c>
      <c r="D15" s="4" t="s">
        <v>178</v>
      </c>
      <c r="H15" s="146" t="s">
        <v>32</v>
      </c>
      <c r="L15" s="4" t="s">
        <v>178</v>
      </c>
      <c r="O15" s="146" t="s">
        <v>32</v>
      </c>
      <c r="S15" s="4" t="s">
        <v>178</v>
      </c>
    </row>
    <row r="16" spans="1:19" x14ac:dyDescent="0.25">
      <c r="A16" s="146" t="s">
        <v>256</v>
      </c>
      <c r="D16" s="134">
        <v>6.0000000000000001E-3</v>
      </c>
      <c r="H16" s="146" t="s">
        <v>256</v>
      </c>
      <c r="L16" s="134">
        <v>6.0000000000000001E-3</v>
      </c>
      <c r="M16" s="134"/>
      <c r="O16" s="146" t="s">
        <v>256</v>
      </c>
      <c r="S16" s="134">
        <v>6.0000000000000001E-3</v>
      </c>
    </row>
    <row r="17" spans="1:19" x14ac:dyDescent="0.25">
      <c r="A17" s="146" t="s">
        <v>445</v>
      </c>
      <c r="D17" s="4">
        <v>6</v>
      </c>
      <c r="H17" s="146" t="s">
        <v>445</v>
      </c>
      <c r="L17" s="4">
        <v>6</v>
      </c>
      <c r="O17" s="146" t="s">
        <v>445</v>
      </c>
      <c r="S17" s="4">
        <v>6</v>
      </c>
    </row>
    <row r="18" spans="1:19" x14ac:dyDescent="0.25">
      <c r="A18" s="146" t="s">
        <v>446</v>
      </c>
      <c r="D18" s="4">
        <f>D16*D17</f>
        <v>3.6000000000000004E-2</v>
      </c>
      <c r="H18" s="146" t="s">
        <v>446</v>
      </c>
      <c r="L18" s="4">
        <f>L16*L17</f>
        <v>3.6000000000000004E-2</v>
      </c>
      <c r="O18" s="146" t="s">
        <v>446</v>
      </c>
      <c r="S18" s="4">
        <f>S16*S17</f>
        <v>3.6000000000000004E-2</v>
      </c>
    </row>
    <row r="19" spans="1:19" x14ac:dyDescent="0.25">
      <c r="A19" s="146"/>
      <c r="H19" s="146"/>
      <c r="O19" s="146"/>
    </row>
    <row r="20" spans="1:19" x14ac:dyDescent="0.25">
      <c r="A20" s="146" t="s">
        <v>447</v>
      </c>
      <c r="B20" s="4">
        <f>B13</f>
        <v>95.850000000000009</v>
      </c>
      <c r="C20" s="4">
        <f t="shared" ref="C20" si="0">C13</f>
        <v>102.87</v>
      </c>
      <c r="D20" s="4">
        <f>D13+D18</f>
        <v>153.93600000000001</v>
      </c>
      <c r="H20" s="146" t="s">
        <v>447</v>
      </c>
      <c r="I20" s="4">
        <f>I13</f>
        <v>95.850000000000009</v>
      </c>
      <c r="J20" s="4">
        <f t="shared" ref="J20:L20" si="1">J13</f>
        <v>0</v>
      </c>
      <c r="K20" s="4">
        <f t="shared" si="1"/>
        <v>102.87</v>
      </c>
      <c r="L20" s="4">
        <f t="shared" si="1"/>
        <v>153.9</v>
      </c>
      <c r="O20" s="146" t="s">
        <v>447</v>
      </c>
      <c r="P20" s="4">
        <f>P13</f>
        <v>95.850000000000009</v>
      </c>
      <c r="Q20" s="4">
        <f t="shared" ref="Q20:S20" si="2">Q13</f>
        <v>0</v>
      </c>
      <c r="R20" s="4">
        <f t="shared" si="2"/>
        <v>102.87</v>
      </c>
      <c r="S20" s="4">
        <f t="shared" si="2"/>
        <v>153.9</v>
      </c>
    </row>
    <row r="21" spans="1:19" x14ac:dyDescent="0.25">
      <c r="A21" s="146"/>
      <c r="H21" s="146"/>
      <c r="O21" s="146"/>
    </row>
    <row r="22" spans="1:19" x14ac:dyDescent="0.25">
      <c r="A22" s="146" t="s">
        <v>448</v>
      </c>
      <c r="B22" s="4">
        <f>AVERAGE(B20:D20)</f>
        <v>117.55200000000002</v>
      </c>
      <c r="H22" s="146" t="s">
        <v>448</v>
      </c>
      <c r="I22" s="4">
        <f>AVERAGE(I20:L20)</f>
        <v>88.155000000000001</v>
      </c>
      <c r="O22" s="146" t="s">
        <v>448</v>
      </c>
      <c r="P22" s="4">
        <f>AVERAGE(P20:S20)</f>
        <v>88.155000000000001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Output</vt:lpstr>
      <vt:lpstr>Data source</vt:lpstr>
      <vt:lpstr>Site characteristics</vt:lpstr>
      <vt:lpstr>Without legumes</vt:lpstr>
      <vt:lpstr>With legumes option 1 </vt:lpstr>
      <vt:lpstr>With legumes option 2</vt:lpstr>
      <vt:lpstr>Data for yield stability</vt:lpstr>
      <vt:lpstr>GM</vt:lpstr>
      <vt:lpstr>N fertilizer</vt:lpstr>
      <vt:lpstr>Protein &amp; Energy Output</vt:lpstr>
      <vt:lpstr>Crop Diversity</vt:lpstr>
      <vt:lpstr>NO3</vt:lpstr>
      <vt:lpstr>N2O calculations</vt:lpstr>
      <vt:lpstr>N2O default values</vt:lpstr>
      <vt:lpstr>Mapping crops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notz</dc:creator>
  <cp:lastModifiedBy>notz</cp:lastModifiedBy>
  <dcterms:created xsi:type="dcterms:W3CDTF">2019-08-15T12:33:08Z</dcterms:created>
  <dcterms:modified xsi:type="dcterms:W3CDTF">2020-12-09T07:02:06Z</dcterms:modified>
</cp:coreProperties>
</file>