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 activeTab="1"/>
  </bookViews>
  <sheets>
    <sheet name="Output" sheetId="22" r:id="rId1"/>
    <sheet name="Data source" sheetId="17" r:id="rId2"/>
    <sheet name="Site characteristics" sheetId="1" r:id="rId3"/>
    <sheet name="Without legumes" sheetId="16" r:id="rId4"/>
    <sheet name="With legumes" sheetId="9" r:id="rId5"/>
    <sheet name="Data for yield stability" sheetId="12" r:id="rId6"/>
    <sheet name="GM" sheetId="18" r:id="rId7"/>
    <sheet name="N fertilizer" sheetId="19" r:id="rId8"/>
    <sheet name="Protein &amp; Energy Output" sheetId="20" r:id="rId9"/>
    <sheet name="Crop Diversity" sheetId="21" r:id="rId10"/>
    <sheet name="NO3-N" sheetId="26" r:id="rId11"/>
    <sheet name="N2O calculations" sheetId="23" r:id="rId12"/>
    <sheet name="N2O default values" sheetId="24" r:id="rId13"/>
    <sheet name="Mapping crops" sheetId="25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9" l="1"/>
  <c r="B25" i="19"/>
  <c r="B29" i="19"/>
  <c r="B27" i="19"/>
  <c r="B31" i="19"/>
  <c r="I29" i="19"/>
  <c r="M25" i="23"/>
  <c r="L25" i="23"/>
  <c r="K25" i="23"/>
  <c r="J25" i="23"/>
  <c r="I25" i="23"/>
  <c r="B25" i="23"/>
  <c r="C25" i="23"/>
  <c r="E25" i="23"/>
  <c r="F25" i="23"/>
  <c r="D25" i="23"/>
  <c r="M28" i="23"/>
  <c r="L28" i="23"/>
  <c r="K28" i="23"/>
  <c r="J28" i="23"/>
  <c r="I28" i="23"/>
  <c r="C28" i="23"/>
  <c r="D28" i="23"/>
  <c r="E28" i="23"/>
  <c r="F28" i="23"/>
  <c r="B28" i="23"/>
  <c r="I18" i="20"/>
  <c r="J18" i="20"/>
  <c r="K18" i="20"/>
  <c r="L18" i="20"/>
  <c r="H18" i="20"/>
  <c r="C18" i="20"/>
  <c r="D18" i="20"/>
  <c r="E18" i="20"/>
  <c r="F18" i="20"/>
  <c r="B18" i="20"/>
  <c r="O16" i="12"/>
  <c r="O15" i="12"/>
  <c r="O14" i="12"/>
  <c r="O13" i="12"/>
  <c r="O12" i="12"/>
  <c r="O11" i="12"/>
  <c r="O10" i="12"/>
  <c r="O9" i="12"/>
  <c r="O8" i="12"/>
  <c r="O7" i="12"/>
  <c r="K15" i="26"/>
  <c r="K3" i="22"/>
  <c r="K8" i="26"/>
  <c r="K2" i="22"/>
  <c r="C20" i="20"/>
  <c r="R2" i="22"/>
  <c r="I20" i="20"/>
  <c r="R3" i="22"/>
  <c r="M11" i="23"/>
  <c r="L11" i="23"/>
  <c r="K11" i="23"/>
  <c r="J11" i="23"/>
  <c r="I11" i="23"/>
  <c r="F11" i="23"/>
  <c r="E11" i="23"/>
  <c r="D11" i="23"/>
  <c r="C11" i="23"/>
  <c r="B11" i="23"/>
  <c r="M10" i="23"/>
  <c r="L10" i="23"/>
  <c r="K10" i="23"/>
  <c r="J10" i="23"/>
  <c r="I10" i="23"/>
  <c r="C10" i="23"/>
  <c r="B10" i="23"/>
  <c r="M9" i="23"/>
  <c r="L9" i="23"/>
  <c r="K9" i="23"/>
  <c r="J9" i="23"/>
  <c r="D9" i="23"/>
  <c r="M7" i="23"/>
  <c r="M8" i="23"/>
  <c r="M24" i="23"/>
  <c r="L7" i="23"/>
  <c r="L8" i="23"/>
  <c r="K7" i="23"/>
  <c r="K8" i="23"/>
  <c r="K24" i="23"/>
  <c r="J7" i="23"/>
  <c r="J8" i="23"/>
  <c r="I7" i="23"/>
  <c r="I8" i="23"/>
  <c r="F7" i="23"/>
  <c r="F8" i="23"/>
  <c r="E7" i="23"/>
  <c r="E8" i="23"/>
  <c r="D7" i="23"/>
  <c r="D8" i="23"/>
  <c r="C7" i="23"/>
  <c r="C8" i="23"/>
  <c r="C24" i="23"/>
  <c r="B7" i="23"/>
  <c r="B24" i="23"/>
  <c r="F4" i="23"/>
  <c r="E4" i="23"/>
  <c r="D4" i="23"/>
  <c r="C4" i="23"/>
  <c r="B4" i="23"/>
  <c r="A4" i="23"/>
  <c r="F3" i="23"/>
  <c r="E3" i="23"/>
  <c r="D3" i="23"/>
  <c r="C3" i="23"/>
  <c r="B3" i="23"/>
  <c r="A3" i="23"/>
  <c r="F2" i="23"/>
  <c r="E2" i="23"/>
  <c r="D2" i="23"/>
  <c r="C2" i="23"/>
  <c r="B2" i="23"/>
  <c r="A2" i="23"/>
  <c r="F1" i="23"/>
  <c r="E1" i="23"/>
  <c r="D1" i="23"/>
  <c r="C1" i="23"/>
  <c r="B1" i="23"/>
  <c r="A1" i="23"/>
  <c r="U22" i="24"/>
  <c r="U21" i="24"/>
  <c r="U20" i="24"/>
  <c r="U19" i="24"/>
  <c r="U18" i="24"/>
  <c r="Q18" i="24"/>
  <c r="U17" i="24"/>
  <c r="Q17" i="24"/>
  <c r="U16" i="24"/>
  <c r="R16" i="24"/>
  <c r="P16" i="24"/>
  <c r="U15" i="24"/>
  <c r="U14" i="24"/>
  <c r="U13" i="24"/>
  <c r="U12" i="24"/>
  <c r="R12" i="24"/>
  <c r="U11" i="24"/>
  <c r="R11" i="24"/>
  <c r="P11" i="24"/>
  <c r="U10" i="24"/>
  <c r="P10" i="24"/>
  <c r="U9" i="24"/>
  <c r="R9" i="24"/>
  <c r="U8" i="24"/>
  <c r="U7" i="24"/>
  <c r="U6" i="24"/>
  <c r="U5" i="24"/>
  <c r="U4" i="24"/>
  <c r="E4" i="24"/>
  <c r="U3" i="24"/>
  <c r="E3" i="24"/>
  <c r="U2" i="24"/>
  <c r="G2" i="24"/>
  <c r="E2" i="24"/>
  <c r="M27" i="23"/>
  <c r="L27" i="23"/>
  <c r="K27" i="23"/>
  <c r="J27" i="23"/>
  <c r="I27" i="23"/>
  <c r="F27" i="23"/>
  <c r="E27" i="23"/>
  <c r="D27" i="23"/>
  <c r="C27" i="23"/>
  <c r="B27" i="23"/>
  <c r="E24" i="23"/>
  <c r="I24" i="23"/>
  <c r="F24" i="23"/>
  <c r="L24" i="23"/>
  <c r="B21" i="21"/>
  <c r="B19" i="21"/>
  <c r="B14" i="21"/>
  <c r="B13" i="21"/>
  <c r="L12" i="20"/>
  <c r="K12" i="20"/>
  <c r="J12" i="20"/>
  <c r="I12" i="20"/>
  <c r="H12" i="20"/>
  <c r="C12" i="20"/>
  <c r="D12" i="20"/>
  <c r="E12" i="20"/>
  <c r="F12" i="20"/>
  <c r="B12" i="20"/>
  <c r="M25" i="19"/>
  <c r="J13" i="19"/>
  <c r="J25" i="19"/>
  <c r="L3" i="22"/>
  <c r="M3" i="22"/>
  <c r="N3" i="22"/>
  <c r="I13" i="19"/>
  <c r="I9" i="23"/>
  <c r="I26" i="23"/>
  <c r="F18" i="19"/>
  <c r="F10" i="23"/>
  <c r="F13" i="19"/>
  <c r="F25" i="19"/>
  <c r="E18" i="19"/>
  <c r="E10" i="23"/>
  <c r="E13" i="19"/>
  <c r="M10" i="18"/>
  <c r="M13" i="18"/>
  <c r="L10" i="18"/>
  <c r="L13" i="18"/>
  <c r="K10" i="18"/>
  <c r="K13" i="18"/>
  <c r="J10" i="18"/>
  <c r="J13" i="18"/>
  <c r="I10" i="18"/>
  <c r="I13" i="18"/>
  <c r="C10" i="18"/>
  <c r="C13" i="18"/>
  <c r="D10" i="18"/>
  <c r="D13" i="18"/>
  <c r="E10" i="18"/>
  <c r="E13" i="18"/>
  <c r="F10" i="18"/>
  <c r="F13" i="18"/>
  <c r="B10" i="18"/>
  <c r="B13" i="18"/>
  <c r="D21" i="21"/>
  <c r="E21" i="21"/>
  <c r="D19" i="21"/>
  <c r="E19" i="21"/>
  <c r="E22" i="21"/>
  <c r="S3" i="22"/>
  <c r="D14" i="21"/>
  <c r="E14" i="21"/>
  <c r="D13" i="21"/>
  <c r="E13" i="21"/>
  <c r="E16" i="21"/>
  <c r="S2" i="22"/>
  <c r="F7" i="21"/>
  <c r="D18" i="19"/>
  <c r="D10" i="23"/>
  <c r="L25" i="19"/>
  <c r="K25" i="19"/>
  <c r="I25" i="19"/>
  <c r="D13" i="19"/>
  <c r="D27" i="19"/>
  <c r="C13" i="19"/>
  <c r="C9" i="23"/>
  <c r="B9" i="23"/>
  <c r="S17" i="12"/>
  <c r="O17" i="12"/>
  <c r="K17" i="12"/>
  <c r="G17" i="12"/>
  <c r="N23" i="12"/>
  <c r="P3" i="22"/>
  <c r="C17" i="12"/>
  <c r="D25" i="19"/>
  <c r="L14" i="23"/>
  <c r="L15" i="23"/>
  <c r="L17" i="23"/>
  <c r="D14" i="23"/>
  <c r="D15" i="23"/>
  <c r="D17" i="23"/>
  <c r="B15" i="18"/>
  <c r="G2" i="22"/>
  <c r="E14" i="23"/>
  <c r="E15" i="23"/>
  <c r="E17" i="23"/>
  <c r="E16" i="23"/>
  <c r="E18" i="23"/>
  <c r="M14" i="23"/>
  <c r="M15" i="23"/>
  <c r="M17" i="23"/>
  <c r="I15" i="18"/>
  <c r="G3" i="22"/>
  <c r="F14" i="23"/>
  <c r="F15" i="23"/>
  <c r="F17" i="23"/>
  <c r="I14" i="23"/>
  <c r="I15" i="23"/>
  <c r="I17" i="23"/>
  <c r="I19" i="23"/>
  <c r="I16" i="23"/>
  <c r="I18" i="23"/>
  <c r="K14" i="23"/>
  <c r="K15" i="23"/>
  <c r="K17" i="23"/>
  <c r="J14" i="23"/>
  <c r="J15" i="23"/>
  <c r="J17" i="23"/>
  <c r="C14" i="23"/>
  <c r="C15" i="23"/>
  <c r="C17" i="23"/>
  <c r="E9" i="23"/>
  <c r="E26" i="23"/>
  <c r="N22" i="12"/>
  <c r="P2" i="22"/>
  <c r="F27" i="19"/>
  <c r="F9" i="23"/>
  <c r="F26" i="23"/>
  <c r="J24" i="23"/>
  <c r="D24" i="23"/>
  <c r="I14" i="20"/>
  <c r="Q3" i="22"/>
  <c r="B8" i="23"/>
  <c r="E25" i="19"/>
  <c r="C25" i="19"/>
  <c r="E27" i="19"/>
  <c r="B26" i="23"/>
  <c r="L26" i="23"/>
  <c r="C26" i="23"/>
  <c r="M26" i="23"/>
  <c r="K26" i="23"/>
  <c r="D26" i="23"/>
  <c r="J26" i="23"/>
  <c r="I31" i="23"/>
  <c r="C14" i="20"/>
  <c r="Q2" i="22"/>
  <c r="B14" i="23"/>
  <c r="B15" i="23"/>
  <c r="B17" i="23"/>
  <c r="K16" i="23"/>
  <c r="K18" i="23"/>
  <c r="E19" i="23"/>
  <c r="E31" i="23"/>
  <c r="K19" i="23"/>
  <c r="K31" i="23"/>
  <c r="C16" i="23"/>
  <c r="C18" i="23"/>
  <c r="C19" i="23"/>
  <c r="C31" i="23"/>
  <c r="F16" i="23"/>
  <c r="F18" i="23"/>
  <c r="F19" i="23"/>
  <c r="F31" i="23"/>
  <c r="D16" i="23"/>
  <c r="D18" i="23"/>
  <c r="D19" i="23"/>
  <c r="D31" i="23"/>
  <c r="C27" i="19"/>
  <c r="M2" i="22"/>
  <c r="N2" i="22"/>
  <c r="I2" i="22"/>
  <c r="L2" i="22"/>
  <c r="J16" i="23"/>
  <c r="J18" i="23"/>
  <c r="J3" i="22"/>
  <c r="I3" i="22"/>
  <c r="L16" i="23"/>
  <c r="L18" i="23"/>
  <c r="J19" i="23"/>
  <c r="J31" i="23"/>
  <c r="M16" i="23"/>
  <c r="M18" i="23"/>
  <c r="M19" i="23"/>
  <c r="M31" i="23"/>
  <c r="L19" i="23"/>
  <c r="L31" i="23"/>
  <c r="H31" i="23"/>
  <c r="O3" i="22"/>
  <c r="B16" i="23"/>
  <c r="B18" i="23"/>
  <c r="B19" i="23"/>
  <c r="B31" i="23"/>
  <c r="A31" i="23"/>
  <c r="O2" i="22"/>
  <c r="J2" i="22"/>
</calcChain>
</file>

<file path=xl/comments1.xml><?xml version="1.0" encoding="utf-8"?>
<comments xmlns="http://schemas.openxmlformats.org/spreadsheetml/2006/main">
  <authors>
    <author>notz</author>
  </authors>
  <commentList>
    <comment ref="E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L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together with Kornkali</t>
        </r>
      </text>
    </comment>
    <comment ref="L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E3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Primor Granulat together with Taspa
</t>
        </r>
      </text>
    </comment>
  </commentList>
</comments>
</file>

<file path=xl/comments2.xml><?xml version="1.0" encoding="utf-8"?>
<comments xmlns="http://schemas.openxmlformats.org/spreadsheetml/2006/main">
  <authors>
    <author>notz</author>
  </authors>
  <commentList>
    <comment ref="E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together?</t>
        </r>
      </text>
    </comment>
    <comment ref="L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together with Kornkali</t>
        </r>
      </text>
    </comment>
    <comment ref="L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E3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Primor Granulat together with Taspa
</t>
        </r>
      </text>
    </comment>
  </commentList>
</comments>
</file>

<file path=xl/sharedStrings.xml><?xml version="1.0" encoding="utf-8"?>
<sst xmlns="http://schemas.openxmlformats.org/spreadsheetml/2006/main" count="1324" uniqueCount="476">
  <si>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</si>
  <si>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</si>
  <si>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</si>
  <si>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</si>
  <si>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</si>
  <si>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</si>
  <si>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</si>
  <si>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</si>
  <si>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</si>
  <si>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</si>
  <si>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</si>
  <si>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</si>
  <si>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</si>
  <si>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</si>
  <si>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</si>
  <si>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</si>
  <si>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</si>
  <si>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</si>
  <si>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</si>
  <si>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</si>
  <si>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</si>
  <si>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</si>
  <si>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</si>
  <si>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</si>
  <si>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</si>
  <si>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</si>
  <si>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</si>
  <si>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</si>
  <si>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</si>
  <si>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</si>
  <si>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</si>
  <si>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</si>
  <si>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</si>
  <si>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</si>
  <si>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</si>
  <si>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</si>
  <si>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</si>
  <si>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</si>
  <si>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</si>
  <si>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</si>
  <si>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</si>
  <si>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</si>
  <si>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</si>
  <si>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</si>
  <si>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</si>
  <si>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</si>
  <si>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</si>
  <si>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</si>
  <si>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</si>
  <si>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>CROP 5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</si>
  <si>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</si>
  <si>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</si>
  <si>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</si>
  <si>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</si>
  <si>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</si>
  <si>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</si>
  <si>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</si>
  <si>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</si>
  <si>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</si>
  <si>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</si>
  <si>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</si>
  <si>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</si>
  <si>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</si>
  <si>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</si>
  <si>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</si>
  <si>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</si>
  <si>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</si>
  <si>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</si>
  <si>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</si>
  <si>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</si>
  <si>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</si>
  <si>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</si>
  <si>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</si>
  <si>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</si>
  <si>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t>Lime</t>
  </si>
  <si>
    <t>Kornkali</t>
  </si>
  <si>
    <t>TSP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</si>
  <si>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</si>
  <si>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</si>
  <si>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</si>
  <si>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</si>
  <si>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</si>
  <si>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</si>
  <si>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</si>
  <si>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</si>
  <si>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</si>
  <si>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</si>
  <si>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</si>
  <si>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</si>
  <si>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</si>
  <si>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</si>
  <si>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</si>
  <si>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</si>
  <si>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r>
      <t>Total amount [kg or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/ha]</t>
    </r>
  </si>
  <si>
    <t>Amount [kg or l/ha]</t>
  </si>
  <si>
    <t>0,5l</t>
  </si>
  <si>
    <t>1l</t>
  </si>
  <si>
    <t>Trafo WG</t>
  </si>
  <si>
    <t>Total amount [kg or l/ha]</t>
  </si>
  <si>
    <t>Combine harvester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</si>
  <si>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</si>
  <si>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</si>
  <si>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</si>
  <si>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</si>
  <si>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</si>
  <si>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</si>
  <si>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</si>
  <si>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>Solid</t>
  </si>
  <si>
    <t>liquid</t>
  </si>
  <si>
    <t>EXAMPLE - Crop [name of crop]: Winter rye</t>
  </si>
  <si>
    <t xml:space="preserve">Please indicate the specific costs of production, the total variable costs and subsidies. </t>
  </si>
  <si>
    <t xml:space="preserve">Date: </t>
  </si>
  <si>
    <t>Date:</t>
  </si>
  <si>
    <t>Date</t>
  </si>
  <si>
    <t>Date/ Period</t>
  </si>
  <si>
    <t>Winter wheat</t>
  </si>
  <si>
    <t>Winter rye</t>
  </si>
  <si>
    <t>April</t>
  </si>
  <si>
    <t>August</t>
  </si>
  <si>
    <t>KAS</t>
  </si>
  <si>
    <t>27%N</t>
  </si>
  <si>
    <t>185+204+54</t>
  </si>
  <si>
    <t>March+May+June</t>
  </si>
  <si>
    <t>33% K</t>
  </si>
  <si>
    <t>20% P</t>
  </si>
  <si>
    <t>185+196+52</t>
  </si>
  <si>
    <t>Silage maize</t>
  </si>
  <si>
    <t>BB manure liquid</t>
  </si>
  <si>
    <t>10,9 (DM)</t>
  </si>
  <si>
    <t>Alzon</t>
  </si>
  <si>
    <t>46%N</t>
  </si>
  <si>
    <t>April/May</t>
  </si>
  <si>
    <t>DAP</t>
  </si>
  <si>
    <t>March/April+April/may+May/June</t>
  </si>
  <si>
    <t>Alfalfa</t>
  </si>
  <si>
    <t>8,2 (DM)</t>
  </si>
  <si>
    <t>Oct</t>
  </si>
  <si>
    <t>Aufsattelbeetplug</t>
  </si>
  <si>
    <t>Date: 1.9. - 30.9</t>
  </si>
  <si>
    <t>Scheibenegge</t>
  </si>
  <si>
    <t>Date: 11.8. - 20.8</t>
  </si>
  <si>
    <t>SBB+Pneumatikdrillmaschine</t>
  </si>
  <si>
    <t>Date: 11.9. - 20.9</t>
  </si>
  <si>
    <t>N mit Schleuderstreuer dir. Verf.</t>
  </si>
  <si>
    <t>PK mit Großbehälter, angehängt, dir. Verf.</t>
  </si>
  <si>
    <t>1.8. - 20.8</t>
  </si>
  <si>
    <t>11.4. - 20.4.</t>
  </si>
  <si>
    <t>21.8. - 31.8</t>
  </si>
  <si>
    <t>Moddus</t>
  </si>
  <si>
    <t>Anhängespritze, dir. Verfahren</t>
  </si>
  <si>
    <t>1.4. - 20.4.</t>
  </si>
  <si>
    <t>0,3l</t>
  </si>
  <si>
    <t>CCC 720</t>
  </si>
  <si>
    <t>21.3. - 31.3.</t>
  </si>
  <si>
    <t>0,8l</t>
  </si>
  <si>
    <t>U 46 M-Fluid</t>
  </si>
  <si>
    <t>1.5. - 20.5</t>
  </si>
  <si>
    <t>Malibu</t>
  </si>
  <si>
    <t>3,5l</t>
  </si>
  <si>
    <t>11.10. - 20.10.</t>
  </si>
  <si>
    <t>Champion+Diamant</t>
  </si>
  <si>
    <t>0,75l+0,75l</t>
  </si>
  <si>
    <t>1.5. - 10.5</t>
  </si>
  <si>
    <t>Taspa</t>
  </si>
  <si>
    <t>1.6. - 20.6</t>
  </si>
  <si>
    <t>Pirimor Granulat</t>
  </si>
  <si>
    <t>0,1kg</t>
  </si>
  <si>
    <t>0,075kg</t>
  </si>
  <si>
    <t>11.10. - 31.10.</t>
  </si>
  <si>
    <t>1.8. - 10.8.</t>
  </si>
  <si>
    <t>Other fertiliser used/ growth regulator</t>
  </si>
  <si>
    <t>Date: 21.8. - 31.8</t>
  </si>
  <si>
    <t>Date: 11.8. - 20.8.</t>
  </si>
  <si>
    <t>Date: 21.9. - 30.9.</t>
  </si>
  <si>
    <t>Schleuderstreuer direkt Verfahren</t>
  </si>
  <si>
    <t>1.8. - 20.8.</t>
  </si>
  <si>
    <t>11.4. - 20.4</t>
  </si>
  <si>
    <t>21.8. - 31.8.</t>
  </si>
  <si>
    <t>Camposan extra</t>
  </si>
  <si>
    <t>Anhängerspritze direkt Verfahren</t>
  </si>
  <si>
    <t>21.4. - 30.4</t>
  </si>
  <si>
    <t>0,7l</t>
  </si>
  <si>
    <t>STARANE XL</t>
  </si>
  <si>
    <t>1,5l</t>
  </si>
  <si>
    <t>11.4. - 30.4.</t>
  </si>
  <si>
    <t>Fenikan</t>
  </si>
  <si>
    <t>2,5l</t>
  </si>
  <si>
    <t>1.10. - 10.10</t>
  </si>
  <si>
    <t>Amistar</t>
  </si>
  <si>
    <t>Alto 240 EC</t>
  </si>
  <si>
    <t>0,4l</t>
  </si>
  <si>
    <t>11.5. - 31.5.</t>
  </si>
  <si>
    <t>1.8. - 10.8</t>
  </si>
  <si>
    <t>14 (Zinsansatz) + 489</t>
  </si>
  <si>
    <t>2,0 unit/ha</t>
  </si>
  <si>
    <t>Date:11.10. - 20.10</t>
  </si>
  <si>
    <t>Date: 21.10. - 31.10.</t>
  </si>
  <si>
    <t>Gülleausbringung mit Injektionsgrubber</t>
  </si>
  <si>
    <t>Date: 11.4. - 30.4</t>
  </si>
  <si>
    <t>Einzelkorndrillen, Mais m. Reihendüngung</t>
  </si>
  <si>
    <t>Date: 21.4. - 30.4</t>
  </si>
  <si>
    <t>Kombinierte SBB, aufgesattelt, Arbeiten mit Kurzgrubber</t>
  </si>
  <si>
    <t>Gardo Gold</t>
  </si>
  <si>
    <t>4l</t>
  </si>
  <si>
    <t>1.5. - 20.5.</t>
  </si>
  <si>
    <t>Motivell</t>
  </si>
  <si>
    <t>21.5. - 31.5.</t>
  </si>
  <si>
    <t>Steward</t>
  </si>
  <si>
    <t>1.7. - 20.7.</t>
  </si>
  <si>
    <t>0,125kg</t>
  </si>
  <si>
    <t>Silomaisernte mit SF-Häcksler</t>
  </si>
  <si>
    <t>11.9. - 20.9.</t>
  </si>
  <si>
    <t>PK mit Großbehälter, angehängt, dir. Verf</t>
  </si>
  <si>
    <t>11.9. - 30.9</t>
  </si>
  <si>
    <t>Price [EUR/t]</t>
  </si>
  <si>
    <t xml:space="preserve">Silage </t>
  </si>
  <si>
    <t>16 (Zinsansatz)+592</t>
  </si>
  <si>
    <t>28 (Zinsansatz) + 10 (Material - Silofolie) 684</t>
  </si>
  <si>
    <t>Date: August</t>
  </si>
  <si>
    <t>Aug/Sep</t>
  </si>
  <si>
    <t>21 (Zinssatz) +  8 (Material -Silofolie) + 410</t>
  </si>
  <si>
    <t>25 % MgO, 50 % SO3</t>
  </si>
  <si>
    <t>100 % CaO</t>
  </si>
  <si>
    <t>Brandenburg</t>
  </si>
  <si>
    <t>DE 40</t>
  </si>
  <si>
    <t>LBG2</t>
  </si>
  <si>
    <t>Sandy loam</t>
  </si>
  <si>
    <t>36-45</t>
  </si>
  <si>
    <t xml:space="preserve">Contact person:
</t>
  </si>
  <si>
    <t xml:space="preserve">1. Inka Notz, ZALF. Contact: inka.notz@zalf.de </t>
  </si>
  <si>
    <t>2. Moritz Reckling, ZALF. Contact: moritz.reckling@zalf.de</t>
  </si>
  <si>
    <t xml:space="preserve">Acknowledgement to:
</t>
  </si>
  <si>
    <t>Moritz Reckling, Johannes Hufnagel, Renate Wille, Gunhild Rosner, Inka Notz (ZALF)</t>
  </si>
  <si>
    <t>How representative are the data?</t>
  </si>
  <si>
    <t>Data representing practical farming?</t>
  </si>
  <si>
    <t>Yes</t>
  </si>
  <si>
    <t xml:space="preserve">The rotations were based on expert knowledge informed by IACS  and incorporating  the interests of the regional actor group "Brandenburg Farmers' Network". </t>
  </si>
  <si>
    <t>Therefore the data are typical in terms of crop choice and management for the region and also display interesting new crops for the region (soybean).</t>
  </si>
  <si>
    <t>Data coming from averages over several years?</t>
  </si>
  <si>
    <t>Management and yield data were compiled mainly on basis of the "Datensammlung für die betriebswirtschaftliche Bewertung landwirtschaftlicher Produktionsverfahren im Land Brandenburg". Pre-crop effects were incorporated.</t>
  </si>
  <si>
    <t xml:space="preserve">Crop prices were based on averages of 2016-2018 from the MIO Marktinformation Ost. </t>
  </si>
  <si>
    <t xml:space="preserve">Therefore they are expert-derived crop rotations displaying typical management and yield data for this region. 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</si>
  <si>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</si>
  <si>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</si>
  <si>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</si>
  <si>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There are no differences in the management and yield of the other crops.</t>
  </si>
  <si>
    <t>Silage x3</t>
  </si>
  <si>
    <t>Kreiselmäher mit Aufbereiter</t>
  </si>
  <si>
    <t>May/June, July/Aug, Sep</t>
  </si>
  <si>
    <t>15 (Zinsansatz) + 541</t>
  </si>
  <si>
    <t>3,8kgN/m3</t>
  </si>
  <si>
    <t>Data are coming from regional statistics.</t>
  </si>
  <si>
    <t>Crop [name of crop]: Winter wheat</t>
  </si>
  <si>
    <t>Crop [name of crop]: Winter rye</t>
  </si>
  <si>
    <t>Crop [name of crop]: Silage maize</t>
  </si>
  <si>
    <t>Crop [name of crop]: Alfalfa</t>
  </si>
  <si>
    <t>Without legumes</t>
  </si>
  <si>
    <t>wrye</t>
  </si>
  <si>
    <t>wrape</t>
  </si>
  <si>
    <t>With legumes option 1</t>
  </si>
  <si>
    <t>lupin</t>
  </si>
  <si>
    <t>c1</t>
  </si>
  <si>
    <t>c2</t>
  </si>
  <si>
    <t>c3</t>
  </si>
  <si>
    <t>c4</t>
  </si>
  <si>
    <t>c5</t>
  </si>
  <si>
    <t>wwheat</t>
  </si>
  <si>
    <t>maize</t>
  </si>
  <si>
    <t>alfalfa</t>
  </si>
  <si>
    <t xml:space="preserve">Without legumes: </t>
  </si>
  <si>
    <t xml:space="preserve">With legumes option 1: </t>
  </si>
  <si>
    <t>Content N</t>
  </si>
  <si>
    <t>wbarley</t>
  </si>
  <si>
    <t>Yield DM</t>
  </si>
  <si>
    <t>Triticale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</si>
  <si>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</si>
  <si>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</si>
  <si>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</si>
  <si>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</si>
  <si>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</si>
  <si>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</si>
  <si>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</si>
  <si>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</si>
  <si>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Cereal crop</t>
  </si>
  <si>
    <t>Leaf crop</t>
  </si>
  <si>
    <t>Legume</t>
  </si>
  <si>
    <t>Gross margin (prices feed calculator)</t>
  </si>
  <si>
    <t>GM with CO2 tax I</t>
  </si>
  <si>
    <t>GM with CO2 tax II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</si>
  <si>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</si>
  <si>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</si>
  <si>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</si>
  <si>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</si>
  <si>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Crop diversity</t>
  </si>
  <si>
    <t>Manure</t>
  </si>
  <si>
    <t>Protein yield [kg/ha]</t>
  </si>
  <si>
    <t>Coefficient of variation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</si>
  <si>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</si>
  <si>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</si>
  <si>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</si>
  <si>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</si>
  <si>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</si>
  <si>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</si>
  <si>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</si>
  <si>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</si>
  <si>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</si>
  <si>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</si>
  <si>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</si>
  <si>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</si>
  <si>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</si>
  <si>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</si>
  <si>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</si>
  <si>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</si>
  <si>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</si>
  <si>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</si>
  <si>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</si>
  <si>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</si>
  <si>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</si>
  <si>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</si>
  <si>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</si>
  <si>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</si>
  <si>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</si>
  <si>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</si>
  <si>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</si>
  <si>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</si>
  <si>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</si>
  <si>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</si>
  <si>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</si>
  <si>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</si>
  <si>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</si>
  <si>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</si>
  <si>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</si>
  <si>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</si>
  <si>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</si>
  <si>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</si>
  <si>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</si>
  <si>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</si>
  <si>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</si>
  <si>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</si>
  <si>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</si>
  <si>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</si>
  <si>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</si>
  <si>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</si>
  <si>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</si>
  <si>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</si>
  <si>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</si>
  <si>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</si>
  <si>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</si>
  <si>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</si>
  <si>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</si>
  <si>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</si>
  <si>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</si>
  <si>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</si>
  <si>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</si>
  <si>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</si>
  <si>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</si>
  <si>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</si>
  <si>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</si>
  <si>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</si>
  <si>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</si>
  <si>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</si>
  <si>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NPK</t>
  </si>
  <si>
    <t>NH4NO3</t>
  </si>
  <si>
    <t>Euroserial Duo</t>
  </si>
  <si>
    <t>Sulfano</t>
  </si>
  <si>
    <t>Lebosol</t>
  </si>
  <si>
    <t>CAN</t>
  </si>
  <si>
    <t>Urea 120</t>
  </si>
  <si>
    <t>N8P16K20 +SO3+B</t>
  </si>
  <si>
    <t>MAP</t>
  </si>
  <si>
    <t>Other</t>
  </si>
  <si>
    <t>NP</t>
  </si>
  <si>
    <t>Anhydrous ammonia</t>
  </si>
  <si>
    <t>ammonium nitrate</t>
  </si>
  <si>
    <t>Diammofoska</t>
  </si>
  <si>
    <t>Ammonium sulfate</t>
  </si>
  <si>
    <t>Nitroamofoska</t>
  </si>
  <si>
    <t>Urea (carbamide)</t>
  </si>
  <si>
    <t>VK gelb</t>
  </si>
  <si>
    <t>NAC</t>
  </si>
  <si>
    <t>Diammonium phosphate</t>
  </si>
  <si>
    <t>Yara tris</t>
  </si>
  <si>
    <t>UMOSTART G MAXI</t>
  </si>
  <si>
    <t>Harnstoff</t>
  </si>
  <si>
    <t>Gülle</t>
  </si>
  <si>
    <t>Entec</t>
  </si>
  <si>
    <t>Mischdünger</t>
  </si>
  <si>
    <t>N</t>
  </si>
  <si>
    <t>Sulcan</t>
  </si>
  <si>
    <t>Super Can</t>
  </si>
  <si>
    <t>ASN</t>
  </si>
  <si>
    <t>IPCCID</t>
  </si>
  <si>
    <t>Faba bean</t>
  </si>
  <si>
    <t>Field pea</t>
  </si>
  <si>
    <t>Spring barley</t>
  </si>
  <si>
    <t>Winter barley</t>
  </si>
  <si>
    <t>Winter oat</t>
  </si>
  <si>
    <t>Winter rape</t>
  </si>
  <si>
    <t>Soya</t>
  </si>
  <si>
    <t>Sunflower</t>
  </si>
  <si>
    <t>Dry bean</t>
  </si>
  <si>
    <t>Forage pea</t>
  </si>
  <si>
    <t>Soybean</t>
  </si>
  <si>
    <t>Corn</t>
  </si>
  <si>
    <t>Pea</t>
  </si>
  <si>
    <t>Wheat</t>
  </si>
  <si>
    <t>Sugar beet</t>
  </si>
  <si>
    <t>Winter rapeseed</t>
  </si>
  <si>
    <t>Winter oats</t>
  </si>
  <si>
    <t>Spring beans</t>
  </si>
  <si>
    <t>Grassland</t>
  </si>
  <si>
    <t>Grass-clover</t>
  </si>
  <si>
    <t>Peas + Barley</t>
  </si>
  <si>
    <t>bean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</si>
  <si>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</si>
  <si>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</si>
  <si>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</si>
  <si>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</si>
  <si>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</si>
  <si>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</si>
  <si>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</si>
  <si>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</si>
  <si>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</si>
  <si>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Calculations</t>
  </si>
  <si>
    <t>-&gt; valid for non-legumes</t>
  </si>
  <si>
    <t>-&gt; valid for legumes and non-legumes</t>
  </si>
  <si>
    <t>(N input encloses additional N from seed)</t>
  </si>
  <si>
    <t>Crude protein [% DM]</t>
  </si>
  <si>
    <t>Protein output [t/ha]</t>
  </si>
  <si>
    <t>Protein output rotations [kg/ha]</t>
  </si>
  <si>
    <t>Gross energy [GJ/t DM]</t>
  </si>
  <si>
    <t>Energy output [GJ/ha]</t>
  </si>
  <si>
    <t xml:space="preserve">Energy output rotations [GJ/ha] </t>
  </si>
  <si>
    <t xml:space="preserve">Rye </t>
  </si>
  <si>
    <t>Tritcale</t>
  </si>
  <si>
    <t>Rapeseeds</t>
  </si>
  <si>
    <t>Blue lupin</t>
  </si>
  <si>
    <t>Pea seeds</t>
  </si>
  <si>
    <t>Oat</t>
  </si>
  <si>
    <t>Maize silage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</si>
  <si>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</si>
  <si>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</si>
  <si>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</si>
  <si>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</si>
  <si>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</si>
  <si>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</si>
  <si>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</si>
  <si>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</si>
  <si>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</si>
  <si>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</si>
  <si>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</si>
  <si>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</si>
  <si>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</si>
  <si>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</si>
  <si>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</si>
  <si>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</si>
  <si>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</si>
  <si>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</si>
  <si>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</si>
  <si>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</si>
  <si>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</si>
  <si>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</si>
  <si>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</si>
  <si>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 xml:space="preserve">Total mineral fertilizer crop [kg/ha]  </t>
  </si>
  <si>
    <t xml:space="preserve">Total mineral fertilizer rotation [kg/ha]  </t>
  </si>
  <si>
    <t>Kieserit</t>
  </si>
  <si>
    <t>18%N, 46%P2O5</t>
  </si>
  <si>
    <t>Nfix [kg/ha]</t>
  </si>
  <si>
    <t>Gross margin (standard) [€/ha]</t>
  </si>
  <si>
    <t xml:space="preserve"> N leaching= N surplus * Leaching probability * N leach_corr</t>
  </si>
  <si>
    <t>N surplus = N input + Nminpa - N dfs</t>
  </si>
  <si>
    <t>N surplus = N minfert + N manure P + Nminpa - N dfs</t>
  </si>
  <si>
    <t xml:space="preserve">N dfs is the nitrogen derived from soil </t>
  </si>
  <si>
    <t>N dfs = N uptake - N fix</t>
  </si>
  <si>
    <t>-&gt; N uptake is the N accumulated by the crop and N fix is BNF of grain and forage legumes</t>
  </si>
  <si>
    <t>NO3-N leaching [kg/ha]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</si>
</sst>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164" formatCode="_-* #,##0.00_-;\-* #,##0.00_-;_-* &quot;-&quot;??_-;_-@_-"/>
    <numFmt numFmtId="165" formatCode="0.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30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1" fillId="8" borderId="7" xfId="0" applyFont="1" applyFill="1" applyBorder="1" applyAlignment="1"/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7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9" borderId="19" xfId="0" applyFont="1" applyFill="1" applyBorder="1"/>
    <xf numFmtId="0" fontId="0" fillId="8" borderId="28" xfId="0" applyFill="1" applyBorder="1"/>
    <xf numFmtId="0" fontId="0" fillId="3" borderId="1" xfId="0" applyFill="1" applyBorder="1" applyAlignment="1">
      <alignment horizontal="center"/>
    </xf>
    <xf numFmtId="0" fontId="0" fillId="3" borderId="19" xfId="0" applyFill="1" applyBorder="1"/>
    <xf numFmtId="9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2" xfId="0" applyFill="1" applyBorder="1"/>
    <xf numFmtId="0" fontId="0" fillId="3" borderId="3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8" xfId="0" applyFill="1" applyBorder="1"/>
    <xf numFmtId="0" fontId="0" fillId="3" borderId="37" xfId="0" applyFill="1" applyBorder="1" applyAlignment="1"/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6" borderId="44" xfId="0" applyFill="1" applyBorder="1"/>
    <xf numFmtId="0" fontId="0" fillId="6" borderId="32" xfId="0" applyFill="1" applyBorder="1"/>
    <xf numFmtId="0" fontId="3" fillId="4" borderId="44" xfId="0" applyFont="1" applyFill="1" applyBorder="1"/>
    <xf numFmtId="0" fontId="0" fillId="4" borderId="32" xfId="0" applyFill="1" applyBorder="1" applyAlignment="1">
      <alignment wrapText="1"/>
    </xf>
    <xf numFmtId="0" fontId="0" fillId="0" borderId="18" xfId="0" applyBorder="1" applyAlignment="1"/>
    <xf numFmtId="0" fontId="0" fillId="3" borderId="44" xfId="0" applyFill="1" applyBorder="1"/>
    <xf numFmtId="0" fontId="0" fillId="4" borderId="32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1" fillId="8" borderId="50" xfId="0" applyFont="1" applyFill="1" applyBorder="1" applyAlignment="1"/>
    <xf numFmtId="0" fontId="0" fillId="8" borderId="50" xfId="0" applyFill="1" applyBorder="1"/>
    <xf numFmtId="0" fontId="3" fillId="9" borderId="52" xfId="0" applyFont="1" applyFill="1" applyBorder="1"/>
    <xf numFmtId="0" fontId="0" fillId="9" borderId="51" xfId="0" applyFill="1" applyBorder="1"/>
    <xf numFmtId="0" fontId="0" fillId="8" borderId="1" xfId="0" applyFill="1" applyBorder="1" applyAlignment="1"/>
    <xf numFmtId="0" fontId="0" fillId="8" borderId="1" xfId="0" applyFill="1" applyBorder="1"/>
    <xf numFmtId="0" fontId="0" fillId="8" borderId="10" xfId="0" applyFill="1" applyBorder="1" applyAlignment="1"/>
    <xf numFmtId="0" fontId="0" fillId="8" borderId="34" xfId="0" applyFill="1" applyBorder="1" applyAlignment="1"/>
    <xf numFmtId="0" fontId="0" fillId="8" borderId="34" xfId="0" applyFill="1" applyBorder="1"/>
    <xf numFmtId="165" fontId="0" fillId="0" borderId="0" xfId="0" applyNumberFormat="1"/>
    <xf numFmtId="0" fontId="0" fillId="6" borderId="3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7" xfId="0" applyFill="1" applyBorder="1" applyAlignment="1">
      <alignment horizontal="center" wrapText="1"/>
    </xf>
    <xf numFmtId="0" fontId="0" fillId="3" borderId="37" xfId="0" applyFill="1" applyBorder="1" applyAlignment="1">
      <alignment horizontal="center"/>
    </xf>
    <xf numFmtId="0" fontId="0" fillId="4" borderId="1" xfId="0" applyFill="1" applyBorder="1" applyAlignment="1"/>
    <xf numFmtId="0" fontId="0" fillId="6" borderId="34" xfId="0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/>
    <xf numFmtId="0" fontId="0" fillId="3" borderId="33" xfId="0" applyFill="1" applyBorder="1" applyAlignment="1"/>
    <xf numFmtId="0" fontId="0" fillId="3" borderId="34" xfId="0" applyFill="1" applyBorder="1" applyAlignment="1"/>
    <xf numFmtId="0" fontId="0" fillId="3" borderId="37" xfId="0" applyFill="1" applyBorder="1" applyAlignment="1">
      <alignment wrapText="1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6" borderId="5" xfId="0" applyFill="1" applyBorder="1" applyAlignment="1"/>
    <xf numFmtId="0" fontId="0" fillId="6" borderId="1" xfId="0" applyFill="1" applyBorder="1" applyAlignment="1"/>
    <xf numFmtId="0" fontId="0" fillId="4" borderId="5" xfId="0" applyFill="1" applyBorder="1" applyAlignment="1"/>
    <xf numFmtId="0" fontId="0" fillId="4" borderId="45" xfId="0" applyFill="1" applyBorder="1" applyAlignment="1"/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/>
    <xf numFmtId="0" fontId="0" fillId="3" borderId="5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4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9" fontId="0" fillId="3" borderId="1" xfId="0" applyNumberFormat="1" applyFill="1" applyBorder="1" applyAlignment="1"/>
    <xf numFmtId="0" fontId="0" fillId="3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3" borderId="43" xfId="0" applyFill="1" applyBorder="1" applyAlignment="1">
      <alignment horizontal="left"/>
    </xf>
    <xf numFmtId="0" fontId="0" fillId="3" borderId="26" xfId="0" applyFill="1" applyBorder="1" applyAlignment="1"/>
    <xf numFmtId="0" fontId="0" fillId="3" borderId="5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3" fillId="0" borderId="0" xfId="0" applyFont="1"/>
    <xf numFmtId="9" fontId="0" fillId="0" borderId="0" xfId="1" applyFont="1"/>
    <xf numFmtId="9" fontId="0" fillId="0" borderId="0" xfId="0" applyNumberFormat="1"/>
    <xf numFmtId="2" fontId="9" fillId="0" borderId="58" xfId="2" applyNumberFormat="1" applyFont="1" applyFill="1" applyBorder="1" applyAlignment="1">
      <alignment horizontal="right" wrapText="1"/>
    </xf>
    <xf numFmtId="0" fontId="9" fillId="0" borderId="58" xfId="3" applyFont="1" applyFill="1" applyBorder="1" applyAlignment="1">
      <alignment wrapText="1"/>
    </xf>
    <xf numFmtId="0" fontId="0" fillId="0" borderId="0" xfId="0" applyFill="1"/>
    <xf numFmtId="2" fontId="0" fillId="0" borderId="0" xfId="0" applyNumberFormat="1"/>
    <xf numFmtId="8" fontId="0" fillId="0" borderId="0" xfId="0" applyNumberFormat="1"/>
    <xf numFmtId="10" fontId="0" fillId="0" borderId="0" xfId="0" applyNumberFormat="1"/>
    <xf numFmtId="0" fontId="9" fillId="0" borderId="0" xfId="5" applyFont="1" applyFill="1" applyBorder="1" applyAlignment="1">
      <alignment wrapText="1"/>
    </xf>
    <xf numFmtId="0" fontId="9" fillId="0" borderId="0" xfId="4" applyFont="1" applyFill="1" applyBorder="1" applyAlignment="1"/>
    <xf numFmtId="0" fontId="0" fillId="0" borderId="0" xfId="0" applyNumberFormat="1"/>
    <xf numFmtId="0" fontId="9" fillId="0" borderId="0" xfId="4" applyFont="1" applyFill="1" applyBorder="1" applyAlignment="1">
      <alignment wrapText="1"/>
    </xf>
    <xf numFmtId="0" fontId="9" fillId="0" borderId="3" xfId="6" applyFont="1" applyFill="1" applyBorder="1" applyAlignment="1">
      <alignment horizontal="left" wrapText="1"/>
    </xf>
    <xf numFmtId="0" fontId="9" fillId="0" borderId="3" xfId="6" applyFont="1" applyFill="1" applyBorder="1" applyAlignment="1">
      <alignment horizontal="right" wrapText="1"/>
    </xf>
    <xf numFmtId="2" fontId="9" fillId="0" borderId="58" xfId="7" applyNumberFormat="1" applyFont="1" applyFill="1" applyBorder="1" applyAlignment="1">
      <alignment horizontal="right" wrapText="1"/>
    </xf>
    <xf numFmtId="2" fontId="9" fillId="0" borderId="58" xfId="8" applyNumberFormat="1" applyFont="1" applyFill="1" applyBorder="1" applyAlignment="1">
      <alignment horizontal="right" wrapText="1"/>
    </xf>
    <xf numFmtId="2" fontId="9" fillId="0" borderId="0" xfId="7" applyNumberFormat="1" applyFont="1" applyFill="1" applyBorder="1" applyAlignment="1">
      <alignment horizontal="right" wrapText="1"/>
    </xf>
    <xf numFmtId="2" fontId="9" fillId="0" borderId="0" xfId="8" applyNumberFormat="1" applyFont="1" applyFill="1" applyBorder="1" applyAlignment="1">
      <alignment horizontal="right" wrapText="1"/>
    </xf>
    <xf numFmtId="2" fontId="9" fillId="0" borderId="0" xfId="2" applyNumberFormat="1" applyFont="1" applyFill="1" applyBorder="1" applyAlignment="1">
      <alignment horizontal="right" wrapText="1"/>
    </xf>
    <xf numFmtId="0" fontId="0" fillId="0" borderId="7" xfId="0" applyBorder="1"/>
    <xf numFmtId="2" fontId="9" fillId="0" borderId="59" xfId="7" applyNumberFormat="1" applyFont="1" applyFill="1" applyBorder="1" applyAlignment="1">
      <alignment horizontal="right" wrapText="1"/>
    </xf>
    <xf numFmtId="2" fontId="9" fillId="0" borderId="59" xfId="8" applyNumberFormat="1" applyFont="1" applyFill="1" applyBorder="1" applyAlignment="1">
      <alignment horizontal="right" wrapText="1"/>
    </xf>
    <xf numFmtId="2" fontId="9" fillId="0" borderId="60" xfId="7" applyNumberFormat="1" applyFont="1" applyFill="1" applyBorder="1" applyAlignment="1">
      <alignment horizontal="right" wrapText="1"/>
    </xf>
    <xf numFmtId="0" fontId="0" fillId="0" borderId="28" xfId="0" applyBorder="1"/>
    <xf numFmtId="0" fontId="1" fillId="0" borderId="6" xfId="0" applyFont="1" applyBorder="1"/>
    <xf numFmtId="0" fontId="1" fillId="0" borderId="28" xfId="0" applyFont="1" applyBorder="1"/>
    <xf numFmtId="2" fontId="9" fillId="0" borderId="60" xfId="8" applyNumberFormat="1" applyFont="1" applyFill="1" applyBorder="1" applyAlignment="1">
      <alignment horizontal="right" wrapText="1"/>
    </xf>
    <xf numFmtId="0" fontId="9" fillId="0" borderId="0" xfId="3" applyFont="1" applyFill="1" applyBorder="1" applyAlignment="1">
      <alignment wrapText="1"/>
    </xf>
    <xf numFmtId="0" fontId="0" fillId="0" borderId="0" xfId="0" applyFill="1" applyBorder="1"/>
    <xf numFmtId="0" fontId="0" fillId="11" borderId="0" xfId="0" applyFill="1"/>
    <xf numFmtId="0" fontId="1" fillId="0" borderId="0" xfId="0" applyFont="1" applyBorder="1"/>
    <xf numFmtId="0" fontId="0" fillId="0" borderId="27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 wrapText="1"/>
    </xf>
    <xf numFmtId="164" fontId="0" fillId="0" borderId="61" xfId="0" applyNumberFormat="1" applyFill="1" applyBorder="1" applyAlignment="1">
      <alignment horizontal="center" vertical="center" wrapText="1"/>
    </xf>
    <xf numFmtId="0" fontId="0" fillId="12" borderId="0" xfId="0" applyFill="1"/>
    <xf numFmtId="0" fontId="13" fillId="0" borderId="0" xfId="0" applyFont="1" applyBorder="1"/>
    <xf numFmtId="0" fontId="1" fillId="0" borderId="0" xfId="0" applyFont="1" applyFill="1" applyBorder="1"/>
    <xf numFmtId="0" fontId="9" fillId="0" borderId="62" xfId="6" applyFont="1" applyFill="1" applyBorder="1" applyAlignment="1">
      <alignment horizontal="right" wrapText="1"/>
    </xf>
    <xf numFmtId="0" fontId="9" fillId="0" borderId="63" xfId="4" applyFont="1" applyFill="1" applyBorder="1" applyAlignment="1">
      <alignment wrapText="1"/>
    </xf>
    <xf numFmtId="1" fontId="0" fillId="0" borderId="0" xfId="0" applyNumberFormat="1"/>
    <xf numFmtId="0" fontId="1" fillId="13" borderId="0" xfId="0" applyFont="1" applyFill="1"/>
    <xf numFmtId="165" fontId="9" fillId="0" borderId="58" xfId="7" applyNumberFormat="1" applyFont="1" applyFill="1" applyBorder="1" applyAlignment="1">
      <alignment horizontal="right" wrapText="1"/>
    </xf>
    <xf numFmtId="165" fontId="9" fillId="0" borderId="58" xfId="8" applyNumberFormat="1" applyFont="1" applyFill="1" applyBorder="1" applyAlignment="1">
      <alignment horizontal="right" wrapText="1"/>
    </xf>
    <xf numFmtId="1" fontId="14" fillId="0" borderId="64" xfId="0" applyNumberFormat="1" applyFont="1" applyFill="1" applyBorder="1" applyAlignment="1" applyProtection="1">
      <alignment horizontal="right" vertical="center" wrapText="1"/>
    </xf>
    <xf numFmtId="2" fontId="9" fillId="0" borderId="65" xfId="2" applyNumberFormat="1" applyFont="1" applyFill="1" applyBorder="1" applyAlignment="1">
      <alignment horizontal="right" wrapText="1"/>
    </xf>
    <xf numFmtId="2" fontId="9" fillId="0" borderId="66" xfId="2" applyNumberFormat="1" applyFont="1" applyFill="1" applyBorder="1" applyAlignment="1">
      <alignment horizontal="right" wrapText="1"/>
    </xf>
    <xf numFmtId="166" fontId="0" fillId="0" borderId="0" xfId="0" applyNumberFormat="1"/>
    <xf numFmtId="0" fontId="9" fillId="0" borderId="63" xfId="5" applyFont="1" applyFill="1" applyBorder="1" applyAlignment="1">
      <alignment wrapText="1"/>
    </xf>
    <xf numFmtId="165" fontId="0" fillId="0" borderId="0" xfId="0" applyNumberFormat="1" applyFill="1" applyBorder="1"/>
    <xf numFmtId="0" fontId="0" fillId="9" borderId="0" xfId="0" applyFill="1"/>
    <xf numFmtId="0" fontId="0" fillId="9" borderId="0" xfId="0" applyFill="1" applyBorder="1"/>
    <xf numFmtId="0" fontId="0" fillId="4" borderId="40" xfId="0" applyFill="1" applyBorder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33" xfId="0" quotePrefix="1" applyFill="1" applyBorder="1" applyAlignment="1">
      <alignment horizontal="center"/>
    </xf>
    <xf numFmtId="0" fontId="0" fillId="3" borderId="34" xfId="0" quotePrefix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8" xfId="0" applyFill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5" xfId="0" quotePrefix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3" borderId="3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0" fillId="6" borderId="51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</cellXfs>
  <cellStyles count="9">
    <cellStyle name="Prozent" xfId="1" builtinId="5"/>
    <cellStyle name="Standard" xfId="0" builtinId="0"/>
    <cellStyle name="Standard_arable-legume" xfId="6"/>
    <cellStyle name="Standard_Input data crop" xfId="7"/>
    <cellStyle name="Standard_Input data crop_1" xfId="2"/>
    <cellStyle name="Standard_Input rotations" xfId="3"/>
    <cellStyle name="Standard_Neu zusammengestellt" xfId="8"/>
    <cellStyle name="Standard_Tabelle1" xfId="4"/>
    <cellStyle name="Standard_Tabelle1_1" xfId="5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0" y="0"/>
          <a:ext cx="30047142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0" y="0"/>
          <a:ext cx="24831524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K2" sqref="K2"/>
    </sheetView>
  </sheetViews>
  <sheetFormatPr baseColWidth="10" defaultColWidth="11.42578125" defaultRowHeight="15" x14ac:dyDescent="0.25"/>
  <cols>
    <col min="1" max="1" width="22.28515625" style="4" bestFit="1" customWidth="1"/>
    <col min="2" max="12" width="11.42578125" style="4"/>
    <col min="13" max="14" width="0" style="4" hidden="1" customWidth="1"/>
    <col min="15" max="16384" width="11.42578125" style="4"/>
  </cols>
  <sheetData>
    <row r="1" spans="1:19" ht="76.5" x14ac:dyDescent="0.35"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149" t="s">
        <v>468</v>
      </c>
      <c r="H1" s="149" t="s">
        <v>286</v>
      </c>
      <c r="I1" s="150" t="s">
        <v>287</v>
      </c>
      <c r="J1" s="150" t="s">
        <v>288</v>
      </c>
      <c r="K1" s="150" t="s">
        <v>475</v>
      </c>
      <c r="L1" s="150" t="s">
        <v>289</v>
      </c>
      <c r="M1" s="150" t="s">
        <v>290</v>
      </c>
      <c r="N1" s="150" t="s">
        <v>291</v>
      </c>
      <c r="O1" s="150" t="s">
        <v>292</v>
      </c>
      <c r="P1" s="150" t="s">
        <v>298</v>
      </c>
      <c r="Q1" s="150" t="s">
        <v>295</v>
      </c>
      <c r="R1" s="175" t="s">
        <v>431</v>
      </c>
      <c r="S1" s="150" t="s">
        <v>293</v>
      </c>
    </row>
    <row r="2" spans="1:19" x14ac:dyDescent="0.25">
      <c r="A2" s="4" t="s">
        <v>269</v>
      </c>
      <c r="B2" s="4" t="s">
        <v>266</v>
      </c>
      <c r="C2" s="4" t="s">
        <v>257</v>
      </c>
      <c r="D2" s="4" t="s">
        <v>267</v>
      </c>
      <c r="E2" s="4" t="s">
        <v>267</v>
      </c>
      <c r="F2" s="4" t="s">
        <v>267</v>
      </c>
      <c r="G2" s="177">
        <f>GM!B15</f>
        <v>420.16399999999993</v>
      </c>
      <c r="H2" s="177">
        <v>420.36399999999992</v>
      </c>
      <c r="I2" s="177">
        <f>G2-(0.15*N2)</f>
        <v>335.81679199999996</v>
      </c>
      <c r="J2" s="177">
        <f>G2-(0.05*N2)</f>
        <v>392.0482639999999</v>
      </c>
      <c r="K2" s="177">
        <f>'NO3-N'!K8</f>
        <v>42.316237896818151</v>
      </c>
      <c r="L2" s="177">
        <f>'N fertilizer'!B29</f>
        <v>168.45599999999999</v>
      </c>
      <c r="M2" s="177">
        <f>'N fertilizer'!B31</f>
        <v>100.056</v>
      </c>
      <c r="N2" s="177">
        <f>M2*5.62</f>
        <v>562.31471999999997</v>
      </c>
      <c r="O2" s="73">
        <f>'N2O calculations'!A31/5</f>
        <v>5.165459075016428</v>
      </c>
      <c r="P2" s="138">
        <f>'Data for yield stability'!N22</f>
        <v>0.15668855914997942</v>
      </c>
      <c r="Q2" s="177">
        <f>'Protein &amp; Energy Output'!C14</f>
        <v>800.74</v>
      </c>
      <c r="R2" s="177">
        <f>'Protein &amp; Energy Output'!C20</f>
        <v>158.19</v>
      </c>
      <c r="S2" s="142">
        <f>'Crop Diversity'!E16</f>
        <v>0.67301166700925652</v>
      </c>
    </row>
    <row r="3" spans="1:19" x14ac:dyDescent="0.25">
      <c r="A3" s="4" t="s">
        <v>270</v>
      </c>
      <c r="B3" s="4" t="s">
        <v>266</v>
      </c>
      <c r="C3" s="4" t="s">
        <v>257</v>
      </c>
      <c r="D3" s="4" t="s">
        <v>268</v>
      </c>
      <c r="E3" s="4" t="s">
        <v>268</v>
      </c>
      <c r="F3" s="4" t="s">
        <v>268</v>
      </c>
      <c r="G3" s="177">
        <f>GM!I15</f>
        <v>360.21000000000004</v>
      </c>
      <c r="H3" s="177">
        <v>359.41</v>
      </c>
      <c r="I3" s="177">
        <f>G3-(0.15*N3)</f>
        <v>320.42377200000004</v>
      </c>
      <c r="J3" s="177">
        <f>G3-(0.05*N3)</f>
        <v>346.94792400000006</v>
      </c>
      <c r="K3" s="177">
        <f>'NO3-N'!K15</f>
        <v>15.632363451150303</v>
      </c>
      <c r="L3" s="177">
        <f>'N fertilizer'!I29</f>
        <v>47.196000000000005</v>
      </c>
      <c r="M3" s="177">
        <f>L3</f>
        <v>47.196000000000005</v>
      </c>
      <c r="N3" s="177">
        <f t="shared" ref="N3" si="0">M3*5.62</f>
        <v>265.24152000000004</v>
      </c>
      <c r="O3" s="73">
        <f>'N2O calculations'!H31/5</f>
        <v>3.5472166091413122</v>
      </c>
      <c r="P3" s="138">
        <f>'Data for yield stability'!N23</f>
        <v>0.16749975318072119</v>
      </c>
      <c r="Q3" s="177">
        <f>'Protein &amp; Energy Output'!I14</f>
        <v>1244.98</v>
      </c>
      <c r="R3" s="177">
        <f>'Protein &amp; Energy Output'!I20</f>
        <v>137.696</v>
      </c>
      <c r="S3" s="142">
        <f>'Crop Diversity'!E22</f>
        <v>0.67301166700925652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2" sqref="C2:G3"/>
    </sheetView>
  </sheetViews>
  <sheetFormatPr baseColWidth="10" defaultColWidth="11.42578125" defaultRowHeight="15" x14ac:dyDescent="0.25"/>
  <cols>
    <col min="1" max="16384" width="11.42578125" style="4"/>
  </cols>
  <sheetData>
    <row r="1" spans="1:7" x14ac:dyDescent="0.25">
      <c r="C1" s="4" t="s">
        <v>261</v>
      </c>
      <c r="D1" s="4" t="s">
        <v>262</v>
      </c>
      <c r="E1" s="4" t="s">
        <v>263</v>
      </c>
      <c r="F1" s="4" t="s">
        <v>264</v>
      </c>
      <c r="G1" s="4" t="s">
        <v>265</v>
      </c>
    </row>
    <row r="2" spans="1:7" x14ac:dyDescent="0.25">
      <c r="A2" s="4" t="s">
        <v>269</v>
      </c>
      <c r="C2" s="4" t="s">
        <v>266</v>
      </c>
      <c r="D2" s="4" t="s">
        <v>257</v>
      </c>
      <c r="E2" s="4" t="s">
        <v>267</v>
      </c>
      <c r="F2" s="4" t="s">
        <v>267</v>
      </c>
      <c r="G2" s="4" t="s">
        <v>267</v>
      </c>
    </row>
    <row r="3" spans="1:7" x14ac:dyDescent="0.25">
      <c r="A3" s="4" t="s">
        <v>270</v>
      </c>
      <c r="C3" s="4" t="s">
        <v>266</v>
      </c>
      <c r="D3" s="4" t="s">
        <v>257</v>
      </c>
      <c r="E3" s="4" t="s">
        <v>268</v>
      </c>
      <c r="F3" s="4" t="s">
        <v>268</v>
      </c>
      <c r="G3" s="4" t="s">
        <v>268</v>
      </c>
    </row>
    <row r="7" spans="1:7" ht="18" x14ac:dyDescent="0.35">
      <c r="A7" s="4" t="s">
        <v>275</v>
      </c>
      <c r="C7" s="4" t="s">
        <v>276</v>
      </c>
      <c r="E7" s="4" t="s">
        <v>277</v>
      </c>
      <c r="F7" s="4">
        <f>LN(3)</f>
        <v>1.0986122886681098</v>
      </c>
    </row>
    <row r="11" spans="1:7" ht="18" x14ac:dyDescent="0.35">
      <c r="A11" s="4" t="s">
        <v>278</v>
      </c>
      <c r="B11" s="4" t="s">
        <v>279</v>
      </c>
      <c r="C11" s="4" t="s">
        <v>280</v>
      </c>
      <c r="D11" s="4" t="s">
        <v>281</v>
      </c>
      <c r="E11" s="4" t="s">
        <v>282</v>
      </c>
    </row>
    <row r="12" spans="1:7" x14ac:dyDescent="0.25">
      <c r="A12" s="4" t="s">
        <v>256</v>
      </c>
    </row>
    <row r="13" spans="1:7" x14ac:dyDescent="0.25">
      <c r="A13" s="4" t="s">
        <v>283</v>
      </c>
      <c r="B13" s="138">
        <f>2/5</f>
        <v>0.4</v>
      </c>
      <c r="C13" s="4">
        <v>0.4</v>
      </c>
      <c r="D13" s="4">
        <f>LN(C13)</f>
        <v>-0.916290731874155</v>
      </c>
      <c r="E13" s="4">
        <f>C13*D13</f>
        <v>-0.36651629274966202</v>
      </c>
    </row>
    <row r="14" spans="1:7" x14ac:dyDescent="0.25">
      <c r="A14" s="4" t="s">
        <v>284</v>
      </c>
      <c r="B14" s="138">
        <f>3/5</f>
        <v>0.6</v>
      </c>
      <c r="C14" s="4">
        <v>0.6</v>
      </c>
      <c r="D14" s="4">
        <f>LN(C14)</f>
        <v>-0.51082562376599072</v>
      </c>
      <c r="E14" s="4">
        <f>C14*D14</f>
        <v>-0.30649537425959444</v>
      </c>
    </row>
    <row r="15" spans="1:7" x14ac:dyDescent="0.25">
      <c r="A15" s="4" t="s">
        <v>285</v>
      </c>
    </row>
    <row r="16" spans="1:7" x14ac:dyDescent="0.25">
      <c r="E16" s="4">
        <f>-(E13+E14+E15)</f>
        <v>0.67301166700925652</v>
      </c>
    </row>
    <row r="18" spans="1:5" x14ac:dyDescent="0.25">
      <c r="A18" s="4" t="s">
        <v>259</v>
      </c>
    </row>
    <row r="19" spans="1:5" x14ac:dyDescent="0.25">
      <c r="A19" s="4" t="s">
        <v>283</v>
      </c>
      <c r="B19" s="138">
        <f>2/5</f>
        <v>0.4</v>
      </c>
      <c r="C19" s="4">
        <v>0.4</v>
      </c>
      <c r="D19" s="4">
        <f>LN(C19)</f>
        <v>-0.916290731874155</v>
      </c>
      <c r="E19" s="4">
        <f>C19*D19</f>
        <v>-0.36651629274966202</v>
      </c>
    </row>
    <row r="20" spans="1:5" x14ac:dyDescent="0.25">
      <c r="A20" s="4" t="s">
        <v>284</v>
      </c>
      <c r="B20" s="138"/>
    </row>
    <row r="21" spans="1:5" x14ac:dyDescent="0.25">
      <c r="A21" s="4" t="s">
        <v>285</v>
      </c>
      <c r="B21" s="138">
        <f>3/5</f>
        <v>0.6</v>
      </c>
      <c r="C21" s="4">
        <v>0.6</v>
      </c>
      <c r="D21" s="4">
        <f>LN(C21)</f>
        <v>-0.51082562376599072</v>
      </c>
      <c r="E21" s="4">
        <f>C21*D21</f>
        <v>-0.30649537425959444</v>
      </c>
    </row>
    <row r="22" spans="1:5" x14ac:dyDescent="0.25">
      <c r="E22" s="4">
        <f>-(E19+E20+E21)</f>
        <v>0.67301166700925652</v>
      </c>
    </row>
    <row r="26" spans="1:5" x14ac:dyDescent="0.25">
      <c r="B26" s="138"/>
    </row>
    <row r="27" spans="1:5" x14ac:dyDescent="0.25">
      <c r="B27" s="138"/>
    </row>
    <row r="28" spans="1:5" x14ac:dyDescent="0.25">
      <c r="B28" s="13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F5" sqref="F5"/>
    </sheetView>
  </sheetViews>
  <sheetFormatPr baseColWidth="10" defaultColWidth="10.85546875" defaultRowHeight="15" x14ac:dyDescent="0.25"/>
  <cols>
    <col min="3" max="3" width="22.85546875" customWidth="1"/>
    <col min="4" max="4" width="18.85546875" customWidth="1"/>
    <col min="5" max="5" width="14.42578125" bestFit="1" customWidth="1"/>
    <col min="6" max="6" width="22.85546875" bestFit="1" customWidth="1"/>
    <col min="7" max="7" width="12.5703125" bestFit="1" customWidth="1"/>
    <col min="8" max="8" width="16.28515625" bestFit="1" customWidth="1"/>
    <col min="9" max="9" width="11.5703125" bestFit="1" customWidth="1"/>
    <col min="10" max="10" width="19" bestFit="1" customWidth="1"/>
    <col min="11" max="11" width="17.28515625" bestFit="1" customWidth="1"/>
  </cols>
  <sheetData>
    <row r="1" spans="1:11" x14ac:dyDescent="0.25">
      <c r="A1" s="5"/>
      <c r="B1" s="178" t="s">
        <v>414</v>
      </c>
      <c r="C1" s="178" t="s">
        <v>415</v>
      </c>
      <c r="D1" s="178" t="s">
        <v>416</v>
      </c>
      <c r="E1" s="178" t="s">
        <v>417</v>
      </c>
      <c r="F1" s="178" t="s">
        <v>418</v>
      </c>
      <c r="G1" s="178" t="s">
        <v>419</v>
      </c>
      <c r="H1" s="178" t="s">
        <v>420</v>
      </c>
      <c r="I1" s="178" t="s">
        <v>467</v>
      </c>
      <c r="J1" s="178" t="s">
        <v>422</v>
      </c>
      <c r="K1" s="178" t="s">
        <v>421</v>
      </c>
    </row>
    <row r="2" spans="1:11" x14ac:dyDescent="0.25">
      <c r="A2" s="5" t="s">
        <v>256</v>
      </c>
      <c r="B2" s="5"/>
      <c r="C2" s="5"/>
      <c r="D2" s="5"/>
      <c r="E2" s="5"/>
      <c r="F2" s="5"/>
      <c r="G2" s="5"/>
      <c r="H2" s="5"/>
      <c r="J2" s="5"/>
      <c r="K2" s="5"/>
    </row>
    <row r="3" spans="1:11" x14ac:dyDescent="0.25">
      <c r="A3" s="4" t="s">
        <v>266</v>
      </c>
      <c r="B3" s="73">
        <v>5.7</v>
      </c>
      <c r="C3" s="181">
        <v>119.47499999999999</v>
      </c>
      <c r="D3" s="177"/>
      <c r="E3" s="181">
        <v>122.54519999999999</v>
      </c>
      <c r="F3" s="181">
        <v>51.463636363636397</v>
      </c>
      <c r="G3" s="181">
        <v>125.742</v>
      </c>
      <c r="H3" s="181">
        <v>45.196636363636401</v>
      </c>
      <c r="I3" s="177">
        <v>0</v>
      </c>
      <c r="J3">
        <v>0.75</v>
      </c>
      <c r="K3" s="181">
        <v>33.781852454870403</v>
      </c>
    </row>
    <row r="4" spans="1:11" x14ac:dyDescent="0.25">
      <c r="A4" s="4" t="s">
        <v>257</v>
      </c>
      <c r="B4" s="179">
        <v>6.5</v>
      </c>
      <c r="C4" s="181">
        <v>117</v>
      </c>
      <c r="D4" s="177"/>
      <c r="E4" s="181">
        <v>118.81632</v>
      </c>
      <c r="F4" s="181">
        <v>51.463636363636397</v>
      </c>
      <c r="G4" s="181">
        <v>127.634</v>
      </c>
      <c r="H4" s="181">
        <v>40.829636363636403</v>
      </c>
      <c r="I4" s="177">
        <v>0</v>
      </c>
      <c r="J4" s="4">
        <v>0.75</v>
      </c>
      <c r="K4" s="181">
        <v>30.5177743831422</v>
      </c>
    </row>
    <row r="5" spans="1:11" x14ac:dyDescent="0.25">
      <c r="A5" s="4" t="s">
        <v>267</v>
      </c>
      <c r="B5" s="179">
        <v>10.9</v>
      </c>
      <c r="C5" s="181">
        <v>87.2</v>
      </c>
      <c r="D5" s="177">
        <v>114</v>
      </c>
      <c r="E5" s="181">
        <v>201.88543999999999</v>
      </c>
      <c r="F5" s="181">
        <v>51.463636363636397</v>
      </c>
      <c r="G5" s="181">
        <v>118.58112</v>
      </c>
      <c r="H5" s="181">
        <v>65.682516363636296</v>
      </c>
      <c r="I5" s="177">
        <v>0</v>
      </c>
      <c r="J5" s="4">
        <v>0.75</v>
      </c>
      <c r="K5" s="181">
        <v>49.0938542153594</v>
      </c>
    </row>
    <row r="6" spans="1:11" x14ac:dyDescent="0.25">
      <c r="A6" s="4" t="s">
        <v>267</v>
      </c>
      <c r="B6" s="179">
        <v>10.9</v>
      </c>
      <c r="C6" s="181">
        <v>87.2</v>
      </c>
      <c r="D6" s="177">
        <v>114</v>
      </c>
      <c r="E6" s="181">
        <v>201.88543999999999</v>
      </c>
      <c r="F6" s="181">
        <v>51.463636363636397</v>
      </c>
      <c r="G6" s="181">
        <v>118.58112</v>
      </c>
      <c r="H6" s="181">
        <v>65.682516363636296</v>
      </c>
      <c r="I6" s="177">
        <v>0</v>
      </c>
      <c r="J6" s="4">
        <v>0.75</v>
      </c>
      <c r="K6" s="181">
        <v>49.0938542153594</v>
      </c>
    </row>
    <row r="7" spans="1:11" x14ac:dyDescent="0.25">
      <c r="A7" s="4" t="s">
        <v>267</v>
      </c>
      <c r="B7" s="179">
        <v>10.9</v>
      </c>
      <c r="C7" s="181">
        <v>87.2</v>
      </c>
      <c r="D7" s="177">
        <v>114</v>
      </c>
      <c r="E7" s="181">
        <v>201.88543999999999</v>
      </c>
      <c r="F7" s="181">
        <v>51.463636363636397</v>
      </c>
      <c r="G7" s="181">
        <v>118.58112</v>
      </c>
      <c r="H7" s="181">
        <v>65.682516363636296</v>
      </c>
      <c r="I7" s="177">
        <v>0</v>
      </c>
      <c r="J7" s="4">
        <v>0.75</v>
      </c>
      <c r="K7" s="181">
        <v>49.0938542153594</v>
      </c>
    </row>
    <row r="8" spans="1:11" x14ac:dyDescent="0.25">
      <c r="B8" s="73"/>
      <c r="C8" s="177"/>
      <c r="D8" s="177"/>
      <c r="E8" s="177"/>
      <c r="F8" s="177"/>
      <c r="G8" s="177"/>
      <c r="H8" s="177"/>
      <c r="I8" s="177"/>
      <c r="K8" s="177">
        <f>AVERAGE(K3:K7)</f>
        <v>42.316237896818151</v>
      </c>
    </row>
    <row r="9" spans="1:11" x14ac:dyDescent="0.25">
      <c r="A9" s="5" t="s">
        <v>270</v>
      </c>
      <c r="B9" s="73"/>
      <c r="C9" s="177"/>
      <c r="D9" s="177"/>
      <c r="E9" s="177"/>
      <c r="F9" s="177"/>
      <c r="G9" s="177"/>
      <c r="H9" s="177"/>
      <c r="I9" s="177"/>
      <c r="K9" s="177"/>
    </row>
    <row r="10" spans="1:11" x14ac:dyDescent="0.25">
      <c r="A10" s="4" t="s">
        <v>266</v>
      </c>
      <c r="B10" s="180">
        <v>6.8</v>
      </c>
      <c r="C10" s="181">
        <v>116.91</v>
      </c>
      <c r="D10" s="177"/>
      <c r="E10" s="181">
        <v>119.9802</v>
      </c>
      <c r="F10" s="181">
        <v>82.341818181818198</v>
      </c>
      <c r="G10" s="181">
        <v>150.00800000000001</v>
      </c>
      <c r="H10" s="181">
        <v>49.243818181818199</v>
      </c>
      <c r="I10" s="177">
        <v>0</v>
      </c>
      <c r="J10" s="4">
        <v>0.75</v>
      </c>
      <c r="K10" s="181">
        <v>36.8068850687986</v>
      </c>
    </row>
    <row r="11" spans="1:11" x14ac:dyDescent="0.25">
      <c r="A11" s="4" t="s">
        <v>257</v>
      </c>
      <c r="B11" s="180">
        <v>6.5</v>
      </c>
      <c r="C11" s="181">
        <v>117</v>
      </c>
      <c r="D11" s="177"/>
      <c r="E11" s="181">
        <v>118.81632</v>
      </c>
      <c r="F11" s="181">
        <v>51.463636363636397</v>
      </c>
      <c r="G11" s="181">
        <v>127.634</v>
      </c>
      <c r="H11" s="181">
        <v>40.829636363636403</v>
      </c>
      <c r="I11" s="177">
        <v>0</v>
      </c>
      <c r="J11" s="4">
        <v>0.75</v>
      </c>
      <c r="K11" s="181">
        <v>30.5177743831422</v>
      </c>
    </row>
    <row r="12" spans="1:11" x14ac:dyDescent="0.25">
      <c r="A12" s="4" t="s">
        <v>268</v>
      </c>
      <c r="B12" s="180">
        <v>8.1999999999999993</v>
      </c>
      <c r="C12" s="181">
        <v>0</v>
      </c>
      <c r="D12" s="177"/>
      <c r="E12" s="181">
        <v>360.810952154576</v>
      </c>
      <c r="F12" s="181">
        <v>77.195454545454595</v>
      </c>
      <c r="G12" s="181">
        <v>42.042682882200097</v>
      </c>
      <c r="H12" s="181">
        <v>20.3886075646876</v>
      </c>
      <c r="I12" s="181">
        <v>192.446790923653</v>
      </c>
      <c r="J12" s="4">
        <v>0.75</v>
      </c>
      <c r="K12" s="181">
        <v>3.0478592564675302</v>
      </c>
    </row>
    <row r="13" spans="1:11" x14ac:dyDescent="0.25">
      <c r="A13" s="4" t="s">
        <v>268</v>
      </c>
      <c r="B13" s="180">
        <v>8.1999999999999993</v>
      </c>
      <c r="C13" s="181">
        <v>0</v>
      </c>
      <c r="D13" s="177"/>
      <c r="E13" s="181">
        <v>331.988670508756</v>
      </c>
      <c r="F13" s="181">
        <v>123.51272727272701</v>
      </c>
      <c r="G13" s="181">
        <v>58.379736408331397</v>
      </c>
      <c r="H13" s="181">
        <v>26.053196345758401</v>
      </c>
      <c r="I13" s="181">
        <v>167.74197808437799</v>
      </c>
      <c r="J13" s="4">
        <v>0.75</v>
      </c>
      <c r="K13" s="181">
        <v>3.8946492736715901</v>
      </c>
    </row>
    <row r="14" spans="1:11" x14ac:dyDescent="0.25">
      <c r="A14" s="4" t="s">
        <v>268</v>
      </c>
      <c r="B14" s="180">
        <v>8.1999999999999993</v>
      </c>
      <c r="C14" s="181">
        <v>0</v>
      </c>
      <c r="D14" s="177"/>
      <c r="E14" s="181">
        <v>331.988670508756</v>
      </c>
      <c r="F14" s="181">
        <v>123.51272727272701</v>
      </c>
      <c r="G14" s="181">
        <v>58.379736408331397</v>
      </c>
      <c r="H14" s="181">
        <v>26.053196345758401</v>
      </c>
      <c r="I14" s="181">
        <v>167.74197808437799</v>
      </c>
      <c r="J14" s="4">
        <v>0.75</v>
      </c>
      <c r="K14" s="181">
        <v>3.8946492736715901</v>
      </c>
    </row>
    <row r="15" spans="1:11" x14ac:dyDescent="0.25">
      <c r="C15" s="177"/>
      <c r="D15" s="177"/>
      <c r="E15" s="177"/>
      <c r="F15" s="177"/>
      <c r="G15" s="177"/>
      <c r="H15" s="177"/>
      <c r="I15" s="177"/>
      <c r="K15" s="177">
        <f>AVERAGE(K10:K14)</f>
        <v>15.632363451150303</v>
      </c>
    </row>
    <row r="16" spans="1:11" x14ac:dyDescent="0.25">
      <c r="C16" s="177"/>
      <c r="D16" s="177"/>
      <c r="E16" s="177"/>
      <c r="F16" s="177"/>
      <c r="G16" s="177"/>
      <c r="H16" s="177"/>
      <c r="I16" s="177"/>
      <c r="J16" s="4"/>
      <c r="K16" s="177"/>
    </row>
    <row r="17" spans="1:17" x14ac:dyDescent="0.25">
      <c r="C17" s="177"/>
      <c r="D17" s="177"/>
      <c r="E17" s="177"/>
      <c r="F17" s="177"/>
      <c r="G17" s="177"/>
      <c r="H17" s="177"/>
      <c r="I17" s="177"/>
      <c r="J17" s="4"/>
      <c r="K17" s="177"/>
    </row>
    <row r="18" spans="1:17" x14ac:dyDescent="0.25">
      <c r="A18" s="5" t="s">
        <v>423</v>
      </c>
      <c r="B18" s="4"/>
      <c r="C18" s="4"/>
      <c r="D18" s="4"/>
      <c r="E18" s="4"/>
    </row>
    <row r="19" spans="1:17" x14ac:dyDescent="0.25">
      <c r="A19" s="4"/>
      <c r="B19" s="4"/>
      <c r="C19" s="4"/>
      <c r="D19" s="4"/>
      <c r="E19" s="4"/>
    </row>
    <row r="20" spans="1:17" x14ac:dyDescent="0.25">
      <c r="A20" s="4" t="s">
        <v>469</v>
      </c>
      <c r="B20" s="4"/>
      <c r="C20" s="4"/>
      <c r="D20" s="4"/>
      <c r="E20" s="4"/>
    </row>
    <row r="21" spans="1:17" x14ac:dyDescent="0.25">
      <c r="A21" s="4"/>
      <c r="B21" s="4"/>
      <c r="C21" s="4"/>
      <c r="D21" s="4"/>
      <c r="E21" s="4"/>
      <c r="F21" s="151"/>
      <c r="G21" s="151"/>
      <c r="H21" s="151"/>
      <c r="J21" s="151"/>
      <c r="K21" s="151"/>
      <c r="L21" s="152"/>
      <c r="M21" s="151"/>
      <c r="N21" s="152"/>
      <c r="O21" s="152"/>
      <c r="P21" s="152"/>
      <c r="Q21" s="4"/>
    </row>
    <row r="22" spans="1:17" x14ac:dyDescent="0.25">
      <c r="A22" s="4" t="s">
        <v>470</v>
      </c>
      <c r="B22" s="4"/>
      <c r="C22" s="4"/>
      <c r="D22" s="26" t="s">
        <v>424</v>
      </c>
      <c r="E22" s="4"/>
    </row>
    <row r="23" spans="1:17" x14ac:dyDescent="0.25">
      <c r="A23" s="4"/>
      <c r="B23" s="4"/>
      <c r="C23" s="4"/>
      <c r="D23" s="4"/>
      <c r="E23" s="4"/>
      <c r="J23" s="4"/>
      <c r="L23" s="4"/>
      <c r="M23" s="4"/>
    </row>
    <row r="24" spans="1:17" x14ac:dyDescent="0.25">
      <c r="A24" s="4" t="s">
        <v>471</v>
      </c>
      <c r="B24" s="4"/>
      <c r="C24" s="4"/>
      <c r="D24" s="26" t="s">
        <v>425</v>
      </c>
      <c r="E24" s="4"/>
      <c r="J24" s="4"/>
      <c r="L24" s="4"/>
      <c r="M24" s="4"/>
    </row>
    <row r="25" spans="1:17" x14ac:dyDescent="0.25">
      <c r="A25" s="4"/>
      <c r="B25" s="4"/>
      <c r="C25" s="4"/>
      <c r="D25" s="4"/>
      <c r="E25" s="4"/>
    </row>
    <row r="26" spans="1:17" x14ac:dyDescent="0.25">
      <c r="A26" s="4" t="s">
        <v>472</v>
      </c>
      <c r="B26" s="4"/>
      <c r="C26" s="4"/>
      <c r="D26" s="4"/>
      <c r="E26" s="4"/>
    </row>
    <row r="27" spans="1:17" x14ac:dyDescent="0.25">
      <c r="A27" s="4" t="s">
        <v>473</v>
      </c>
      <c r="B27" s="4"/>
      <c r="C27" s="4"/>
      <c r="D27" s="26" t="s">
        <v>474</v>
      </c>
      <c r="E27" s="4"/>
    </row>
    <row r="28" spans="1:17" x14ac:dyDescent="0.25">
      <c r="A28" s="182"/>
      <c r="B28" s="183"/>
      <c r="C28" s="183"/>
      <c r="D28" s="183"/>
      <c r="E28" s="183"/>
    </row>
    <row r="29" spans="1:17" x14ac:dyDescent="0.25">
      <c r="A29" s="4" t="s">
        <v>426</v>
      </c>
      <c r="B29" s="4"/>
      <c r="C29" s="4"/>
      <c r="D29" s="4"/>
      <c r="E29" s="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3" workbookViewId="0">
      <selection activeCell="R26" sqref="R26"/>
    </sheetView>
  </sheetViews>
  <sheetFormatPr baseColWidth="10" defaultColWidth="9.140625" defaultRowHeight="15" x14ac:dyDescent="0.25"/>
  <cols>
    <col min="1" max="16384" width="9.140625" style="4"/>
  </cols>
  <sheetData>
    <row r="1" spans="1:20" x14ac:dyDescent="0.25">
      <c r="A1" s="4">
        <f>'N fertilizer'!A1</f>
        <v>0</v>
      </c>
      <c r="B1" s="4" t="str">
        <f>'N fertilizer'!B1</f>
        <v>c2</v>
      </c>
      <c r="C1" s="4" t="str">
        <f>'N fertilizer'!C1</f>
        <v>c3</v>
      </c>
      <c r="D1" s="4" t="str">
        <f>'N fertilizer'!D1</f>
        <v>c4</v>
      </c>
      <c r="E1" s="4" t="str">
        <f>'N fertilizer'!E1</f>
        <v>c5</v>
      </c>
      <c r="F1" s="4">
        <f>'N fertilizer'!F1</f>
        <v>0</v>
      </c>
    </row>
    <row r="2" spans="1:20" x14ac:dyDescent="0.25">
      <c r="A2" s="4" t="str">
        <f>'N fertilizer'!A2</f>
        <v>Without legumes</v>
      </c>
      <c r="B2" s="4" t="str">
        <f>'N fertilizer'!B2</f>
        <v>wrye</v>
      </c>
      <c r="C2" s="4" t="str">
        <f>'N fertilizer'!C2</f>
        <v>maize</v>
      </c>
      <c r="D2" s="4" t="str">
        <f>'N fertilizer'!D2</f>
        <v>maize</v>
      </c>
      <c r="E2" s="4" t="str">
        <f>'N fertilizer'!E2</f>
        <v>maize</v>
      </c>
      <c r="F2" s="4">
        <f>'N fertilizer'!F2</f>
        <v>0</v>
      </c>
    </row>
    <row r="3" spans="1:20" x14ac:dyDescent="0.25">
      <c r="A3" s="4" t="str">
        <f>'N fertilizer'!A3</f>
        <v>With legumes option 1</v>
      </c>
      <c r="B3" s="4" t="str">
        <f>'N fertilizer'!B3</f>
        <v>wrye</v>
      </c>
      <c r="C3" s="4" t="str">
        <f>'N fertilizer'!C3</f>
        <v>alfalfa</v>
      </c>
      <c r="D3" s="4" t="str">
        <f>'N fertilizer'!D3</f>
        <v>alfalfa</v>
      </c>
      <c r="E3" s="4" t="str">
        <f>'N fertilizer'!E3</f>
        <v>alfalfa</v>
      </c>
      <c r="F3" s="4">
        <f>'N fertilizer'!F3</f>
        <v>0</v>
      </c>
    </row>
    <row r="4" spans="1:20" x14ac:dyDescent="0.25">
      <c r="A4" s="4">
        <f>'N fertilizer'!A4</f>
        <v>0</v>
      </c>
      <c r="B4" s="4">
        <f>'N fertilizer'!B4</f>
        <v>0</v>
      </c>
      <c r="C4" s="4">
        <f>'N fertilizer'!C4</f>
        <v>0</v>
      </c>
      <c r="D4" s="4">
        <f>'N fertilizer'!D4</f>
        <v>0</v>
      </c>
      <c r="E4" s="4">
        <f>'N fertilizer'!E4</f>
        <v>0</v>
      </c>
      <c r="F4" s="4">
        <f>'N fertilizer'!F4</f>
        <v>0</v>
      </c>
    </row>
    <row r="6" spans="1:20" x14ac:dyDescent="0.25">
      <c r="A6" s="166" t="s">
        <v>322</v>
      </c>
      <c r="B6" s="4" t="s">
        <v>323</v>
      </c>
    </row>
    <row r="7" spans="1:20" x14ac:dyDescent="0.25">
      <c r="B7" s="35" t="str">
        <f>'N fertilizer'!B7</f>
        <v>wwheat</v>
      </c>
      <c r="C7" s="35" t="str">
        <f>'N fertilizer'!C7</f>
        <v>wrye</v>
      </c>
      <c r="D7" s="35" t="str">
        <f>'N fertilizer'!D7</f>
        <v>maize</v>
      </c>
      <c r="E7" s="35" t="str">
        <f>'N fertilizer'!E7</f>
        <v>maize</v>
      </c>
      <c r="F7" s="35" t="str">
        <f>'N fertilizer'!F7</f>
        <v>maize</v>
      </c>
      <c r="G7" s="35"/>
      <c r="I7" s="35" t="str">
        <f>'N fertilizer'!I7</f>
        <v>wwheat</v>
      </c>
      <c r="J7" s="35" t="str">
        <f>'N fertilizer'!J7</f>
        <v>wrye</v>
      </c>
      <c r="K7" s="35" t="str">
        <f>'N fertilizer'!K7</f>
        <v>alfalfa</v>
      </c>
      <c r="L7" s="35" t="str">
        <f>'N fertilizer'!L7</f>
        <v>alfalfa</v>
      </c>
      <c r="M7" s="35" t="str">
        <f>'N fertilizer'!M7</f>
        <v>alfalfa</v>
      </c>
      <c r="N7" s="35"/>
      <c r="P7" s="35"/>
      <c r="Q7" s="35"/>
      <c r="R7" s="35"/>
      <c r="S7" s="35"/>
      <c r="T7" s="35"/>
    </row>
    <row r="8" spans="1:20" x14ac:dyDescent="0.25">
      <c r="A8" s="35"/>
      <c r="B8" s="167">
        <f>VLOOKUP(B7,'Mapping crops'!$A:$B,2,FALSE)</f>
        <v>3</v>
      </c>
      <c r="C8" s="167">
        <f>VLOOKUP(C7,'Mapping crops'!$A:$B,2,FALSE)</f>
        <v>2</v>
      </c>
      <c r="D8" s="167">
        <f>VLOOKUP(D7,'Mapping crops'!$A:$B,2,FALSE)</f>
        <v>7</v>
      </c>
      <c r="E8" s="167">
        <f>VLOOKUP(E7,'Mapping crops'!$A:$B,2,FALSE)</f>
        <v>7</v>
      </c>
      <c r="F8" s="167">
        <f>VLOOKUP(F7,'Mapping crops'!$A:$B,2,FALSE)</f>
        <v>7</v>
      </c>
      <c r="G8" s="5"/>
      <c r="H8" s="167"/>
      <c r="I8" s="167">
        <f>VLOOKUP(I7,'Mapping crops'!$A:$B,2,FALSE)</f>
        <v>3</v>
      </c>
      <c r="J8" s="167">
        <f>VLOOKUP(J7,'Mapping crops'!$A:$B,2,FALSE)</f>
        <v>2</v>
      </c>
      <c r="K8" s="167">
        <f>VLOOKUP(K7,'Mapping crops'!$A:$B,2,FALSE)</f>
        <v>16</v>
      </c>
      <c r="L8" s="167">
        <f>VLOOKUP(L7,'Mapping crops'!$A:$B,2,FALSE)</f>
        <v>16</v>
      </c>
      <c r="M8" s="167">
        <f>VLOOKUP(M7,'Mapping crops'!$A:$B,2,FALSE)</f>
        <v>16</v>
      </c>
      <c r="N8" s="167"/>
      <c r="O8" s="167"/>
      <c r="P8" s="167"/>
      <c r="Q8" s="167"/>
      <c r="R8" s="167"/>
      <c r="S8" s="167"/>
      <c r="T8" s="167"/>
    </row>
    <row r="9" spans="1:20" x14ac:dyDescent="0.25">
      <c r="A9" s="165" t="s">
        <v>324</v>
      </c>
      <c r="B9" s="4">
        <f>IF(ISBLANK('N fertilizer'!B10),0,VLOOKUP('N fertilizer'!B10,'N2O default values'!$I:$J,2,FALSE)*'N fertilizer'!B13)</f>
        <v>5.980500000000001</v>
      </c>
      <c r="C9" s="4">
        <f>IF(ISBLANK('N fertilizer'!C10),0,VLOOKUP('N fertilizer'!C10,'N2O default values'!$I:$J,2,FALSE)*'N fertilizer'!C13)</f>
        <v>5.9535000000000009</v>
      </c>
      <c r="D9" s="4">
        <f>IF(ISBLANK('N fertilizer'!D10),0,VLOOKUP('N fertilizer'!D10,'N2O default values'!$I:$J,2,FALSE)*'N fertilizer'!D13)</f>
        <v>11.73</v>
      </c>
      <c r="E9" s="4">
        <f>IF(ISBLANK('N fertilizer'!E10),0,VLOOKUP('N fertilizer'!E10,'N2O default values'!$I:$J,2,FALSE)*'N fertilizer'!E13)</f>
        <v>11.73</v>
      </c>
      <c r="F9" s="4">
        <f>IF(ISBLANK('N fertilizer'!F10),0,VLOOKUP('N fertilizer'!F10,'N2O default values'!$I:$J,2,FALSE)*'N fertilizer'!F13)</f>
        <v>11.73</v>
      </c>
      <c r="I9" s="4">
        <f>IF(ISBLANK('N fertilizer'!I10),0,VLOOKUP('N fertilizer'!I10,'N2O default values'!$I:$J,2,FALSE)*'N fertilizer'!I13)</f>
        <v>5.8455000000000013</v>
      </c>
      <c r="J9" s="4">
        <f>IF(ISBLANK('N fertilizer'!J10),0,VLOOKUP('N fertilizer'!J10,'N2O default values'!$I:$J,2,FALSE)*'N fertilizer'!J13)</f>
        <v>5.9535000000000009</v>
      </c>
      <c r="K9" s="4">
        <f>IF(ISBLANK('N fertilizer'!K10),0,VLOOKUP('N fertilizer'!K10,'N2O default values'!$I:$J,2,FALSE)*'N fertilizer'!K13)</f>
        <v>0</v>
      </c>
      <c r="L9" s="4">
        <f>IF(ISBLANK('N fertilizer'!L10),0,VLOOKUP('N fertilizer'!L10,'N2O default values'!$I:$J,2,FALSE)*'N fertilizer'!L13)</f>
        <v>0</v>
      </c>
      <c r="M9" s="4">
        <f>IF(ISBLANK('N fertilizer'!M10),0,VLOOKUP('N fertilizer'!M10,'N2O default values'!$I:$J,2,FALSE)*'N fertilizer'!M13)</f>
        <v>0</v>
      </c>
    </row>
    <row r="10" spans="1:20" x14ac:dyDescent="0.25">
      <c r="A10" s="165" t="s">
        <v>324</v>
      </c>
      <c r="B10" s="4">
        <f>IF(ISBLANK('N fertilizer'!B15),0,VLOOKUP('N fertilizer'!B15,'N2O default values'!$I:$J,2,FALSE)*'N fertilizer'!B18)</f>
        <v>0</v>
      </c>
      <c r="C10" s="4">
        <f>IF(ISBLANK('N fertilizer'!C15),0,VLOOKUP('N fertilizer'!C15,'N2O default values'!$I:$J,2,FALSE)*'N fertilizer'!C18)</f>
        <v>0</v>
      </c>
      <c r="D10" s="4">
        <f>IF(ISBLANK('N fertilizer'!D15),0,VLOOKUP('N fertilizer'!D15,'N2O default values'!$I:$J,2,FALSE)*'N fertilizer'!D18)</f>
        <v>0.72</v>
      </c>
      <c r="E10" s="4">
        <f>IF(ISBLANK('N fertilizer'!E15),0,VLOOKUP('N fertilizer'!E15,'N2O default values'!$I:$J,2,FALSE)*'N fertilizer'!E18)</f>
        <v>0.72</v>
      </c>
      <c r="F10" s="4">
        <f>IF(ISBLANK('N fertilizer'!F15),0,VLOOKUP('N fertilizer'!F15,'N2O default values'!$I:$J,2,FALSE)*'N fertilizer'!F18)</f>
        <v>0.72</v>
      </c>
      <c r="I10" s="4">
        <f>IF(ISBLANK('N fertilizer'!I15),0,VLOOKUP('N fertilizer'!I15,'N2O default values'!$I:$J,2,FALSE)*'N fertilizer'!I18)</f>
        <v>0</v>
      </c>
      <c r="J10" s="4">
        <f>IF(ISBLANK('N fertilizer'!J15),0,VLOOKUP('N fertilizer'!J15,'N2O default values'!$I:$J,2,FALSE)*'N fertilizer'!J18)</f>
        <v>0</v>
      </c>
      <c r="K10" s="4">
        <f>IF(ISBLANK('N fertilizer'!K15),0,VLOOKUP('N fertilizer'!K15,'N2O default values'!$I:$J,2,FALSE)*'N fertilizer'!K18)</f>
        <v>0</v>
      </c>
      <c r="L10" s="4">
        <f>IF(ISBLANK('N fertilizer'!L15),0,VLOOKUP('N fertilizer'!L15,'N2O default values'!$I:$J,2,FALSE)*'N fertilizer'!L18)</f>
        <v>0</v>
      </c>
      <c r="M10" s="4">
        <f>IF(ISBLANK('N fertilizer'!M15),0,VLOOKUP('N fertilizer'!M15,'N2O default values'!$I:$J,2,FALSE)*'N fertilizer'!M18)</f>
        <v>0</v>
      </c>
    </row>
    <row r="11" spans="1:20" x14ac:dyDescent="0.25">
      <c r="A11" s="165" t="s">
        <v>324</v>
      </c>
      <c r="B11" s="4">
        <f>IF(ISBLANK('N fertilizer'!B20),0,VLOOKUP('N fertilizer'!B20,'N2O default values'!$I:$J,2,FALSE)*'N fertilizer'!B23)</f>
        <v>0</v>
      </c>
      <c r="C11" s="4">
        <f>IF(ISBLANK('N fertilizer'!C20),0,VLOOKUP('N fertilizer'!C20,'N2O default values'!$I:$J,2,FALSE)*'N fertilizer'!C23)</f>
        <v>0</v>
      </c>
      <c r="D11" s="4">
        <f>IF(ISBLANK('N fertilizer'!D20),0,VLOOKUP('N fertilizer'!D20,'N2O default values'!$I:$J,2,FALSE)*'N fertilizer'!D23)</f>
        <v>23.939999999999998</v>
      </c>
      <c r="E11" s="4">
        <f>IF(ISBLANK('N fertilizer'!E20),0,VLOOKUP('N fertilizer'!E20,'N2O default values'!$I:$J,2,FALSE)*'N fertilizer'!E23)</f>
        <v>23.939999999999998</v>
      </c>
      <c r="F11" s="4">
        <f>IF(ISBLANK('N fertilizer'!F20),0,VLOOKUP('N fertilizer'!F20,'N2O default values'!$I:$J,2,FALSE)*'N fertilizer'!F23)</f>
        <v>23.939999999999998</v>
      </c>
      <c r="I11" s="4">
        <f>IF(ISBLANK('N fertilizer'!I20),0,VLOOKUP('N fertilizer'!I20,'N2O default values'!$I:$J,2,FALSE)*'N fertilizer'!I23)</f>
        <v>0</v>
      </c>
      <c r="J11" s="4">
        <f>IF(ISBLANK('N fertilizer'!J20),0,VLOOKUP('N fertilizer'!J20,'N2O default values'!$I:$J,2,FALSE)*'N fertilizer'!J23)</f>
        <v>0</v>
      </c>
      <c r="K11" s="4">
        <f>IF(ISBLANK('N fertilizer'!K20),0,VLOOKUP('N fertilizer'!K20,'N2O default values'!$I:$J,2,FALSE)*'N fertilizer'!K23)</f>
        <v>0</v>
      </c>
      <c r="L11" s="4">
        <f>IF(ISBLANK('N fertilizer'!L20),0,VLOOKUP('N fertilizer'!L20,'N2O default values'!$I:$J,2,FALSE)*'N fertilizer'!L23)</f>
        <v>0</v>
      </c>
      <c r="M11" s="4">
        <f>IF(ISBLANK('N fertilizer'!M20),0,VLOOKUP('N fertilizer'!M20,'N2O default values'!$I:$J,2,FALSE)*'N fertilizer'!M23)</f>
        <v>0</v>
      </c>
    </row>
    <row r="12" spans="1:20" x14ac:dyDescent="0.25">
      <c r="A12" s="165" t="s">
        <v>325</v>
      </c>
      <c r="B12" s="181">
        <v>33.781852454870403</v>
      </c>
      <c r="C12" s="181">
        <v>30.5177743831422</v>
      </c>
      <c r="D12" s="181">
        <v>49.0938542153594</v>
      </c>
      <c r="E12" s="181">
        <v>49.0938542153594</v>
      </c>
      <c r="F12" s="181">
        <v>49.0938542153594</v>
      </c>
      <c r="I12" s="181">
        <v>36.8068850687986</v>
      </c>
      <c r="J12" s="181">
        <v>30.5177743831422</v>
      </c>
      <c r="K12" s="181">
        <v>3.0478592564675302</v>
      </c>
      <c r="L12" s="181">
        <v>3.8946492736715901</v>
      </c>
      <c r="M12" s="181">
        <v>3.8946492736715901</v>
      </c>
    </row>
    <row r="13" spans="1:20" x14ac:dyDescent="0.25">
      <c r="A13" s="165" t="s">
        <v>326</v>
      </c>
    </row>
    <row r="14" spans="1:20" x14ac:dyDescent="0.25">
      <c r="A14" s="165" t="s">
        <v>273</v>
      </c>
      <c r="B14" s="4">
        <f>GM!B$8*VLOOKUP(B8,'N2O default values'!$M:$U,7)</f>
        <v>5.0730000000000004</v>
      </c>
      <c r="C14" s="4">
        <f>GM!C$8*VLOOKUP(C8,'N2O default values'!$M:$U,7)</f>
        <v>5.72</v>
      </c>
      <c r="D14" s="4">
        <f>GM!D$8*VLOOKUP(D8,'N2O default values'!$M:$U,7)</f>
        <v>9.4830000000000005</v>
      </c>
      <c r="E14" s="4">
        <f>GM!E$8*VLOOKUP(E8,'N2O default values'!$M:$U,7)</f>
        <v>9.4830000000000005</v>
      </c>
      <c r="F14" s="4">
        <f>GM!F$8*VLOOKUP(F8,'N2O default values'!$M:$U,7)</f>
        <v>9.4830000000000005</v>
      </c>
      <c r="I14" s="4">
        <f>GM!I$8*VLOOKUP(I8,'N2O default values'!$M:$U,7)</f>
        <v>6.0519999999999996</v>
      </c>
      <c r="J14" s="4">
        <f>GM!J$8*VLOOKUP(J8,'N2O default values'!$M:$U,7)</f>
        <v>5.72</v>
      </c>
      <c r="K14" s="4">
        <f>GM!K$8*VLOOKUP(K8,'N2O default values'!$M:$U,7)</f>
        <v>7.38</v>
      </c>
      <c r="L14" s="4">
        <f>GM!L$8*VLOOKUP(L8,'N2O default values'!$M:$U,7)</f>
        <v>7.38</v>
      </c>
      <c r="M14" s="4">
        <f>GM!M$8*VLOOKUP(M8,'N2O default values'!$M:$U,7)</f>
        <v>7.38</v>
      </c>
    </row>
    <row r="15" spans="1:20" x14ac:dyDescent="0.25">
      <c r="A15" s="165" t="s">
        <v>327</v>
      </c>
      <c r="B15" s="4">
        <f>B14*VLOOKUP(B$8,'N2O default values'!$M:$U,5)*VLOOKUP(B$8,'N2O default values'!$M:$U,8)</f>
        <v>6.5949000000000009</v>
      </c>
      <c r="C15" s="4">
        <f>C14*VLOOKUP(C$8,'N2O default values'!$M:$U,5)*VLOOKUP(C$8,'N2O default values'!$M:$U,8)</f>
        <v>7.4359999999999999</v>
      </c>
      <c r="D15" s="4">
        <f>D14*VLOOKUP(D$8,'N2O default values'!$M:$U,5)*VLOOKUP(D$8,'N2O default values'!$M:$U,8)</f>
        <v>9.4830000000000005</v>
      </c>
      <c r="E15" s="4">
        <f>E14*VLOOKUP(E$8,'N2O default values'!$M:$U,5)*VLOOKUP(E$8,'N2O default values'!$M:$U,8)</f>
        <v>9.4830000000000005</v>
      </c>
      <c r="F15" s="4">
        <f>F14*VLOOKUP(F$8,'N2O default values'!$M:$U,5)*VLOOKUP(F$8,'N2O default values'!$M:$U,8)</f>
        <v>9.4830000000000005</v>
      </c>
      <c r="I15" s="4">
        <f>I14*VLOOKUP(I$8,'N2O default values'!$M:$U,5)*VLOOKUP(I$8,'N2O default values'!$M:$U,8)</f>
        <v>7.8675999999999995</v>
      </c>
      <c r="J15" s="4">
        <f>J14*VLOOKUP(J$8,'N2O default values'!$M:$U,5)*VLOOKUP(J$8,'N2O default values'!$M:$U,8)</f>
        <v>7.4359999999999999</v>
      </c>
      <c r="K15" s="4">
        <f>K14*VLOOKUP(K$8,'N2O default values'!$M:$U,5)*VLOOKUP(K$8,'N2O default values'!$M:$U,8)</f>
        <v>7.38</v>
      </c>
      <c r="L15" s="4">
        <f>L14*VLOOKUP(L$8,'N2O default values'!$M:$U,5)*VLOOKUP(L$8,'N2O default values'!$M:$U,8)</f>
        <v>7.38</v>
      </c>
      <c r="M15" s="4">
        <f>M14*VLOOKUP(M$8,'N2O default values'!$M:$U,5)*VLOOKUP(M$8,'N2O default values'!$M:$U,8)</f>
        <v>7.38</v>
      </c>
    </row>
    <row r="16" spans="1:20" x14ac:dyDescent="0.25">
      <c r="A16" s="165" t="s">
        <v>328</v>
      </c>
      <c r="B16" s="4">
        <f>SUM(B14:B15)*VLOOKUP(B$8,'N2O default values'!$M:$U,6)</f>
        <v>2.6836170000000004</v>
      </c>
      <c r="C16" s="4">
        <f>SUM(C14:C15)*VLOOKUP(C$8,'N2O default values'!$M:$U,6)</f>
        <v>2.8943199999999996</v>
      </c>
      <c r="D16" s="4">
        <f>SUM(D14:D15)*VLOOKUP(D$8,'N2O default values'!$M:$U,6)</f>
        <v>4.1725200000000005</v>
      </c>
      <c r="E16" s="4">
        <f>SUM(E14:E15)*VLOOKUP(E$8,'N2O default values'!$M:$U,6)</f>
        <v>4.1725200000000005</v>
      </c>
      <c r="F16" s="4">
        <f>SUM(F14:F15)*VLOOKUP(F$8,'N2O default values'!$M:$U,6)</f>
        <v>4.1725200000000005</v>
      </c>
      <c r="I16" s="4">
        <f>SUM(I14:I15)*VLOOKUP(I$8,'N2O default values'!$M:$U,6)</f>
        <v>3.201508</v>
      </c>
      <c r="J16" s="4">
        <f>SUM(J14:J15)*VLOOKUP(J$8,'N2O default values'!$M:$U,6)</f>
        <v>2.8943199999999996</v>
      </c>
      <c r="K16" s="4">
        <f>SUM(K14:K15)*VLOOKUP(K$8,'N2O default values'!$M:$U,6)</f>
        <v>5.9039999999999999</v>
      </c>
      <c r="L16" s="4">
        <f>SUM(L14:L15)*VLOOKUP(L$8,'N2O default values'!$M:$U,6)</f>
        <v>5.9039999999999999</v>
      </c>
      <c r="M16" s="4">
        <f>SUM(M14:M15)*VLOOKUP(M$8,'N2O default values'!$M:$U,6)</f>
        <v>5.9039999999999999</v>
      </c>
    </row>
    <row r="17" spans="1:20" x14ac:dyDescent="0.25">
      <c r="A17" s="165" t="s">
        <v>329</v>
      </c>
      <c r="B17" s="4">
        <f>(B15-GM!B11*VLOOKUP('N2O calculations'!B$8,'N2O default values'!$M:$U,9))*VLOOKUP('N2O calculations'!B$8,'N2O default values'!$M:$U,3)*1000</f>
        <v>39.569400000000002</v>
      </c>
      <c r="C17" s="4">
        <f>(C15-GM!C11*VLOOKUP('N2O calculations'!C$8,'N2O default values'!$M:$U,9))*VLOOKUP('N2O calculations'!C$8,'N2O default values'!$M:$U,3)*1000</f>
        <v>44.616</v>
      </c>
      <c r="D17" s="4">
        <f>(D15-GM!D11*VLOOKUP('N2O calculations'!D$8,'N2O default values'!$M:$U,9))*VLOOKUP('N2O calculations'!D$8,'N2O default values'!$M:$U,3)*1000</f>
        <v>56.898000000000003</v>
      </c>
      <c r="E17" s="4">
        <f>(E15-GM!E11*VLOOKUP('N2O calculations'!E$8,'N2O default values'!$M:$U,9))*VLOOKUP('N2O calculations'!E$8,'N2O default values'!$M:$U,3)*1000</f>
        <v>56.898000000000003</v>
      </c>
      <c r="F17" s="4">
        <f>(F15-GM!F11*VLOOKUP('N2O calculations'!F$8,'N2O default values'!$M:$U,9))*VLOOKUP('N2O calculations'!F$8,'N2O default values'!$M:$U,3)*1000</f>
        <v>56.898000000000003</v>
      </c>
      <c r="I17" s="4">
        <f>(I15-GM!I11*VLOOKUP('N2O calculations'!I$8,'N2O default values'!$M:$U,9))*VLOOKUP('N2O calculations'!I$8,'N2O default values'!$M:$U,3)*1000</f>
        <v>47.205599999999997</v>
      </c>
      <c r="J17" s="4">
        <f>(J15-GM!J11*VLOOKUP('N2O calculations'!J$8,'N2O default values'!$M:$U,9))*VLOOKUP('N2O calculations'!J$8,'N2O default values'!$M:$U,3)*1000</f>
        <v>44.616</v>
      </c>
      <c r="K17" s="4">
        <f>(K15-GM!K11*VLOOKUP('N2O calculations'!K$8,'N2O default values'!$M:$U,9))*VLOOKUP('N2O calculations'!K$8,'N2O default values'!$M:$U,3)*1000</f>
        <v>199.26</v>
      </c>
      <c r="L17" s="4">
        <f>(L15-GM!L11*VLOOKUP('N2O calculations'!L$8,'N2O default values'!$M:$U,9))*VLOOKUP('N2O calculations'!L$8,'N2O default values'!$M:$U,3)*1000</f>
        <v>199.26</v>
      </c>
      <c r="M17" s="4">
        <f>(M15-GM!M11*VLOOKUP('N2O calculations'!M$8,'N2O default values'!$M:$U,9))*VLOOKUP('N2O calculations'!M$8,'N2O default values'!$M:$U,3)*1000</f>
        <v>199.26</v>
      </c>
    </row>
    <row r="18" spans="1:20" x14ac:dyDescent="0.25">
      <c r="A18" s="165" t="s">
        <v>330</v>
      </c>
      <c r="B18" s="4">
        <f>B16*VLOOKUP(B$8,'N2O default values'!$M:$U,4)*1000</f>
        <v>24.152553000000001</v>
      </c>
      <c r="C18" s="4">
        <f>C16*VLOOKUP(C$8,'N2O default values'!$M:$U,4)*1000</f>
        <v>26.048879999999993</v>
      </c>
      <c r="D18" s="4">
        <f>D16*VLOOKUP(D$8,'N2O default values'!$M:$U,4)*1000</f>
        <v>29.207640000000005</v>
      </c>
      <c r="E18" s="4">
        <f>E16*VLOOKUP(E$8,'N2O default values'!$M:$U,4)*1000</f>
        <v>29.207640000000005</v>
      </c>
      <c r="F18" s="4">
        <f>F16*VLOOKUP(F$8,'N2O default values'!$M:$U,4)*1000</f>
        <v>29.207640000000005</v>
      </c>
      <c r="I18" s="4">
        <f>I16*VLOOKUP(I$8,'N2O default values'!$M:$U,4)*1000</f>
        <v>28.813572000000001</v>
      </c>
      <c r="J18" s="4">
        <f>J16*VLOOKUP(J$8,'N2O default values'!$M:$U,4)*1000</f>
        <v>26.048879999999993</v>
      </c>
      <c r="K18" s="4">
        <f>K16*VLOOKUP(K$8,'N2O default values'!$M:$U,4)*1000</f>
        <v>112.176</v>
      </c>
      <c r="L18" s="4">
        <f>L16*VLOOKUP(L$8,'N2O default values'!$M:$U,4)*1000</f>
        <v>112.176</v>
      </c>
      <c r="M18" s="4">
        <f>M16*VLOOKUP(M$8,'N2O default values'!$M:$U,4)*1000</f>
        <v>112.176</v>
      </c>
    </row>
    <row r="19" spans="1:20" x14ac:dyDescent="0.25">
      <c r="A19" s="165" t="s">
        <v>331</v>
      </c>
      <c r="B19" s="4">
        <f>SUM(B17:B18)</f>
        <v>63.721952999999999</v>
      </c>
      <c r="C19" s="4">
        <f t="shared" ref="C19:F19" si="0">SUM(C17:C18)</f>
        <v>70.664879999999997</v>
      </c>
      <c r="D19" s="4">
        <f t="shared" si="0"/>
        <v>86.105640000000008</v>
      </c>
      <c r="E19" s="4">
        <f t="shared" si="0"/>
        <v>86.105640000000008</v>
      </c>
      <c r="F19" s="4">
        <f t="shared" si="0"/>
        <v>86.105640000000008</v>
      </c>
      <c r="I19" s="4">
        <f>SUM(I17:I18)</f>
        <v>76.019171999999998</v>
      </c>
      <c r="J19" s="4">
        <f t="shared" ref="J19:M19" si="1">SUM(J17:J18)</f>
        <v>70.664879999999997</v>
      </c>
      <c r="K19" s="4">
        <f t="shared" si="1"/>
        <v>311.43599999999998</v>
      </c>
      <c r="L19" s="4">
        <f t="shared" si="1"/>
        <v>311.43599999999998</v>
      </c>
      <c r="M19" s="4">
        <f t="shared" si="1"/>
        <v>311.43599999999998</v>
      </c>
    </row>
    <row r="20" spans="1:20" x14ac:dyDescent="0.25">
      <c r="A20" s="165"/>
    </row>
    <row r="23" spans="1:20" x14ac:dyDescent="0.25">
      <c r="A23" s="4" t="s">
        <v>332</v>
      </c>
    </row>
    <row r="24" spans="1:20" x14ac:dyDescent="0.25">
      <c r="B24" s="35" t="str">
        <f>B7</f>
        <v>wwheat</v>
      </c>
      <c r="C24" s="35" t="str">
        <f t="shared" ref="C24:F24" si="2">C7</f>
        <v>wrye</v>
      </c>
      <c r="D24" s="35" t="str">
        <f t="shared" si="2"/>
        <v>maize</v>
      </c>
      <c r="E24" s="35" t="str">
        <f t="shared" si="2"/>
        <v>maize</v>
      </c>
      <c r="F24" s="35" t="str">
        <f t="shared" si="2"/>
        <v>maize</v>
      </c>
      <c r="G24" s="35"/>
      <c r="I24" s="35" t="str">
        <f>I7</f>
        <v>wwheat</v>
      </c>
      <c r="J24" s="35" t="str">
        <f t="shared" ref="J24:M24" si="3">J7</f>
        <v>wrye</v>
      </c>
      <c r="K24" s="35" t="str">
        <f t="shared" si="3"/>
        <v>alfalfa</v>
      </c>
      <c r="L24" s="35" t="str">
        <f t="shared" si="3"/>
        <v>alfalfa</v>
      </c>
      <c r="M24" s="35" t="str">
        <f t="shared" si="3"/>
        <v>alfalfa</v>
      </c>
      <c r="N24" s="35"/>
      <c r="P24" s="35"/>
      <c r="Q24" s="35"/>
      <c r="R24" s="35"/>
      <c r="S24" s="35"/>
      <c r="T24" s="35"/>
    </row>
    <row r="25" spans="1:20" x14ac:dyDescent="0.25">
      <c r="A25" s="165" t="s">
        <v>333</v>
      </c>
      <c r="B25" s="4">
        <f>IF('N fertilizer'!B10 &lt;&gt;'N2O default values'!$I$30, 'N fertilizer'!B13*'N2O default values'!$E$2, 'N fertilizer'!B13* 'N2O default values'!$E$3)+IF('N fertilizer'!B15 &lt;&gt;'N2O default values'!$I$30, 'N fertilizer'!B18*'N2O default values'!$E$2, 'N fertilizer'!B18* 'N2O default values'!$E$3)+IF('N fertilizer'!B20 &lt;&gt;'N2O default values'!$I$30, 'N fertilizer'!B23*'N2O default values'!$E$2, 'N fertilizer'!B23* 'N2O default values'!$E$3)</f>
        <v>1.9137600000000003</v>
      </c>
      <c r="C25" s="4">
        <f>IF('N fertilizer'!C10 &lt;&gt;'N2O default values'!$I$30, 'N fertilizer'!C13*'N2O default values'!$E$2, 'N fertilizer'!C13* 'N2O default values'!$E$3)+IF('N fertilizer'!C15 &lt;&gt;'N2O default values'!$I$30, 'N fertilizer'!C18*'N2O default values'!$E$2, 'N fertilizer'!C18* 'N2O default values'!$E$3)+IF('N fertilizer'!C20 &lt;&gt;'N2O default values'!$I$30, 'N fertilizer'!C23*'N2O default values'!$E$2, 'N fertilizer'!C23* 'N2O default values'!$E$3)</f>
        <v>1.9051200000000001</v>
      </c>
      <c r="D25" s="4">
        <f>IF('N fertilizer'!D10 &lt;&gt;'N2O default values'!$I$30, 'N fertilizer'!D13*'N2O default values'!$E$2, 'N fertilizer'!D13* 'N2O default values'!$E$3)+IF('N fertilizer'!D15 &lt;&gt;'N2O default values'!$I$30, 'N fertilizer'!D18*'N2O default values'!$E$2, 'N fertilizer'!D18* 'N2O default values'!$E$3)+IF('N fertilizer'!D20 &lt;&gt;'N2O default values'!$I$30, 'N fertilizer'!D23*'N2O default values'!$E$2, 'N fertilizer'!D23* 'N2O default values'!$E$3)</f>
        <v>2.0792000000000002</v>
      </c>
      <c r="E25" s="4">
        <f>IF('N fertilizer'!E10 &lt;&gt;'N2O default values'!$I$30, 'N fertilizer'!E13*'N2O default values'!$E$2, 'N fertilizer'!E13* 'N2O default values'!$E$3)+IF('N fertilizer'!E15 &lt;&gt;'N2O default values'!$I$30, 'N fertilizer'!E18*'N2O default values'!$E$2, 'N fertilizer'!E18* 'N2O default values'!$E$3)+IF('N fertilizer'!E20 &lt;&gt;'N2O default values'!$I$30, 'N fertilizer'!E23*'N2O default values'!$E$2, 'N fertilizer'!E23* 'N2O default values'!$E$3)</f>
        <v>2.0792000000000002</v>
      </c>
      <c r="F25" s="4">
        <f>IF('N fertilizer'!F10 &lt;&gt;'N2O default values'!$I$30, 'N fertilizer'!F13*'N2O default values'!$E$2, 'N fertilizer'!F13* 'N2O default values'!$E$3)+IF('N fertilizer'!F15 &lt;&gt;'N2O default values'!$I$30, 'N fertilizer'!F18*'N2O default values'!$E$2, 'N fertilizer'!F18* 'N2O default values'!$E$3)+IF('N fertilizer'!F20 &lt;&gt;'N2O default values'!$I$30, 'N fertilizer'!F23*'N2O default values'!$E$2, 'N fertilizer'!F23* 'N2O default values'!$E$3)</f>
        <v>2.0792000000000002</v>
      </c>
      <c r="I25" s="4">
        <f>IF('N fertilizer'!I10 &lt;&gt;'N2O default values'!$I$30, 'N fertilizer'!I13*'N2O default values'!$E$2, 'N fertilizer'!I13* 'N2O default values'!$E$3)+IF('N fertilizer'!I15 &lt;&gt;'N2O default values'!$I$30, 'N fertilizer'!I18*'N2O default values'!$E$2, 'N fertilizer'!I18* 'N2O default values'!$E$3)+IF('N fertilizer'!I20 &lt;&gt;'N2O default values'!$I$30, 'N fertilizer'!I23*'N2O default values'!$E$2, 'N fertilizer'!I23* 'N2O default values'!$E$3)</f>
        <v>1.8705600000000002</v>
      </c>
      <c r="J25" s="4">
        <f>IF('N fertilizer'!J10 &lt;&gt;'N2O default values'!$I$30, 'N fertilizer'!J13*'N2O default values'!$E$2, 'N fertilizer'!J13* 'N2O default values'!$E$3)+IF('N fertilizer'!J15 &lt;&gt;'N2O default values'!$I$30, 'N fertilizer'!J18*'N2O default values'!$E$2, 'N fertilizer'!J18* 'N2O default values'!$E$3)+IF('N fertilizer'!J20 &lt;&gt;'N2O default values'!$I$30, 'N fertilizer'!J23*'N2O default values'!$E$2, 'N fertilizer'!J23* 'N2O default values'!$E$3)</f>
        <v>1.9051200000000001</v>
      </c>
      <c r="K25" s="4">
        <f>IF('N fertilizer'!K10 &lt;&gt;'N2O default values'!$I$30, 'N fertilizer'!K13*'N2O default values'!$E$2, 'N fertilizer'!K13* 'N2O default values'!$E$3)+IF('N fertilizer'!K15 &lt;&gt;'N2O default values'!$I$30, 'N fertilizer'!K18*'N2O default values'!$E$2, 'N fertilizer'!K18* 'N2O default values'!$E$3)+IF('N fertilizer'!K20 &lt;&gt;'N2O default values'!$I$30, 'N fertilizer'!K23*'N2O default values'!$E$2, 'N fertilizer'!K23* 'N2O default values'!$E$3)</f>
        <v>0</v>
      </c>
      <c r="L25" s="4">
        <f>IF('N fertilizer'!L10 &lt;&gt;'N2O default values'!$I$30, 'N fertilizer'!L13*'N2O default values'!$E$2, 'N fertilizer'!L13* 'N2O default values'!$E$3)+IF('N fertilizer'!L15 &lt;&gt;'N2O default values'!$I$30, 'N fertilizer'!L18*'N2O default values'!$E$2, 'N fertilizer'!L18* 'N2O default values'!$E$3)+IF('N fertilizer'!L20 &lt;&gt;'N2O default values'!$I$30, 'N fertilizer'!L23*'N2O default values'!$E$2, 'N fertilizer'!L23* 'N2O default values'!$E$3)</f>
        <v>0</v>
      </c>
      <c r="M25" s="4">
        <f>IF('N fertilizer'!M10 &lt;&gt;'N2O default values'!$I$30, 'N fertilizer'!M13*'N2O default values'!$E$2, 'N fertilizer'!M13* 'N2O default values'!$E$3)+IF('N fertilizer'!M15 &lt;&gt;'N2O default values'!$I$30, 'N fertilizer'!M18*'N2O default values'!$E$2, 'N fertilizer'!M18* 'N2O default values'!$E$3)+IF('N fertilizer'!M20 &lt;&gt;'N2O default values'!$I$30, 'N fertilizer'!M23*'N2O default values'!$E$2, 'N fertilizer'!M23* 'N2O default values'!$E$3)</f>
        <v>0</v>
      </c>
    </row>
    <row r="26" spans="1:20" x14ac:dyDescent="0.25">
      <c r="A26" s="4" t="s">
        <v>334</v>
      </c>
      <c r="B26" s="4">
        <f>(SUM(B9:B11)*'N2O default values'!$E$4)</f>
        <v>8.372700000000001E-2</v>
      </c>
      <c r="C26" s="4">
        <f>(SUM(C9:C11)*'N2O default values'!$E$4)</f>
        <v>8.334900000000002E-2</v>
      </c>
      <c r="D26" s="4">
        <f>(SUM(D9:D11)*'N2O default values'!$E$4)</f>
        <v>0.50946000000000002</v>
      </c>
      <c r="E26" s="4">
        <f>(SUM(E9:E11)*'N2O default values'!$E$4)</f>
        <v>0.50946000000000002</v>
      </c>
      <c r="F26" s="4">
        <f>(SUM(F9:F11)*'N2O default values'!$E$4)</f>
        <v>0.50946000000000002</v>
      </c>
      <c r="I26" s="4">
        <f>(SUM(I9:I11)*'N2O default values'!$E$4)</f>
        <v>8.1837000000000021E-2</v>
      </c>
      <c r="J26" s="4">
        <f>(SUM(J9:J11)*'N2O default values'!$E$4)</f>
        <v>8.334900000000002E-2</v>
      </c>
      <c r="K26" s="4">
        <f>(SUM(K9:K11)*'N2O default values'!$E$4)</f>
        <v>0</v>
      </c>
      <c r="L26" s="4">
        <f>(SUM(L9:L11)*'N2O default values'!$E$4)</f>
        <v>0</v>
      </c>
      <c r="M26" s="4">
        <f>(SUM(M9:M11)*'N2O default values'!$E$4)</f>
        <v>0</v>
      </c>
    </row>
    <row r="27" spans="1:20" x14ac:dyDescent="0.25">
      <c r="A27" s="4" t="s">
        <v>325</v>
      </c>
      <c r="B27" s="4">
        <f>B12*'N2O default values'!$E$5</f>
        <v>0.3716003770035744</v>
      </c>
      <c r="C27" s="4">
        <f>C12*'N2O default values'!$E$5</f>
        <v>0.33569551821456417</v>
      </c>
      <c r="D27" s="4">
        <f>D12*'N2O default values'!$E$5</f>
        <v>0.54003239636895339</v>
      </c>
      <c r="E27" s="4">
        <f>E12*'N2O default values'!$E$5</f>
        <v>0.54003239636895339</v>
      </c>
      <c r="F27" s="4">
        <f>F12*'N2O default values'!$E$5</f>
        <v>0.54003239636895339</v>
      </c>
      <c r="I27" s="4">
        <f>I12*'N2O default values'!$E$5</f>
        <v>0.40487573575678459</v>
      </c>
      <c r="J27" s="4">
        <f>J12*'N2O default values'!$E$5</f>
        <v>0.33569551821456417</v>
      </c>
      <c r="K27" s="4">
        <f>K12*'N2O default values'!$E$5</f>
        <v>3.3526451821142833E-2</v>
      </c>
      <c r="L27" s="4">
        <f>L12*'N2O default values'!$E$5</f>
        <v>4.2841142010387488E-2</v>
      </c>
      <c r="M27" s="4">
        <f>M12*'N2O default values'!$E$5</f>
        <v>4.2841142010387488E-2</v>
      </c>
    </row>
    <row r="28" spans="1:20" x14ac:dyDescent="0.25">
      <c r="A28" s="4" t="s">
        <v>335</v>
      </c>
      <c r="B28" s="4">
        <f>B19*'N2O default values'!$E$3</f>
        <v>0.38233171799999999</v>
      </c>
      <c r="C28" s="4">
        <f>C19*'N2O default values'!$E$3</f>
        <v>0.42398927999999997</v>
      </c>
      <c r="D28" s="4">
        <f>D19*'N2O default values'!$E$3</f>
        <v>0.51663384000000001</v>
      </c>
      <c r="E28" s="4">
        <f>E19*'N2O default values'!$E$3</f>
        <v>0.51663384000000001</v>
      </c>
      <c r="F28" s="4">
        <f>F19*'N2O default values'!$E$3</f>
        <v>0.51663384000000001</v>
      </c>
      <c r="I28" s="4">
        <f>I19*'N2O default values'!$E$3</f>
        <v>0.45611503199999998</v>
      </c>
      <c r="J28" s="4">
        <f>J19*'N2O default values'!$E$3</f>
        <v>0.42398927999999997</v>
      </c>
      <c r="K28" s="4">
        <f>K19*'N2O default values'!$E$3</f>
        <v>1.8686159999999998</v>
      </c>
      <c r="L28" s="4">
        <f>L19*'N2O default values'!$E$3</f>
        <v>1.8686159999999998</v>
      </c>
      <c r="M28" s="4">
        <f>M19*'N2O default values'!$E$3</f>
        <v>1.8686159999999998</v>
      </c>
    </row>
    <row r="30" spans="1:20" x14ac:dyDescent="0.25">
      <c r="A30" s="4" t="s">
        <v>336</v>
      </c>
    </row>
    <row r="31" spans="1:20" x14ac:dyDescent="0.25">
      <c r="A31" s="4">
        <f>SUM(B31:F31)</f>
        <v>25.827295375082141</v>
      </c>
      <c r="B31" s="4">
        <f>SUM(B25:B28)*'N2O default values'!$G$2</f>
        <v>4.3236585778627603</v>
      </c>
      <c r="C31" s="4">
        <f>SUM(C25:C28)*'N2O default values'!$G$2</f>
        <v>4.3185273971943152</v>
      </c>
      <c r="D31" s="4">
        <f>SUM(D25:D28)*'N2O default values'!$G$2</f>
        <v>5.7283698000083545</v>
      </c>
      <c r="E31" s="4">
        <f>SUM(E25:E28)*'N2O default values'!$G$2</f>
        <v>5.7283698000083545</v>
      </c>
      <c r="F31" s="4">
        <f>SUM(F25:F28)*'N2O default values'!$G$2</f>
        <v>5.7283698000083545</v>
      </c>
      <c r="H31" s="4">
        <f>SUM(I31:M31)</f>
        <v>17.736083045706561</v>
      </c>
      <c r="I31" s="4">
        <f>SUM(I25:I28)*'N2O default values'!$G$2</f>
        <v>4.4210379207606616</v>
      </c>
      <c r="J31" s="4">
        <f>SUM(J25:J28)*'N2O default values'!$G$2</f>
        <v>4.3185273971943152</v>
      </c>
      <c r="K31" s="4">
        <f>SUM(K25:K28)*'N2O default values'!$G$2</f>
        <v>2.9890809957189384</v>
      </c>
      <c r="L31" s="4">
        <f>SUM(L25:L28)*'N2O default values'!$G$2</f>
        <v>3.0037183660163231</v>
      </c>
      <c r="M31" s="4">
        <f>SUM(M25:M28)*'N2O default values'!$G$2</f>
        <v>3.0037183660163231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17" workbookViewId="0">
      <selection activeCell="A30" sqref="A30:XFD30"/>
    </sheetView>
  </sheetViews>
  <sheetFormatPr baseColWidth="10" defaultColWidth="9.140625" defaultRowHeight="15" x14ac:dyDescent="0.25"/>
  <cols>
    <col min="1" max="1" width="9.140625" style="4"/>
    <col min="2" max="2" width="17.7109375" style="4" bestFit="1" customWidth="1"/>
    <col min="3" max="8" width="9.140625" style="4"/>
    <col min="9" max="9" width="13.7109375" style="4" customWidth="1"/>
    <col min="10" max="10" width="9.140625" style="4"/>
    <col min="11" max="11" width="41.7109375" style="4" customWidth="1"/>
    <col min="12" max="12" width="7" style="4" customWidth="1"/>
    <col min="13" max="13" width="14.140625" style="4" bestFit="1" customWidth="1"/>
    <col min="14" max="14" width="41.85546875" style="4" customWidth="1"/>
    <col min="15" max="19" width="30.7109375" style="4" customWidth="1"/>
    <col min="20" max="16384" width="9.140625" style="4"/>
  </cols>
  <sheetData>
    <row r="1" spans="1:21" ht="45" x14ac:dyDescent="0.25">
      <c r="A1" s="4">
        <v>1</v>
      </c>
      <c r="C1" s="4" t="s">
        <v>323</v>
      </c>
      <c r="D1" s="4" t="s">
        <v>337</v>
      </c>
      <c r="G1" s="4" t="s">
        <v>338</v>
      </c>
      <c r="I1" s="4" t="s">
        <v>339</v>
      </c>
      <c r="K1" s="5"/>
      <c r="M1" s="4" t="s">
        <v>340</v>
      </c>
      <c r="N1" s="4" t="s">
        <v>299</v>
      </c>
      <c r="O1" s="39" t="s">
        <v>341</v>
      </c>
      <c r="P1" s="39" t="s">
        <v>342</v>
      </c>
      <c r="Q1" s="39" t="s">
        <v>343</v>
      </c>
      <c r="R1" s="39" t="s">
        <v>344</v>
      </c>
      <c r="S1" s="39" t="s">
        <v>300</v>
      </c>
      <c r="T1" s="39" t="s">
        <v>345</v>
      </c>
      <c r="U1" s="39" t="s">
        <v>346</v>
      </c>
    </row>
    <row r="2" spans="1:21" x14ac:dyDescent="0.25">
      <c r="A2" s="4">
        <v>2</v>
      </c>
      <c r="B2" s="4" t="s">
        <v>347</v>
      </c>
      <c r="C2" s="4">
        <v>1.6E-2</v>
      </c>
      <c r="D2" s="4">
        <v>5.0000000000000001E-3</v>
      </c>
      <c r="E2" s="4">
        <f>HLOOKUP('N2O calculations'!$B$6,$B$1:$D$10,A2)</f>
        <v>1.6E-2</v>
      </c>
      <c r="G2" s="4">
        <f>44/28</f>
        <v>1.5714285714285714</v>
      </c>
      <c r="I2" s="4" t="s">
        <v>348</v>
      </c>
      <c r="J2" s="4">
        <v>0.15</v>
      </c>
      <c r="K2" s="168" t="s">
        <v>349</v>
      </c>
      <c r="L2" s="169">
        <v>0.15</v>
      </c>
      <c r="M2" s="4">
        <v>1</v>
      </c>
      <c r="N2" s="39" t="s">
        <v>301</v>
      </c>
      <c r="O2" s="39">
        <v>8.0000000000000002E-3</v>
      </c>
      <c r="P2" s="39">
        <v>8.9999999999999993E-3</v>
      </c>
      <c r="Q2" s="39">
        <v>1</v>
      </c>
      <c r="R2" s="39">
        <v>0.22</v>
      </c>
      <c r="S2" s="39">
        <v>0.85</v>
      </c>
      <c r="T2" s="39">
        <v>1</v>
      </c>
      <c r="U2" s="4">
        <f>S2</f>
        <v>0.85</v>
      </c>
    </row>
    <row r="3" spans="1:21" x14ac:dyDescent="0.25">
      <c r="A3" s="4">
        <v>3</v>
      </c>
      <c r="B3" s="4" t="s">
        <v>350</v>
      </c>
      <c r="C3" s="4">
        <v>6.0000000000000001E-3</v>
      </c>
      <c r="D3" s="4">
        <v>5.0000000000000001E-3</v>
      </c>
      <c r="E3" s="4">
        <f>HLOOKUP('N2O calculations'!$B$6,$B$1:$D$10,A3)</f>
        <v>6.0000000000000001E-3</v>
      </c>
      <c r="I3" s="4" t="s">
        <v>351</v>
      </c>
      <c r="J3" s="4">
        <v>0.08</v>
      </c>
      <c r="K3" s="170" t="s">
        <v>352</v>
      </c>
      <c r="L3" s="169">
        <v>0.08</v>
      </c>
      <c r="M3" s="4">
        <v>2</v>
      </c>
      <c r="N3" s="4" t="s">
        <v>302</v>
      </c>
      <c r="O3" s="4">
        <v>6.0000000000000001E-3</v>
      </c>
      <c r="P3" s="4">
        <v>8.9999999999999993E-3</v>
      </c>
      <c r="Q3" s="4">
        <v>1.3</v>
      </c>
      <c r="R3" s="4">
        <v>0.22</v>
      </c>
      <c r="S3" s="4">
        <v>0.88</v>
      </c>
      <c r="T3" s="39">
        <v>1</v>
      </c>
      <c r="U3" s="4">
        <f t="shared" ref="U3:U22" si="0">S3</f>
        <v>0.88</v>
      </c>
    </row>
    <row r="4" spans="1:21" x14ac:dyDescent="0.25">
      <c r="A4" s="4">
        <v>4</v>
      </c>
      <c r="B4" s="4" t="s">
        <v>353</v>
      </c>
      <c r="C4" s="4">
        <v>1.4E-2</v>
      </c>
      <c r="D4" s="4">
        <v>5.0000000000000001E-3</v>
      </c>
      <c r="E4" s="4">
        <f>HLOOKUP('N2O calculations'!$B$6,$B$1:$D$10,A4)</f>
        <v>1.4E-2</v>
      </c>
      <c r="I4" s="4" t="s">
        <v>354</v>
      </c>
      <c r="J4" s="4">
        <v>0.01</v>
      </c>
      <c r="K4" s="170" t="s">
        <v>355</v>
      </c>
      <c r="L4" s="169">
        <v>0.01</v>
      </c>
      <c r="M4" s="4">
        <v>3</v>
      </c>
      <c r="N4" s="4" t="s">
        <v>303</v>
      </c>
      <c r="O4" s="4">
        <v>6.0000000000000001E-3</v>
      </c>
      <c r="P4" s="4">
        <v>8.9999999999999993E-3</v>
      </c>
      <c r="Q4" s="4">
        <v>1.3</v>
      </c>
      <c r="R4" s="4">
        <v>0.23</v>
      </c>
      <c r="S4" s="4">
        <v>0.89</v>
      </c>
      <c r="T4" s="39">
        <v>1</v>
      </c>
      <c r="U4" s="4">
        <f t="shared" si="0"/>
        <v>0.89</v>
      </c>
    </row>
    <row r="5" spans="1:21" x14ac:dyDescent="0.25">
      <c r="A5" s="4">
        <v>5</v>
      </c>
      <c r="B5" s="4" t="s">
        <v>325</v>
      </c>
      <c r="E5" s="4">
        <v>1.0999999999999999E-2</v>
      </c>
      <c r="I5" s="4" t="s">
        <v>356</v>
      </c>
      <c r="J5" s="4">
        <v>0.05</v>
      </c>
      <c r="K5" s="171" t="s">
        <v>357</v>
      </c>
      <c r="L5" s="171">
        <v>0.05</v>
      </c>
      <c r="M5" s="4">
        <v>4</v>
      </c>
      <c r="N5" s="4" t="s">
        <v>304</v>
      </c>
      <c r="O5" s="4">
        <v>6.0000000000000001E-3</v>
      </c>
      <c r="P5" s="4">
        <v>8.9999999999999993E-3</v>
      </c>
      <c r="Q5" s="4">
        <v>1.3</v>
      </c>
      <c r="R5" s="4">
        <v>0.28000000000000003</v>
      </c>
      <c r="S5" s="4">
        <v>0.89</v>
      </c>
      <c r="T5" s="39">
        <v>1</v>
      </c>
      <c r="U5" s="4">
        <f t="shared" si="0"/>
        <v>0.89</v>
      </c>
    </row>
    <row r="6" spans="1:21" x14ac:dyDescent="0.25">
      <c r="A6" s="4">
        <v>6</v>
      </c>
      <c r="I6" s="4" t="s">
        <v>358</v>
      </c>
      <c r="J6" s="4">
        <v>0.05</v>
      </c>
      <c r="K6" s="171" t="s">
        <v>359</v>
      </c>
      <c r="L6" s="171">
        <v>0.11</v>
      </c>
      <c r="M6" s="4">
        <v>5</v>
      </c>
      <c r="N6" s="4" t="s">
        <v>305</v>
      </c>
      <c r="O6" s="4">
        <v>7.0000000000000001E-3</v>
      </c>
      <c r="P6" s="4">
        <v>1.4E-2</v>
      </c>
      <c r="Q6" s="4">
        <v>1.2</v>
      </c>
      <c r="R6" s="4">
        <v>0.22</v>
      </c>
      <c r="S6" s="4">
        <v>0.89</v>
      </c>
      <c r="T6" s="39">
        <v>1</v>
      </c>
      <c r="U6" s="4">
        <f t="shared" si="0"/>
        <v>0.89</v>
      </c>
    </row>
    <row r="7" spans="1:21" x14ac:dyDescent="0.25">
      <c r="A7" s="4">
        <v>7</v>
      </c>
      <c r="I7" s="4" t="s">
        <v>360</v>
      </c>
      <c r="J7" s="4">
        <v>0.21</v>
      </c>
      <c r="M7" s="4">
        <v>6</v>
      </c>
      <c r="N7" s="4" t="s">
        <v>306</v>
      </c>
      <c r="O7" s="4">
        <v>7.0000000000000001E-3</v>
      </c>
      <c r="P7" s="4">
        <v>8.0000000000000002E-3</v>
      </c>
      <c r="Q7" s="4">
        <v>1.3</v>
      </c>
      <c r="R7" s="4">
        <v>0.25</v>
      </c>
      <c r="S7" s="4">
        <v>0.89</v>
      </c>
      <c r="T7" s="39">
        <v>1</v>
      </c>
      <c r="U7" s="4">
        <f t="shared" si="0"/>
        <v>0.89</v>
      </c>
    </row>
    <row r="8" spans="1:21" x14ac:dyDescent="0.25">
      <c r="A8" s="4">
        <v>8</v>
      </c>
      <c r="I8" s="4" t="s">
        <v>361</v>
      </c>
      <c r="J8" s="4">
        <v>0.05</v>
      </c>
      <c r="M8" s="4">
        <v>7</v>
      </c>
      <c r="N8" s="4" t="s">
        <v>307</v>
      </c>
      <c r="O8" s="4">
        <v>6.0000000000000001E-3</v>
      </c>
      <c r="P8" s="4">
        <v>7.0000000000000001E-3</v>
      </c>
      <c r="Q8" s="4">
        <v>1</v>
      </c>
      <c r="R8" s="4">
        <v>0.22</v>
      </c>
      <c r="S8" s="4">
        <v>0.87</v>
      </c>
      <c r="T8" s="39">
        <v>1</v>
      </c>
      <c r="U8" s="4">
        <f t="shared" si="0"/>
        <v>0.87</v>
      </c>
    </row>
    <row r="9" spans="1:21" x14ac:dyDescent="0.25">
      <c r="A9" s="4">
        <v>9</v>
      </c>
      <c r="I9" s="4" t="s">
        <v>362</v>
      </c>
      <c r="J9" s="4">
        <v>0.05</v>
      </c>
      <c r="M9" s="4">
        <v>8</v>
      </c>
      <c r="N9" s="4" t="s">
        <v>308</v>
      </c>
      <c r="O9" s="4">
        <v>5.0000000000000001E-3</v>
      </c>
      <c r="P9" s="4">
        <v>1.0999999999999999E-2</v>
      </c>
      <c r="Q9" s="4">
        <v>1.6</v>
      </c>
      <c r="R9" s="172">
        <f>R2</f>
        <v>0.22</v>
      </c>
      <c r="S9" s="4">
        <v>0.88</v>
      </c>
      <c r="T9" s="39">
        <v>1</v>
      </c>
      <c r="U9" s="4">
        <f t="shared" si="0"/>
        <v>0.88</v>
      </c>
    </row>
    <row r="10" spans="1:21" x14ac:dyDescent="0.25">
      <c r="A10" s="4">
        <v>10</v>
      </c>
      <c r="I10" s="4" t="s">
        <v>363</v>
      </c>
      <c r="J10" s="4">
        <v>0.05</v>
      </c>
      <c r="M10" s="4">
        <v>9</v>
      </c>
      <c r="N10" s="4" t="s">
        <v>309</v>
      </c>
      <c r="O10" s="4">
        <v>7.0000000000000001E-3</v>
      </c>
      <c r="P10" s="172">
        <f>P2</f>
        <v>8.9999999999999993E-3</v>
      </c>
      <c r="Q10" s="4">
        <v>1.4</v>
      </c>
      <c r="R10" s="4">
        <v>0.16</v>
      </c>
      <c r="S10" s="4">
        <v>0.89</v>
      </c>
      <c r="T10" s="39">
        <v>1</v>
      </c>
      <c r="U10" s="4">
        <f t="shared" si="0"/>
        <v>0.89</v>
      </c>
    </row>
    <row r="11" spans="1:21" x14ac:dyDescent="0.25">
      <c r="I11" s="4" t="s">
        <v>364</v>
      </c>
      <c r="J11" s="165">
        <v>0.11</v>
      </c>
      <c r="M11" s="4">
        <v>10</v>
      </c>
      <c r="N11" s="4" t="s">
        <v>310</v>
      </c>
      <c r="O11" s="4">
        <v>7.0000000000000001E-3</v>
      </c>
      <c r="P11" s="172">
        <f>P2</f>
        <v>8.9999999999999993E-3</v>
      </c>
      <c r="Q11" s="4">
        <v>1.4</v>
      </c>
      <c r="R11" s="172">
        <f>R2</f>
        <v>0.22</v>
      </c>
      <c r="S11" s="142">
        <v>0.9</v>
      </c>
      <c r="T11" s="39">
        <v>1</v>
      </c>
      <c r="U11" s="4">
        <f t="shared" si="0"/>
        <v>0.9</v>
      </c>
    </row>
    <row r="12" spans="1:21" x14ac:dyDescent="0.25">
      <c r="I12" s="187" t="s">
        <v>132</v>
      </c>
      <c r="J12" s="188">
        <v>0.08</v>
      </c>
      <c r="M12" s="4">
        <v>11</v>
      </c>
      <c r="N12" s="4" t="s">
        <v>311</v>
      </c>
      <c r="O12" s="4">
        <v>7.0000000000000001E-3</v>
      </c>
      <c r="P12" s="4">
        <v>6.0000000000000001E-3</v>
      </c>
      <c r="Q12" s="4">
        <v>1.4</v>
      </c>
      <c r="R12" s="172">
        <f>R2</f>
        <v>0.22</v>
      </c>
      <c r="S12" s="4">
        <v>0.89</v>
      </c>
      <c r="T12" s="39">
        <v>1</v>
      </c>
      <c r="U12" s="4">
        <f t="shared" si="0"/>
        <v>0.89</v>
      </c>
    </row>
    <row r="13" spans="1:21" x14ac:dyDescent="0.25">
      <c r="I13" s="4" t="s">
        <v>365</v>
      </c>
      <c r="J13" s="4">
        <v>0.11</v>
      </c>
      <c r="M13" s="4">
        <v>12</v>
      </c>
      <c r="N13" s="4" t="s">
        <v>312</v>
      </c>
      <c r="O13" s="4">
        <v>8.0000000000000002E-3</v>
      </c>
      <c r="P13" s="4">
        <v>8.0000000000000002E-3</v>
      </c>
      <c r="Q13" s="4">
        <v>2.1</v>
      </c>
      <c r="R13" s="4">
        <v>0.19</v>
      </c>
      <c r="S13" s="4">
        <v>0.91</v>
      </c>
      <c r="T13" s="39">
        <v>1</v>
      </c>
      <c r="U13" s="4">
        <f t="shared" si="0"/>
        <v>0.91</v>
      </c>
    </row>
    <row r="14" spans="1:21" x14ac:dyDescent="0.25">
      <c r="I14" s="4" t="s">
        <v>366</v>
      </c>
      <c r="J14" s="4">
        <v>0.05</v>
      </c>
      <c r="M14" s="4">
        <v>13</v>
      </c>
      <c r="N14" s="4" t="s">
        <v>313</v>
      </c>
      <c r="O14" s="4">
        <v>8.0000000000000002E-3</v>
      </c>
      <c r="P14" s="4">
        <v>8.0000000000000002E-3</v>
      </c>
      <c r="Q14" s="4">
        <v>2.1</v>
      </c>
      <c r="R14" s="4">
        <v>0.19</v>
      </c>
      <c r="S14" s="4">
        <v>0.91</v>
      </c>
      <c r="T14" s="39">
        <v>1</v>
      </c>
      <c r="U14" s="4">
        <f t="shared" si="0"/>
        <v>0.91</v>
      </c>
    </row>
    <row r="15" spans="1:21" x14ac:dyDescent="0.25">
      <c r="I15" s="4" t="s">
        <v>367</v>
      </c>
      <c r="J15" s="4">
        <v>0.15</v>
      </c>
      <c r="M15" s="4">
        <v>14</v>
      </c>
      <c r="N15" s="4" t="s">
        <v>314</v>
      </c>
      <c r="O15" s="4">
        <v>1.9E-2</v>
      </c>
      <c r="P15" s="4">
        <v>1.4E-2</v>
      </c>
      <c r="Q15" s="4">
        <v>0.4</v>
      </c>
      <c r="R15" s="4">
        <v>0.2</v>
      </c>
      <c r="S15" s="4">
        <v>0.22</v>
      </c>
      <c r="T15" s="39">
        <v>1</v>
      </c>
      <c r="U15" s="4">
        <f t="shared" si="0"/>
        <v>0.22</v>
      </c>
    </row>
    <row r="16" spans="1:21" x14ac:dyDescent="0.25">
      <c r="I16" s="4" t="s">
        <v>368</v>
      </c>
      <c r="J16" s="4">
        <v>0.11</v>
      </c>
      <c r="M16" s="4">
        <v>15</v>
      </c>
      <c r="N16" s="4" t="s">
        <v>315</v>
      </c>
      <c r="O16" s="4">
        <v>1.6E-2</v>
      </c>
      <c r="P16" s="172">
        <f>P2</f>
        <v>8.9999999999999993E-3</v>
      </c>
      <c r="Q16" s="4">
        <v>1</v>
      </c>
      <c r="R16" s="172">
        <f>R2</f>
        <v>0.22</v>
      </c>
      <c r="S16" s="4">
        <v>0.94</v>
      </c>
      <c r="T16" s="39">
        <v>1</v>
      </c>
      <c r="U16" s="4">
        <f t="shared" si="0"/>
        <v>0.94</v>
      </c>
    </row>
    <row r="17" spans="9:21" x14ac:dyDescent="0.25">
      <c r="I17" s="4" t="s">
        <v>369</v>
      </c>
      <c r="J17" s="4">
        <v>0.08</v>
      </c>
      <c r="M17" s="4">
        <v>16</v>
      </c>
      <c r="N17" s="4" t="s">
        <v>316</v>
      </c>
      <c r="O17" s="4">
        <v>2.7E-2</v>
      </c>
      <c r="P17" s="4">
        <v>1.9E-2</v>
      </c>
      <c r="Q17" s="172">
        <f>Q$2</f>
        <v>1</v>
      </c>
      <c r="R17" s="4">
        <v>0.4</v>
      </c>
      <c r="S17" s="4">
        <v>0.9</v>
      </c>
      <c r="T17" s="39">
        <v>1</v>
      </c>
      <c r="U17" s="4">
        <f t="shared" si="0"/>
        <v>0.9</v>
      </c>
    </row>
    <row r="18" spans="9:21" x14ac:dyDescent="0.25">
      <c r="I18" s="4" t="s">
        <v>370</v>
      </c>
      <c r="J18" s="4">
        <v>0.11</v>
      </c>
      <c r="M18" s="4">
        <v>17</v>
      </c>
      <c r="N18" s="4" t="s">
        <v>317</v>
      </c>
      <c r="O18" s="4">
        <v>1.4999999999999999E-2</v>
      </c>
      <c r="P18" s="4">
        <v>1.2E-2</v>
      </c>
      <c r="Q18" s="172">
        <f>Q$2</f>
        <v>1</v>
      </c>
      <c r="R18" s="4">
        <v>0.54</v>
      </c>
      <c r="S18" s="4">
        <v>0.9</v>
      </c>
      <c r="T18" s="39"/>
      <c r="U18" s="4">
        <f t="shared" si="0"/>
        <v>0.9</v>
      </c>
    </row>
    <row r="19" spans="9:21" x14ac:dyDescent="0.25">
      <c r="I19" s="4" t="s">
        <v>371</v>
      </c>
      <c r="J19" s="4">
        <v>0.05</v>
      </c>
      <c r="M19" s="4">
        <v>18</v>
      </c>
      <c r="N19" s="4" t="s">
        <v>318</v>
      </c>
      <c r="O19" s="4">
        <v>2.7E-2</v>
      </c>
      <c r="P19" s="4">
        <v>2.1999999999999999E-2</v>
      </c>
      <c r="Q19" s="4">
        <v>0.3</v>
      </c>
      <c r="R19" s="4">
        <v>0.4</v>
      </c>
      <c r="S19" s="4">
        <v>0.9</v>
      </c>
      <c r="T19" s="39"/>
      <c r="U19" s="4">
        <f t="shared" si="0"/>
        <v>0.9</v>
      </c>
    </row>
    <row r="20" spans="9:21" x14ac:dyDescent="0.25">
      <c r="I20" s="4" t="s">
        <v>372</v>
      </c>
      <c r="J20" s="4">
        <v>0.08</v>
      </c>
      <c r="M20" s="4">
        <v>19</v>
      </c>
      <c r="N20" s="4" t="s">
        <v>319</v>
      </c>
      <c r="O20" s="4">
        <v>1.4999999999999999E-2</v>
      </c>
      <c r="P20" s="4">
        <v>1.2E-2</v>
      </c>
      <c r="Q20" s="4">
        <v>0.3</v>
      </c>
      <c r="R20" s="4">
        <v>0.54</v>
      </c>
      <c r="S20" s="4">
        <v>0.9</v>
      </c>
      <c r="T20" s="39"/>
      <c r="U20" s="4">
        <f t="shared" si="0"/>
        <v>0.9</v>
      </c>
    </row>
    <row r="21" spans="9:21" x14ac:dyDescent="0.25">
      <c r="I21" s="4" t="s">
        <v>373</v>
      </c>
      <c r="J21" s="4">
        <v>0.05</v>
      </c>
      <c r="M21" s="4">
        <v>20</v>
      </c>
      <c r="N21" s="4" t="s">
        <v>320</v>
      </c>
      <c r="O21" s="4">
        <v>1.4999999999999999E-2</v>
      </c>
      <c r="P21" s="4">
        <v>1.2E-2</v>
      </c>
      <c r="Q21" s="4">
        <v>0.3</v>
      </c>
      <c r="R21" s="4">
        <v>0.8</v>
      </c>
      <c r="S21" s="4">
        <v>0.9</v>
      </c>
      <c r="T21" s="39"/>
      <c r="U21" s="4">
        <f t="shared" si="0"/>
        <v>0.9</v>
      </c>
    </row>
    <row r="22" spans="9:21" x14ac:dyDescent="0.25">
      <c r="I22" s="4" t="s">
        <v>374</v>
      </c>
      <c r="J22" s="4">
        <v>0.11</v>
      </c>
      <c r="M22" s="4">
        <v>21</v>
      </c>
      <c r="N22" s="4" t="s">
        <v>321</v>
      </c>
      <c r="O22" s="4">
        <v>2.5000000000000001E-2</v>
      </c>
      <c r="P22" s="4">
        <v>1.6E-2</v>
      </c>
      <c r="Q22" s="4">
        <v>0.3</v>
      </c>
      <c r="R22" s="4">
        <v>0.8</v>
      </c>
      <c r="S22" s="4">
        <v>0.9</v>
      </c>
      <c r="T22" s="39"/>
      <c r="U22" s="4">
        <f t="shared" si="0"/>
        <v>0.9</v>
      </c>
    </row>
    <row r="23" spans="9:21" x14ac:dyDescent="0.25">
      <c r="I23" s="4" t="s">
        <v>375</v>
      </c>
      <c r="J23" s="4">
        <v>0.08</v>
      </c>
    </row>
    <row r="24" spans="9:21" x14ac:dyDescent="0.25">
      <c r="I24" s="4" t="s">
        <v>376</v>
      </c>
      <c r="J24" s="4">
        <v>0.01</v>
      </c>
    </row>
    <row r="25" spans="9:21" x14ac:dyDescent="0.25">
      <c r="I25" s="4" t="s">
        <v>377</v>
      </c>
      <c r="J25" s="4">
        <v>0.15</v>
      </c>
    </row>
    <row r="26" spans="9:21" x14ac:dyDescent="0.25">
      <c r="I26" s="4" t="s">
        <v>378</v>
      </c>
      <c r="J26" s="4">
        <v>0.05</v>
      </c>
    </row>
    <row r="27" spans="9:21" x14ac:dyDescent="0.25">
      <c r="I27" s="4" t="s">
        <v>379</v>
      </c>
      <c r="J27" s="4">
        <v>0.05</v>
      </c>
    </row>
    <row r="28" spans="9:21" x14ac:dyDescent="0.25">
      <c r="I28" s="187" t="s">
        <v>119</v>
      </c>
      <c r="J28" s="187">
        <v>0.05</v>
      </c>
    </row>
    <row r="29" spans="9:21" x14ac:dyDescent="0.25">
      <c r="I29" s="187" t="s">
        <v>129</v>
      </c>
      <c r="J29" s="187">
        <v>0.15</v>
      </c>
    </row>
    <row r="30" spans="9:21" x14ac:dyDescent="0.25">
      <c r="I30" s="187" t="s">
        <v>294</v>
      </c>
      <c r="J30" s="187">
        <v>0.21</v>
      </c>
    </row>
    <row r="31" spans="9:21" x14ac:dyDescent="0.25">
      <c r="I31" s="4" t="s">
        <v>380</v>
      </c>
      <c r="J31" s="4">
        <v>0.08</v>
      </c>
    </row>
    <row r="32" spans="9:21" x14ac:dyDescent="0.25">
      <c r="I32" s="4" t="s">
        <v>381</v>
      </c>
      <c r="J32" s="4">
        <v>0.05</v>
      </c>
    </row>
    <row r="33" spans="9:10" x14ac:dyDescent="0.25">
      <c r="I33" s="4" t="s">
        <v>382</v>
      </c>
      <c r="J33" s="4">
        <v>0.08</v>
      </c>
    </row>
    <row r="34" spans="9:10" x14ac:dyDescent="0.25">
      <c r="I34" s="4" t="s">
        <v>383</v>
      </c>
      <c r="J34" s="4">
        <v>0.15</v>
      </c>
    </row>
    <row r="35" spans="9:10" x14ac:dyDescent="0.25">
      <c r="I35" s="4" t="s">
        <v>384</v>
      </c>
      <c r="J35" s="4">
        <v>0.21</v>
      </c>
    </row>
    <row r="36" spans="9:10" x14ac:dyDescent="0.25">
      <c r="I36" s="4" t="s">
        <v>385</v>
      </c>
      <c r="J36" s="4">
        <v>0.11</v>
      </c>
    </row>
    <row r="37" spans="9:10" x14ac:dyDescent="0.25">
      <c r="I37" s="4" t="s">
        <v>386</v>
      </c>
      <c r="J37" s="4">
        <v>0.11</v>
      </c>
    </row>
    <row r="38" spans="9:10" x14ac:dyDescent="0.25">
      <c r="I38" s="4" t="s">
        <v>387</v>
      </c>
      <c r="J38" s="4">
        <v>0.11</v>
      </c>
    </row>
    <row r="39" spans="9:10" x14ac:dyDescent="0.25">
      <c r="I39" s="4" t="s">
        <v>388</v>
      </c>
      <c r="J39" s="141">
        <v>0.05</v>
      </c>
    </row>
    <row r="40" spans="9:10" x14ac:dyDescent="0.25">
      <c r="I40" s="4" t="s">
        <v>389</v>
      </c>
      <c r="J40" s="4">
        <v>0.05</v>
      </c>
    </row>
    <row r="41" spans="9:10" x14ac:dyDescent="0.25">
      <c r="I41" s="4" t="s">
        <v>390</v>
      </c>
      <c r="J41" s="4">
        <v>0.08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18" style="4" customWidth="1"/>
    <col min="2" max="16384" width="9.140625" style="4"/>
  </cols>
  <sheetData>
    <row r="1" spans="1:6" x14ac:dyDescent="0.25">
      <c r="A1" s="4" t="s">
        <v>299</v>
      </c>
      <c r="B1" s="4" t="s">
        <v>391</v>
      </c>
      <c r="E1" s="5"/>
    </row>
    <row r="2" spans="1:6" x14ac:dyDescent="0.25">
      <c r="A2" s="173" t="s">
        <v>392</v>
      </c>
      <c r="B2" s="4">
        <v>12</v>
      </c>
      <c r="C2" s="144"/>
      <c r="D2" s="39"/>
      <c r="E2" s="144"/>
    </row>
    <row r="3" spans="1:6" x14ac:dyDescent="0.25">
      <c r="A3" s="167" t="s">
        <v>393</v>
      </c>
      <c r="B3" s="4">
        <v>12</v>
      </c>
      <c r="C3" s="144"/>
      <c r="E3" s="144"/>
    </row>
    <row r="4" spans="1:6" x14ac:dyDescent="0.25">
      <c r="A4" s="167" t="s">
        <v>394</v>
      </c>
      <c r="B4" s="4">
        <v>5</v>
      </c>
      <c r="E4" s="144"/>
    </row>
    <row r="5" spans="1:6" x14ac:dyDescent="0.25">
      <c r="A5" s="167" t="s">
        <v>395</v>
      </c>
      <c r="B5" s="4">
        <v>5</v>
      </c>
      <c r="E5" s="138"/>
    </row>
    <row r="6" spans="1:6" x14ac:dyDescent="0.25">
      <c r="A6" s="167" t="s">
        <v>396</v>
      </c>
      <c r="B6" s="4">
        <v>6</v>
      </c>
      <c r="E6" s="144"/>
    </row>
    <row r="7" spans="1:6" x14ac:dyDescent="0.25">
      <c r="A7" s="167" t="s">
        <v>397</v>
      </c>
      <c r="B7" s="4">
        <v>1</v>
      </c>
      <c r="E7" s="144"/>
      <c r="F7" s="146"/>
    </row>
    <row r="8" spans="1:6" x14ac:dyDescent="0.25">
      <c r="A8" s="167" t="s">
        <v>115</v>
      </c>
      <c r="B8" s="4">
        <v>3</v>
      </c>
      <c r="E8" s="144"/>
      <c r="F8" s="146"/>
    </row>
    <row r="9" spans="1:6" x14ac:dyDescent="0.25">
      <c r="A9" s="174" t="s">
        <v>398</v>
      </c>
      <c r="B9" s="4">
        <v>13</v>
      </c>
      <c r="C9" s="144"/>
      <c r="E9" s="144"/>
    </row>
    <row r="10" spans="1:6" x14ac:dyDescent="0.25">
      <c r="A10" s="5" t="s">
        <v>307</v>
      </c>
      <c r="B10" s="4">
        <v>7</v>
      </c>
      <c r="C10" s="144"/>
      <c r="E10" s="144"/>
    </row>
    <row r="11" spans="1:6" x14ac:dyDescent="0.25">
      <c r="A11" s="167" t="s">
        <v>399</v>
      </c>
      <c r="B11" s="4">
        <v>1</v>
      </c>
      <c r="E11" s="144"/>
    </row>
    <row r="12" spans="1:6" x14ac:dyDescent="0.25">
      <c r="A12" s="35" t="s">
        <v>400</v>
      </c>
      <c r="B12" s="4">
        <v>12</v>
      </c>
      <c r="E12" s="144"/>
    </row>
    <row r="13" spans="1:6" x14ac:dyDescent="0.25">
      <c r="A13" s="167" t="s">
        <v>401</v>
      </c>
      <c r="B13" s="4">
        <v>12</v>
      </c>
      <c r="E13" s="144"/>
    </row>
    <row r="14" spans="1:6" x14ac:dyDescent="0.25">
      <c r="A14" s="39" t="s">
        <v>402</v>
      </c>
      <c r="B14" s="4">
        <v>13</v>
      </c>
      <c r="E14" s="144"/>
    </row>
    <row r="15" spans="1:6" x14ac:dyDescent="0.25">
      <c r="A15" s="39" t="s">
        <v>403</v>
      </c>
      <c r="B15" s="4">
        <v>7</v>
      </c>
      <c r="E15" s="144"/>
    </row>
    <row r="16" spans="1:6" x14ac:dyDescent="0.25">
      <c r="A16" s="4" t="s">
        <v>404</v>
      </c>
      <c r="B16" s="4">
        <v>12</v>
      </c>
      <c r="E16" s="144"/>
    </row>
    <row r="17" spans="1:5" x14ac:dyDescent="0.25">
      <c r="A17" s="4" t="s">
        <v>274</v>
      </c>
      <c r="B17" s="4">
        <v>2</v>
      </c>
      <c r="E17" s="144"/>
    </row>
    <row r="18" spans="1:5" x14ac:dyDescent="0.25">
      <c r="A18" s="4" t="s">
        <v>305</v>
      </c>
      <c r="B18" s="4">
        <v>5</v>
      </c>
    </row>
    <row r="19" spans="1:5" x14ac:dyDescent="0.25">
      <c r="A19" s="4" t="s">
        <v>405</v>
      </c>
      <c r="B19" s="4">
        <v>3</v>
      </c>
    </row>
    <row r="20" spans="1:5" x14ac:dyDescent="0.25">
      <c r="A20" s="4" t="s">
        <v>406</v>
      </c>
      <c r="B20" s="4">
        <v>14</v>
      </c>
    </row>
    <row r="21" spans="1:5" x14ac:dyDescent="0.25">
      <c r="A21" s="4" t="s">
        <v>407</v>
      </c>
      <c r="B21" s="4">
        <v>1</v>
      </c>
    </row>
    <row r="22" spans="1:5" x14ac:dyDescent="0.25">
      <c r="A22" s="4" t="s">
        <v>266</v>
      </c>
      <c r="B22" s="4">
        <v>3</v>
      </c>
    </row>
    <row r="23" spans="1:5" x14ac:dyDescent="0.25">
      <c r="A23" s="4" t="s">
        <v>258</v>
      </c>
      <c r="B23" s="4">
        <v>1</v>
      </c>
    </row>
    <row r="24" spans="1:5" x14ac:dyDescent="0.25">
      <c r="A24" s="4" t="s">
        <v>272</v>
      </c>
      <c r="B24" s="4">
        <v>5</v>
      </c>
    </row>
    <row r="25" spans="1:5" x14ac:dyDescent="0.25">
      <c r="A25" s="4" t="s">
        <v>257</v>
      </c>
      <c r="B25" s="4">
        <v>2</v>
      </c>
    </row>
    <row r="26" spans="1:5" x14ac:dyDescent="0.25">
      <c r="A26" s="4" t="s">
        <v>260</v>
      </c>
      <c r="B26" s="4">
        <v>12</v>
      </c>
    </row>
    <row r="27" spans="1:5" x14ac:dyDescent="0.25">
      <c r="A27" s="35" t="s">
        <v>408</v>
      </c>
      <c r="B27" s="4">
        <v>6</v>
      </c>
    </row>
    <row r="28" spans="1:5" x14ac:dyDescent="0.25">
      <c r="A28" s="35" t="s">
        <v>409</v>
      </c>
      <c r="B28" s="4">
        <v>5</v>
      </c>
    </row>
    <row r="29" spans="1:5" x14ac:dyDescent="0.25">
      <c r="A29" s="165" t="s">
        <v>134</v>
      </c>
      <c r="B29" s="4">
        <v>16</v>
      </c>
    </row>
    <row r="30" spans="1:5" x14ac:dyDescent="0.25">
      <c r="A30" s="165" t="s">
        <v>410</v>
      </c>
      <c r="B30" s="4">
        <v>20</v>
      </c>
    </row>
    <row r="31" spans="1:5" x14ac:dyDescent="0.25">
      <c r="A31" s="35" t="s">
        <v>411</v>
      </c>
      <c r="B31" s="4">
        <v>21</v>
      </c>
    </row>
    <row r="32" spans="1:5" x14ac:dyDescent="0.25">
      <c r="A32" s="4" t="s">
        <v>412</v>
      </c>
      <c r="B32" s="4">
        <v>12</v>
      </c>
    </row>
    <row r="33" spans="1:2" x14ac:dyDescent="0.25">
      <c r="A33" s="4" t="s">
        <v>413</v>
      </c>
      <c r="B33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0" sqref="B20"/>
    </sheetView>
  </sheetViews>
  <sheetFormatPr baseColWidth="10" defaultColWidth="11.42578125" defaultRowHeight="15" x14ac:dyDescent="0.25"/>
  <sheetData>
    <row r="1" spans="1:5" x14ac:dyDescent="0.25">
      <c r="A1" s="133" t="s">
        <v>228</v>
      </c>
      <c r="B1" s="5"/>
      <c r="C1" s="5"/>
      <c r="D1" s="5"/>
      <c r="E1" s="5"/>
    </row>
    <row r="2" spans="1:5" x14ac:dyDescent="0.25">
      <c r="A2" s="4" t="s">
        <v>229</v>
      </c>
      <c r="B2" s="4"/>
      <c r="C2" s="4"/>
      <c r="D2" s="4"/>
      <c r="E2" s="4"/>
    </row>
    <row r="3" spans="1:5" x14ac:dyDescent="0.25">
      <c r="A3" s="4" t="s">
        <v>230</v>
      </c>
      <c r="B3" s="4"/>
      <c r="C3" s="4"/>
      <c r="D3" s="4"/>
      <c r="E3" s="4"/>
    </row>
    <row r="4" spans="1:5" x14ac:dyDescent="0.25">
      <c r="A4" s="4"/>
      <c r="B4" s="4"/>
      <c r="C4" s="4"/>
      <c r="D4" s="4"/>
      <c r="E4" s="4"/>
    </row>
    <row r="5" spans="1:5" x14ac:dyDescent="0.25">
      <c r="A5" s="133" t="s">
        <v>231</v>
      </c>
      <c r="B5" s="5"/>
      <c r="C5" s="5"/>
      <c r="D5" s="5"/>
      <c r="E5" s="5"/>
    </row>
    <row r="6" spans="1:5" x14ac:dyDescent="0.25">
      <c r="A6" s="134" t="s">
        <v>232</v>
      </c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5" t="s">
        <v>233</v>
      </c>
      <c r="B8" s="5"/>
      <c r="C8" s="5"/>
      <c r="D8" s="5"/>
      <c r="E8" s="5"/>
    </row>
    <row r="9" spans="1:5" x14ac:dyDescent="0.25">
      <c r="A9" s="4" t="s">
        <v>234</v>
      </c>
      <c r="B9" s="4"/>
      <c r="C9" s="4"/>
      <c r="D9" s="4"/>
      <c r="E9" s="4"/>
    </row>
    <row r="10" spans="1:5" x14ac:dyDescent="0.25">
      <c r="A10" s="4" t="s">
        <v>235</v>
      </c>
      <c r="B10" s="135" t="s">
        <v>236</v>
      </c>
      <c r="C10" s="4"/>
      <c r="D10" s="4"/>
      <c r="E10" s="4"/>
    </row>
    <row r="11" spans="1:5" x14ac:dyDescent="0.25">
      <c r="A11" s="4"/>
      <c r="B11" s="136" t="s">
        <v>237</v>
      </c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 t="s">
        <v>238</v>
      </c>
      <c r="B13" s="4"/>
      <c r="C13" s="4"/>
      <c r="D13" s="4"/>
      <c r="E13" s="4"/>
    </row>
    <row r="14" spans="1:5" x14ac:dyDescent="0.25">
      <c r="A14" s="136" t="s">
        <v>235</v>
      </c>
      <c r="B14" s="135" t="s">
        <v>239</v>
      </c>
      <c r="C14" s="4"/>
      <c r="D14" s="4"/>
      <c r="E14" s="4"/>
    </row>
    <row r="15" spans="1:5" x14ac:dyDescent="0.25">
      <c r="A15" s="136"/>
      <c r="B15" s="135" t="s">
        <v>240</v>
      </c>
      <c r="C15" s="4"/>
      <c r="D15" s="4"/>
      <c r="E15" s="4"/>
    </row>
    <row r="16" spans="1:5" x14ac:dyDescent="0.25">
      <c r="A16" s="4"/>
      <c r="B16" s="4" t="s">
        <v>241</v>
      </c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135" t="s">
        <v>242</v>
      </c>
      <c r="B18" s="4"/>
      <c r="C18" s="4"/>
      <c r="D18" s="4"/>
      <c r="E18" s="4"/>
    </row>
    <row r="19" spans="1:5" x14ac:dyDescent="0.25">
      <c r="A19" s="135"/>
      <c r="B19" s="135" t="s">
        <v>251</v>
      </c>
      <c r="C19" s="4"/>
      <c r="D19" s="4"/>
      <c r="E19" s="4"/>
    </row>
    <row r="20" spans="1:5" x14ac:dyDescent="0.25">
      <c r="A20" s="135"/>
      <c r="B20" s="135" t="s">
        <v>243</v>
      </c>
      <c r="C20" s="4"/>
      <c r="D20" s="4"/>
      <c r="E20" s="4"/>
    </row>
    <row r="21" spans="1:5" x14ac:dyDescent="0.25">
      <c r="A21" s="135"/>
      <c r="B21" s="135"/>
      <c r="C21" s="4"/>
      <c r="D21" s="4"/>
      <c r="E21" s="4"/>
    </row>
    <row r="22" spans="1:5" x14ac:dyDescent="0.25">
      <c r="A22" s="5" t="s">
        <v>244</v>
      </c>
      <c r="B22" s="5"/>
      <c r="C22" s="5"/>
      <c r="D22" s="5"/>
      <c r="E22" s="5"/>
    </row>
    <row r="23" spans="1:5" x14ac:dyDescent="0.25">
      <c r="A23" s="4" t="s">
        <v>235</v>
      </c>
      <c r="B23" s="4" t="s">
        <v>245</v>
      </c>
      <c r="C23" s="4"/>
      <c r="D23" s="4"/>
      <c r="E23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9"/>
  <sheetViews>
    <sheetView zoomScale="90" zoomScaleNormal="90" workbookViewId="0">
      <selection activeCell="F22" sqref="F22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4" spans="1:9" s="4" customFormat="1" x14ac:dyDescent="0.25"/>
    <row r="5" spans="1:9" ht="15" customHeight="1" x14ac:dyDescent="0.25">
      <c r="A5" s="198" t="s">
        <v>58</v>
      </c>
      <c r="B5" s="193" t="s">
        <v>57</v>
      </c>
      <c r="C5" s="197" t="s">
        <v>223</v>
      </c>
      <c r="D5" s="195"/>
      <c r="I5" s="26"/>
    </row>
    <row r="6" spans="1:9" s="4" customFormat="1" ht="18.75" customHeight="1" x14ac:dyDescent="0.25">
      <c r="A6" s="198"/>
      <c r="B6" s="193"/>
      <c r="C6" s="197"/>
      <c r="D6" s="195"/>
      <c r="E6" s="24"/>
      <c r="F6" s="24"/>
    </row>
    <row r="7" spans="1:9" s="4" customFormat="1" ht="18.75" customHeight="1" x14ac:dyDescent="0.25">
      <c r="A7" s="198"/>
      <c r="B7" s="193"/>
      <c r="C7" s="25" t="s">
        <v>224</v>
      </c>
      <c r="D7" s="24"/>
      <c r="E7" s="24"/>
      <c r="F7" s="24"/>
    </row>
    <row r="8" spans="1:9" s="4" customFormat="1" ht="18.75" customHeight="1" x14ac:dyDescent="0.25">
      <c r="A8" s="32"/>
      <c r="B8" s="31"/>
      <c r="C8" s="25"/>
      <c r="D8" s="24"/>
      <c r="E8" s="24"/>
      <c r="F8" s="24"/>
    </row>
    <row r="9" spans="1:9" s="4" customFormat="1" ht="18.75" customHeight="1" x14ac:dyDescent="0.25">
      <c r="A9" s="32" t="s">
        <v>59</v>
      </c>
      <c r="B9" s="199" t="s">
        <v>60</v>
      </c>
      <c r="C9" s="25" t="s">
        <v>225</v>
      </c>
      <c r="D9" s="24"/>
      <c r="E9" s="24"/>
      <c r="F9" s="24"/>
    </row>
    <row r="10" spans="1:9" x14ac:dyDescent="0.25">
      <c r="A10" s="4"/>
      <c r="B10" s="199"/>
      <c r="C10" s="4"/>
    </row>
    <row r="11" spans="1:9" s="4" customFormat="1" ht="15" customHeight="1" x14ac:dyDescent="0.25">
      <c r="A11" s="194" t="s">
        <v>0</v>
      </c>
      <c r="B11" s="193" t="s">
        <v>61</v>
      </c>
      <c r="C11" s="195" t="s">
        <v>226</v>
      </c>
    </row>
    <row r="12" spans="1:9" x14ac:dyDescent="0.25">
      <c r="A12" s="194"/>
      <c r="B12" s="193"/>
      <c r="C12" s="195"/>
    </row>
    <row r="13" spans="1:9" s="4" customFormat="1" x14ac:dyDescent="0.25">
      <c r="A13" s="5"/>
    </row>
    <row r="14" spans="1:9" x14ac:dyDescent="0.25">
      <c r="A14" s="6" t="s">
        <v>1</v>
      </c>
      <c r="B14" s="29" t="s">
        <v>78</v>
      </c>
      <c r="C14" s="4">
        <v>35</v>
      </c>
    </row>
    <row r="15" spans="1:9" x14ac:dyDescent="0.25">
      <c r="A15" s="5"/>
      <c r="B15" s="4"/>
      <c r="C15" s="4"/>
    </row>
    <row r="16" spans="1:9" s="4" customFormat="1" x14ac:dyDescent="0.25">
      <c r="A16" s="38" t="s">
        <v>72</v>
      </c>
      <c r="B16" s="4" t="s">
        <v>73</v>
      </c>
    </row>
    <row r="17" spans="1:14" x14ac:dyDescent="0.25">
      <c r="B17" s="1"/>
      <c r="C17" s="13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3" t="s">
        <v>62</v>
      </c>
      <c r="B18" s="33"/>
      <c r="C18" s="4"/>
      <c r="D18" s="3"/>
      <c r="E18" s="3"/>
      <c r="F18" s="3"/>
      <c r="G18" s="3"/>
      <c r="I18" s="3"/>
      <c r="J18" s="3"/>
      <c r="L18" s="3"/>
      <c r="M18" s="3"/>
      <c r="N18" s="3"/>
    </row>
    <row r="19" spans="1:14" s="4" customFormat="1" x14ac:dyDescent="0.25">
      <c r="A19" s="196" t="s">
        <v>65</v>
      </c>
    </row>
    <row r="20" spans="1:14" ht="15" customHeight="1" x14ac:dyDescent="0.25">
      <c r="A20" s="196"/>
      <c r="B20" s="30" t="s">
        <v>63</v>
      </c>
      <c r="C20" s="4" t="s">
        <v>227</v>
      </c>
    </row>
    <row r="21" spans="1:14" x14ac:dyDescent="0.25">
      <c r="A21" s="196"/>
      <c r="B21" s="4"/>
      <c r="C21" s="4"/>
    </row>
    <row r="22" spans="1:14" x14ac:dyDescent="0.25">
      <c r="C22" s="4"/>
    </row>
    <row r="23" spans="1:14" ht="30" x14ac:dyDescent="0.25">
      <c r="A23" s="27" t="s">
        <v>50</v>
      </c>
      <c r="B23" s="30" t="s">
        <v>79</v>
      </c>
      <c r="C23" s="131">
        <v>0.74</v>
      </c>
    </row>
    <row r="24" spans="1:14" x14ac:dyDescent="0.25">
      <c r="A24" s="5"/>
      <c r="B24" s="4"/>
      <c r="C24" s="4"/>
    </row>
    <row r="25" spans="1:14" ht="15" customHeight="1" x14ac:dyDescent="0.25">
      <c r="A25" s="192" t="s">
        <v>4</v>
      </c>
      <c r="B25" s="190" t="s">
        <v>64</v>
      </c>
      <c r="C25" s="191">
        <v>11</v>
      </c>
    </row>
    <row r="26" spans="1:14" s="4" customFormat="1" x14ac:dyDescent="0.25">
      <c r="A26" s="192"/>
      <c r="B26" s="190"/>
      <c r="C26" s="191"/>
    </row>
    <row r="27" spans="1:14" x14ac:dyDescent="0.25">
      <c r="A27" s="192"/>
      <c r="B27" s="190"/>
      <c r="C27" s="191"/>
    </row>
    <row r="28" spans="1:14" s="4" customFormat="1" x14ac:dyDescent="0.25">
      <c r="A28" s="5"/>
      <c r="B28" s="28"/>
      <c r="C28" s="130"/>
    </row>
    <row r="29" spans="1:14" ht="30" x14ac:dyDescent="0.25">
      <c r="A29" s="27" t="s">
        <v>51</v>
      </c>
      <c r="B29" s="4" t="s">
        <v>80</v>
      </c>
      <c r="C29" s="4">
        <v>1.5</v>
      </c>
    </row>
    <row r="30" spans="1:14" x14ac:dyDescent="0.25">
      <c r="A30" s="5"/>
      <c r="B30" s="4"/>
      <c r="C30" s="4"/>
    </row>
    <row r="31" spans="1:14" x14ac:dyDescent="0.25">
      <c r="A31" s="6" t="s">
        <v>52</v>
      </c>
      <c r="B31" s="4" t="s">
        <v>81</v>
      </c>
      <c r="C31" s="4">
        <v>30</v>
      </c>
    </row>
    <row r="32" spans="1:14" x14ac:dyDescent="0.25">
      <c r="A32" s="5"/>
      <c r="B32" s="4"/>
      <c r="C32" s="4"/>
    </row>
    <row r="33" spans="1:3" ht="30" x14ac:dyDescent="0.25">
      <c r="A33" s="27" t="s">
        <v>53</v>
      </c>
      <c r="B33" s="4" t="s">
        <v>82</v>
      </c>
      <c r="C33" s="4">
        <v>2</v>
      </c>
    </row>
    <row r="34" spans="1:3" x14ac:dyDescent="0.25">
      <c r="A34" s="27"/>
      <c r="B34" s="4"/>
      <c r="C34" s="4"/>
    </row>
    <row r="35" spans="1:3" ht="45" x14ac:dyDescent="0.25">
      <c r="A35" s="27" t="s">
        <v>54</v>
      </c>
      <c r="B35" s="3" t="s">
        <v>83</v>
      </c>
      <c r="C35" s="4">
        <v>180</v>
      </c>
    </row>
    <row r="36" spans="1:3" x14ac:dyDescent="0.25">
      <c r="A36" s="27"/>
      <c r="B36" s="4"/>
      <c r="C36" s="4"/>
    </row>
    <row r="37" spans="1:3" ht="30" x14ac:dyDescent="0.25">
      <c r="A37" s="27" t="s">
        <v>56</v>
      </c>
      <c r="B37" s="4" t="s">
        <v>84</v>
      </c>
      <c r="C37" s="4">
        <v>510</v>
      </c>
    </row>
    <row r="38" spans="1:3" x14ac:dyDescent="0.25">
      <c r="A38" s="27"/>
      <c r="B38" s="4"/>
      <c r="C38" s="4"/>
    </row>
    <row r="39" spans="1:3" ht="30" x14ac:dyDescent="0.25">
      <c r="A39" s="27" t="s">
        <v>55</v>
      </c>
      <c r="B39" s="39" t="s">
        <v>85</v>
      </c>
      <c r="C39" s="4">
        <v>220</v>
      </c>
    </row>
  </sheetData>
  <mergeCells count="12">
    <mergeCell ref="C5:C6"/>
    <mergeCell ref="D5:D6"/>
    <mergeCell ref="B5:B7"/>
    <mergeCell ref="A5:A7"/>
    <mergeCell ref="B9:B10"/>
    <mergeCell ref="B25:B27"/>
    <mergeCell ref="C25:C27"/>
    <mergeCell ref="A25:A27"/>
    <mergeCell ref="B11:B12"/>
    <mergeCell ref="A11:A12"/>
    <mergeCell ref="C11:C12"/>
    <mergeCell ref="A19:A21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M62"/>
  <sheetViews>
    <sheetView topLeftCell="A5" zoomScale="60" zoomScaleNormal="60" workbookViewId="0">
      <pane xSplit="3" topLeftCell="V1" activePane="topRight" state="frozen"/>
      <selection pane="topRight" activeCell="I22" sqref="I22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.7109375" style="7" customWidth="1"/>
    <col min="5" max="5" width="11.42578125" style="4"/>
    <col min="6" max="6" width="35" style="4" bestFit="1" customWidth="1"/>
    <col min="7" max="7" width="20.28515625" style="4" customWidth="1"/>
    <col min="8" max="8" width="11.42578125" style="4"/>
    <col min="9" max="9" width="25.85546875" style="4" bestFit="1" customWidth="1"/>
    <col min="10" max="10" width="28.140625" style="4" bestFit="1" customWidth="1"/>
    <col min="11" max="11" width="1.7109375" style="22" customWidth="1"/>
    <col min="12" max="12" width="8.5703125" style="4" bestFit="1" customWidth="1"/>
    <col min="13" max="13" width="35" style="4" bestFit="1" customWidth="1"/>
    <col min="14" max="15" width="9.28515625" style="4" customWidth="1"/>
    <col min="16" max="16" width="25.85546875" style="4" bestFit="1" customWidth="1"/>
    <col min="17" max="17" width="28.140625" style="4" bestFit="1" customWidth="1"/>
    <col min="18" max="18" width="1.7109375" style="22" customWidth="1"/>
    <col min="19" max="20" width="11.42578125" style="4"/>
    <col min="21" max="21" width="34.28515625" style="4" bestFit="1" customWidth="1"/>
    <col min="22" max="22" width="11.42578125" style="4"/>
    <col min="23" max="23" width="25.85546875" style="4" bestFit="1" customWidth="1"/>
    <col min="24" max="24" width="28.140625" style="4" bestFit="1" customWidth="1"/>
    <col min="25" max="25" width="1.7109375" style="7" customWidth="1"/>
    <col min="26" max="26" width="8.5703125" style="4" bestFit="1" customWidth="1"/>
    <col min="27" max="27" width="35" style="4" bestFit="1" customWidth="1"/>
    <col min="28" max="29" width="9.28515625" style="4" customWidth="1"/>
    <col min="30" max="30" width="25.85546875" style="4" bestFit="1" customWidth="1"/>
    <col min="31" max="31" width="28.140625" style="4" bestFit="1" customWidth="1"/>
    <col min="32" max="32" width="1.7109375" style="22" customWidth="1"/>
    <col min="33" max="34" width="11.42578125" style="4"/>
    <col min="35" max="35" width="34.28515625" style="4" bestFit="1" customWidth="1"/>
    <col min="36" max="36" width="11.42578125" style="4"/>
    <col min="37" max="37" width="25.85546875" style="4" bestFit="1" customWidth="1"/>
    <col min="38" max="38" width="28.140625" style="4" bestFit="1" customWidth="1"/>
    <col min="39" max="39" width="1.7109375" style="7" customWidth="1"/>
    <col min="40" max="16384" width="11.42578125" style="4"/>
  </cols>
  <sheetData>
    <row r="6" spans="1:39" ht="15.75" thickBot="1" x14ac:dyDescent="0.3">
      <c r="A6" s="9"/>
      <c r="B6" s="9"/>
      <c r="C6" s="9"/>
    </row>
    <row r="7" spans="1:39" ht="15.75" thickBot="1" x14ac:dyDescent="0.3">
      <c r="A7" s="20"/>
      <c r="B7" s="21" t="s">
        <v>37</v>
      </c>
      <c r="C7" s="21" t="s">
        <v>38</v>
      </c>
      <c r="D7" s="19"/>
      <c r="E7" s="285" t="s">
        <v>45</v>
      </c>
      <c r="F7" s="286"/>
      <c r="G7" s="286"/>
      <c r="H7" s="286"/>
      <c r="I7" s="286"/>
      <c r="J7" s="286"/>
      <c r="K7" s="64"/>
      <c r="L7" s="285" t="s">
        <v>46</v>
      </c>
      <c r="M7" s="286"/>
      <c r="N7" s="286"/>
      <c r="O7" s="286"/>
      <c r="P7" s="286"/>
      <c r="Q7" s="286"/>
      <c r="R7" s="64"/>
      <c r="S7" s="283" t="s">
        <v>47</v>
      </c>
      <c r="T7" s="284"/>
      <c r="U7" s="284"/>
      <c r="V7" s="284"/>
      <c r="W7" s="284"/>
      <c r="X7" s="284"/>
      <c r="Y7" s="65"/>
      <c r="Z7" s="285" t="s">
        <v>48</v>
      </c>
      <c r="AA7" s="286"/>
      <c r="AB7" s="286"/>
      <c r="AC7" s="286"/>
      <c r="AD7" s="286"/>
      <c r="AE7" s="286"/>
      <c r="AF7" s="64"/>
      <c r="AG7" s="285" t="s">
        <v>49</v>
      </c>
      <c r="AH7" s="286"/>
      <c r="AI7" s="286"/>
      <c r="AJ7" s="286"/>
      <c r="AK7" s="286"/>
      <c r="AL7" s="286"/>
      <c r="AM7" s="65"/>
    </row>
    <row r="8" spans="1:39" ht="15" customHeight="1" x14ac:dyDescent="0.25">
      <c r="A8" s="291" t="s">
        <v>36</v>
      </c>
      <c r="B8" s="294" t="s">
        <v>35</v>
      </c>
      <c r="C8" s="40" t="s">
        <v>2</v>
      </c>
      <c r="D8" s="8"/>
      <c r="E8" s="297" t="s">
        <v>115</v>
      </c>
      <c r="F8" s="298"/>
      <c r="G8" s="298"/>
      <c r="H8" s="298"/>
      <c r="I8" s="298"/>
      <c r="J8" s="298"/>
      <c r="K8" s="23"/>
      <c r="L8" s="297" t="s">
        <v>116</v>
      </c>
      <c r="M8" s="298"/>
      <c r="N8" s="298"/>
      <c r="O8" s="298"/>
      <c r="P8" s="298"/>
      <c r="Q8" s="298"/>
      <c r="R8" s="23"/>
      <c r="S8" s="297" t="s">
        <v>126</v>
      </c>
      <c r="T8" s="298"/>
      <c r="U8" s="298"/>
      <c r="V8" s="298"/>
      <c r="W8" s="298"/>
      <c r="X8" s="298"/>
      <c r="Z8" s="297" t="s">
        <v>126</v>
      </c>
      <c r="AA8" s="298"/>
      <c r="AB8" s="298"/>
      <c r="AC8" s="298"/>
      <c r="AD8" s="298"/>
      <c r="AE8" s="298"/>
      <c r="AF8" s="23"/>
      <c r="AG8" s="297" t="s">
        <v>126</v>
      </c>
      <c r="AH8" s="298"/>
      <c r="AI8" s="298"/>
      <c r="AJ8" s="298"/>
      <c r="AK8" s="298"/>
      <c r="AL8" s="298"/>
    </row>
    <row r="9" spans="1:39" x14ac:dyDescent="0.25">
      <c r="A9" s="292"/>
      <c r="B9" s="295"/>
      <c r="C9" s="66" t="s">
        <v>3</v>
      </c>
      <c r="D9" s="8"/>
      <c r="E9" s="299"/>
      <c r="F9" s="300"/>
      <c r="G9" s="300"/>
      <c r="H9" s="300"/>
      <c r="I9" s="300"/>
      <c r="J9" s="300"/>
      <c r="K9" s="23"/>
      <c r="L9" s="299"/>
      <c r="M9" s="300"/>
      <c r="N9" s="300"/>
      <c r="O9" s="300"/>
      <c r="P9" s="300"/>
      <c r="Q9" s="300"/>
      <c r="R9" s="23"/>
      <c r="S9" s="299" t="s">
        <v>215</v>
      </c>
      <c r="T9" s="300"/>
      <c r="U9" s="300"/>
      <c r="V9" s="300"/>
      <c r="W9" s="300"/>
      <c r="X9" s="300"/>
      <c r="Z9" s="299" t="s">
        <v>215</v>
      </c>
      <c r="AA9" s="300"/>
      <c r="AB9" s="300"/>
      <c r="AC9" s="300"/>
      <c r="AD9" s="300"/>
      <c r="AE9" s="300"/>
      <c r="AF9" s="23"/>
      <c r="AG9" s="299" t="s">
        <v>215</v>
      </c>
      <c r="AH9" s="300"/>
      <c r="AI9" s="300"/>
      <c r="AJ9" s="300"/>
      <c r="AK9" s="300"/>
      <c r="AL9" s="300"/>
    </row>
    <row r="10" spans="1:39" x14ac:dyDescent="0.25">
      <c r="A10" s="292"/>
      <c r="B10" s="295"/>
      <c r="C10" s="66" t="s">
        <v>106</v>
      </c>
      <c r="D10" s="8"/>
      <c r="E10" s="301"/>
      <c r="F10" s="301"/>
      <c r="G10" s="301"/>
      <c r="H10" s="301"/>
      <c r="I10" s="301"/>
      <c r="J10" s="301"/>
      <c r="K10" s="68"/>
      <c r="L10" s="301"/>
      <c r="M10" s="301"/>
      <c r="N10" s="301"/>
      <c r="O10" s="301"/>
      <c r="P10" s="301"/>
      <c r="Q10" s="301"/>
      <c r="R10" s="68"/>
      <c r="S10" s="301"/>
      <c r="T10" s="301"/>
      <c r="U10" s="301"/>
      <c r="V10" s="301"/>
      <c r="W10" s="301"/>
      <c r="X10" s="301"/>
      <c r="Y10" s="69"/>
      <c r="Z10" s="301"/>
      <c r="AA10" s="301"/>
      <c r="AB10" s="301"/>
      <c r="AC10" s="301"/>
      <c r="AD10" s="301"/>
      <c r="AE10" s="301"/>
      <c r="AF10" s="68"/>
      <c r="AG10" s="301"/>
      <c r="AH10" s="301"/>
      <c r="AI10" s="301"/>
      <c r="AJ10" s="301"/>
      <c r="AK10" s="301"/>
      <c r="AL10" s="301"/>
      <c r="AM10" s="69"/>
    </row>
    <row r="11" spans="1:39" ht="15.75" thickBot="1" x14ac:dyDescent="0.3">
      <c r="A11" s="293"/>
      <c r="B11" s="296"/>
      <c r="C11" s="67" t="s">
        <v>66</v>
      </c>
      <c r="D11" s="70"/>
      <c r="E11" s="302"/>
      <c r="F11" s="303"/>
      <c r="G11" s="303"/>
      <c r="H11" s="303"/>
      <c r="I11" s="303"/>
      <c r="J11" s="304"/>
      <c r="K11" s="71"/>
      <c r="L11" s="302"/>
      <c r="M11" s="303"/>
      <c r="N11" s="303"/>
      <c r="O11" s="303"/>
      <c r="P11" s="303"/>
      <c r="Q11" s="304"/>
      <c r="R11" s="71"/>
      <c r="S11" s="302"/>
      <c r="T11" s="303"/>
      <c r="U11" s="303"/>
      <c r="V11" s="303"/>
      <c r="W11" s="303"/>
      <c r="X11" s="304"/>
      <c r="Y11" s="72"/>
      <c r="Z11" s="302"/>
      <c r="AA11" s="303"/>
      <c r="AB11" s="303"/>
      <c r="AC11" s="303"/>
      <c r="AD11" s="303"/>
      <c r="AE11" s="304"/>
      <c r="AF11" s="71"/>
      <c r="AG11" s="302"/>
      <c r="AH11" s="303"/>
      <c r="AI11" s="303"/>
      <c r="AJ11" s="303"/>
      <c r="AK11" s="303"/>
      <c r="AL11" s="304"/>
      <c r="AM11" s="72"/>
    </row>
    <row r="12" spans="1:39" ht="15.75" thickBot="1" x14ac:dyDescent="0.3">
      <c r="A12" s="10"/>
      <c r="B12" s="12"/>
      <c r="C12" s="58"/>
      <c r="E12" s="216"/>
      <c r="F12" s="217"/>
      <c r="G12" s="217"/>
      <c r="H12" s="217"/>
      <c r="I12" s="217"/>
      <c r="J12" s="217"/>
      <c r="L12" s="216"/>
      <c r="M12" s="217"/>
      <c r="N12" s="217"/>
      <c r="O12" s="217"/>
      <c r="P12" s="217"/>
      <c r="Q12" s="217"/>
      <c r="S12" s="216"/>
      <c r="T12" s="217"/>
      <c r="U12" s="217"/>
      <c r="V12" s="217"/>
      <c r="W12" s="217"/>
      <c r="X12" s="217"/>
      <c r="Z12" s="216"/>
      <c r="AA12" s="217"/>
      <c r="AB12" s="217"/>
      <c r="AC12" s="217"/>
      <c r="AD12" s="217"/>
      <c r="AE12" s="217"/>
      <c r="AG12" s="216"/>
      <c r="AH12" s="217"/>
      <c r="AI12" s="217"/>
      <c r="AJ12" s="217"/>
      <c r="AK12" s="217"/>
      <c r="AL12" s="217"/>
    </row>
    <row r="13" spans="1:39" ht="15" customHeight="1" thickBot="1" x14ac:dyDescent="0.3">
      <c r="A13" s="287" t="s">
        <v>34</v>
      </c>
      <c r="B13" s="288" t="s">
        <v>100</v>
      </c>
      <c r="C13" s="56" t="s">
        <v>5</v>
      </c>
      <c r="E13" s="277" t="s">
        <v>137</v>
      </c>
      <c r="F13" s="278"/>
      <c r="G13" s="278"/>
      <c r="H13" s="278"/>
      <c r="I13" s="279"/>
      <c r="J13" s="90" t="s">
        <v>138</v>
      </c>
      <c r="L13" s="277" t="s">
        <v>137</v>
      </c>
      <c r="M13" s="278"/>
      <c r="N13" s="278"/>
      <c r="O13" s="278"/>
      <c r="P13" s="279"/>
      <c r="Q13" s="90" t="s">
        <v>171</v>
      </c>
      <c r="S13" s="277" t="s">
        <v>137</v>
      </c>
      <c r="T13" s="278"/>
      <c r="U13" s="278"/>
      <c r="V13" s="278"/>
      <c r="W13" s="279"/>
      <c r="X13" s="90" t="s">
        <v>196</v>
      </c>
      <c r="Z13" s="277" t="s">
        <v>137</v>
      </c>
      <c r="AA13" s="278"/>
      <c r="AB13" s="278"/>
      <c r="AC13" s="278"/>
      <c r="AD13" s="279"/>
      <c r="AE13" s="90" t="s">
        <v>196</v>
      </c>
      <c r="AG13" s="277" t="s">
        <v>137</v>
      </c>
      <c r="AH13" s="278"/>
      <c r="AI13" s="278"/>
      <c r="AJ13" s="278"/>
      <c r="AK13" s="279"/>
      <c r="AL13" s="90" t="s">
        <v>196</v>
      </c>
    </row>
    <row r="14" spans="1:39" x14ac:dyDescent="0.25">
      <c r="A14" s="287"/>
      <c r="B14" s="288"/>
      <c r="C14" s="13" t="s">
        <v>6</v>
      </c>
      <c r="E14" s="280" t="s">
        <v>139</v>
      </c>
      <c r="F14" s="281"/>
      <c r="G14" s="281"/>
      <c r="H14" s="281"/>
      <c r="I14" s="282"/>
      <c r="J14" s="189" t="s">
        <v>138</v>
      </c>
      <c r="L14" s="280" t="s">
        <v>139</v>
      </c>
      <c r="M14" s="281"/>
      <c r="N14" s="281"/>
      <c r="O14" s="281"/>
      <c r="P14" s="282"/>
      <c r="Q14" s="78" t="s">
        <v>172</v>
      </c>
      <c r="S14" s="280" t="s">
        <v>139</v>
      </c>
      <c r="T14" s="281"/>
      <c r="U14" s="281"/>
      <c r="V14" s="281"/>
      <c r="W14" s="282"/>
      <c r="X14" s="78" t="s">
        <v>195</v>
      </c>
      <c r="Z14" s="280" t="s">
        <v>139</v>
      </c>
      <c r="AA14" s="281"/>
      <c r="AB14" s="281"/>
      <c r="AC14" s="281"/>
      <c r="AD14" s="282"/>
      <c r="AE14" s="78" t="s">
        <v>195</v>
      </c>
      <c r="AG14" s="280" t="s">
        <v>139</v>
      </c>
      <c r="AH14" s="281"/>
      <c r="AI14" s="281"/>
      <c r="AJ14" s="281"/>
      <c r="AK14" s="282"/>
      <c r="AL14" s="78" t="s">
        <v>195</v>
      </c>
    </row>
    <row r="15" spans="1:39" ht="15.75" thickBot="1" x14ac:dyDescent="0.3">
      <c r="A15" s="287"/>
      <c r="B15" s="288"/>
      <c r="C15" s="57" t="s">
        <v>7</v>
      </c>
      <c r="E15" s="289"/>
      <c r="F15" s="290"/>
      <c r="G15" s="290"/>
      <c r="H15" s="290"/>
      <c r="I15" s="219"/>
      <c r="J15" s="89" t="s">
        <v>112</v>
      </c>
      <c r="L15" s="289"/>
      <c r="M15" s="290"/>
      <c r="N15" s="290"/>
      <c r="O15" s="290"/>
      <c r="P15" s="219"/>
      <c r="Q15" s="89" t="s">
        <v>112</v>
      </c>
      <c r="S15" s="289" t="s">
        <v>201</v>
      </c>
      <c r="T15" s="290"/>
      <c r="U15" s="290"/>
      <c r="V15" s="290"/>
      <c r="W15" s="219"/>
      <c r="X15" s="89" t="s">
        <v>198</v>
      </c>
      <c r="Z15" s="289" t="s">
        <v>201</v>
      </c>
      <c r="AA15" s="290"/>
      <c r="AB15" s="290"/>
      <c r="AC15" s="290"/>
      <c r="AD15" s="219"/>
      <c r="AE15" s="89" t="s">
        <v>198</v>
      </c>
      <c r="AG15" s="289" t="s">
        <v>201</v>
      </c>
      <c r="AH15" s="290"/>
      <c r="AI15" s="290"/>
      <c r="AJ15" s="290"/>
      <c r="AK15" s="219"/>
      <c r="AL15" s="89" t="s">
        <v>198</v>
      </c>
    </row>
    <row r="16" spans="1:39" ht="15.75" thickBot="1" x14ac:dyDescent="0.3">
      <c r="A16" s="11"/>
      <c r="B16" s="14"/>
      <c r="C16" s="14"/>
      <c r="E16" s="216"/>
      <c r="F16" s="217"/>
      <c r="G16" s="217"/>
      <c r="H16" s="217"/>
      <c r="I16" s="217"/>
      <c r="J16" s="217"/>
      <c r="L16" s="216"/>
      <c r="M16" s="217"/>
      <c r="N16" s="217"/>
      <c r="O16" s="217"/>
      <c r="P16" s="217"/>
      <c r="Q16" s="217"/>
      <c r="S16" s="216"/>
      <c r="T16" s="217"/>
      <c r="U16" s="217"/>
      <c r="V16" s="217"/>
      <c r="W16" s="217"/>
      <c r="X16" s="217"/>
      <c r="Z16" s="216"/>
      <c r="AA16" s="217"/>
      <c r="AB16" s="217"/>
      <c r="AC16" s="217"/>
      <c r="AD16" s="217"/>
      <c r="AE16" s="217"/>
      <c r="AG16" s="216"/>
      <c r="AH16" s="217"/>
      <c r="AI16" s="217"/>
      <c r="AJ16" s="217"/>
      <c r="AK16" s="217"/>
      <c r="AL16" s="217"/>
    </row>
    <row r="17" spans="1:38" x14ac:dyDescent="0.25">
      <c r="A17" s="271" t="s">
        <v>8</v>
      </c>
      <c r="B17" s="274" t="s">
        <v>101</v>
      </c>
      <c r="C17" s="54" t="s">
        <v>67</v>
      </c>
      <c r="E17" s="267"/>
      <c r="F17" s="268"/>
      <c r="G17" s="268"/>
      <c r="H17" s="268"/>
      <c r="I17" s="268"/>
      <c r="J17" s="268"/>
      <c r="L17" s="267"/>
      <c r="M17" s="268"/>
      <c r="N17" s="268"/>
      <c r="O17" s="268"/>
      <c r="P17" s="268"/>
      <c r="Q17" s="268"/>
      <c r="S17" s="267"/>
      <c r="T17" s="268"/>
      <c r="U17" s="268"/>
      <c r="V17" s="268"/>
      <c r="W17" s="268"/>
      <c r="X17" s="268"/>
      <c r="Z17" s="267"/>
      <c r="AA17" s="268"/>
      <c r="AB17" s="268"/>
      <c r="AC17" s="268"/>
      <c r="AD17" s="268"/>
      <c r="AE17" s="268"/>
      <c r="AG17" s="267"/>
      <c r="AH17" s="268"/>
      <c r="AI17" s="268"/>
      <c r="AJ17" s="268"/>
      <c r="AK17" s="268"/>
      <c r="AL17" s="268"/>
    </row>
    <row r="18" spans="1:38" x14ac:dyDescent="0.25">
      <c r="A18" s="272"/>
      <c r="B18" s="275"/>
      <c r="C18" s="15" t="s">
        <v>77</v>
      </c>
      <c r="E18" s="269">
        <v>160</v>
      </c>
      <c r="F18" s="270"/>
      <c r="G18" s="270"/>
      <c r="H18" s="270"/>
      <c r="I18" s="270"/>
      <c r="J18" s="270"/>
      <c r="L18" s="269">
        <v>70</v>
      </c>
      <c r="M18" s="270"/>
      <c r="N18" s="270"/>
      <c r="O18" s="270"/>
      <c r="P18" s="270"/>
      <c r="Q18" s="270"/>
      <c r="S18" s="269" t="s">
        <v>194</v>
      </c>
      <c r="T18" s="270"/>
      <c r="U18" s="270"/>
      <c r="V18" s="270"/>
      <c r="W18" s="270"/>
      <c r="X18" s="270"/>
      <c r="Z18" s="269" t="s">
        <v>194</v>
      </c>
      <c r="AA18" s="270"/>
      <c r="AB18" s="270"/>
      <c r="AC18" s="270"/>
      <c r="AD18" s="270"/>
      <c r="AE18" s="270"/>
      <c r="AG18" s="269" t="s">
        <v>194</v>
      </c>
      <c r="AH18" s="270"/>
      <c r="AI18" s="270"/>
      <c r="AJ18" s="270"/>
      <c r="AK18" s="270"/>
      <c r="AL18" s="270"/>
    </row>
    <row r="19" spans="1:38" ht="15.75" thickBot="1" x14ac:dyDescent="0.3">
      <c r="A19" s="273"/>
      <c r="B19" s="276"/>
      <c r="C19" s="55" t="s">
        <v>10</v>
      </c>
      <c r="E19" s="264" t="s">
        <v>141</v>
      </c>
      <c r="F19" s="238"/>
      <c r="G19" s="238"/>
      <c r="H19" s="238"/>
      <c r="I19" s="239"/>
      <c r="J19" s="79" t="s">
        <v>142</v>
      </c>
      <c r="L19" s="264" t="s">
        <v>141</v>
      </c>
      <c r="M19" s="238"/>
      <c r="N19" s="238"/>
      <c r="O19" s="238"/>
      <c r="P19" s="239"/>
      <c r="Q19" s="79" t="s">
        <v>173</v>
      </c>
      <c r="S19" s="264" t="s">
        <v>199</v>
      </c>
      <c r="T19" s="238"/>
      <c r="U19" s="238"/>
      <c r="V19" s="238"/>
      <c r="W19" s="239"/>
      <c r="X19" s="79" t="s">
        <v>200</v>
      </c>
      <c r="Z19" s="264" t="s">
        <v>199</v>
      </c>
      <c r="AA19" s="238"/>
      <c r="AB19" s="238"/>
      <c r="AC19" s="238"/>
      <c r="AD19" s="239"/>
      <c r="AE19" s="79" t="s">
        <v>200</v>
      </c>
      <c r="AG19" s="264" t="s">
        <v>199</v>
      </c>
      <c r="AH19" s="238"/>
      <c r="AI19" s="238"/>
      <c r="AJ19" s="238"/>
      <c r="AK19" s="239"/>
      <c r="AL19" s="79" t="s">
        <v>200</v>
      </c>
    </row>
    <row r="20" spans="1:38" ht="15.75" thickBot="1" x14ac:dyDescent="0.3">
      <c r="A20" s="11"/>
      <c r="B20" s="14"/>
      <c r="C20" s="14"/>
      <c r="E20" s="265"/>
      <c r="F20" s="266"/>
      <c r="G20" s="266"/>
      <c r="H20" s="266"/>
      <c r="I20" s="266"/>
      <c r="J20" s="266"/>
      <c r="L20" s="265"/>
      <c r="M20" s="266"/>
      <c r="N20" s="266"/>
      <c r="O20" s="266"/>
      <c r="P20" s="266"/>
      <c r="Q20" s="266"/>
      <c r="S20" s="265"/>
      <c r="T20" s="266"/>
      <c r="U20" s="266"/>
      <c r="V20" s="266"/>
      <c r="W20" s="266"/>
      <c r="X20" s="266"/>
      <c r="Z20" s="265"/>
      <c r="AA20" s="266"/>
      <c r="AB20" s="266"/>
      <c r="AC20" s="266"/>
      <c r="AD20" s="266"/>
      <c r="AE20" s="266"/>
      <c r="AG20" s="265"/>
      <c r="AH20" s="266"/>
      <c r="AI20" s="266"/>
      <c r="AJ20" s="266"/>
      <c r="AK20" s="266"/>
      <c r="AL20" s="266"/>
    </row>
    <row r="21" spans="1:38" ht="15.75" thickBot="1" x14ac:dyDescent="0.3">
      <c r="A21" s="261" t="s">
        <v>11</v>
      </c>
      <c r="B21" s="257" t="s">
        <v>102</v>
      </c>
      <c r="C21" s="49" t="s">
        <v>92</v>
      </c>
      <c r="E21" s="91" t="s">
        <v>30</v>
      </c>
      <c r="F21" s="92" t="s">
        <v>71</v>
      </c>
      <c r="G21" s="92" t="s">
        <v>18</v>
      </c>
      <c r="H21" s="92" t="s">
        <v>113</v>
      </c>
      <c r="I21" s="93" t="s">
        <v>98</v>
      </c>
      <c r="J21" s="93" t="s">
        <v>21</v>
      </c>
      <c r="L21" s="91" t="s">
        <v>30</v>
      </c>
      <c r="M21" s="92" t="s">
        <v>71</v>
      </c>
      <c r="N21" s="92" t="s">
        <v>18</v>
      </c>
      <c r="O21" s="92" t="s">
        <v>113</v>
      </c>
      <c r="P21" s="93" t="s">
        <v>98</v>
      </c>
      <c r="Q21" s="93" t="s">
        <v>21</v>
      </c>
      <c r="S21" s="91" t="s">
        <v>30</v>
      </c>
      <c r="T21" s="92" t="s">
        <v>71</v>
      </c>
      <c r="U21" s="92" t="s">
        <v>18</v>
      </c>
      <c r="V21" s="92" t="s">
        <v>113</v>
      </c>
      <c r="W21" s="93" t="s">
        <v>98</v>
      </c>
      <c r="X21" s="93" t="s">
        <v>21</v>
      </c>
      <c r="Z21" s="91" t="s">
        <v>30</v>
      </c>
      <c r="AA21" s="92" t="s">
        <v>71</v>
      </c>
      <c r="AB21" s="92" t="s">
        <v>18</v>
      </c>
      <c r="AC21" s="92" t="s">
        <v>113</v>
      </c>
      <c r="AD21" s="93" t="s">
        <v>98</v>
      </c>
      <c r="AE21" s="93" t="s">
        <v>21</v>
      </c>
      <c r="AG21" s="91" t="s">
        <v>30</v>
      </c>
      <c r="AH21" s="92" t="s">
        <v>71</v>
      </c>
      <c r="AI21" s="92" t="s">
        <v>18</v>
      </c>
      <c r="AJ21" s="92" t="s">
        <v>113</v>
      </c>
      <c r="AK21" s="93" t="s">
        <v>98</v>
      </c>
      <c r="AL21" s="93" t="s">
        <v>21</v>
      </c>
    </row>
    <row r="22" spans="1:38" ht="15" customHeight="1" x14ac:dyDescent="0.25">
      <c r="A22" s="262"/>
      <c r="B22" s="258"/>
      <c r="C22" s="43" t="s">
        <v>12</v>
      </c>
      <c r="E22" s="51" t="s">
        <v>119</v>
      </c>
      <c r="F22" s="44" t="s">
        <v>120</v>
      </c>
      <c r="G22" s="80" t="s">
        <v>143</v>
      </c>
      <c r="H22" s="80" t="s">
        <v>122</v>
      </c>
      <c r="I22" s="75" t="s">
        <v>121</v>
      </c>
      <c r="J22" s="75"/>
      <c r="L22" s="51" t="s">
        <v>119</v>
      </c>
      <c r="M22" s="44" t="s">
        <v>120</v>
      </c>
      <c r="N22" s="80" t="s">
        <v>174</v>
      </c>
      <c r="O22" s="80" t="s">
        <v>117</v>
      </c>
      <c r="P22" s="75">
        <v>441</v>
      </c>
      <c r="Q22" s="75"/>
      <c r="S22" s="51" t="s">
        <v>129</v>
      </c>
      <c r="T22" s="44" t="s">
        <v>130</v>
      </c>
      <c r="U22" s="80"/>
      <c r="V22" s="80" t="s">
        <v>131</v>
      </c>
      <c r="W22" s="75">
        <v>170</v>
      </c>
      <c r="X22" s="75"/>
      <c r="Z22" s="51" t="s">
        <v>129</v>
      </c>
      <c r="AA22" s="44" t="s">
        <v>130</v>
      </c>
      <c r="AB22" s="80"/>
      <c r="AC22" s="80" t="s">
        <v>131</v>
      </c>
      <c r="AD22" s="75">
        <v>170</v>
      </c>
      <c r="AE22" s="75"/>
      <c r="AG22" s="51" t="s">
        <v>129</v>
      </c>
      <c r="AH22" s="44" t="s">
        <v>130</v>
      </c>
      <c r="AI22" s="80"/>
      <c r="AJ22" s="80" t="s">
        <v>131</v>
      </c>
      <c r="AK22" s="75">
        <v>170</v>
      </c>
      <c r="AL22" s="75"/>
    </row>
    <row r="23" spans="1:38" x14ac:dyDescent="0.25">
      <c r="A23" s="262"/>
      <c r="B23" s="258"/>
      <c r="C23" s="16" t="s">
        <v>13</v>
      </c>
      <c r="E23" s="81" t="s">
        <v>76</v>
      </c>
      <c r="F23" s="98" t="s">
        <v>124</v>
      </c>
      <c r="G23" s="81" t="s">
        <v>144</v>
      </c>
      <c r="H23" s="81" t="s">
        <v>145</v>
      </c>
      <c r="I23" s="111">
        <v>102</v>
      </c>
      <c r="J23" s="111"/>
      <c r="L23" s="81" t="s">
        <v>76</v>
      </c>
      <c r="M23" s="98" t="s">
        <v>124</v>
      </c>
      <c r="N23" s="81" t="s">
        <v>144</v>
      </c>
      <c r="O23" s="81" t="s">
        <v>175</v>
      </c>
      <c r="P23" s="126">
        <v>116</v>
      </c>
      <c r="Q23" s="126"/>
      <c r="S23" s="81" t="s">
        <v>132</v>
      </c>
      <c r="T23" s="98" t="s">
        <v>466</v>
      </c>
      <c r="U23" s="81"/>
      <c r="V23" s="80" t="s">
        <v>131</v>
      </c>
      <c r="W23" s="101">
        <v>50</v>
      </c>
      <c r="X23" s="101"/>
      <c r="Z23" s="81" t="s">
        <v>132</v>
      </c>
      <c r="AA23" s="98" t="s">
        <v>466</v>
      </c>
      <c r="AB23" s="81"/>
      <c r="AC23" s="80" t="s">
        <v>131</v>
      </c>
      <c r="AD23" s="126">
        <v>50</v>
      </c>
      <c r="AE23" s="126"/>
      <c r="AG23" s="81" t="s">
        <v>132</v>
      </c>
      <c r="AH23" s="98" t="s">
        <v>466</v>
      </c>
      <c r="AI23" s="81"/>
      <c r="AJ23" s="80" t="s">
        <v>131</v>
      </c>
      <c r="AK23" s="126">
        <v>50</v>
      </c>
      <c r="AL23" s="126"/>
    </row>
    <row r="24" spans="1:38" x14ac:dyDescent="0.25">
      <c r="A24" s="262"/>
      <c r="B24" s="258"/>
      <c r="C24" s="16" t="s">
        <v>14</v>
      </c>
      <c r="E24" s="96" t="s">
        <v>75</v>
      </c>
      <c r="F24" s="97" t="s">
        <v>123</v>
      </c>
      <c r="G24" s="81" t="s">
        <v>144</v>
      </c>
      <c r="H24" s="81" t="s">
        <v>145</v>
      </c>
      <c r="I24" s="111">
        <v>85</v>
      </c>
      <c r="J24" s="111"/>
      <c r="L24" s="96" t="s">
        <v>75</v>
      </c>
      <c r="M24" s="97" t="s">
        <v>123</v>
      </c>
      <c r="N24" s="81" t="s">
        <v>144</v>
      </c>
      <c r="O24" s="81" t="s">
        <v>175</v>
      </c>
      <c r="P24" s="126">
        <v>98</v>
      </c>
      <c r="Q24" s="126"/>
      <c r="S24" s="96" t="s">
        <v>75</v>
      </c>
      <c r="T24" s="97" t="s">
        <v>123</v>
      </c>
      <c r="U24" s="81" t="s">
        <v>212</v>
      </c>
      <c r="V24" s="81" t="s">
        <v>213</v>
      </c>
      <c r="W24" s="101">
        <v>40</v>
      </c>
      <c r="X24" s="101"/>
      <c r="Z24" s="96" t="s">
        <v>75</v>
      </c>
      <c r="AA24" s="97" t="s">
        <v>123</v>
      </c>
      <c r="AB24" s="81" t="s">
        <v>212</v>
      </c>
      <c r="AC24" s="81" t="s">
        <v>213</v>
      </c>
      <c r="AD24" s="126">
        <v>40</v>
      </c>
      <c r="AE24" s="126"/>
      <c r="AG24" s="96" t="s">
        <v>75</v>
      </c>
      <c r="AH24" s="97" t="s">
        <v>123</v>
      </c>
      <c r="AI24" s="81" t="s">
        <v>212</v>
      </c>
      <c r="AJ24" s="81" t="s">
        <v>213</v>
      </c>
      <c r="AK24" s="126">
        <v>40</v>
      </c>
      <c r="AL24" s="126"/>
    </row>
    <row r="25" spans="1:38" x14ac:dyDescent="0.25">
      <c r="A25" s="262"/>
      <c r="B25" s="258"/>
      <c r="C25" s="16" t="s">
        <v>15</v>
      </c>
      <c r="E25" s="52"/>
      <c r="F25" s="111"/>
      <c r="G25" s="81"/>
      <c r="H25" s="81"/>
      <c r="I25" s="111"/>
      <c r="J25" s="111"/>
      <c r="L25" s="52"/>
      <c r="M25" s="126"/>
      <c r="N25" s="81"/>
      <c r="O25" s="81"/>
      <c r="P25" s="126"/>
      <c r="Q25" s="126"/>
      <c r="S25" s="52"/>
      <c r="T25" s="101"/>
      <c r="U25" s="81"/>
      <c r="V25" s="81"/>
      <c r="W25" s="101"/>
      <c r="X25" s="101"/>
      <c r="Z25" s="52"/>
      <c r="AA25" s="126"/>
      <c r="AB25" s="81"/>
      <c r="AC25" s="81"/>
      <c r="AD25" s="126"/>
      <c r="AE25" s="126"/>
      <c r="AG25" s="52"/>
      <c r="AH25" s="126"/>
      <c r="AI25" s="81"/>
      <c r="AJ25" s="81"/>
      <c r="AK25" s="126"/>
      <c r="AL25" s="126"/>
    </row>
    <row r="26" spans="1:38" x14ac:dyDescent="0.25">
      <c r="A26" s="262"/>
      <c r="B26" s="258"/>
      <c r="C26" s="16" t="s">
        <v>16</v>
      </c>
      <c r="E26" s="52" t="s">
        <v>465</v>
      </c>
      <c r="F26" s="95" t="s">
        <v>221</v>
      </c>
      <c r="G26" s="95" t="s">
        <v>144</v>
      </c>
      <c r="H26" s="81" t="s">
        <v>146</v>
      </c>
      <c r="I26" s="111">
        <v>100</v>
      </c>
      <c r="J26" s="111"/>
      <c r="L26" s="52" t="s">
        <v>465</v>
      </c>
      <c r="M26" s="95" t="s">
        <v>221</v>
      </c>
      <c r="N26" s="81" t="s">
        <v>144</v>
      </c>
      <c r="O26" s="81" t="s">
        <v>176</v>
      </c>
      <c r="P26" s="126">
        <v>100</v>
      </c>
      <c r="Q26" s="126"/>
      <c r="S26" s="52" t="s">
        <v>465</v>
      </c>
      <c r="T26" s="95" t="s">
        <v>221</v>
      </c>
      <c r="U26" s="85" t="s">
        <v>144</v>
      </c>
      <c r="V26" s="81" t="s">
        <v>146</v>
      </c>
      <c r="W26" s="101">
        <v>100</v>
      </c>
      <c r="X26" s="101"/>
      <c r="Z26" s="52" t="s">
        <v>465</v>
      </c>
      <c r="AA26" s="95" t="s">
        <v>221</v>
      </c>
      <c r="AB26" s="85" t="s">
        <v>144</v>
      </c>
      <c r="AC26" s="81" t="s">
        <v>146</v>
      </c>
      <c r="AD26" s="126">
        <v>100</v>
      </c>
      <c r="AE26" s="126"/>
      <c r="AG26" s="52" t="s">
        <v>465</v>
      </c>
      <c r="AH26" s="95" t="s">
        <v>221</v>
      </c>
      <c r="AI26" s="85" t="s">
        <v>144</v>
      </c>
      <c r="AJ26" s="81" t="s">
        <v>146</v>
      </c>
      <c r="AK26" s="126">
        <v>100</v>
      </c>
      <c r="AL26" s="126"/>
    </row>
    <row r="27" spans="1:38" x14ac:dyDescent="0.25">
      <c r="A27" s="262"/>
      <c r="B27" s="258"/>
      <c r="C27" s="16" t="s">
        <v>17</v>
      </c>
      <c r="E27" s="96" t="s">
        <v>74</v>
      </c>
      <c r="F27" s="129" t="s">
        <v>222</v>
      </c>
      <c r="G27" s="81"/>
      <c r="H27" s="81" t="s">
        <v>147</v>
      </c>
      <c r="I27" s="111">
        <v>666</v>
      </c>
      <c r="J27" s="111"/>
      <c r="L27" s="96" t="s">
        <v>74</v>
      </c>
      <c r="M27" s="129" t="s">
        <v>222</v>
      </c>
      <c r="N27" s="81"/>
      <c r="O27" s="81" t="s">
        <v>177</v>
      </c>
      <c r="P27" s="126">
        <v>666</v>
      </c>
      <c r="Q27" s="126"/>
      <c r="S27" s="96" t="s">
        <v>74</v>
      </c>
      <c r="T27" s="129" t="s">
        <v>222</v>
      </c>
      <c r="U27" s="81"/>
      <c r="V27" s="81" t="s">
        <v>169</v>
      </c>
      <c r="W27" s="101">
        <v>666</v>
      </c>
      <c r="X27" s="101"/>
      <c r="Z27" s="96" t="s">
        <v>74</v>
      </c>
      <c r="AA27" s="129" t="s">
        <v>222</v>
      </c>
      <c r="AB27" s="81"/>
      <c r="AC27" s="81" t="s">
        <v>169</v>
      </c>
      <c r="AD27" s="126">
        <v>666</v>
      </c>
      <c r="AE27" s="126"/>
      <c r="AG27" s="96" t="s">
        <v>74</v>
      </c>
      <c r="AH27" s="129" t="s">
        <v>222</v>
      </c>
      <c r="AI27" s="81"/>
      <c r="AJ27" s="81" t="s">
        <v>169</v>
      </c>
      <c r="AK27" s="126">
        <v>666</v>
      </c>
      <c r="AL27" s="126"/>
    </row>
    <row r="28" spans="1:38" x14ac:dyDescent="0.25">
      <c r="A28" s="262"/>
      <c r="B28" s="258"/>
      <c r="C28" s="34" t="s">
        <v>170</v>
      </c>
      <c r="E28" s="116" t="s">
        <v>148</v>
      </c>
      <c r="F28" s="48"/>
      <c r="G28" s="75" t="s">
        <v>149</v>
      </c>
      <c r="H28" s="117" t="s">
        <v>150</v>
      </c>
      <c r="I28" s="48" t="s">
        <v>151</v>
      </c>
      <c r="J28" s="48"/>
      <c r="L28" s="116"/>
      <c r="M28" s="48"/>
      <c r="N28" s="81"/>
      <c r="O28" s="117"/>
      <c r="P28" s="48"/>
      <c r="Q28" s="48"/>
      <c r="S28" s="116"/>
      <c r="T28" s="48"/>
      <c r="U28" s="117"/>
      <c r="V28" s="117"/>
      <c r="W28" s="48"/>
      <c r="X28" s="48"/>
      <c r="Z28" s="116"/>
      <c r="AA28" s="48"/>
      <c r="AB28" s="117"/>
      <c r="AC28" s="117"/>
      <c r="AD28" s="48"/>
      <c r="AE28" s="48"/>
      <c r="AG28" s="116"/>
      <c r="AH28" s="48"/>
      <c r="AI28" s="117"/>
      <c r="AJ28" s="117"/>
      <c r="AK28" s="48"/>
      <c r="AL28" s="48"/>
    </row>
    <row r="29" spans="1:38" ht="15.75" thickBot="1" x14ac:dyDescent="0.3">
      <c r="A29" s="262"/>
      <c r="B29" s="258"/>
      <c r="C29" s="34" t="s">
        <v>170</v>
      </c>
      <c r="E29" s="53" t="s">
        <v>152</v>
      </c>
      <c r="F29" s="47"/>
      <c r="G29" s="75" t="s">
        <v>149</v>
      </c>
      <c r="H29" s="83" t="s">
        <v>153</v>
      </c>
      <c r="I29" s="47" t="s">
        <v>154</v>
      </c>
      <c r="J29" s="47"/>
      <c r="L29" s="53" t="s">
        <v>178</v>
      </c>
      <c r="M29" s="47"/>
      <c r="N29" s="47" t="s">
        <v>179</v>
      </c>
      <c r="O29" s="83" t="s">
        <v>180</v>
      </c>
      <c r="P29" s="47" t="s">
        <v>181</v>
      </c>
      <c r="Q29" s="47"/>
      <c r="S29" s="53"/>
      <c r="T29" s="47"/>
      <c r="U29" s="83"/>
      <c r="V29" s="83"/>
      <c r="W29" s="47"/>
      <c r="X29" s="47"/>
      <c r="Z29" s="53"/>
      <c r="AA29" s="47"/>
      <c r="AB29" s="83"/>
      <c r="AC29" s="83"/>
      <c r="AD29" s="47"/>
      <c r="AE29" s="47"/>
      <c r="AG29" s="53"/>
      <c r="AH29" s="47"/>
      <c r="AI29" s="83"/>
      <c r="AJ29" s="83"/>
      <c r="AK29" s="47"/>
      <c r="AL29" s="47"/>
    </row>
    <row r="30" spans="1:38" ht="18" thickBot="1" x14ac:dyDescent="0.3">
      <c r="A30" s="262"/>
      <c r="B30" s="258"/>
      <c r="C30" s="49" t="s">
        <v>90</v>
      </c>
      <c r="E30" s="91" t="s">
        <v>30</v>
      </c>
      <c r="F30" s="93" t="s">
        <v>91</v>
      </c>
      <c r="G30" s="92" t="s">
        <v>18</v>
      </c>
      <c r="H30" s="92" t="s">
        <v>113</v>
      </c>
      <c r="I30" s="93" t="s">
        <v>93</v>
      </c>
      <c r="J30" s="93" t="s">
        <v>21</v>
      </c>
      <c r="L30" s="91" t="s">
        <v>30</v>
      </c>
      <c r="M30" s="93" t="s">
        <v>91</v>
      </c>
      <c r="N30" s="92" t="s">
        <v>18</v>
      </c>
      <c r="O30" s="92" t="s">
        <v>113</v>
      </c>
      <c r="P30" s="93" t="s">
        <v>93</v>
      </c>
      <c r="Q30" s="93" t="s">
        <v>21</v>
      </c>
      <c r="S30" s="91" t="s">
        <v>30</v>
      </c>
      <c r="T30" s="93" t="s">
        <v>91</v>
      </c>
      <c r="U30" s="92" t="s">
        <v>18</v>
      </c>
      <c r="V30" s="92" t="s">
        <v>113</v>
      </c>
      <c r="W30" s="93" t="s">
        <v>93</v>
      </c>
      <c r="X30" s="93" t="s">
        <v>21</v>
      </c>
      <c r="Z30" s="91" t="s">
        <v>30</v>
      </c>
      <c r="AA30" s="93" t="s">
        <v>91</v>
      </c>
      <c r="AB30" s="92" t="s">
        <v>18</v>
      </c>
      <c r="AC30" s="92" t="s">
        <v>113</v>
      </c>
      <c r="AD30" s="93" t="s">
        <v>93</v>
      </c>
      <c r="AE30" s="93" t="s">
        <v>21</v>
      </c>
      <c r="AG30" s="91" t="s">
        <v>30</v>
      </c>
      <c r="AH30" s="93" t="s">
        <v>91</v>
      </c>
      <c r="AI30" s="92" t="s">
        <v>18</v>
      </c>
      <c r="AJ30" s="92" t="s">
        <v>113</v>
      </c>
      <c r="AK30" s="93" t="s">
        <v>93</v>
      </c>
      <c r="AL30" s="93" t="s">
        <v>21</v>
      </c>
    </row>
    <row r="31" spans="1:38" x14ac:dyDescent="0.25">
      <c r="A31" s="262"/>
      <c r="B31" s="258"/>
      <c r="C31" s="43" t="s">
        <v>107</v>
      </c>
      <c r="E31" s="51"/>
      <c r="F31" s="75"/>
      <c r="G31" s="80"/>
      <c r="H31" s="80"/>
      <c r="I31" s="75"/>
      <c r="J31" s="75"/>
      <c r="L31" s="51"/>
      <c r="M31" s="75"/>
      <c r="N31" s="80"/>
      <c r="O31" s="80"/>
      <c r="P31" s="75"/>
      <c r="Q31" s="75"/>
      <c r="S31" s="51"/>
      <c r="T31" s="75"/>
      <c r="U31" s="80"/>
      <c r="V31" s="80"/>
      <c r="W31" s="75"/>
      <c r="X31" s="75"/>
      <c r="Z31" s="51"/>
      <c r="AA31" s="75"/>
      <c r="AB31" s="80"/>
      <c r="AC31" s="80"/>
      <c r="AD31" s="75"/>
      <c r="AE31" s="75"/>
      <c r="AG31" s="51"/>
      <c r="AH31" s="75"/>
      <c r="AI31" s="80"/>
      <c r="AJ31" s="80"/>
      <c r="AK31" s="75"/>
      <c r="AL31" s="75"/>
    </row>
    <row r="32" spans="1:38" ht="15.75" thickBot="1" x14ac:dyDescent="0.3">
      <c r="A32" s="263"/>
      <c r="B32" s="259"/>
      <c r="C32" s="46" t="s">
        <v>108</v>
      </c>
      <c r="E32" s="53"/>
      <c r="F32" s="47"/>
      <c r="G32" s="83"/>
      <c r="H32" s="83"/>
      <c r="I32" s="47"/>
      <c r="J32" s="47"/>
      <c r="L32" s="53"/>
      <c r="M32" s="47"/>
      <c r="N32" s="83"/>
      <c r="O32" s="83"/>
      <c r="P32" s="47"/>
      <c r="Q32" s="47"/>
      <c r="S32" s="53" t="s">
        <v>127</v>
      </c>
      <c r="T32" s="47" t="s">
        <v>250</v>
      </c>
      <c r="U32" s="83" t="s">
        <v>197</v>
      </c>
      <c r="V32" s="83" t="s">
        <v>146</v>
      </c>
      <c r="W32" s="47">
        <v>30</v>
      </c>
      <c r="X32" s="47"/>
      <c r="Z32" s="53" t="s">
        <v>127</v>
      </c>
      <c r="AA32" s="47" t="s">
        <v>250</v>
      </c>
      <c r="AB32" s="83" t="s">
        <v>197</v>
      </c>
      <c r="AC32" s="83" t="s">
        <v>146</v>
      </c>
      <c r="AD32" s="47">
        <v>30</v>
      </c>
      <c r="AE32" s="47"/>
      <c r="AG32" s="53" t="s">
        <v>127</v>
      </c>
      <c r="AH32" s="47" t="s">
        <v>250</v>
      </c>
      <c r="AI32" s="83" t="s">
        <v>197</v>
      </c>
      <c r="AJ32" s="83" t="s">
        <v>146</v>
      </c>
      <c r="AK32" s="47">
        <v>30</v>
      </c>
      <c r="AL32" s="47"/>
    </row>
    <row r="33" spans="1:39" ht="15.75" thickBot="1" x14ac:dyDescent="0.3">
      <c r="A33" s="17"/>
      <c r="B33" s="14"/>
      <c r="C33" s="14"/>
      <c r="E33" s="216"/>
      <c r="F33" s="217"/>
      <c r="G33" s="217"/>
      <c r="H33" s="217"/>
      <c r="I33" s="217"/>
      <c r="J33" s="217"/>
      <c r="L33" s="216"/>
      <c r="M33" s="217"/>
      <c r="N33" s="217"/>
      <c r="O33" s="217"/>
      <c r="P33" s="217"/>
      <c r="Q33" s="217"/>
      <c r="S33" s="216"/>
      <c r="T33" s="217"/>
      <c r="U33" s="217"/>
      <c r="V33" s="217"/>
      <c r="W33" s="217"/>
      <c r="X33" s="217"/>
      <c r="Z33" s="216"/>
      <c r="AA33" s="217"/>
      <c r="AB33" s="217"/>
      <c r="AC33" s="217"/>
      <c r="AD33" s="217"/>
      <c r="AE33" s="217"/>
      <c r="AG33" s="216"/>
      <c r="AH33" s="217"/>
      <c r="AI33" s="217"/>
      <c r="AJ33" s="217"/>
      <c r="AK33" s="217"/>
      <c r="AL33" s="217"/>
    </row>
    <row r="34" spans="1:39" ht="60" customHeight="1" thickBot="1" x14ac:dyDescent="0.3">
      <c r="A34" s="210" t="s">
        <v>19</v>
      </c>
      <c r="B34" s="257" t="s">
        <v>103</v>
      </c>
      <c r="C34" s="49"/>
      <c r="E34" s="109" t="s">
        <v>30</v>
      </c>
      <c r="F34" s="77" t="s">
        <v>18</v>
      </c>
      <c r="G34" s="260" t="s">
        <v>94</v>
      </c>
      <c r="H34" s="253"/>
      <c r="I34" s="84" t="s">
        <v>21</v>
      </c>
      <c r="J34" s="76" t="s">
        <v>114</v>
      </c>
      <c r="L34" s="125" t="s">
        <v>30</v>
      </c>
      <c r="M34" s="77" t="s">
        <v>18</v>
      </c>
      <c r="N34" s="260" t="s">
        <v>94</v>
      </c>
      <c r="O34" s="253"/>
      <c r="P34" s="84" t="s">
        <v>21</v>
      </c>
      <c r="Q34" s="76" t="s">
        <v>114</v>
      </c>
      <c r="S34" s="103" t="s">
        <v>30</v>
      </c>
      <c r="T34" s="77" t="s">
        <v>18</v>
      </c>
      <c r="U34" s="260" t="s">
        <v>94</v>
      </c>
      <c r="V34" s="253"/>
      <c r="W34" s="84" t="s">
        <v>21</v>
      </c>
      <c r="X34" s="76" t="s">
        <v>114</v>
      </c>
      <c r="Z34" s="125" t="s">
        <v>30</v>
      </c>
      <c r="AA34" s="77" t="s">
        <v>18</v>
      </c>
      <c r="AB34" s="260" t="s">
        <v>94</v>
      </c>
      <c r="AC34" s="253"/>
      <c r="AD34" s="84" t="s">
        <v>21</v>
      </c>
      <c r="AE34" s="76" t="s">
        <v>114</v>
      </c>
      <c r="AG34" s="125" t="s">
        <v>30</v>
      </c>
      <c r="AH34" s="77" t="s">
        <v>18</v>
      </c>
      <c r="AI34" s="260" t="s">
        <v>94</v>
      </c>
      <c r="AJ34" s="253"/>
      <c r="AK34" s="84" t="s">
        <v>21</v>
      </c>
      <c r="AL34" s="76" t="s">
        <v>114</v>
      </c>
    </row>
    <row r="35" spans="1:39" ht="17.25" customHeight="1" x14ac:dyDescent="0.25">
      <c r="A35" s="211"/>
      <c r="B35" s="258"/>
      <c r="C35" s="43" t="s">
        <v>22</v>
      </c>
      <c r="E35" s="112" t="s">
        <v>155</v>
      </c>
      <c r="F35" s="75" t="s">
        <v>149</v>
      </c>
      <c r="G35" s="255" t="s">
        <v>95</v>
      </c>
      <c r="H35" s="256"/>
      <c r="I35" s="118"/>
      <c r="J35" s="80" t="s">
        <v>156</v>
      </c>
      <c r="L35" s="124" t="s">
        <v>182</v>
      </c>
      <c r="M35" s="126" t="s">
        <v>179</v>
      </c>
      <c r="N35" s="255" t="s">
        <v>183</v>
      </c>
      <c r="O35" s="256"/>
      <c r="P35" s="80"/>
      <c r="Q35" s="80" t="s">
        <v>184</v>
      </c>
      <c r="S35" s="124" t="s">
        <v>202</v>
      </c>
      <c r="T35" s="75" t="s">
        <v>149</v>
      </c>
      <c r="U35" s="255" t="s">
        <v>203</v>
      </c>
      <c r="V35" s="256"/>
      <c r="W35" s="80"/>
      <c r="X35" s="80" t="s">
        <v>204</v>
      </c>
      <c r="Z35" s="124" t="s">
        <v>202</v>
      </c>
      <c r="AA35" s="75" t="s">
        <v>149</v>
      </c>
      <c r="AB35" s="255" t="s">
        <v>203</v>
      </c>
      <c r="AC35" s="256"/>
      <c r="AD35" s="80"/>
      <c r="AE35" s="80" t="s">
        <v>204</v>
      </c>
      <c r="AG35" s="124" t="s">
        <v>202</v>
      </c>
      <c r="AH35" s="75" t="s">
        <v>149</v>
      </c>
      <c r="AI35" s="255" t="s">
        <v>203</v>
      </c>
      <c r="AJ35" s="256"/>
      <c r="AK35" s="80"/>
      <c r="AL35" s="80" t="s">
        <v>204</v>
      </c>
    </row>
    <row r="36" spans="1:39" ht="17.25" customHeight="1" x14ac:dyDescent="0.25">
      <c r="A36" s="211"/>
      <c r="B36" s="258"/>
      <c r="C36" s="16" t="s">
        <v>22</v>
      </c>
      <c r="E36" s="110" t="s">
        <v>157</v>
      </c>
      <c r="F36" s="75" t="s">
        <v>149</v>
      </c>
      <c r="G36" s="254" t="s">
        <v>158</v>
      </c>
      <c r="H36" s="206"/>
      <c r="I36" s="119"/>
      <c r="J36" s="85" t="s">
        <v>159</v>
      </c>
      <c r="L36" s="121" t="s">
        <v>185</v>
      </c>
      <c r="M36" s="126" t="s">
        <v>179</v>
      </c>
      <c r="N36" s="254" t="s">
        <v>186</v>
      </c>
      <c r="O36" s="206"/>
      <c r="P36" s="85"/>
      <c r="Q36" s="81" t="s">
        <v>187</v>
      </c>
      <c r="S36" s="102" t="s">
        <v>205</v>
      </c>
      <c r="T36" s="126" t="s">
        <v>149</v>
      </c>
      <c r="U36" s="254" t="s">
        <v>95</v>
      </c>
      <c r="V36" s="206"/>
      <c r="W36" s="85"/>
      <c r="X36" s="81" t="s">
        <v>206</v>
      </c>
      <c r="Z36" s="121" t="s">
        <v>205</v>
      </c>
      <c r="AA36" s="126" t="s">
        <v>149</v>
      </c>
      <c r="AB36" s="254" t="s">
        <v>95</v>
      </c>
      <c r="AC36" s="206"/>
      <c r="AD36" s="85"/>
      <c r="AE36" s="81" t="s">
        <v>206</v>
      </c>
      <c r="AG36" s="121" t="s">
        <v>205</v>
      </c>
      <c r="AH36" s="126" t="s">
        <v>149</v>
      </c>
      <c r="AI36" s="254" t="s">
        <v>95</v>
      </c>
      <c r="AJ36" s="206"/>
      <c r="AK36" s="85"/>
      <c r="AL36" s="81" t="s">
        <v>206</v>
      </c>
    </row>
    <row r="37" spans="1:39" ht="17.25" customHeight="1" x14ac:dyDescent="0.25">
      <c r="A37" s="211"/>
      <c r="B37" s="258"/>
      <c r="C37" s="16" t="s">
        <v>23</v>
      </c>
      <c r="E37" s="110" t="s">
        <v>160</v>
      </c>
      <c r="F37" s="75" t="s">
        <v>149</v>
      </c>
      <c r="G37" s="254" t="s">
        <v>161</v>
      </c>
      <c r="H37" s="206"/>
      <c r="I37" s="119"/>
      <c r="J37" s="85" t="s">
        <v>162</v>
      </c>
      <c r="L37" s="121" t="s">
        <v>188</v>
      </c>
      <c r="M37" s="126" t="s">
        <v>179</v>
      </c>
      <c r="N37" s="254" t="s">
        <v>96</v>
      </c>
      <c r="O37" s="206"/>
      <c r="P37" s="85"/>
      <c r="Q37" s="81" t="s">
        <v>180</v>
      </c>
      <c r="S37" s="110"/>
      <c r="T37" s="111"/>
      <c r="U37" s="113"/>
      <c r="V37" s="110"/>
      <c r="W37" s="85"/>
      <c r="X37" s="81"/>
      <c r="Z37" s="121"/>
      <c r="AA37" s="126"/>
      <c r="AB37" s="120"/>
      <c r="AC37" s="121"/>
      <c r="AD37" s="85"/>
      <c r="AE37" s="81"/>
      <c r="AG37" s="121"/>
      <c r="AH37" s="126"/>
      <c r="AI37" s="120"/>
      <c r="AJ37" s="121"/>
      <c r="AK37" s="85"/>
      <c r="AL37" s="81"/>
    </row>
    <row r="38" spans="1:39" x14ac:dyDescent="0.25">
      <c r="A38" s="211"/>
      <c r="B38" s="258"/>
      <c r="C38" s="16" t="s">
        <v>23</v>
      </c>
      <c r="E38" s="110" t="s">
        <v>163</v>
      </c>
      <c r="F38" s="75" t="s">
        <v>149</v>
      </c>
      <c r="G38" s="254" t="s">
        <v>151</v>
      </c>
      <c r="H38" s="206"/>
      <c r="I38" s="119"/>
      <c r="J38" s="81" t="s">
        <v>164</v>
      </c>
      <c r="L38" s="121" t="s">
        <v>189</v>
      </c>
      <c r="M38" s="126" t="s">
        <v>179</v>
      </c>
      <c r="N38" s="254" t="s">
        <v>190</v>
      </c>
      <c r="O38" s="206"/>
      <c r="P38" s="81"/>
      <c r="Q38" s="81" t="s">
        <v>191</v>
      </c>
      <c r="S38" s="102"/>
      <c r="T38" s="101"/>
      <c r="U38" s="254"/>
      <c r="V38" s="206"/>
      <c r="W38" s="81"/>
      <c r="X38" s="81"/>
      <c r="Z38" s="121"/>
      <c r="AA38" s="126"/>
      <c r="AB38" s="254"/>
      <c r="AC38" s="206"/>
      <c r="AD38" s="81"/>
      <c r="AE38" s="81"/>
      <c r="AG38" s="121"/>
      <c r="AH38" s="126"/>
      <c r="AI38" s="254"/>
      <c r="AJ38" s="206"/>
      <c r="AK38" s="81"/>
      <c r="AL38" s="81"/>
    </row>
    <row r="39" spans="1:39" x14ac:dyDescent="0.25">
      <c r="A39" s="211"/>
      <c r="B39" s="258"/>
      <c r="C39" s="16" t="s">
        <v>20</v>
      </c>
      <c r="E39" s="110" t="s">
        <v>165</v>
      </c>
      <c r="F39" s="75" t="s">
        <v>149</v>
      </c>
      <c r="G39" s="207" t="s">
        <v>166</v>
      </c>
      <c r="H39" s="207"/>
      <c r="I39" s="119"/>
      <c r="J39" s="81" t="s">
        <v>164</v>
      </c>
      <c r="L39" s="121"/>
      <c r="M39" s="126"/>
      <c r="N39" s="207"/>
      <c r="O39" s="207"/>
      <c r="P39" s="81"/>
      <c r="Q39" s="81"/>
      <c r="S39" s="102" t="s">
        <v>207</v>
      </c>
      <c r="T39" s="126" t="s">
        <v>149</v>
      </c>
      <c r="U39" s="207" t="s">
        <v>209</v>
      </c>
      <c r="V39" s="207"/>
      <c r="W39" s="81"/>
      <c r="X39" s="81" t="s">
        <v>208</v>
      </c>
      <c r="Z39" s="121" t="s">
        <v>207</v>
      </c>
      <c r="AA39" s="126" t="s">
        <v>149</v>
      </c>
      <c r="AB39" s="207" t="s">
        <v>209</v>
      </c>
      <c r="AC39" s="207"/>
      <c r="AD39" s="81"/>
      <c r="AE39" s="81" t="s">
        <v>208</v>
      </c>
      <c r="AG39" s="121" t="s">
        <v>207</v>
      </c>
      <c r="AH39" s="126" t="s">
        <v>149</v>
      </c>
      <c r="AI39" s="207" t="s">
        <v>209</v>
      </c>
      <c r="AJ39" s="207"/>
      <c r="AK39" s="81"/>
      <c r="AL39" s="81" t="s">
        <v>208</v>
      </c>
    </row>
    <row r="40" spans="1:39" x14ac:dyDescent="0.25">
      <c r="A40" s="211"/>
      <c r="B40" s="258"/>
      <c r="C40" s="16" t="s">
        <v>20</v>
      </c>
      <c r="E40" s="110" t="s">
        <v>97</v>
      </c>
      <c r="F40" s="75" t="s">
        <v>149</v>
      </c>
      <c r="G40" s="254" t="s">
        <v>167</v>
      </c>
      <c r="H40" s="206"/>
      <c r="I40" s="119"/>
      <c r="J40" s="81" t="s">
        <v>168</v>
      </c>
      <c r="L40" s="121"/>
      <c r="M40" s="126"/>
      <c r="N40" s="254"/>
      <c r="O40" s="206"/>
      <c r="P40" s="81"/>
      <c r="Q40" s="86"/>
      <c r="S40" s="102"/>
      <c r="T40" s="101"/>
      <c r="U40" s="254"/>
      <c r="V40" s="206"/>
      <c r="W40" s="81"/>
      <c r="X40" s="86"/>
      <c r="Z40" s="121"/>
      <c r="AA40" s="126"/>
      <c r="AB40" s="254"/>
      <c r="AC40" s="206"/>
      <c r="AD40" s="81"/>
      <c r="AE40" s="86"/>
      <c r="AG40" s="121"/>
      <c r="AH40" s="126"/>
      <c r="AI40" s="254"/>
      <c r="AJ40" s="206"/>
      <c r="AK40" s="81"/>
      <c r="AL40" s="86"/>
    </row>
    <row r="41" spans="1:39" ht="15.75" thickBot="1" x14ac:dyDescent="0.3">
      <c r="A41" s="211"/>
      <c r="B41" s="258"/>
      <c r="C41" s="46" t="s">
        <v>20</v>
      </c>
      <c r="E41" s="114"/>
      <c r="F41" s="47"/>
      <c r="G41" s="250"/>
      <c r="H41" s="251"/>
      <c r="I41" s="83"/>
      <c r="J41" s="82"/>
      <c r="L41" s="127"/>
      <c r="M41" s="47"/>
      <c r="N41" s="250"/>
      <c r="O41" s="251"/>
      <c r="P41" s="83"/>
      <c r="Q41" s="82"/>
      <c r="S41" s="99"/>
      <c r="T41" s="47"/>
      <c r="U41" s="250"/>
      <c r="V41" s="251"/>
      <c r="W41" s="83"/>
      <c r="X41" s="82"/>
      <c r="Z41" s="127"/>
      <c r="AA41" s="47"/>
      <c r="AB41" s="250"/>
      <c r="AC41" s="251"/>
      <c r="AD41" s="83"/>
      <c r="AE41" s="82"/>
      <c r="AG41" s="127"/>
      <c r="AH41" s="47"/>
      <c r="AI41" s="250"/>
      <c r="AJ41" s="251"/>
      <c r="AK41" s="83"/>
      <c r="AL41" s="82"/>
    </row>
    <row r="42" spans="1:39" s="35" customFormat="1" ht="15.75" thickBot="1" x14ac:dyDescent="0.3">
      <c r="A42" s="212"/>
      <c r="B42" s="259"/>
      <c r="C42" s="49" t="s">
        <v>68</v>
      </c>
      <c r="D42" s="22"/>
      <c r="E42" s="252"/>
      <c r="F42" s="252"/>
      <c r="G42" s="252"/>
      <c r="H42" s="253"/>
      <c r="I42" s="92"/>
      <c r="J42" s="50"/>
      <c r="K42" s="36"/>
      <c r="L42" s="252"/>
      <c r="M42" s="252"/>
      <c r="N42" s="252"/>
      <c r="O42" s="253"/>
      <c r="P42" s="92"/>
      <c r="Q42" s="50"/>
      <c r="R42" s="36"/>
      <c r="S42" s="252"/>
      <c r="T42" s="252"/>
      <c r="U42" s="252"/>
      <c r="V42" s="253"/>
      <c r="W42" s="92"/>
      <c r="X42" s="50"/>
      <c r="Y42" s="36"/>
      <c r="Z42" s="252"/>
      <c r="AA42" s="252"/>
      <c r="AB42" s="252"/>
      <c r="AC42" s="253"/>
      <c r="AD42" s="92"/>
      <c r="AE42" s="50"/>
      <c r="AF42" s="36"/>
      <c r="AG42" s="252"/>
      <c r="AH42" s="252"/>
      <c r="AI42" s="252"/>
      <c r="AJ42" s="253"/>
      <c r="AK42" s="92"/>
      <c r="AL42" s="50"/>
      <c r="AM42" s="36"/>
    </row>
    <row r="43" spans="1:39" ht="15.75" thickBot="1" x14ac:dyDescent="0.3">
      <c r="A43" s="11"/>
      <c r="B43" s="14"/>
      <c r="C43" s="14"/>
      <c r="E43" s="216"/>
      <c r="F43" s="217"/>
      <c r="G43" s="217"/>
      <c r="H43" s="217"/>
      <c r="I43" s="217"/>
      <c r="J43" s="217"/>
      <c r="L43" s="216"/>
      <c r="M43" s="217"/>
      <c r="N43" s="217"/>
      <c r="O43" s="217"/>
      <c r="P43" s="217"/>
      <c r="Q43" s="217"/>
      <c r="S43" s="216"/>
      <c r="T43" s="217"/>
      <c r="U43" s="217"/>
      <c r="V43" s="217"/>
      <c r="W43" s="217"/>
      <c r="X43" s="217"/>
      <c r="Z43" s="216"/>
      <c r="AA43" s="217"/>
      <c r="AB43" s="217"/>
      <c r="AC43" s="217"/>
      <c r="AD43" s="217"/>
      <c r="AE43" s="217"/>
      <c r="AG43" s="216"/>
      <c r="AH43" s="217"/>
      <c r="AI43" s="217"/>
      <c r="AJ43" s="217"/>
      <c r="AK43" s="217"/>
      <c r="AL43" s="217"/>
    </row>
    <row r="44" spans="1:39" ht="15.75" thickBot="1" x14ac:dyDescent="0.3">
      <c r="A44" s="246" t="s">
        <v>24</v>
      </c>
      <c r="B44" s="247" t="s">
        <v>104</v>
      </c>
      <c r="C44" s="54"/>
      <c r="D44" s="63"/>
      <c r="E44" s="224" t="s">
        <v>9</v>
      </c>
      <c r="F44" s="225"/>
      <c r="G44" s="226" t="s">
        <v>10</v>
      </c>
      <c r="H44" s="224"/>
      <c r="I44" s="225"/>
      <c r="J44" s="74" t="s">
        <v>113</v>
      </c>
      <c r="K44" s="63" t="s">
        <v>9</v>
      </c>
      <c r="L44" s="224" t="s">
        <v>9</v>
      </c>
      <c r="M44" s="225"/>
      <c r="N44" s="226" t="s">
        <v>10</v>
      </c>
      <c r="O44" s="224"/>
      <c r="P44" s="225"/>
      <c r="Q44" s="74" t="s">
        <v>113</v>
      </c>
      <c r="R44" s="63"/>
      <c r="S44" s="224" t="s">
        <v>9</v>
      </c>
      <c r="T44" s="225"/>
      <c r="U44" s="226" t="s">
        <v>10</v>
      </c>
      <c r="V44" s="224"/>
      <c r="W44" s="225"/>
      <c r="X44" s="74" t="s">
        <v>113</v>
      </c>
      <c r="Y44" s="63"/>
      <c r="Z44" s="224" t="s">
        <v>9</v>
      </c>
      <c r="AA44" s="225"/>
      <c r="AB44" s="226" t="s">
        <v>10</v>
      </c>
      <c r="AC44" s="224"/>
      <c r="AD44" s="225"/>
      <c r="AE44" s="74" t="s">
        <v>113</v>
      </c>
      <c r="AF44" s="63"/>
      <c r="AG44" s="224" t="s">
        <v>9</v>
      </c>
      <c r="AH44" s="225"/>
      <c r="AI44" s="226" t="s">
        <v>10</v>
      </c>
      <c r="AJ44" s="224"/>
      <c r="AK44" s="225"/>
      <c r="AL44" s="74" t="s">
        <v>113</v>
      </c>
      <c r="AM44" s="63"/>
    </row>
    <row r="45" spans="1:39" ht="15" customHeight="1" x14ac:dyDescent="0.25">
      <c r="A45" s="246"/>
      <c r="B45" s="248"/>
      <c r="C45" s="15" t="s">
        <v>25</v>
      </c>
      <c r="E45" s="227"/>
      <c r="F45" s="228"/>
      <c r="G45" s="235" t="s">
        <v>99</v>
      </c>
      <c r="H45" s="236"/>
      <c r="I45" s="237"/>
      <c r="J45" s="87" t="s">
        <v>169</v>
      </c>
      <c r="L45" s="227"/>
      <c r="M45" s="228"/>
      <c r="N45" s="235" t="s">
        <v>99</v>
      </c>
      <c r="O45" s="236"/>
      <c r="P45" s="237"/>
      <c r="Q45" s="87" t="s">
        <v>192</v>
      </c>
      <c r="S45" s="227"/>
      <c r="T45" s="228"/>
      <c r="U45" s="235" t="s">
        <v>210</v>
      </c>
      <c r="V45" s="236"/>
      <c r="W45" s="237"/>
      <c r="X45" s="87" t="s">
        <v>211</v>
      </c>
      <c r="Z45" s="227"/>
      <c r="AA45" s="228"/>
      <c r="AB45" s="235" t="s">
        <v>210</v>
      </c>
      <c r="AC45" s="236"/>
      <c r="AD45" s="237"/>
      <c r="AE45" s="87" t="s">
        <v>211</v>
      </c>
      <c r="AG45" s="227"/>
      <c r="AH45" s="228"/>
      <c r="AI45" s="235" t="s">
        <v>210</v>
      </c>
      <c r="AJ45" s="236"/>
      <c r="AK45" s="237"/>
      <c r="AL45" s="87" t="s">
        <v>211</v>
      </c>
    </row>
    <row r="46" spans="1:39" x14ac:dyDescent="0.25">
      <c r="A46" s="246"/>
      <c r="B46" s="248"/>
      <c r="C46" s="15" t="s">
        <v>26</v>
      </c>
      <c r="E46" s="221"/>
      <c r="F46" s="222"/>
      <c r="G46" s="223"/>
      <c r="H46" s="221"/>
      <c r="I46" s="222"/>
      <c r="J46" s="88"/>
      <c r="L46" s="221"/>
      <c r="M46" s="222"/>
      <c r="N46" s="223"/>
      <c r="O46" s="221"/>
      <c r="P46" s="222"/>
      <c r="Q46" s="88"/>
      <c r="S46" s="221"/>
      <c r="T46" s="222"/>
      <c r="U46" s="223"/>
      <c r="V46" s="221"/>
      <c r="W46" s="222"/>
      <c r="X46" s="88"/>
      <c r="Z46" s="221"/>
      <c r="AA46" s="222"/>
      <c r="AB46" s="223"/>
      <c r="AC46" s="221"/>
      <c r="AD46" s="222"/>
      <c r="AE46" s="88"/>
      <c r="AG46" s="221"/>
      <c r="AH46" s="222"/>
      <c r="AI46" s="223"/>
      <c r="AJ46" s="221"/>
      <c r="AK46" s="222"/>
      <c r="AL46" s="88"/>
    </row>
    <row r="47" spans="1:39" ht="15.75" thickBot="1" x14ac:dyDescent="0.3">
      <c r="A47" s="246"/>
      <c r="B47" s="249"/>
      <c r="C47" s="55" t="s">
        <v>27</v>
      </c>
      <c r="E47" s="238"/>
      <c r="F47" s="239"/>
      <c r="G47" s="240"/>
      <c r="H47" s="238"/>
      <c r="I47" s="239"/>
      <c r="J47" s="79"/>
      <c r="L47" s="238"/>
      <c r="M47" s="239"/>
      <c r="N47" s="240"/>
      <c r="O47" s="238"/>
      <c r="P47" s="239"/>
      <c r="Q47" s="79"/>
      <c r="S47" s="238"/>
      <c r="T47" s="239"/>
      <c r="U47" s="240"/>
      <c r="V47" s="238"/>
      <c r="W47" s="239"/>
      <c r="X47" s="79"/>
      <c r="Z47" s="238"/>
      <c r="AA47" s="239"/>
      <c r="AB47" s="240"/>
      <c r="AC47" s="238"/>
      <c r="AD47" s="239"/>
      <c r="AE47" s="79"/>
      <c r="AG47" s="238"/>
      <c r="AH47" s="239"/>
      <c r="AI47" s="240"/>
      <c r="AJ47" s="238"/>
      <c r="AK47" s="239"/>
      <c r="AL47" s="79"/>
    </row>
    <row r="48" spans="1:39" ht="15.75" thickBot="1" x14ac:dyDescent="0.3">
      <c r="A48" s="11"/>
      <c r="B48" s="14"/>
      <c r="C48" s="14"/>
      <c r="E48" s="216"/>
      <c r="F48" s="217"/>
      <c r="G48" s="217"/>
      <c r="H48" s="217"/>
      <c r="I48" s="217"/>
      <c r="J48" s="217"/>
      <c r="L48" s="216"/>
      <c r="M48" s="217"/>
      <c r="N48" s="217"/>
      <c r="O48" s="217"/>
      <c r="P48" s="217"/>
      <c r="Q48" s="217"/>
      <c r="S48" s="216"/>
      <c r="T48" s="217"/>
      <c r="U48" s="217"/>
      <c r="V48" s="217"/>
      <c r="W48" s="217"/>
      <c r="X48" s="217"/>
      <c r="Z48" s="216"/>
      <c r="AA48" s="217"/>
      <c r="AB48" s="217"/>
      <c r="AC48" s="217"/>
      <c r="AD48" s="217"/>
      <c r="AE48" s="217"/>
      <c r="AG48" s="216"/>
      <c r="AH48" s="217"/>
      <c r="AI48" s="217"/>
      <c r="AJ48" s="217"/>
      <c r="AK48" s="217"/>
      <c r="AL48" s="217"/>
    </row>
    <row r="49" spans="1:39" ht="15" customHeight="1" thickBot="1" x14ac:dyDescent="0.3">
      <c r="A49" s="241" t="s">
        <v>28</v>
      </c>
      <c r="B49" s="243" t="s">
        <v>105</v>
      </c>
      <c r="C49" s="62"/>
      <c r="E49" s="115" t="s">
        <v>9</v>
      </c>
      <c r="F49" s="230" t="s">
        <v>86</v>
      </c>
      <c r="G49" s="231"/>
      <c r="H49" s="229" t="s">
        <v>214</v>
      </c>
      <c r="I49" s="229"/>
      <c r="J49" s="229"/>
      <c r="L49" s="128" t="s">
        <v>9</v>
      </c>
      <c r="M49" s="230" t="s">
        <v>86</v>
      </c>
      <c r="N49" s="231"/>
      <c r="O49" s="229" t="s">
        <v>214</v>
      </c>
      <c r="P49" s="229"/>
      <c r="Q49" s="229"/>
      <c r="S49" s="105" t="s">
        <v>9</v>
      </c>
      <c r="T49" s="230" t="s">
        <v>86</v>
      </c>
      <c r="U49" s="231"/>
      <c r="V49" s="229" t="s">
        <v>214</v>
      </c>
      <c r="W49" s="229"/>
      <c r="X49" s="229"/>
      <c r="Z49" s="128" t="s">
        <v>9</v>
      </c>
      <c r="AA49" s="230" t="s">
        <v>86</v>
      </c>
      <c r="AB49" s="231"/>
      <c r="AC49" s="229" t="s">
        <v>214</v>
      </c>
      <c r="AD49" s="229"/>
      <c r="AE49" s="229"/>
      <c r="AG49" s="128" t="s">
        <v>9</v>
      </c>
      <c r="AH49" s="230" t="s">
        <v>86</v>
      </c>
      <c r="AI49" s="231"/>
      <c r="AJ49" s="229" t="s">
        <v>214</v>
      </c>
      <c r="AK49" s="229"/>
      <c r="AL49" s="229"/>
    </row>
    <row r="50" spans="1:39" ht="15" customHeight="1" x14ac:dyDescent="0.25">
      <c r="A50" s="242"/>
      <c r="B50" s="244"/>
      <c r="C50" s="61" t="s">
        <v>32</v>
      </c>
      <c r="E50" s="107"/>
      <c r="F50" s="232">
        <v>5.7</v>
      </c>
      <c r="G50" s="233"/>
      <c r="H50" s="234">
        <v>159</v>
      </c>
      <c r="I50" s="234"/>
      <c r="J50" s="234"/>
      <c r="L50" s="122"/>
      <c r="M50" s="232">
        <v>6.5</v>
      </c>
      <c r="N50" s="233"/>
      <c r="O50" s="234">
        <v>136.1</v>
      </c>
      <c r="P50" s="234"/>
      <c r="Q50" s="234"/>
      <c r="S50" s="106"/>
      <c r="T50" s="232" t="s">
        <v>128</v>
      </c>
      <c r="U50" s="233"/>
      <c r="V50" s="234">
        <v>108.1</v>
      </c>
      <c r="W50" s="234"/>
      <c r="X50" s="234"/>
      <c r="Z50" s="122"/>
      <c r="AA50" s="232" t="s">
        <v>128</v>
      </c>
      <c r="AB50" s="233"/>
      <c r="AC50" s="234">
        <v>108.1</v>
      </c>
      <c r="AD50" s="234"/>
      <c r="AE50" s="234"/>
      <c r="AG50" s="122"/>
      <c r="AH50" s="232" t="s">
        <v>128</v>
      </c>
      <c r="AI50" s="233"/>
      <c r="AJ50" s="234">
        <v>108.1</v>
      </c>
      <c r="AK50" s="234"/>
      <c r="AL50" s="234"/>
    </row>
    <row r="51" spans="1:39" ht="15.75" thickBot="1" x14ac:dyDescent="0.3">
      <c r="A51" s="242"/>
      <c r="B51" s="245"/>
      <c r="C51" s="60" t="s">
        <v>31</v>
      </c>
      <c r="E51" s="108"/>
      <c r="F51" s="218"/>
      <c r="G51" s="219"/>
      <c r="H51" s="220"/>
      <c r="I51" s="220"/>
      <c r="J51" s="220"/>
      <c r="L51" s="123"/>
      <c r="M51" s="218"/>
      <c r="N51" s="219"/>
      <c r="O51" s="220"/>
      <c r="P51" s="220"/>
      <c r="Q51" s="220"/>
      <c r="S51" s="100"/>
      <c r="T51" s="218"/>
      <c r="U51" s="219"/>
      <c r="V51" s="220"/>
      <c r="W51" s="220"/>
      <c r="X51" s="220"/>
      <c r="Z51" s="123"/>
      <c r="AA51" s="218"/>
      <c r="AB51" s="219"/>
      <c r="AC51" s="220"/>
      <c r="AD51" s="220"/>
      <c r="AE51" s="220"/>
      <c r="AG51" s="123"/>
      <c r="AH51" s="218"/>
      <c r="AI51" s="219"/>
      <c r="AJ51" s="220"/>
      <c r="AK51" s="220"/>
      <c r="AL51" s="220"/>
    </row>
    <row r="52" spans="1:39" ht="15.75" thickBot="1" x14ac:dyDescent="0.3">
      <c r="A52" s="11"/>
      <c r="B52" s="14"/>
      <c r="C52" s="14"/>
      <c r="E52" s="216"/>
      <c r="F52" s="217"/>
      <c r="G52" s="217"/>
      <c r="H52" s="217"/>
      <c r="I52" s="217"/>
      <c r="J52" s="217"/>
      <c r="L52" s="216"/>
      <c r="M52" s="217"/>
      <c r="N52" s="217"/>
      <c r="O52" s="217"/>
      <c r="P52" s="217"/>
      <c r="Q52" s="217"/>
      <c r="S52" s="216"/>
      <c r="T52" s="217"/>
      <c r="U52" s="217"/>
      <c r="V52" s="217"/>
      <c r="W52" s="217"/>
      <c r="X52" s="217"/>
      <c r="Z52" s="216"/>
      <c r="AA52" s="217"/>
      <c r="AB52" s="217"/>
      <c r="AC52" s="217"/>
      <c r="AD52" s="217"/>
      <c r="AE52" s="217"/>
      <c r="AG52" s="216"/>
      <c r="AH52" s="217"/>
      <c r="AI52" s="217"/>
      <c r="AJ52" s="217"/>
      <c r="AK52" s="217"/>
      <c r="AL52" s="217"/>
    </row>
    <row r="53" spans="1:39" ht="15" customHeight="1" x14ac:dyDescent="0.25">
      <c r="A53" s="210" t="s">
        <v>29</v>
      </c>
      <c r="B53" s="213" t="s">
        <v>110</v>
      </c>
      <c r="C53" s="59" t="s">
        <v>33</v>
      </c>
      <c r="E53" s="208">
        <v>71</v>
      </c>
      <c r="F53" s="209"/>
      <c r="G53" s="209"/>
      <c r="H53" s="209"/>
      <c r="I53" s="209"/>
      <c r="J53" s="209"/>
      <c r="L53" s="208">
        <v>28</v>
      </c>
      <c r="M53" s="209"/>
      <c r="N53" s="209"/>
      <c r="O53" s="209"/>
      <c r="P53" s="209"/>
      <c r="Q53" s="209"/>
      <c r="S53" s="208">
        <v>144</v>
      </c>
      <c r="T53" s="209"/>
      <c r="U53" s="209"/>
      <c r="V53" s="209"/>
      <c r="W53" s="209"/>
      <c r="X53" s="209"/>
      <c r="Z53" s="208">
        <v>144</v>
      </c>
      <c r="AA53" s="209"/>
      <c r="AB53" s="209"/>
      <c r="AC53" s="209"/>
      <c r="AD53" s="209"/>
      <c r="AE53" s="209"/>
      <c r="AG53" s="208">
        <v>144</v>
      </c>
      <c r="AH53" s="209"/>
      <c r="AI53" s="209"/>
      <c r="AJ53" s="209"/>
      <c r="AK53" s="209"/>
      <c r="AL53" s="209"/>
    </row>
    <row r="54" spans="1:39" x14ac:dyDescent="0.25">
      <c r="A54" s="211"/>
      <c r="B54" s="214"/>
      <c r="C54" s="18" t="s">
        <v>69</v>
      </c>
      <c r="E54" s="206">
        <v>251</v>
      </c>
      <c r="F54" s="207"/>
      <c r="G54" s="207"/>
      <c r="H54" s="207"/>
      <c r="I54" s="207"/>
      <c r="J54" s="207"/>
      <c r="L54" s="206">
        <v>277</v>
      </c>
      <c r="M54" s="207"/>
      <c r="N54" s="207"/>
      <c r="O54" s="207"/>
      <c r="P54" s="207"/>
      <c r="Q54" s="207"/>
      <c r="S54" s="206">
        <v>324</v>
      </c>
      <c r="T54" s="207"/>
      <c r="U54" s="207"/>
      <c r="V54" s="207"/>
      <c r="W54" s="207"/>
      <c r="X54" s="207"/>
      <c r="Z54" s="206">
        <v>324</v>
      </c>
      <c r="AA54" s="207"/>
      <c r="AB54" s="207"/>
      <c r="AC54" s="207"/>
      <c r="AD54" s="207"/>
      <c r="AE54" s="207"/>
      <c r="AG54" s="206">
        <v>324</v>
      </c>
      <c r="AH54" s="207"/>
      <c r="AI54" s="207"/>
      <c r="AJ54" s="207"/>
      <c r="AK54" s="207"/>
      <c r="AL54" s="207"/>
    </row>
    <row r="55" spans="1:39" x14ac:dyDescent="0.25">
      <c r="A55" s="211"/>
      <c r="B55" s="214"/>
      <c r="C55" s="18" t="s">
        <v>39</v>
      </c>
      <c r="E55" s="206">
        <v>103</v>
      </c>
      <c r="F55" s="207"/>
      <c r="G55" s="207"/>
      <c r="H55" s="207"/>
      <c r="I55" s="207"/>
      <c r="J55" s="207"/>
      <c r="L55" s="206">
        <v>67</v>
      </c>
      <c r="M55" s="207"/>
      <c r="N55" s="207"/>
      <c r="O55" s="207"/>
      <c r="P55" s="207"/>
      <c r="Q55" s="207"/>
      <c r="S55" s="206">
        <v>70</v>
      </c>
      <c r="T55" s="207"/>
      <c r="U55" s="207"/>
      <c r="V55" s="207"/>
      <c r="W55" s="207"/>
      <c r="X55" s="207"/>
      <c r="Z55" s="206">
        <v>70</v>
      </c>
      <c r="AA55" s="207"/>
      <c r="AB55" s="207"/>
      <c r="AC55" s="207"/>
      <c r="AD55" s="207"/>
      <c r="AE55" s="207"/>
      <c r="AG55" s="206">
        <v>70</v>
      </c>
      <c r="AH55" s="207"/>
      <c r="AI55" s="207"/>
      <c r="AJ55" s="207"/>
      <c r="AK55" s="207"/>
      <c r="AL55" s="207"/>
    </row>
    <row r="56" spans="1:39" x14ac:dyDescent="0.25">
      <c r="A56" s="211"/>
      <c r="B56" s="214"/>
      <c r="C56" s="18" t="s">
        <v>40</v>
      </c>
      <c r="E56" s="206">
        <v>106</v>
      </c>
      <c r="F56" s="207"/>
      <c r="G56" s="207"/>
      <c r="H56" s="207"/>
      <c r="I56" s="207"/>
      <c r="J56" s="207"/>
      <c r="L56" s="206">
        <v>105</v>
      </c>
      <c r="M56" s="207"/>
      <c r="N56" s="207"/>
      <c r="O56" s="207"/>
      <c r="P56" s="207"/>
      <c r="Q56" s="207"/>
      <c r="S56" s="206">
        <v>146</v>
      </c>
      <c r="T56" s="207"/>
      <c r="U56" s="207"/>
      <c r="V56" s="207"/>
      <c r="W56" s="207"/>
      <c r="X56" s="207"/>
      <c r="Z56" s="206">
        <v>146</v>
      </c>
      <c r="AA56" s="207"/>
      <c r="AB56" s="207"/>
      <c r="AC56" s="207"/>
      <c r="AD56" s="207"/>
      <c r="AE56" s="207"/>
      <c r="AG56" s="206">
        <v>146</v>
      </c>
      <c r="AH56" s="207"/>
      <c r="AI56" s="207"/>
      <c r="AJ56" s="207"/>
      <c r="AK56" s="207"/>
      <c r="AL56" s="207"/>
    </row>
    <row r="57" spans="1:39" x14ac:dyDescent="0.25">
      <c r="A57" s="211"/>
      <c r="B57" s="214"/>
      <c r="C57" s="16" t="s">
        <v>41</v>
      </c>
      <c r="E57" s="200"/>
      <c r="F57" s="201"/>
      <c r="G57" s="201"/>
      <c r="H57" s="201"/>
      <c r="I57" s="201"/>
      <c r="J57" s="201"/>
      <c r="L57" s="200"/>
      <c r="M57" s="201"/>
      <c r="N57" s="201"/>
      <c r="O57" s="201"/>
      <c r="P57" s="201"/>
      <c r="Q57" s="201"/>
      <c r="S57" s="200"/>
      <c r="T57" s="201"/>
      <c r="U57" s="201"/>
      <c r="V57" s="201"/>
      <c r="W57" s="201"/>
      <c r="X57" s="201"/>
      <c r="Z57" s="200"/>
      <c r="AA57" s="201"/>
      <c r="AB57" s="201"/>
      <c r="AC57" s="201"/>
      <c r="AD57" s="201"/>
      <c r="AE57" s="201"/>
      <c r="AG57" s="200"/>
      <c r="AH57" s="201"/>
      <c r="AI57" s="201"/>
      <c r="AJ57" s="201"/>
      <c r="AK57" s="201"/>
      <c r="AL57" s="201"/>
    </row>
    <row r="58" spans="1:39" x14ac:dyDescent="0.25">
      <c r="A58" s="211"/>
      <c r="B58" s="214"/>
      <c r="C58" s="16" t="s">
        <v>42</v>
      </c>
      <c r="E58" s="200"/>
      <c r="F58" s="201"/>
      <c r="G58" s="201"/>
      <c r="H58" s="201"/>
      <c r="I58" s="201"/>
      <c r="J58" s="201"/>
      <c r="L58" s="200"/>
      <c r="M58" s="201"/>
      <c r="N58" s="201"/>
      <c r="O58" s="201"/>
      <c r="P58" s="201"/>
      <c r="Q58" s="201"/>
      <c r="S58" s="200"/>
      <c r="T58" s="201"/>
      <c r="U58" s="201"/>
      <c r="V58" s="201"/>
      <c r="W58" s="201"/>
      <c r="X58" s="201"/>
      <c r="Z58" s="200"/>
      <c r="AA58" s="201"/>
      <c r="AB58" s="201"/>
      <c r="AC58" s="201"/>
      <c r="AD58" s="201"/>
      <c r="AE58" s="201"/>
      <c r="AG58" s="200"/>
      <c r="AH58" s="201"/>
      <c r="AI58" s="201"/>
      <c r="AJ58" s="201"/>
      <c r="AK58" s="201"/>
      <c r="AL58" s="201"/>
    </row>
    <row r="59" spans="1:39" x14ac:dyDescent="0.25">
      <c r="A59" s="211"/>
      <c r="B59" s="214"/>
      <c r="C59" s="18" t="s">
        <v>43</v>
      </c>
      <c r="E59" s="200">
        <v>10</v>
      </c>
      <c r="F59" s="201"/>
      <c r="G59" s="201"/>
      <c r="H59" s="201"/>
      <c r="I59" s="201"/>
      <c r="J59" s="201"/>
      <c r="L59" s="200">
        <v>12</v>
      </c>
      <c r="M59" s="201"/>
      <c r="N59" s="201"/>
      <c r="O59" s="201"/>
      <c r="P59" s="201"/>
      <c r="Q59" s="201"/>
      <c r="S59" s="200"/>
      <c r="T59" s="201"/>
      <c r="U59" s="201"/>
      <c r="V59" s="201"/>
      <c r="W59" s="201"/>
      <c r="X59" s="201"/>
      <c r="Z59" s="200"/>
      <c r="AA59" s="201"/>
      <c r="AB59" s="201"/>
      <c r="AC59" s="201"/>
      <c r="AD59" s="201"/>
      <c r="AE59" s="201"/>
      <c r="AG59" s="200"/>
      <c r="AH59" s="201"/>
      <c r="AI59" s="201"/>
      <c r="AJ59" s="201"/>
      <c r="AK59" s="201"/>
      <c r="AL59" s="201"/>
    </row>
    <row r="60" spans="1:39" x14ac:dyDescent="0.25">
      <c r="A60" s="211"/>
      <c r="B60" s="214"/>
      <c r="C60" s="16" t="s">
        <v>44</v>
      </c>
      <c r="E60" s="206" t="s">
        <v>249</v>
      </c>
      <c r="F60" s="207"/>
      <c r="G60" s="207"/>
      <c r="H60" s="207"/>
      <c r="I60" s="207"/>
      <c r="J60" s="207"/>
      <c r="L60" s="206" t="s">
        <v>193</v>
      </c>
      <c r="M60" s="207"/>
      <c r="N60" s="207"/>
      <c r="O60" s="207"/>
      <c r="P60" s="207"/>
      <c r="Q60" s="207"/>
      <c r="S60" s="206" t="s">
        <v>217</v>
      </c>
      <c r="T60" s="207"/>
      <c r="U60" s="207"/>
      <c r="V60" s="207"/>
      <c r="W60" s="207"/>
      <c r="X60" s="207"/>
      <c r="Z60" s="206" t="s">
        <v>217</v>
      </c>
      <c r="AA60" s="207"/>
      <c r="AB60" s="207"/>
      <c r="AC60" s="207"/>
      <c r="AD60" s="207"/>
      <c r="AE60" s="207"/>
      <c r="AG60" s="206" t="s">
        <v>217</v>
      </c>
      <c r="AH60" s="207"/>
      <c r="AI60" s="207"/>
      <c r="AJ60" s="207"/>
      <c r="AK60" s="207"/>
      <c r="AL60" s="207"/>
    </row>
    <row r="61" spans="1:39" ht="15" customHeight="1" x14ac:dyDescent="0.25">
      <c r="A61" s="211"/>
      <c r="B61" s="214"/>
      <c r="C61" s="204" t="s">
        <v>70</v>
      </c>
      <c r="D61" s="41"/>
      <c r="E61" s="200"/>
      <c r="F61" s="201"/>
      <c r="G61" s="201"/>
      <c r="H61" s="201"/>
      <c r="I61" s="201"/>
      <c r="J61" s="201"/>
      <c r="K61" s="37"/>
      <c r="L61" s="200"/>
      <c r="M61" s="201"/>
      <c r="N61" s="201"/>
      <c r="O61" s="201"/>
      <c r="P61" s="201"/>
      <c r="Q61" s="201"/>
      <c r="R61" s="37"/>
      <c r="S61" s="200"/>
      <c r="T61" s="201"/>
      <c r="U61" s="201"/>
      <c r="V61" s="201"/>
      <c r="W61" s="201"/>
      <c r="X61" s="201"/>
      <c r="Y61" s="37"/>
      <c r="Z61" s="200"/>
      <c r="AA61" s="201"/>
      <c r="AB61" s="201"/>
      <c r="AC61" s="201"/>
      <c r="AD61" s="201"/>
      <c r="AE61" s="201"/>
      <c r="AF61" s="37"/>
      <c r="AG61" s="200"/>
      <c r="AH61" s="201"/>
      <c r="AI61" s="201"/>
      <c r="AJ61" s="201"/>
      <c r="AK61" s="201"/>
      <c r="AL61" s="201"/>
      <c r="AM61" s="37"/>
    </row>
    <row r="62" spans="1:39" ht="15.75" thickBot="1" x14ac:dyDescent="0.3">
      <c r="A62" s="212"/>
      <c r="B62" s="215"/>
      <c r="C62" s="205"/>
      <c r="D62" s="41"/>
      <c r="E62" s="202"/>
      <c r="F62" s="203"/>
      <c r="G62" s="203"/>
      <c r="H62" s="203"/>
      <c r="I62" s="203"/>
      <c r="J62" s="203"/>
      <c r="K62" s="37"/>
      <c r="L62" s="202"/>
      <c r="M62" s="203"/>
      <c r="N62" s="203"/>
      <c r="O62" s="203"/>
      <c r="P62" s="203"/>
      <c r="Q62" s="203"/>
      <c r="R62" s="37"/>
      <c r="S62" s="202"/>
      <c r="T62" s="203"/>
      <c r="U62" s="203"/>
      <c r="V62" s="203"/>
      <c r="W62" s="203"/>
      <c r="X62" s="203"/>
      <c r="Y62" s="37"/>
      <c r="Z62" s="202"/>
      <c r="AA62" s="203"/>
      <c r="AB62" s="203"/>
      <c r="AC62" s="203"/>
      <c r="AD62" s="203"/>
      <c r="AE62" s="203"/>
      <c r="AF62" s="37"/>
      <c r="AG62" s="202"/>
      <c r="AH62" s="203"/>
      <c r="AI62" s="203"/>
      <c r="AJ62" s="203"/>
      <c r="AK62" s="203"/>
      <c r="AL62" s="203"/>
      <c r="AM62" s="37"/>
    </row>
  </sheetData>
  <mergeCells count="264">
    <mergeCell ref="E7:J7"/>
    <mergeCell ref="L7:Q7"/>
    <mergeCell ref="E12:J12"/>
    <mergeCell ref="L12:Q12"/>
    <mergeCell ref="G35:H35"/>
    <mergeCell ref="N35:O35"/>
    <mergeCell ref="L46:M46"/>
    <mergeCell ref="N46:P46"/>
    <mergeCell ref="E44:F44"/>
    <mergeCell ref="G44:I44"/>
    <mergeCell ref="E16:J16"/>
    <mergeCell ref="L16:Q16"/>
    <mergeCell ref="G41:H41"/>
    <mergeCell ref="N41:O41"/>
    <mergeCell ref="N45:P45"/>
    <mergeCell ref="S9:X9"/>
    <mergeCell ref="Z9:AE9"/>
    <mergeCell ref="AG9:AL9"/>
    <mergeCell ref="E10:J10"/>
    <mergeCell ref="L10:Q10"/>
    <mergeCell ref="S10:X10"/>
    <mergeCell ref="Z10:AE10"/>
    <mergeCell ref="AG10:AL10"/>
    <mergeCell ref="E11:J11"/>
    <mergeCell ref="L11:Q11"/>
    <mergeCell ref="S11:X11"/>
    <mergeCell ref="Z11:AE11"/>
    <mergeCell ref="AG11:AL11"/>
    <mergeCell ref="S7:X7"/>
    <mergeCell ref="Z7:AE7"/>
    <mergeCell ref="AG7:AL7"/>
    <mergeCell ref="A13:A15"/>
    <mergeCell ref="B13:B15"/>
    <mergeCell ref="E13:I13"/>
    <mergeCell ref="L13:P13"/>
    <mergeCell ref="E15:I15"/>
    <mergeCell ref="L15:P15"/>
    <mergeCell ref="S12:X12"/>
    <mergeCell ref="Z12:AE12"/>
    <mergeCell ref="AG12:AL12"/>
    <mergeCell ref="S15:W15"/>
    <mergeCell ref="Z15:AD15"/>
    <mergeCell ref="AG15:AK15"/>
    <mergeCell ref="A8:A11"/>
    <mergeCell ref="B8:B11"/>
    <mergeCell ref="E8:J8"/>
    <mergeCell ref="L8:Q8"/>
    <mergeCell ref="S8:X8"/>
    <mergeCell ref="Z8:AE8"/>
    <mergeCell ref="AG8:AL8"/>
    <mergeCell ref="E9:J9"/>
    <mergeCell ref="L9:Q9"/>
    <mergeCell ref="S16:X16"/>
    <mergeCell ref="Z16:AE16"/>
    <mergeCell ref="AG16:AL16"/>
    <mergeCell ref="S13:W13"/>
    <mergeCell ref="Z13:AD13"/>
    <mergeCell ref="AG13:AK13"/>
    <mergeCell ref="E14:I14"/>
    <mergeCell ref="L14:P14"/>
    <mergeCell ref="S14:W14"/>
    <mergeCell ref="Z14:AD14"/>
    <mergeCell ref="AG14:AK14"/>
    <mergeCell ref="Z17:AE17"/>
    <mergeCell ref="AG17:AL17"/>
    <mergeCell ref="E18:J18"/>
    <mergeCell ref="L18:Q18"/>
    <mergeCell ref="S18:X18"/>
    <mergeCell ref="Z18:AE18"/>
    <mergeCell ref="AG18:AL18"/>
    <mergeCell ref="A17:A19"/>
    <mergeCell ref="B17:B19"/>
    <mergeCell ref="E17:J17"/>
    <mergeCell ref="L17:Q17"/>
    <mergeCell ref="S17:X17"/>
    <mergeCell ref="E19:I19"/>
    <mergeCell ref="L19:P19"/>
    <mergeCell ref="A21:A32"/>
    <mergeCell ref="B21:B32"/>
    <mergeCell ref="E33:J33"/>
    <mergeCell ref="L33:Q33"/>
    <mergeCell ref="S33:X33"/>
    <mergeCell ref="S19:W19"/>
    <mergeCell ref="Z19:AD19"/>
    <mergeCell ref="AG19:AK19"/>
    <mergeCell ref="E20:J20"/>
    <mergeCell ref="L20:Q20"/>
    <mergeCell ref="S20:X20"/>
    <mergeCell ref="Z20:AE20"/>
    <mergeCell ref="AG20:AL20"/>
    <mergeCell ref="U35:V35"/>
    <mergeCell ref="AB35:AC35"/>
    <mergeCell ref="AI35:AJ35"/>
    <mergeCell ref="Z33:AE33"/>
    <mergeCell ref="AG33:AL33"/>
    <mergeCell ref="A34:A42"/>
    <mergeCell ref="B34:B42"/>
    <mergeCell ref="G34:H34"/>
    <mergeCell ref="N34:O34"/>
    <mergeCell ref="U34:V34"/>
    <mergeCell ref="AB34:AC34"/>
    <mergeCell ref="AI34:AJ34"/>
    <mergeCell ref="G38:H38"/>
    <mergeCell ref="N38:O38"/>
    <mergeCell ref="U38:V38"/>
    <mergeCell ref="AB38:AC38"/>
    <mergeCell ref="AI38:AJ38"/>
    <mergeCell ref="G36:H36"/>
    <mergeCell ref="N36:O36"/>
    <mergeCell ref="U36:V36"/>
    <mergeCell ref="AB36:AC36"/>
    <mergeCell ref="AI36:AJ36"/>
    <mergeCell ref="G40:H40"/>
    <mergeCell ref="N40:O40"/>
    <mergeCell ref="U40:V40"/>
    <mergeCell ref="AB40:AC40"/>
    <mergeCell ref="AI40:AJ40"/>
    <mergeCell ref="G39:H39"/>
    <mergeCell ref="N39:O39"/>
    <mergeCell ref="U39:V39"/>
    <mergeCell ref="AB39:AC39"/>
    <mergeCell ref="AI39:AJ39"/>
    <mergeCell ref="G37:H37"/>
    <mergeCell ref="N37:O37"/>
    <mergeCell ref="U41:V41"/>
    <mergeCell ref="AB41:AC41"/>
    <mergeCell ref="AI41:AJ41"/>
    <mergeCell ref="E46:F46"/>
    <mergeCell ref="G46:I46"/>
    <mergeCell ref="E47:F47"/>
    <mergeCell ref="G47:I47"/>
    <mergeCell ref="E43:J43"/>
    <mergeCell ref="L43:Q43"/>
    <mergeCell ref="S43:X43"/>
    <mergeCell ref="Z43:AE43"/>
    <mergeCell ref="Z44:AA44"/>
    <mergeCell ref="AB44:AD44"/>
    <mergeCell ref="Z45:AA45"/>
    <mergeCell ref="AB45:AD45"/>
    <mergeCell ref="AB47:AD47"/>
    <mergeCell ref="AG43:AL43"/>
    <mergeCell ref="E42:H42"/>
    <mergeCell ref="L42:O42"/>
    <mergeCell ref="S42:V42"/>
    <mergeCell ref="Z42:AC42"/>
    <mergeCell ref="AG42:AJ42"/>
    <mergeCell ref="G45:I45"/>
    <mergeCell ref="L45:M45"/>
    <mergeCell ref="S45:T45"/>
    <mergeCell ref="U45:W45"/>
    <mergeCell ref="L44:M44"/>
    <mergeCell ref="N44:P44"/>
    <mergeCell ref="S44:T44"/>
    <mergeCell ref="U44:W44"/>
    <mergeCell ref="A49:A51"/>
    <mergeCell ref="B49:B51"/>
    <mergeCell ref="F49:G49"/>
    <mergeCell ref="H49:J49"/>
    <mergeCell ref="A44:A47"/>
    <mergeCell ref="B44:B47"/>
    <mergeCell ref="S46:T46"/>
    <mergeCell ref="U46:W46"/>
    <mergeCell ref="M51:N51"/>
    <mergeCell ref="O51:Q51"/>
    <mergeCell ref="T49:U49"/>
    <mergeCell ref="E48:J48"/>
    <mergeCell ref="F50:G50"/>
    <mergeCell ref="H50:J50"/>
    <mergeCell ref="F51:G51"/>
    <mergeCell ref="H51:J51"/>
    <mergeCell ref="AG47:AH47"/>
    <mergeCell ref="AI47:AK47"/>
    <mergeCell ref="L48:Q48"/>
    <mergeCell ref="S48:X48"/>
    <mergeCell ref="Z48:AE48"/>
    <mergeCell ref="AG48:AL48"/>
    <mergeCell ref="L47:M47"/>
    <mergeCell ref="N47:P47"/>
    <mergeCell ref="S47:T47"/>
    <mergeCell ref="U47:W47"/>
    <mergeCell ref="Z47:AA47"/>
    <mergeCell ref="Z46:AA46"/>
    <mergeCell ref="AB46:AD46"/>
    <mergeCell ref="AG44:AH44"/>
    <mergeCell ref="AI44:AK44"/>
    <mergeCell ref="E45:F45"/>
    <mergeCell ref="V49:X49"/>
    <mergeCell ref="AA49:AB49"/>
    <mergeCell ref="AC49:AE49"/>
    <mergeCell ref="AA50:AB50"/>
    <mergeCell ref="AC50:AE50"/>
    <mergeCell ref="AH50:AI50"/>
    <mergeCell ref="AJ50:AL50"/>
    <mergeCell ref="AG45:AH45"/>
    <mergeCell ref="AI45:AK45"/>
    <mergeCell ref="AG46:AH46"/>
    <mergeCell ref="AI46:AK46"/>
    <mergeCell ref="AH49:AI49"/>
    <mergeCell ref="AJ49:AL49"/>
    <mergeCell ref="M50:N50"/>
    <mergeCell ref="O50:Q50"/>
    <mergeCell ref="T50:U50"/>
    <mergeCell ref="V50:X50"/>
    <mergeCell ref="M49:N49"/>
    <mergeCell ref="O49:Q49"/>
    <mergeCell ref="E52:J52"/>
    <mergeCell ref="L52:Q52"/>
    <mergeCell ref="S52:X52"/>
    <mergeCell ref="Z52:AE52"/>
    <mergeCell ref="AG52:AL52"/>
    <mergeCell ref="T51:U51"/>
    <mergeCell ref="V51:X51"/>
    <mergeCell ref="AA51:AB51"/>
    <mergeCell ref="AC51:AE51"/>
    <mergeCell ref="AH51:AI51"/>
    <mergeCell ref="AJ51:AL51"/>
    <mergeCell ref="Z53:AE53"/>
    <mergeCell ref="AG53:AL53"/>
    <mergeCell ref="E54:J54"/>
    <mergeCell ref="L54:Q54"/>
    <mergeCell ref="S54:X54"/>
    <mergeCell ref="Z54:AE54"/>
    <mergeCell ref="AG54:AL54"/>
    <mergeCell ref="A53:A62"/>
    <mergeCell ref="B53:B62"/>
    <mergeCell ref="E53:J53"/>
    <mergeCell ref="L53:Q53"/>
    <mergeCell ref="S53:X53"/>
    <mergeCell ref="E55:J55"/>
    <mergeCell ref="L55:Q55"/>
    <mergeCell ref="S55:X55"/>
    <mergeCell ref="E59:J59"/>
    <mergeCell ref="E60:J60"/>
    <mergeCell ref="E57:J57"/>
    <mergeCell ref="L57:Q57"/>
    <mergeCell ref="S57:X57"/>
    <mergeCell ref="Z57:AE57"/>
    <mergeCell ref="AG57:AL57"/>
    <mergeCell ref="Z55:AE55"/>
    <mergeCell ref="AG55:AL55"/>
    <mergeCell ref="E56:J56"/>
    <mergeCell ref="L56:Q56"/>
    <mergeCell ref="S56:X56"/>
    <mergeCell ref="Z56:AE56"/>
    <mergeCell ref="AG56:AL56"/>
    <mergeCell ref="L59:Q59"/>
    <mergeCell ref="S59:X59"/>
    <mergeCell ref="Z59:AE59"/>
    <mergeCell ref="AG59:AL59"/>
    <mergeCell ref="E58:J58"/>
    <mergeCell ref="L58:Q58"/>
    <mergeCell ref="S58:X58"/>
    <mergeCell ref="Z58:AE58"/>
    <mergeCell ref="AG58:AL58"/>
    <mergeCell ref="AG61:AL62"/>
    <mergeCell ref="C61:C62"/>
    <mergeCell ref="L61:Q62"/>
    <mergeCell ref="S61:X62"/>
    <mergeCell ref="Z61:AE62"/>
    <mergeCell ref="L60:Q60"/>
    <mergeCell ref="S60:X60"/>
    <mergeCell ref="Z60:AE60"/>
    <mergeCell ref="AG60:AL60"/>
    <mergeCell ref="E61:J6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M62"/>
  <sheetViews>
    <sheetView topLeftCell="A4" zoomScale="60" zoomScaleNormal="60" workbookViewId="0">
      <pane xSplit="3" topLeftCell="D1" activePane="topRight" state="frozen"/>
      <selection pane="topRight" activeCell="AK38" sqref="AK38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.7109375" style="7" customWidth="1"/>
    <col min="5" max="5" width="11.42578125" style="4"/>
    <col min="6" max="6" width="35" style="4" bestFit="1" customWidth="1"/>
    <col min="7" max="7" width="20.28515625" style="4" customWidth="1"/>
    <col min="8" max="8" width="11.42578125" style="4"/>
    <col min="9" max="9" width="25.85546875" style="4" bestFit="1" customWidth="1"/>
    <col min="10" max="10" width="28.140625" style="4" bestFit="1" customWidth="1"/>
    <col min="11" max="11" width="1.7109375" style="22" customWidth="1"/>
    <col min="12" max="12" width="8.5703125" style="4" bestFit="1" customWidth="1"/>
    <col min="13" max="13" width="35" style="4" bestFit="1" customWidth="1"/>
    <col min="14" max="15" width="9.28515625" style="4" customWidth="1"/>
    <col min="16" max="16" width="25.85546875" style="4" bestFit="1" customWidth="1"/>
    <col min="17" max="17" width="28.140625" style="4" bestFit="1" customWidth="1"/>
    <col min="18" max="18" width="1.7109375" style="22" customWidth="1"/>
    <col min="19" max="20" width="11.42578125" style="4"/>
    <col min="21" max="21" width="34.28515625" style="4" bestFit="1" customWidth="1"/>
    <col min="22" max="22" width="11.42578125" style="4"/>
    <col min="23" max="23" width="25.85546875" style="4" bestFit="1" customWidth="1"/>
    <col min="24" max="24" width="28.140625" style="4" bestFit="1" customWidth="1"/>
    <col min="25" max="25" width="1.7109375" style="7" customWidth="1"/>
    <col min="26" max="26" width="8.5703125" style="4" bestFit="1" customWidth="1"/>
    <col min="27" max="27" width="35" style="4" bestFit="1" customWidth="1"/>
    <col min="28" max="29" width="9.28515625" style="4" customWidth="1"/>
    <col min="30" max="30" width="25.85546875" style="4" bestFit="1" customWidth="1"/>
    <col min="31" max="31" width="28.140625" style="4" bestFit="1" customWidth="1"/>
    <col min="32" max="32" width="1.7109375" style="22" customWidth="1"/>
    <col min="33" max="34" width="11.42578125" style="4"/>
    <col min="35" max="35" width="34.28515625" style="4" bestFit="1" customWidth="1"/>
    <col min="36" max="36" width="11.42578125" style="4"/>
    <col min="37" max="37" width="25.85546875" style="4" bestFit="1" customWidth="1"/>
    <col min="38" max="38" width="28.140625" style="4" bestFit="1" customWidth="1"/>
    <col min="39" max="39" width="1.7109375" style="7" customWidth="1"/>
    <col min="40" max="16384" width="11.42578125" style="4"/>
  </cols>
  <sheetData>
    <row r="6" spans="1:39" ht="15.75" thickBot="1" x14ac:dyDescent="0.3">
      <c r="A6" s="9"/>
      <c r="B6" s="9"/>
      <c r="C6" s="9"/>
    </row>
    <row r="7" spans="1:39" ht="15.75" thickBot="1" x14ac:dyDescent="0.3">
      <c r="A7" s="20"/>
      <c r="B7" s="21" t="s">
        <v>37</v>
      </c>
      <c r="C7" s="21" t="s">
        <v>38</v>
      </c>
      <c r="D7" s="19"/>
      <c r="E7" s="283" t="s">
        <v>45</v>
      </c>
      <c r="F7" s="284"/>
      <c r="G7" s="284"/>
      <c r="H7" s="284"/>
      <c r="I7" s="284"/>
      <c r="J7" s="284"/>
      <c r="K7" s="64"/>
      <c r="L7" s="285" t="s">
        <v>46</v>
      </c>
      <c r="M7" s="286"/>
      <c r="N7" s="286"/>
      <c r="O7" s="286"/>
      <c r="P7" s="286"/>
      <c r="Q7" s="286"/>
      <c r="R7" s="64"/>
      <c r="S7" s="283" t="s">
        <v>47</v>
      </c>
      <c r="T7" s="284"/>
      <c r="U7" s="284"/>
      <c r="V7" s="284"/>
      <c r="W7" s="284"/>
      <c r="X7" s="284"/>
      <c r="Y7" s="65"/>
      <c r="Z7" s="285" t="s">
        <v>48</v>
      </c>
      <c r="AA7" s="286"/>
      <c r="AB7" s="286"/>
      <c r="AC7" s="286"/>
      <c r="AD7" s="286"/>
      <c r="AE7" s="286"/>
      <c r="AF7" s="64"/>
      <c r="AG7" s="285" t="s">
        <v>49</v>
      </c>
      <c r="AH7" s="286"/>
      <c r="AI7" s="286"/>
      <c r="AJ7" s="286"/>
      <c r="AK7" s="286"/>
      <c r="AL7" s="286"/>
      <c r="AM7" s="65"/>
    </row>
    <row r="8" spans="1:39" ht="15" customHeight="1" x14ac:dyDescent="0.25">
      <c r="A8" s="291" t="s">
        <v>36</v>
      </c>
      <c r="B8" s="294" t="s">
        <v>35</v>
      </c>
      <c r="C8" s="40" t="s">
        <v>2</v>
      </c>
      <c r="D8" s="8"/>
      <c r="E8" s="297" t="s">
        <v>115</v>
      </c>
      <c r="F8" s="298"/>
      <c r="G8" s="298"/>
      <c r="H8" s="298"/>
      <c r="I8" s="298"/>
      <c r="J8" s="298"/>
      <c r="K8" s="23"/>
      <c r="L8" s="297" t="s">
        <v>116</v>
      </c>
      <c r="M8" s="298"/>
      <c r="N8" s="298"/>
      <c r="O8" s="298"/>
      <c r="P8" s="298"/>
      <c r="Q8" s="298"/>
      <c r="R8" s="23"/>
      <c r="S8" s="297" t="s">
        <v>134</v>
      </c>
      <c r="T8" s="298"/>
      <c r="U8" s="298"/>
      <c r="V8" s="298"/>
      <c r="W8" s="298"/>
      <c r="X8" s="298"/>
      <c r="Z8" s="297" t="s">
        <v>134</v>
      </c>
      <c r="AA8" s="298"/>
      <c r="AB8" s="298"/>
      <c r="AC8" s="298"/>
      <c r="AD8" s="298"/>
      <c r="AE8" s="298"/>
      <c r="AF8" s="23"/>
      <c r="AG8" s="297" t="s">
        <v>134</v>
      </c>
      <c r="AH8" s="298"/>
      <c r="AI8" s="298"/>
      <c r="AJ8" s="298"/>
      <c r="AK8" s="298"/>
      <c r="AL8" s="298"/>
    </row>
    <row r="9" spans="1:39" x14ac:dyDescent="0.25">
      <c r="A9" s="292"/>
      <c r="B9" s="295"/>
      <c r="C9" s="66" t="s">
        <v>3</v>
      </c>
      <c r="D9" s="8"/>
      <c r="E9" s="299"/>
      <c r="F9" s="300"/>
      <c r="G9" s="300"/>
      <c r="H9" s="300"/>
      <c r="I9" s="300"/>
      <c r="J9" s="300"/>
      <c r="K9" s="23"/>
      <c r="L9" s="299"/>
      <c r="M9" s="300"/>
      <c r="N9" s="300"/>
      <c r="O9" s="300"/>
      <c r="P9" s="300"/>
      <c r="Q9" s="300"/>
      <c r="R9" s="23"/>
      <c r="S9" s="299"/>
      <c r="T9" s="300"/>
      <c r="U9" s="300"/>
      <c r="V9" s="300"/>
      <c r="W9" s="300"/>
      <c r="X9" s="300"/>
      <c r="Z9" s="299"/>
      <c r="AA9" s="300"/>
      <c r="AB9" s="300"/>
      <c r="AC9" s="300"/>
      <c r="AD9" s="300"/>
      <c r="AE9" s="300"/>
      <c r="AF9" s="23"/>
      <c r="AG9" s="299"/>
      <c r="AH9" s="300"/>
      <c r="AI9" s="300"/>
      <c r="AJ9" s="300"/>
      <c r="AK9" s="300"/>
      <c r="AL9" s="300"/>
    </row>
    <row r="10" spans="1:39" x14ac:dyDescent="0.25">
      <c r="A10" s="292"/>
      <c r="B10" s="295"/>
      <c r="C10" s="66" t="s">
        <v>106</v>
      </c>
      <c r="D10" s="8"/>
      <c r="E10" s="301"/>
      <c r="F10" s="301"/>
      <c r="G10" s="301"/>
      <c r="H10" s="301"/>
      <c r="I10" s="301"/>
      <c r="J10" s="301"/>
      <c r="K10" s="68"/>
      <c r="L10" s="301"/>
      <c r="M10" s="301"/>
      <c r="N10" s="301"/>
      <c r="O10" s="301"/>
      <c r="P10" s="301"/>
      <c r="Q10" s="301"/>
      <c r="R10" s="68"/>
      <c r="S10" s="301"/>
      <c r="T10" s="301"/>
      <c r="U10" s="301"/>
      <c r="V10" s="301"/>
      <c r="W10" s="301"/>
      <c r="X10" s="301"/>
      <c r="Y10" s="69"/>
      <c r="Z10" s="301"/>
      <c r="AA10" s="301"/>
      <c r="AB10" s="301"/>
      <c r="AC10" s="301"/>
      <c r="AD10" s="301"/>
      <c r="AE10" s="301"/>
      <c r="AF10" s="68"/>
      <c r="AG10" s="301"/>
      <c r="AH10" s="301"/>
      <c r="AI10" s="301"/>
      <c r="AJ10" s="301"/>
      <c r="AK10" s="301"/>
      <c r="AL10" s="301"/>
      <c r="AM10" s="69"/>
    </row>
    <row r="11" spans="1:39" ht="15.75" thickBot="1" x14ac:dyDescent="0.3">
      <c r="A11" s="293"/>
      <c r="B11" s="296"/>
      <c r="C11" s="67" t="s">
        <v>66</v>
      </c>
      <c r="D11" s="70"/>
      <c r="E11" s="302"/>
      <c r="F11" s="303"/>
      <c r="G11" s="303"/>
      <c r="H11" s="303"/>
      <c r="I11" s="303"/>
      <c r="J11" s="304"/>
      <c r="K11" s="71"/>
      <c r="L11" s="302"/>
      <c r="M11" s="303"/>
      <c r="N11" s="303"/>
      <c r="O11" s="303"/>
      <c r="P11" s="303"/>
      <c r="Q11" s="304"/>
      <c r="R11" s="71"/>
      <c r="S11" s="302"/>
      <c r="T11" s="303"/>
      <c r="U11" s="303"/>
      <c r="V11" s="303"/>
      <c r="W11" s="303"/>
      <c r="X11" s="304"/>
      <c r="Y11" s="72"/>
      <c r="Z11" s="302"/>
      <c r="AA11" s="303"/>
      <c r="AB11" s="303"/>
      <c r="AC11" s="303"/>
      <c r="AD11" s="303"/>
      <c r="AE11" s="304"/>
      <c r="AF11" s="71"/>
      <c r="AG11" s="302"/>
      <c r="AH11" s="303"/>
      <c r="AI11" s="303"/>
      <c r="AJ11" s="303"/>
      <c r="AK11" s="303"/>
      <c r="AL11" s="304"/>
      <c r="AM11" s="72"/>
    </row>
    <row r="12" spans="1:39" ht="15.75" thickBot="1" x14ac:dyDescent="0.3">
      <c r="A12" s="10"/>
      <c r="B12" s="12"/>
      <c r="C12" s="58"/>
      <c r="E12" s="216"/>
      <c r="F12" s="217"/>
      <c r="G12" s="217"/>
      <c r="H12" s="217"/>
      <c r="I12" s="217"/>
      <c r="J12" s="217"/>
      <c r="L12" s="216"/>
      <c r="M12" s="217"/>
      <c r="N12" s="217"/>
      <c r="O12" s="217"/>
      <c r="P12" s="217"/>
      <c r="Q12" s="217"/>
      <c r="S12" s="216"/>
      <c r="T12" s="217"/>
      <c r="U12" s="217"/>
      <c r="V12" s="217"/>
      <c r="W12" s="217"/>
      <c r="X12" s="217"/>
      <c r="Z12" s="216"/>
      <c r="AA12" s="217"/>
      <c r="AB12" s="217"/>
      <c r="AC12" s="217"/>
      <c r="AD12" s="217"/>
      <c r="AE12" s="217"/>
      <c r="AG12" s="216"/>
      <c r="AH12" s="217"/>
      <c r="AI12" s="217"/>
      <c r="AJ12" s="217"/>
      <c r="AK12" s="217"/>
      <c r="AL12" s="217"/>
    </row>
    <row r="13" spans="1:39" ht="15" customHeight="1" x14ac:dyDescent="0.25">
      <c r="A13" s="287" t="s">
        <v>34</v>
      </c>
      <c r="B13" s="288" t="s">
        <v>100</v>
      </c>
      <c r="C13" s="56" t="s">
        <v>5</v>
      </c>
      <c r="E13" s="277" t="s">
        <v>137</v>
      </c>
      <c r="F13" s="278"/>
      <c r="G13" s="278"/>
      <c r="H13" s="278"/>
      <c r="I13" s="279"/>
      <c r="J13" s="90" t="s">
        <v>138</v>
      </c>
      <c r="L13" s="277" t="s">
        <v>137</v>
      </c>
      <c r="M13" s="278"/>
      <c r="N13" s="278"/>
      <c r="O13" s="278"/>
      <c r="P13" s="279"/>
      <c r="Q13" s="90" t="s">
        <v>171</v>
      </c>
      <c r="S13" s="277" t="s">
        <v>137</v>
      </c>
      <c r="T13" s="278"/>
      <c r="U13" s="278"/>
      <c r="V13" s="278"/>
      <c r="W13" s="279"/>
      <c r="X13" s="90" t="s">
        <v>218</v>
      </c>
      <c r="Z13" s="277"/>
      <c r="AA13" s="278"/>
      <c r="AB13" s="278"/>
      <c r="AC13" s="278"/>
      <c r="AD13" s="279"/>
      <c r="AE13" s="90" t="s">
        <v>112</v>
      </c>
      <c r="AG13" s="277"/>
      <c r="AH13" s="278"/>
      <c r="AI13" s="278"/>
      <c r="AJ13" s="278"/>
      <c r="AK13" s="279"/>
      <c r="AL13" s="90" t="s">
        <v>112</v>
      </c>
    </row>
    <row r="14" spans="1:39" x14ac:dyDescent="0.25">
      <c r="A14" s="287"/>
      <c r="B14" s="288"/>
      <c r="C14" s="13" t="s">
        <v>6</v>
      </c>
      <c r="E14" s="280" t="s">
        <v>139</v>
      </c>
      <c r="F14" s="281"/>
      <c r="G14" s="281"/>
      <c r="H14" s="281"/>
      <c r="I14" s="282"/>
      <c r="J14" s="78" t="s">
        <v>140</v>
      </c>
      <c r="L14" s="280" t="s">
        <v>139</v>
      </c>
      <c r="M14" s="281"/>
      <c r="N14" s="281"/>
      <c r="O14" s="281"/>
      <c r="P14" s="282"/>
      <c r="Q14" s="78" t="s">
        <v>172</v>
      </c>
      <c r="S14" s="280"/>
      <c r="T14" s="281"/>
      <c r="U14" s="281"/>
      <c r="V14" s="281"/>
      <c r="W14" s="282"/>
      <c r="X14" s="78" t="s">
        <v>112</v>
      </c>
      <c r="Z14" s="280"/>
      <c r="AA14" s="281"/>
      <c r="AB14" s="281"/>
      <c r="AC14" s="281"/>
      <c r="AD14" s="282"/>
      <c r="AE14" s="78" t="s">
        <v>112</v>
      </c>
      <c r="AG14" s="280"/>
      <c r="AH14" s="281"/>
      <c r="AI14" s="281"/>
      <c r="AJ14" s="281"/>
      <c r="AK14" s="282"/>
      <c r="AL14" s="78" t="s">
        <v>112</v>
      </c>
    </row>
    <row r="15" spans="1:39" ht="15.75" thickBot="1" x14ac:dyDescent="0.3">
      <c r="A15" s="287"/>
      <c r="B15" s="288"/>
      <c r="C15" s="57" t="s">
        <v>7</v>
      </c>
      <c r="E15" s="289"/>
      <c r="F15" s="290"/>
      <c r="G15" s="290"/>
      <c r="H15" s="290"/>
      <c r="I15" s="219"/>
      <c r="J15" s="89" t="s">
        <v>112</v>
      </c>
      <c r="L15" s="289"/>
      <c r="M15" s="290"/>
      <c r="N15" s="290"/>
      <c r="O15" s="290"/>
      <c r="P15" s="219"/>
      <c r="Q15" s="89" t="s">
        <v>112</v>
      </c>
      <c r="S15" s="289"/>
      <c r="T15" s="290"/>
      <c r="U15" s="290"/>
      <c r="V15" s="290"/>
      <c r="W15" s="219"/>
      <c r="X15" s="89" t="s">
        <v>111</v>
      </c>
      <c r="Z15" s="289"/>
      <c r="AA15" s="290"/>
      <c r="AB15" s="290"/>
      <c r="AC15" s="290"/>
      <c r="AD15" s="219"/>
      <c r="AE15" s="89" t="s">
        <v>112</v>
      </c>
      <c r="AG15" s="289"/>
      <c r="AH15" s="290"/>
      <c r="AI15" s="290"/>
      <c r="AJ15" s="290"/>
      <c r="AK15" s="219"/>
      <c r="AL15" s="89" t="s">
        <v>112</v>
      </c>
    </row>
    <row r="16" spans="1:39" ht="15.75" thickBot="1" x14ac:dyDescent="0.3">
      <c r="A16" s="11"/>
      <c r="B16" s="14"/>
      <c r="C16" s="14"/>
      <c r="E16" s="216"/>
      <c r="F16" s="217"/>
      <c r="G16" s="217"/>
      <c r="H16" s="217"/>
      <c r="I16" s="217"/>
      <c r="J16" s="217"/>
      <c r="L16" s="216"/>
      <c r="M16" s="217"/>
      <c r="N16" s="217"/>
      <c r="O16" s="217"/>
      <c r="P16" s="217"/>
      <c r="Q16" s="217"/>
      <c r="S16" s="216"/>
      <c r="T16" s="217"/>
      <c r="U16" s="217"/>
      <c r="V16" s="217"/>
      <c r="W16" s="217"/>
      <c r="X16" s="217"/>
      <c r="Z16" s="216"/>
      <c r="AA16" s="217"/>
      <c r="AB16" s="217"/>
      <c r="AC16" s="217"/>
      <c r="AD16" s="217"/>
      <c r="AE16" s="217"/>
      <c r="AG16" s="216"/>
      <c r="AH16" s="217"/>
      <c r="AI16" s="217"/>
      <c r="AJ16" s="217"/>
      <c r="AK16" s="217"/>
      <c r="AL16" s="217"/>
    </row>
    <row r="17" spans="1:38" x14ac:dyDescent="0.25">
      <c r="A17" s="271" t="s">
        <v>8</v>
      </c>
      <c r="B17" s="274" t="s">
        <v>101</v>
      </c>
      <c r="C17" s="54" t="s">
        <v>67</v>
      </c>
      <c r="E17" s="267"/>
      <c r="F17" s="268"/>
      <c r="G17" s="268"/>
      <c r="H17" s="268"/>
      <c r="I17" s="268"/>
      <c r="J17" s="268"/>
      <c r="L17" s="267"/>
      <c r="M17" s="268"/>
      <c r="N17" s="268"/>
      <c r="O17" s="268"/>
      <c r="P17" s="268"/>
      <c r="Q17" s="268"/>
      <c r="S17" s="267"/>
      <c r="T17" s="268"/>
      <c r="U17" s="268"/>
      <c r="V17" s="268"/>
      <c r="W17" s="268"/>
      <c r="X17" s="268"/>
      <c r="Z17" s="267"/>
      <c r="AA17" s="268"/>
      <c r="AB17" s="268"/>
      <c r="AC17" s="268"/>
      <c r="AD17" s="268"/>
      <c r="AE17" s="268"/>
      <c r="AG17" s="267"/>
      <c r="AH17" s="268"/>
      <c r="AI17" s="268"/>
      <c r="AJ17" s="268"/>
      <c r="AK17" s="268"/>
      <c r="AL17" s="268"/>
    </row>
    <row r="18" spans="1:38" x14ac:dyDescent="0.25">
      <c r="A18" s="272"/>
      <c r="B18" s="275"/>
      <c r="C18" s="15" t="s">
        <v>77</v>
      </c>
      <c r="E18" s="269">
        <v>160</v>
      </c>
      <c r="F18" s="270"/>
      <c r="G18" s="270"/>
      <c r="H18" s="270"/>
      <c r="I18" s="270"/>
      <c r="J18" s="270"/>
      <c r="L18" s="269">
        <v>70</v>
      </c>
      <c r="M18" s="270"/>
      <c r="N18" s="270"/>
      <c r="O18" s="270"/>
      <c r="P18" s="270"/>
      <c r="Q18" s="270"/>
      <c r="S18" s="269">
        <v>25</v>
      </c>
      <c r="T18" s="270"/>
      <c r="U18" s="270"/>
      <c r="V18" s="270"/>
      <c r="W18" s="270"/>
      <c r="X18" s="270"/>
      <c r="Z18" s="269"/>
      <c r="AA18" s="270"/>
      <c r="AB18" s="270"/>
      <c r="AC18" s="270"/>
      <c r="AD18" s="270"/>
      <c r="AE18" s="270"/>
      <c r="AG18" s="269"/>
      <c r="AH18" s="270"/>
      <c r="AI18" s="270"/>
      <c r="AJ18" s="270"/>
      <c r="AK18" s="270"/>
      <c r="AL18" s="270"/>
    </row>
    <row r="19" spans="1:38" ht="15.75" thickBot="1" x14ac:dyDescent="0.3">
      <c r="A19" s="273"/>
      <c r="B19" s="276"/>
      <c r="C19" s="55" t="s">
        <v>10</v>
      </c>
      <c r="E19" s="264" t="s">
        <v>141</v>
      </c>
      <c r="F19" s="238"/>
      <c r="G19" s="238"/>
      <c r="H19" s="238"/>
      <c r="I19" s="239"/>
      <c r="J19" s="79" t="s">
        <v>142</v>
      </c>
      <c r="L19" s="264" t="s">
        <v>141</v>
      </c>
      <c r="M19" s="238"/>
      <c r="N19" s="238"/>
      <c r="O19" s="238"/>
      <c r="P19" s="239"/>
      <c r="Q19" s="79" t="s">
        <v>173</v>
      </c>
      <c r="S19" s="264" t="s">
        <v>141</v>
      </c>
      <c r="T19" s="238"/>
      <c r="U19" s="238"/>
      <c r="V19" s="238"/>
      <c r="W19" s="239"/>
      <c r="X19" s="79" t="s">
        <v>218</v>
      </c>
      <c r="Z19" s="264"/>
      <c r="AA19" s="238"/>
      <c r="AB19" s="238"/>
      <c r="AC19" s="238"/>
      <c r="AD19" s="239"/>
      <c r="AE19" s="79" t="s">
        <v>111</v>
      </c>
      <c r="AG19" s="264"/>
      <c r="AH19" s="238"/>
      <c r="AI19" s="238"/>
      <c r="AJ19" s="238"/>
      <c r="AK19" s="239"/>
      <c r="AL19" s="79" t="s">
        <v>111</v>
      </c>
    </row>
    <row r="20" spans="1:38" ht="15.75" thickBot="1" x14ac:dyDescent="0.3">
      <c r="A20" s="11"/>
      <c r="B20" s="14"/>
      <c r="C20" s="14"/>
      <c r="E20" s="265"/>
      <c r="F20" s="266"/>
      <c r="G20" s="266"/>
      <c r="H20" s="266"/>
      <c r="I20" s="266"/>
      <c r="J20" s="266"/>
      <c r="L20" s="265"/>
      <c r="M20" s="266"/>
      <c r="N20" s="266"/>
      <c r="O20" s="266"/>
      <c r="P20" s="266"/>
      <c r="Q20" s="266"/>
      <c r="S20" s="265"/>
      <c r="T20" s="266"/>
      <c r="U20" s="266"/>
      <c r="V20" s="266"/>
      <c r="W20" s="266"/>
      <c r="X20" s="266"/>
      <c r="Z20" s="265"/>
      <c r="AA20" s="266"/>
      <c r="AB20" s="266"/>
      <c r="AC20" s="266"/>
      <c r="AD20" s="266"/>
      <c r="AE20" s="266"/>
      <c r="AG20" s="265"/>
      <c r="AH20" s="266"/>
      <c r="AI20" s="266"/>
      <c r="AJ20" s="266"/>
      <c r="AK20" s="266"/>
      <c r="AL20" s="266"/>
    </row>
    <row r="21" spans="1:38" ht="15.75" thickBot="1" x14ac:dyDescent="0.3">
      <c r="A21" s="261" t="s">
        <v>11</v>
      </c>
      <c r="B21" s="257" t="s">
        <v>102</v>
      </c>
      <c r="C21" s="49" t="s">
        <v>92</v>
      </c>
      <c r="E21" s="91" t="s">
        <v>30</v>
      </c>
      <c r="F21" s="92" t="s">
        <v>71</v>
      </c>
      <c r="G21" s="92" t="s">
        <v>18</v>
      </c>
      <c r="H21" s="92" t="s">
        <v>113</v>
      </c>
      <c r="I21" s="93" t="s">
        <v>98</v>
      </c>
      <c r="J21" s="93" t="s">
        <v>21</v>
      </c>
      <c r="L21" s="91" t="s">
        <v>30</v>
      </c>
      <c r="M21" s="92" t="s">
        <v>71</v>
      </c>
      <c r="N21" s="92" t="s">
        <v>18</v>
      </c>
      <c r="O21" s="92" t="s">
        <v>113</v>
      </c>
      <c r="P21" s="93" t="s">
        <v>98</v>
      </c>
      <c r="Q21" s="93" t="s">
        <v>21</v>
      </c>
      <c r="S21" s="91" t="s">
        <v>30</v>
      </c>
      <c r="T21" s="92" t="s">
        <v>71</v>
      </c>
      <c r="U21" s="92" t="s">
        <v>18</v>
      </c>
      <c r="V21" s="92" t="s">
        <v>113</v>
      </c>
      <c r="W21" s="93" t="s">
        <v>98</v>
      </c>
      <c r="X21" s="93" t="s">
        <v>21</v>
      </c>
      <c r="Z21" s="91" t="s">
        <v>30</v>
      </c>
      <c r="AA21" s="92" t="s">
        <v>71</v>
      </c>
      <c r="AB21" s="92" t="s">
        <v>18</v>
      </c>
      <c r="AC21" s="92" t="s">
        <v>113</v>
      </c>
      <c r="AD21" s="93" t="s">
        <v>98</v>
      </c>
      <c r="AE21" s="93" t="s">
        <v>21</v>
      </c>
      <c r="AG21" s="91" t="s">
        <v>30</v>
      </c>
      <c r="AH21" s="92" t="s">
        <v>71</v>
      </c>
      <c r="AI21" s="92" t="s">
        <v>18</v>
      </c>
      <c r="AJ21" s="92" t="s">
        <v>113</v>
      </c>
      <c r="AK21" s="93" t="s">
        <v>98</v>
      </c>
      <c r="AL21" s="93" t="s">
        <v>21</v>
      </c>
    </row>
    <row r="22" spans="1:38" ht="15" customHeight="1" x14ac:dyDescent="0.25">
      <c r="A22" s="262"/>
      <c r="B22" s="258"/>
      <c r="C22" s="43" t="s">
        <v>12</v>
      </c>
      <c r="E22" s="51" t="s">
        <v>119</v>
      </c>
      <c r="F22" s="44" t="s">
        <v>120</v>
      </c>
      <c r="G22" s="80"/>
      <c r="H22" s="80" t="s">
        <v>133</v>
      </c>
      <c r="I22" s="45" t="s">
        <v>125</v>
      </c>
      <c r="J22" s="45">
        <v>3</v>
      </c>
      <c r="L22" s="51" t="s">
        <v>119</v>
      </c>
      <c r="M22" s="44" t="s">
        <v>120</v>
      </c>
      <c r="N22" s="80" t="s">
        <v>174</v>
      </c>
      <c r="O22" s="80" t="s">
        <v>117</v>
      </c>
      <c r="P22" s="75">
        <v>441</v>
      </c>
      <c r="Q22" s="75"/>
      <c r="S22" s="51"/>
      <c r="T22" s="44"/>
      <c r="U22" s="80"/>
      <c r="V22" s="80"/>
      <c r="W22" s="75"/>
      <c r="X22" s="75"/>
      <c r="Z22" s="51"/>
      <c r="AA22" s="44"/>
      <c r="AB22" s="80"/>
      <c r="AC22" s="80"/>
      <c r="AD22" s="75"/>
      <c r="AE22" s="75"/>
      <c r="AG22" s="51"/>
      <c r="AH22" s="44"/>
      <c r="AI22" s="80"/>
      <c r="AJ22" s="80"/>
      <c r="AK22" s="75"/>
      <c r="AL22" s="75"/>
    </row>
    <row r="23" spans="1:38" x14ac:dyDescent="0.25">
      <c r="A23" s="262"/>
      <c r="B23" s="258"/>
      <c r="C23" s="16" t="s">
        <v>13</v>
      </c>
      <c r="E23" s="81" t="s">
        <v>76</v>
      </c>
      <c r="F23" s="98" t="s">
        <v>124</v>
      </c>
      <c r="G23" s="81"/>
      <c r="H23" s="81" t="s">
        <v>118</v>
      </c>
      <c r="I23" s="42">
        <v>116</v>
      </c>
      <c r="J23" s="42">
        <v>1</v>
      </c>
      <c r="L23" s="81" t="s">
        <v>76</v>
      </c>
      <c r="M23" s="98" t="s">
        <v>124</v>
      </c>
      <c r="N23" s="81" t="s">
        <v>144</v>
      </c>
      <c r="O23" s="81" t="s">
        <v>175</v>
      </c>
      <c r="P23" s="126">
        <v>116</v>
      </c>
      <c r="Q23" s="126"/>
      <c r="S23" s="81" t="s">
        <v>76</v>
      </c>
      <c r="T23" s="98" t="s">
        <v>124</v>
      </c>
      <c r="U23" s="81"/>
      <c r="V23" s="81" t="s">
        <v>136</v>
      </c>
      <c r="W23" s="101">
        <v>127</v>
      </c>
      <c r="X23" s="101">
        <v>1</v>
      </c>
      <c r="Z23" s="81" t="s">
        <v>76</v>
      </c>
      <c r="AA23" s="98" t="s">
        <v>124</v>
      </c>
      <c r="AB23" s="81"/>
      <c r="AC23" s="81" t="s">
        <v>136</v>
      </c>
      <c r="AD23" s="101">
        <v>127</v>
      </c>
      <c r="AE23" s="101"/>
      <c r="AG23" s="81" t="s">
        <v>76</v>
      </c>
      <c r="AH23" s="98" t="s">
        <v>124</v>
      </c>
      <c r="AI23" s="81"/>
      <c r="AJ23" s="81" t="s">
        <v>136</v>
      </c>
      <c r="AK23" s="101">
        <v>127</v>
      </c>
      <c r="AL23" s="101"/>
    </row>
    <row r="24" spans="1:38" x14ac:dyDescent="0.25">
      <c r="A24" s="262"/>
      <c r="B24" s="258"/>
      <c r="C24" s="16" t="s">
        <v>14</v>
      </c>
      <c r="E24" s="96" t="s">
        <v>75</v>
      </c>
      <c r="F24" s="97" t="s">
        <v>123</v>
      </c>
      <c r="G24" s="81"/>
      <c r="H24" s="81" t="s">
        <v>118</v>
      </c>
      <c r="I24" s="42">
        <v>98</v>
      </c>
      <c r="J24" s="42">
        <v>1</v>
      </c>
      <c r="L24" s="96" t="s">
        <v>75</v>
      </c>
      <c r="M24" s="97" t="s">
        <v>123</v>
      </c>
      <c r="N24" s="81" t="s">
        <v>144</v>
      </c>
      <c r="O24" s="81" t="s">
        <v>175</v>
      </c>
      <c r="P24" s="126">
        <v>98</v>
      </c>
      <c r="Q24" s="126"/>
      <c r="S24" s="96" t="s">
        <v>75</v>
      </c>
      <c r="T24" s="97" t="s">
        <v>123</v>
      </c>
      <c r="U24" s="81"/>
      <c r="V24" s="81" t="s">
        <v>136</v>
      </c>
      <c r="W24" s="101">
        <v>665</v>
      </c>
      <c r="X24" s="101">
        <v>1</v>
      </c>
      <c r="Z24" s="96" t="s">
        <v>75</v>
      </c>
      <c r="AA24" s="97" t="s">
        <v>123</v>
      </c>
      <c r="AB24" s="81"/>
      <c r="AC24" s="81" t="s">
        <v>136</v>
      </c>
      <c r="AD24" s="101">
        <v>665</v>
      </c>
      <c r="AE24" s="101"/>
      <c r="AG24" s="96" t="s">
        <v>75</v>
      </c>
      <c r="AH24" s="97" t="s">
        <v>123</v>
      </c>
      <c r="AI24" s="81"/>
      <c r="AJ24" s="81" t="s">
        <v>136</v>
      </c>
      <c r="AK24" s="101">
        <v>665</v>
      </c>
      <c r="AL24" s="101"/>
    </row>
    <row r="25" spans="1:38" x14ac:dyDescent="0.25">
      <c r="A25" s="262"/>
      <c r="B25" s="258"/>
      <c r="C25" s="16" t="s">
        <v>15</v>
      </c>
      <c r="E25" s="52"/>
      <c r="F25" s="42"/>
      <c r="G25" s="81"/>
      <c r="H25" s="81"/>
      <c r="I25" s="42"/>
      <c r="J25" s="42"/>
      <c r="L25" s="52"/>
      <c r="M25" s="126"/>
      <c r="N25" s="81"/>
      <c r="O25" s="81"/>
      <c r="P25" s="126"/>
      <c r="Q25" s="126"/>
      <c r="S25" s="52"/>
      <c r="T25" s="101"/>
      <c r="U25" s="81"/>
      <c r="V25" s="81"/>
      <c r="W25" s="101"/>
      <c r="X25" s="101"/>
      <c r="Z25" s="52"/>
      <c r="AA25" s="101"/>
      <c r="AB25" s="81"/>
      <c r="AC25" s="81"/>
      <c r="AD25" s="101"/>
      <c r="AE25" s="101"/>
      <c r="AG25" s="52"/>
      <c r="AH25" s="101"/>
      <c r="AI25" s="81"/>
      <c r="AJ25" s="81"/>
      <c r="AK25" s="101"/>
      <c r="AL25" s="101"/>
    </row>
    <row r="26" spans="1:38" x14ac:dyDescent="0.25">
      <c r="A26" s="262"/>
      <c r="B26" s="258"/>
      <c r="C26" s="16" t="s">
        <v>16</v>
      </c>
      <c r="E26" s="96" t="s">
        <v>465</v>
      </c>
      <c r="F26" s="95" t="s">
        <v>221</v>
      </c>
      <c r="G26" s="85"/>
      <c r="H26" s="81" t="s">
        <v>117</v>
      </c>
      <c r="I26" s="94">
        <v>100</v>
      </c>
      <c r="J26" s="42">
        <v>1</v>
      </c>
      <c r="L26" s="52" t="s">
        <v>465</v>
      </c>
      <c r="M26" s="95" t="s">
        <v>221</v>
      </c>
      <c r="N26" s="81" t="s">
        <v>144</v>
      </c>
      <c r="O26" s="81" t="s">
        <v>176</v>
      </c>
      <c r="P26" s="126">
        <v>100</v>
      </c>
      <c r="Q26" s="126"/>
      <c r="S26" s="96" t="s">
        <v>465</v>
      </c>
      <c r="T26" s="95" t="s">
        <v>221</v>
      </c>
      <c r="U26" s="85"/>
      <c r="V26" s="81" t="s">
        <v>117</v>
      </c>
      <c r="W26" s="101">
        <v>100</v>
      </c>
      <c r="X26" s="101">
        <v>1</v>
      </c>
      <c r="Z26" s="52" t="s">
        <v>465</v>
      </c>
      <c r="AA26" s="95" t="s">
        <v>221</v>
      </c>
      <c r="AB26" s="85"/>
      <c r="AC26" s="81" t="s">
        <v>117</v>
      </c>
      <c r="AD26" s="101">
        <v>100</v>
      </c>
      <c r="AE26" s="101"/>
      <c r="AG26" s="96" t="s">
        <v>465</v>
      </c>
      <c r="AH26" s="95" t="s">
        <v>221</v>
      </c>
      <c r="AI26" s="85"/>
      <c r="AJ26" s="81" t="s">
        <v>117</v>
      </c>
      <c r="AK26" s="101">
        <v>100</v>
      </c>
      <c r="AL26" s="101"/>
    </row>
    <row r="27" spans="1:38" x14ac:dyDescent="0.25">
      <c r="A27" s="262"/>
      <c r="B27" s="258"/>
      <c r="C27" s="16" t="s">
        <v>17</v>
      </c>
      <c r="E27" s="96" t="s">
        <v>74</v>
      </c>
      <c r="F27" s="129" t="s">
        <v>222</v>
      </c>
      <c r="G27" s="81"/>
      <c r="H27" s="81" t="s">
        <v>118</v>
      </c>
      <c r="I27" s="94">
        <v>666</v>
      </c>
      <c r="J27" s="42">
        <v>1</v>
      </c>
      <c r="L27" s="96" t="s">
        <v>74</v>
      </c>
      <c r="M27" s="129" t="s">
        <v>222</v>
      </c>
      <c r="N27" s="81"/>
      <c r="O27" s="81" t="s">
        <v>177</v>
      </c>
      <c r="P27" s="126">
        <v>666</v>
      </c>
      <c r="Q27" s="126"/>
      <c r="S27" s="96" t="s">
        <v>74</v>
      </c>
      <c r="T27" s="129" t="s">
        <v>222</v>
      </c>
      <c r="U27" s="81"/>
      <c r="V27" s="81" t="s">
        <v>219</v>
      </c>
      <c r="W27" s="101">
        <v>666</v>
      </c>
      <c r="X27" s="101">
        <v>1</v>
      </c>
      <c r="Z27" s="96" t="s">
        <v>74</v>
      </c>
      <c r="AA27" s="129" t="s">
        <v>222</v>
      </c>
      <c r="AB27" s="81"/>
      <c r="AC27" s="81" t="s">
        <v>219</v>
      </c>
      <c r="AD27" s="101">
        <v>666</v>
      </c>
      <c r="AE27" s="101"/>
      <c r="AG27" s="96" t="s">
        <v>74</v>
      </c>
      <c r="AH27" s="129" t="s">
        <v>222</v>
      </c>
      <c r="AI27" s="81"/>
      <c r="AJ27" s="81" t="s">
        <v>219</v>
      </c>
      <c r="AK27" s="101">
        <v>666</v>
      </c>
      <c r="AL27" s="101"/>
    </row>
    <row r="28" spans="1:38" x14ac:dyDescent="0.25">
      <c r="A28" s="262"/>
      <c r="B28" s="258"/>
      <c r="C28" s="34" t="s">
        <v>170</v>
      </c>
      <c r="E28" s="116"/>
      <c r="F28" s="48"/>
      <c r="G28" s="117"/>
      <c r="H28" s="117"/>
      <c r="I28" s="48"/>
      <c r="J28" s="48"/>
      <c r="L28" s="116"/>
      <c r="M28" s="48"/>
      <c r="N28" s="81"/>
      <c r="O28" s="117"/>
      <c r="P28" s="48"/>
      <c r="Q28" s="48"/>
      <c r="S28" s="116"/>
      <c r="T28" s="48"/>
      <c r="U28" s="117"/>
      <c r="V28" s="117"/>
      <c r="W28" s="48"/>
      <c r="X28" s="48"/>
      <c r="Z28" s="116"/>
      <c r="AA28" s="48"/>
      <c r="AB28" s="117"/>
      <c r="AC28" s="117"/>
      <c r="AD28" s="48"/>
      <c r="AE28" s="48"/>
      <c r="AG28" s="116"/>
      <c r="AH28" s="48"/>
      <c r="AI28" s="117"/>
      <c r="AJ28" s="117"/>
      <c r="AK28" s="48"/>
      <c r="AL28" s="48"/>
    </row>
    <row r="29" spans="1:38" ht="15.75" thickBot="1" x14ac:dyDescent="0.3">
      <c r="A29" s="262"/>
      <c r="B29" s="258"/>
      <c r="C29" s="34" t="s">
        <v>170</v>
      </c>
      <c r="E29" s="53"/>
      <c r="F29" s="47"/>
      <c r="G29" s="83"/>
      <c r="H29" s="83"/>
      <c r="I29" s="47"/>
      <c r="J29" s="47"/>
      <c r="L29" s="53" t="s">
        <v>178</v>
      </c>
      <c r="M29" s="47"/>
      <c r="N29" s="126" t="s">
        <v>179</v>
      </c>
      <c r="O29" s="83" t="s">
        <v>180</v>
      </c>
      <c r="P29" s="47" t="s">
        <v>181</v>
      </c>
      <c r="Q29" s="47"/>
      <c r="S29" s="53"/>
      <c r="T29" s="47"/>
      <c r="U29" s="83"/>
      <c r="V29" s="83"/>
      <c r="W29" s="47"/>
      <c r="X29" s="47"/>
      <c r="Z29" s="53"/>
      <c r="AA29" s="47"/>
      <c r="AB29" s="83"/>
      <c r="AC29" s="83"/>
      <c r="AD29" s="47"/>
      <c r="AE29" s="47"/>
      <c r="AG29" s="53"/>
      <c r="AH29" s="47"/>
      <c r="AI29" s="83"/>
      <c r="AJ29" s="83"/>
      <c r="AK29" s="47"/>
      <c r="AL29" s="47"/>
    </row>
    <row r="30" spans="1:38" ht="18" thickBot="1" x14ac:dyDescent="0.3">
      <c r="A30" s="262"/>
      <c r="B30" s="258"/>
      <c r="C30" s="49" t="s">
        <v>90</v>
      </c>
      <c r="E30" s="91" t="s">
        <v>30</v>
      </c>
      <c r="F30" s="93" t="s">
        <v>91</v>
      </c>
      <c r="G30" s="92" t="s">
        <v>18</v>
      </c>
      <c r="H30" s="92" t="s">
        <v>113</v>
      </c>
      <c r="I30" s="93" t="s">
        <v>93</v>
      </c>
      <c r="J30" s="93" t="s">
        <v>21</v>
      </c>
      <c r="L30" s="91" t="s">
        <v>30</v>
      </c>
      <c r="M30" s="93" t="s">
        <v>91</v>
      </c>
      <c r="N30" s="92" t="s">
        <v>18</v>
      </c>
      <c r="O30" s="92" t="s">
        <v>113</v>
      </c>
      <c r="P30" s="93" t="s">
        <v>93</v>
      </c>
      <c r="Q30" s="93" t="s">
        <v>21</v>
      </c>
      <c r="S30" s="91" t="s">
        <v>30</v>
      </c>
      <c r="T30" s="93" t="s">
        <v>91</v>
      </c>
      <c r="U30" s="92" t="s">
        <v>18</v>
      </c>
      <c r="V30" s="92" t="s">
        <v>113</v>
      </c>
      <c r="W30" s="93" t="s">
        <v>93</v>
      </c>
      <c r="X30" s="93" t="s">
        <v>21</v>
      </c>
      <c r="Z30" s="91" t="s">
        <v>30</v>
      </c>
      <c r="AA30" s="93" t="s">
        <v>91</v>
      </c>
      <c r="AB30" s="92" t="s">
        <v>18</v>
      </c>
      <c r="AC30" s="92" t="s">
        <v>113</v>
      </c>
      <c r="AD30" s="93" t="s">
        <v>93</v>
      </c>
      <c r="AE30" s="93" t="s">
        <v>21</v>
      </c>
      <c r="AG30" s="91" t="s">
        <v>30</v>
      </c>
      <c r="AH30" s="93" t="s">
        <v>91</v>
      </c>
      <c r="AI30" s="92" t="s">
        <v>18</v>
      </c>
      <c r="AJ30" s="92" t="s">
        <v>113</v>
      </c>
      <c r="AK30" s="93" t="s">
        <v>93</v>
      </c>
      <c r="AL30" s="93" t="s">
        <v>21</v>
      </c>
    </row>
    <row r="31" spans="1:38" x14ac:dyDescent="0.25">
      <c r="A31" s="262"/>
      <c r="B31" s="258"/>
      <c r="C31" s="43" t="s">
        <v>107</v>
      </c>
      <c r="E31" s="51"/>
      <c r="F31" s="45"/>
      <c r="G31" s="80"/>
      <c r="H31" s="80"/>
      <c r="I31" s="45"/>
      <c r="J31" s="45"/>
      <c r="L31" s="51"/>
      <c r="M31" s="75"/>
      <c r="N31" s="80"/>
      <c r="O31" s="80"/>
      <c r="P31" s="75"/>
      <c r="Q31" s="75"/>
      <c r="S31" s="51"/>
      <c r="T31" s="75"/>
      <c r="U31" s="80"/>
      <c r="V31" s="80"/>
      <c r="W31" s="75"/>
      <c r="X31" s="75"/>
      <c r="Z31" s="51"/>
      <c r="AA31" s="75"/>
      <c r="AB31" s="80"/>
      <c r="AC31" s="80"/>
      <c r="AD31" s="75"/>
      <c r="AE31" s="75"/>
      <c r="AG31" s="51"/>
      <c r="AH31" s="75"/>
      <c r="AI31" s="80"/>
      <c r="AJ31" s="80"/>
      <c r="AK31" s="75"/>
      <c r="AL31" s="75"/>
    </row>
    <row r="32" spans="1:38" ht="15.75" thickBot="1" x14ac:dyDescent="0.3">
      <c r="A32" s="263"/>
      <c r="B32" s="259"/>
      <c r="C32" s="46" t="s">
        <v>108</v>
      </c>
      <c r="E32" s="53"/>
      <c r="F32" s="47"/>
      <c r="G32" s="81"/>
      <c r="H32" s="81"/>
      <c r="I32" s="47"/>
      <c r="J32" s="47"/>
      <c r="L32" s="53"/>
      <c r="M32" s="47"/>
      <c r="N32" s="81"/>
      <c r="O32" s="81"/>
      <c r="P32" s="47"/>
      <c r="Q32" s="47"/>
      <c r="S32" s="53"/>
      <c r="T32" s="47"/>
      <c r="U32" s="81"/>
      <c r="V32" s="81"/>
      <c r="W32" s="47"/>
      <c r="X32" s="47"/>
      <c r="Z32" s="53"/>
      <c r="AA32" s="47"/>
      <c r="AB32" s="81"/>
      <c r="AC32" s="81"/>
      <c r="AD32" s="47"/>
      <c r="AE32" s="47"/>
      <c r="AG32" s="53"/>
      <c r="AH32" s="47"/>
      <c r="AI32" s="81"/>
      <c r="AJ32" s="81"/>
      <c r="AK32" s="47"/>
      <c r="AL32" s="47"/>
    </row>
    <row r="33" spans="1:39" ht="15.75" thickBot="1" x14ac:dyDescent="0.3">
      <c r="A33" s="17"/>
      <c r="B33" s="14"/>
      <c r="C33" s="14"/>
      <c r="E33" s="216"/>
      <c r="F33" s="217"/>
      <c r="G33" s="217"/>
      <c r="H33" s="217"/>
      <c r="I33" s="217"/>
      <c r="J33" s="217"/>
      <c r="L33" s="216"/>
      <c r="M33" s="217"/>
      <c r="N33" s="217"/>
      <c r="O33" s="217"/>
      <c r="P33" s="217"/>
      <c r="Q33" s="217"/>
      <c r="S33" s="216"/>
      <c r="T33" s="217"/>
      <c r="U33" s="217"/>
      <c r="V33" s="217"/>
      <c r="W33" s="217"/>
      <c r="X33" s="217"/>
      <c r="Z33" s="216"/>
      <c r="AA33" s="217"/>
      <c r="AB33" s="217"/>
      <c r="AC33" s="217"/>
      <c r="AD33" s="217"/>
      <c r="AE33" s="217"/>
      <c r="AG33" s="216"/>
      <c r="AH33" s="217"/>
      <c r="AI33" s="217"/>
      <c r="AJ33" s="217"/>
      <c r="AK33" s="217"/>
      <c r="AL33" s="217"/>
    </row>
    <row r="34" spans="1:39" ht="60" customHeight="1" thickBot="1" x14ac:dyDescent="0.3">
      <c r="A34" s="210" t="s">
        <v>19</v>
      </c>
      <c r="B34" s="257" t="s">
        <v>103</v>
      </c>
      <c r="C34" s="49"/>
      <c r="E34" s="125" t="s">
        <v>30</v>
      </c>
      <c r="F34" s="77" t="s">
        <v>18</v>
      </c>
      <c r="G34" s="260" t="s">
        <v>94</v>
      </c>
      <c r="H34" s="253"/>
      <c r="I34" s="84" t="s">
        <v>21</v>
      </c>
      <c r="J34" s="76" t="s">
        <v>114</v>
      </c>
      <c r="L34" s="125" t="s">
        <v>30</v>
      </c>
      <c r="M34" s="77" t="s">
        <v>18</v>
      </c>
      <c r="N34" s="260" t="s">
        <v>94</v>
      </c>
      <c r="O34" s="253"/>
      <c r="P34" s="84" t="s">
        <v>21</v>
      </c>
      <c r="Q34" s="76" t="s">
        <v>114</v>
      </c>
      <c r="S34" s="103" t="s">
        <v>30</v>
      </c>
      <c r="T34" s="77" t="s">
        <v>18</v>
      </c>
      <c r="U34" s="260" t="s">
        <v>94</v>
      </c>
      <c r="V34" s="253"/>
      <c r="W34" s="84" t="s">
        <v>21</v>
      </c>
      <c r="X34" s="76" t="s">
        <v>114</v>
      </c>
      <c r="Z34" s="103" t="s">
        <v>30</v>
      </c>
      <c r="AA34" s="77" t="s">
        <v>18</v>
      </c>
      <c r="AB34" s="260" t="s">
        <v>94</v>
      </c>
      <c r="AC34" s="253"/>
      <c r="AD34" s="84" t="s">
        <v>21</v>
      </c>
      <c r="AE34" s="76" t="s">
        <v>114</v>
      </c>
      <c r="AG34" s="103" t="s">
        <v>30</v>
      </c>
      <c r="AH34" s="77" t="s">
        <v>18</v>
      </c>
      <c r="AI34" s="260" t="s">
        <v>94</v>
      </c>
      <c r="AJ34" s="253"/>
      <c r="AK34" s="84" t="s">
        <v>21</v>
      </c>
      <c r="AL34" s="76" t="s">
        <v>114</v>
      </c>
    </row>
    <row r="35" spans="1:39" ht="17.25" customHeight="1" x14ac:dyDescent="0.25">
      <c r="A35" s="211"/>
      <c r="B35" s="258"/>
      <c r="C35" s="43" t="s">
        <v>22</v>
      </c>
      <c r="E35" s="124" t="s">
        <v>155</v>
      </c>
      <c r="F35" s="75" t="s">
        <v>149</v>
      </c>
      <c r="G35" s="255" t="s">
        <v>95</v>
      </c>
      <c r="H35" s="256"/>
      <c r="I35" s="118"/>
      <c r="J35" s="80" t="s">
        <v>156</v>
      </c>
      <c r="L35" s="124" t="s">
        <v>182</v>
      </c>
      <c r="M35" s="126" t="s">
        <v>179</v>
      </c>
      <c r="N35" s="255" t="s">
        <v>183</v>
      </c>
      <c r="O35" s="256"/>
      <c r="P35" s="80"/>
      <c r="Q35" s="80" t="s">
        <v>184</v>
      </c>
      <c r="S35" s="104"/>
      <c r="T35" s="75"/>
      <c r="U35" s="255"/>
      <c r="V35" s="256"/>
      <c r="W35" s="80"/>
      <c r="X35" s="80"/>
      <c r="Z35" s="104"/>
      <c r="AA35" s="75"/>
      <c r="AB35" s="255"/>
      <c r="AC35" s="256"/>
      <c r="AD35" s="80"/>
      <c r="AE35" s="80"/>
      <c r="AG35" s="104"/>
      <c r="AH35" s="75"/>
      <c r="AI35" s="255"/>
      <c r="AJ35" s="256"/>
      <c r="AK35" s="80"/>
      <c r="AL35" s="80"/>
    </row>
    <row r="36" spans="1:39" ht="17.25" customHeight="1" x14ac:dyDescent="0.25">
      <c r="A36" s="211"/>
      <c r="B36" s="258"/>
      <c r="C36" s="16" t="s">
        <v>22</v>
      </c>
      <c r="E36" s="121" t="s">
        <v>157</v>
      </c>
      <c r="F36" s="75" t="s">
        <v>149</v>
      </c>
      <c r="G36" s="254" t="s">
        <v>158</v>
      </c>
      <c r="H36" s="206"/>
      <c r="I36" s="119"/>
      <c r="J36" s="85" t="s">
        <v>159</v>
      </c>
      <c r="L36" s="121" t="s">
        <v>185</v>
      </c>
      <c r="M36" s="126" t="s">
        <v>179</v>
      </c>
      <c r="N36" s="254" t="s">
        <v>186</v>
      </c>
      <c r="O36" s="206"/>
      <c r="P36" s="85"/>
      <c r="Q36" s="81" t="s">
        <v>187</v>
      </c>
      <c r="S36" s="102"/>
      <c r="T36" s="101"/>
      <c r="U36" s="254"/>
      <c r="V36" s="206"/>
      <c r="W36" s="85"/>
      <c r="X36" s="81"/>
      <c r="Z36" s="102"/>
      <c r="AA36" s="101"/>
      <c r="AB36" s="254"/>
      <c r="AC36" s="206"/>
      <c r="AD36" s="85"/>
      <c r="AE36" s="81"/>
      <c r="AG36" s="102"/>
      <c r="AH36" s="101"/>
      <c r="AI36" s="254"/>
      <c r="AJ36" s="206"/>
      <c r="AK36" s="85"/>
      <c r="AL36" s="81"/>
    </row>
    <row r="37" spans="1:39" ht="17.25" customHeight="1" x14ac:dyDescent="0.25">
      <c r="A37" s="211"/>
      <c r="B37" s="258"/>
      <c r="C37" s="16" t="s">
        <v>23</v>
      </c>
      <c r="E37" s="121" t="s">
        <v>160</v>
      </c>
      <c r="F37" s="75" t="s">
        <v>149</v>
      </c>
      <c r="G37" s="254" t="s">
        <v>161</v>
      </c>
      <c r="H37" s="206"/>
      <c r="I37" s="119"/>
      <c r="J37" s="85" t="s">
        <v>162</v>
      </c>
      <c r="L37" s="121" t="s">
        <v>188</v>
      </c>
      <c r="M37" s="126" t="s">
        <v>179</v>
      </c>
      <c r="N37" s="254" t="s">
        <v>96</v>
      </c>
      <c r="O37" s="206"/>
      <c r="P37" s="85"/>
      <c r="Q37" s="81" t="s">
        <v>180</v>
      </c>
      <c r="S37" s="121"/>
      <c r="T37" s="126"/>
      <c r="U37" s="120"/>
      <c r="V37" s="121"/>
      <c r="W37" s="85"/>
      <c r="X37" s="81"/>
      <c r="Z37" s="121"/>
      <c r="AA37" s="126"/>
      <c r="AB37" s="120"/>
      <c r="AC37" s="121"/>
      <c r="AD37" s="85"/>
      <c r="AE37" s="81"/>
      <c r="AG37" s="121"/>
      <c r="AH37" s="126"/>
      <c r="AI37" s="120"/>
      <c r="AJ37" s="121"/>
      <c r="AK37" s="85"/>
      <c r="AL37" s="81"/>
    </row>
    <row r="38" spans="1:39" x14ac:dyDescent="0.25">
      <c r="A38" s="211"/>
      <c r="B38" s="258"/>
      <c r="C38" s="16" t="s">
        <v>23</v>
      </c>
      <c r="E38" s="121" t="s">
        <v>163</v>
      </c>
      <c r="F38" s="75" t="s">
        <v>149</v>
      </c>
      <c r="G38" s="254" t="s">
        <v>151</v>
      </c>
      <c r="H38" s="206"/>
      <c r="I38" s="119"/>
      <c r="J38" s="81" t="s">
        <v>164</v>
      </c>
      <c r="L38" s="121" t="s">
        <v>189</v>
      </c>
      <c r="M38" s="126" t="s">
        <v>179</v>
      </c>
      <c r="N38" s="254" t="s">
        <v>190</v>
      </c>
      <c r="O38" s="206"/>
      <c r="P38" s="81"/>
      <c r="Q38" s="81" t="s">
        <v>191</v>
      </c>
      <c r="S38" s="102"/>
      <c r="T38" s="101"/>
      <c r="U38" s="254"/>
      <c r="V38" s="206"/>
      <c r="W38" s="81"/>
      <c r="X38" s="81"/>
      <c r="Z38" s="102"/>
      <c r="AA38" s="101"/>
      <c r="AB38" s="254"/>
      <c r="AC38" s="206"/>
      <c r="AD38" s="81"/>
      <c r="AE38" s="81"/>
      <c r="AG38" s="102"/>
      <c r="AH38" s="101"/>
      <c r="AI38" s="254"/>
      <c r="AJ38" s="206"/>
      <c r="AK38" s="81"/>
      <c r="AL38" s="81"/>
    </row>
    <row r="39" spans="1:39" x14ac:dyDescent="0.25">
      <c r="A39" s="211"/>
      <c r="B39" s="258"/>
      <c r="C39" s="16" t="s">
        <v>20</v>
      </c>
      <c r="E39" s="121" t="s">
        <v>165</v>
      </c>
      <c r="F39" s="75" t="s">
        <v>149</v>
      </c>
      <c r="G39" s="207" t="s">
        <v>166</v>
      </c>
      <c r="H39" s="207"/>
      <c r="I39" s="119"/>
      <c r="J39" s="81" t="s">
        <v>164</v>
      </c>
      <c r="L39" s="121"/>
      <c r="M39" s="126"/>
      <c r="N39" s="207"/>
      <c r="O39" s="207"/>
      <c r="P39" s="81"/>
      <c r="Q39" s="81"/>
      <c r="S39" s="102"/>
      <c r="T39" s="101"/>
      <c r="U39" s="207"/>
      <c r="V39" s="207"/>
      <c r="W39" s="81"/>
      <c r="X39" s="81"/>
      <c r="Z39" s="102"/>
      <c r="AA39" s="101"/>
      <c r="AB39" s="207"/>
      <c r="AC39" s="207"/>
      <c r="AD39" s="81"/>
      <c r="AE39" s="81"/>
      <c r="AG39" s="102"/>
      <c r="AH39" s="101"/>
      <c r="AI39" s="207"/>
      <c r="AJ39" s="207"/>
      <c r="AK39" s="81"/>
      <c r="AL39" s="81"/>
    </row>
    <row r="40" spans="1:39" x14ac:dyDescent="0.25">
      <c r="A40" s="211"/>
      <c r="B40" s="258"/>
      <c r="C40" s="16" t="s">
        <v>20</v>
      </c>
      <c r="E40" s="121" t="s">
        <v>97</v>
      </c>
      <c r="F40" s="75" t="s">
        <v>149</v>
      </c>
      <c r="G40" s="254" t="s">
        <v>167</v>
      </c>
      <c r="H40" s="206"/>
      <c r="I40" s="119"/>
      <c r="J40" s="81" t="s">
        <v>168</v>
      </c>
      <c r="L40" s="121"/>
      <c r="M40" s="126"/>
      <c r="N40" s="254"/>
      <c r="O40" s="206"/>
      <c r="P40" s="81"/>
      <c r="Q40" s="86"/>
      <c r="S40" s="102"/>
      <c r="T40" s="101"/>
      <c r="U40" s="254"/>
      <c r="V40" s="206"/>
      <c r="W40" s="81"/>
      <c r="X40" s="86"/>
      <c r="Z40" s="102"/>
      <c r="AA40" s="101"/>
      <c r="AB40" s="254"/>
      <c r="AC40" s="206"/>
      <c r="AD40" s="81"/>
      <c r="AE40" s="86"/>
      <c r="AG40" s="102"/>
      <c r="AH40" s="101"/>
      <c r="AI40" s="254"/>
      <c r="AJ40" s="206"/>
      <c r="AK40" s="81"/>
      <c r="AL40" s="86"/>
    </row>
    <row r="41" spans="1:39" ht="15.75" thickBot="1" x14ac:dyDescent="0.3">
      <c r="A41" s="211"/>
      <c r="B41" s="258"/>
      <c r="C41" s="46" t="s">
        <v>20</v>
      </c>
      <c r="E41" s="127"/>
      <c r="F41" s="47"/>
      <c r="G41" s="250"/>
      <c r="H41" s="251"/>
      <c r="I41" s="83"/>
      <c r="J41" s="82"/>
      <c r="L41" s="127"/>
      <c r="M41" s="47"/>
      <c r="N41" s="250"/>
      <c r="O41" s="251"/>
      <c r="P41" s="83"/>
      <c r="Q41" s="82"/>
      <c r="S41" s="99"/>
      <c r="T41" s="47"/>
      <c r="U41" s="250"/>
      <c r="V41" s="251"/>
      <c r="W41" s="83"/>
      <c r="X41" s="82"/>
      <c r="Z41" s="99"/>
      <c r="AA41" s="47"/>
      <c r="AB41" s="250"/>
      <c r="AC41" s="251"/>
      <c r="AD41" s="83"/>
      <c r="AE41" s="82"/>
      <c r="AG41" s="99"/>
      <c r="AH41" s="47"/>
      <c r="AI41" s="250"/>
      <c r="AJ41" s="251"/>
      <c r="AK41" s="83"/>
      <c r="AL41" s="82"/>
    </row>
    <row r="42" spans="1:39" s="35" customFormat="1" ht="15.75" thickBot="1" x14ac:dyDescent="0.3">
      <c r="A42" s="212"/>
      <c r="B42" s="259"/>
      <c r="C42" s="49" t="s">
        <v>68</v>
      </c>
      <c r="D42" s="22"/>
      <c r="E42" s="252"/>
      <c r="F42" s="252"/>
      <c r="G42" s="252"/>
      <c r="H42" s="253"/>
      <c r="I42" s="92"/>
      <c r="J42" s="50"/>
      <c r="K42" s="36"/>
      <c r="L42" s="252"/>
      <c r="M42" s="252"/>
      <c r="N42" s="252"/>
      <c r="O42" s="253"/>
      <c r="P42" s="92"/>
      <c r="Q42" s="50"/>
      <c r="R42" s="36"/>
      <c r="S42" s="252"/>
      <c r="T42" s="252"/>
      <c r="U42" s="252"/>
      <c r="V42" s="253"/>
      <c r="W42" s="92"/>
      <c r="X42" s="50"/>
      <c r="Y42" s="36"/>
      <c r="Z42" s="252"/>
      <c r="AA42" s="252"/>
      <c r="AB42" s="252"/>
      <c r="AC42" s="253"/>
      <c r="AD42" s="92"/>
      <c r="AE42" s="50"/>
      <c r="AF42" s="36"/>
      <c r="AG42" s="252"/>
      <c r="AH42" s="252"/>
      <c r="AI42" s="252"/>
      <c r="AJ42" s="253"/>
      <c r="AK42" s="92"/>
      <c r="AL42" s="50"/>
      <c r="AM42" s="36"/>
    </row>
    <row r="43" spans="1:39" ht="15.75" thickBot="1" x14ac:dyDescent="0.3">
      <c r="A43" s="11"/>
      <c r="B43" s="14"/>
      <c r="C43" s="14"/>
      <c r="E43" s="216"/>
      <c r="F43" s="217"/>
      <c r="G43" s="217"/>
      <c r="H43" s="217"/>
      <c r="I43" s="217"/>
      <c r="J43" s="217"/>
      <c r="L43" s="216"/>
      <c r="M43" s="217"/>
      <c r="N43" s="217"/>
      <c r="O43" s="217"/>
      <c r="P43" s="217"/>
      <c r="Q43" s="217"/>
      <c r="S43" s="216"/>
      <c r="T43" s="217"/>
      <c r="U43" s="217"/>
      <c r="V43" s="217"/>
      <c r="W43" s="217"/>
      <c r="X43" s="217"/>
      <c r="Z43" s="216"/>
      <c r="AA43" s="217"/>
      <c r="AB43" s="217"/>
      <c r="AC43" s="217"/>
      <c r="AD43" s="217"/>
      <c r="AE43" s="217"/>
      <c r="AG43" s="216"/>
      <c r="AH43" s="217"/>
      <c r="AI43" s="217"/>
      <c r="AJ43" s="217"/>
      <c r="AK43" s="217"/>
      <c r="AL43" s="217"/>
    </row>
    <row r="44" spans="1:39" ht="15.75" thickBot="1" x14ac:dyDescent="0.3">
      <c r="A44" s="246" t="s">
        <v>24</v>
      </c>
      <c r="B44" s="247" t="s">
        <v>104</v>
      </c>
      <c r="C44" s="54"/>
      <c r="D44" s="63"/>
      <c r="E44" s="224" t="s">
        <v>9</v>
      </c>
      <c r="F44" s="225"/>
      <c r="G44" s="226" t="s">
        <v>10</v>
      </c>
      <c r="H44" s="224"/>
      <c r="I44" s="225"/>
      <c r="J44" s="74" t="s">
        <v>113</v>
      </c>
      <c r="K44" s="63" t="s">
        <v>9</v>
      </c>
      <c r="L44" s="224" t="s">
        <v>9</v>
      </c>
      <c r="M44" s="225"/>
      <c r="N44" s="226" t="s">
        <v>10</v>
      </c>
      <c r="O44" s="224"/>
      <c r="P44" s="225"/>
      <c r="Q44" s="74" t="s">
        <v>113</v>
      </c>
      <c r="R44" s="63"/>
      <c r="S44" s="224" t="s">
        <v>9</v>
      </c>
      <c r="T44" s="225"/>
      <c r="U44" s="226" t="s">
        <v>10</v>
      </c>
      <c r="V44" s="224"/>
      <c r="W44" s="225"/>
      <c r="X44" s="74" t="s">
        <v>113</v>
      </c>
      <c r="Y44" s="63"/>
      <c r="Z44" s="224" t="s">
        <v>9</v>
      </c>
      <c r="AA44" s="225"/>
      <c r="AB44" s="226" t="s">
        <v>10</v>
      </c>
      <c r="AC44" s="224"/>
      <c r="AD44" s="225"/>
      <c r="AE44" s="74" t="s">
        <v>113</v>
      </c>
      <c r="AF44" s="63"/>
      <c r="AG44" s="224" t="s">
        <v>9</v>
      </c>
      <c r="AH44" s="225"/>
      <c r="AI44" s="226" t="s">
        <v>10</v>
      </c>
      <c r="AJ44" s="224"/>
      <c r="AK44" s="225"/>
      <c r="AL44" s="74" t="s">
        <v>113</v>
      </c>
      <c r="AM44" s="63"/>
    </row>
    <row r="45" spans="1:39" ht="15" customHeight="1" x14ac:dyDescent="0.25">
      <c r="A45" s="246"/>
      <c r="B45" s="248"/>
      <c r="C45" s="15" t="s">
        <v>25</v>
      </c>
      <c r="E45" s="227"/>
      <c r="F45" s="228"/>
      <c r="G45" s="235" t="s">
        <v>99</v>
      </c>
      <c r="H45" s="236"/>
      <c r="I45" s="237"/>
      <c r="J45" s="87" t="s">
        <v>169</v>
      </c>
      <c r="L45" s="227"/>
      <c r="M45" s="228"/>
      <c r="N45" s="235" t="s">
        <v>99</v>
      </c>
      <c r="O45" s="236"/>
      <c r="P45" s="237"/>
      <c r="Q45" s="87" t="s">
        <v>192</v>
      </c>
      <c r="S45" s="227" t="s">
        <v>246</v>
      </c>
      <c r="T45" s="228"/>
      <c r="U45" s="235" t="s">
        <v>247</v>
      </c>
      <c r="V45" s="236"/>
      <c r="W45" s="237"/>
      <c r="X45" s="87" t="s">
        <v>248</v>
      </c>
      <c r="Z45" s="227" t="s">
        <v>246</v>
      </c>
      <c r="AA45" s="228"/>
      <c r="AB45" s="235" t="s">
        <v>247</v>
      </c>
      <c r="AC45" s="236"/>
      <c r="AD45" s="237"/>
      <c r="AE45" s="87" t="s">
        <v>248</v>
      </c>
      <c r="AG45" s="227" t="s">
        <v>246</v>
      </c>
      <c r="AH45" s="228"/>
      <c r="AI45" s="235" t="s">
        <v>247</v>
      </c>
      <c r="AJ45" s="236"/>
      <c r="AK45" s="237"/>
      <c r="AL45" s="87" t="s">
        <v>248</v>
      </c>
    </row>
    <row r="46" spans="1:39" x14ac:dyDescent="0.25">
      <c r="A46" s="246"/>
      <c r="B46" s="248"/>
      <c r="C46" s="15" t="s">
        <v>26</v>
      </c>
      <c r="E46" s="221"/>
      <c r="F46" s="222"/>
      <c r="G46" s="223"/>
      <c r="H46" s="221"/>
      <c r="I46" s="222"/>
      <c r="J46" s="88"/>
      <c r="L46" s="221"/>
      <c r="M46" s="222"/>
      <c r="N46" s="223"/>
      <c r="O46" s="221"/>
      <c r="P46" s="222"/>
      <c r="Q46" s="88"/>
      <c r="S46" s="221"/>
      <c r="T46" s="222"/>
      <c r="U46" s="223"/>
      <c r="V46" s="221"/>
      <c r="W46" s="222"/>
      <c r="X46" s="88"/>
      <c r="Z46" s="221"/>
      <c r="AA46" s="222"/>
      <c r="AB46" s="223"/>
      <c r="AC46" s="221"/>
      <c r="AD46" s="222"/>
      <c r="AE46" s="88"/>
      <c r="AG46" s="221"/>
      <c r="AH46" s="222"/>
      <c r="AI46" s="223"/>
      <c r="AJ46" s="221"/>
      <c r="AK46" s="222"/>
      <c r="AL46" s="88"/>
    </row>
    <row r="47" spans="1:39" ht="15.75" thickBot="1" x14ac:dyDescent="0.3">
      <c r="A47" s="246"/>
      <c r="B47" s="249"/>
      <c r="C47" s="55" t="s">
        <v>27</v>
      </c>
      <c r="E47" s="238"/>
      <c r="F47" s="239"/>
      <c r="G47" s="240"/>
      <c r="H47" s="238"/>
      <c r="I47" s="239"/>
      <c r="J47" s="79"/>
      <c r="L47" s="238"/>
      <c r="M47" s="239"/>
      <c r="N47" s="240"/>
      <c r="O47" s="238"/>
      <c r="P47" s="239"/>
      <c r="Q47" s="79"/>
      <c r="S47" s="238"/>
      <c r="T47" s="239"/>
      <c r="U47" s="240"/>
      <c r="V47" s="238"/>
      <c r="W47" s="239"/>
      <c r="X47" s="79"/>
      <c r="Z47" s="238"/>
      <c r="AA47" s="239"/>
      <c r="AB47" s="240"/>
      <c r="AC47" s="238"/>
      <c r="AD47" s="239"/>
      <c r="AE47" s="79"/>
      <c r="AG47" s="238"/>
      <c r="AH47" s="239"/>
      <c r="AI47" s="240"/>
      <c r="AJ47" s="238"/>
      <c r="AK47" s="239"/>
      <c r="AL47" s="79"/>
    </row>
    <row r="48" spans="1:39" ht="15.75" thickBot="1" x14ac:dyDescent="0.3">
      <c r="A48" s="11"/>
      <c r="B48" s="14"/>
      <c r="C48" s="14"/>
      <c r="E48" s="216"/>
      <c r="F48" s="217"/>
      <c r="G48" s="217"/>
      <c r="H48" s="217"/>
      <c r="I48" s="217"/>
      <c r="J48" s="217"/>
      <c r="L48" s="216"/>
      <c r="M48" s="217"/>
      <c r="N48" s="217"/>
      <c r="O48" s="217"/>
      <c r="P48" s="217"/>
      <c r="Q48" s="217"/>
      <c r="S48" s="216"/>
      <c r="T48" s="217"/>
      <c r="U48" s="217"/>
      <c r="V48" s="217"/>
      <c r="W48" s="217"/>
      <c r="X48" s="217"/>
      <c r="Z48" s="216"/>
      <c r="AA48" s="217"/>
      <c r="AB48" s="217"/>
      <c r="AC48" s="217"/>
      <c r="AD48" s="217"/>
      <c r="AE48" s="217"/>
      <c r="AG48" s="216"/>
      <c r="AH48" s="217"/>
      <c r="AI48" s="217"/>
      <c r="AJ48" s="217"/>
      <c r="AK48" s="217"/>
      <c r="AL48" s="217"/>
    </row>
    <row r="49" spans="1:39" ht="15" customHeight="1" thickBot="1" x14ac:dyDescent="0.3">
      <c r="A49" s="241" t="s">
        <v>28</v>
      </c>
      <c r="B49" s="243" t="s">
        <v>105</v>
      </c>
      <c r="C49" s="62"/>
      <c r="E49" s="128" t="s">
        <v>9</v>
      </c>
      <c r="F49" s="230" t="s">
        <v>86</v>
      </c>
      <c r="G49" s="231"/>
      <c r="H49" s="229" t="s">
        <v>214</v>
      </c>
      <c r="I49" s="229"/>
      <c r="J49" s="229"/>
      <c r="L49" s="128" t="s">
        <v>9</v>
      </c>
      <c r="M49" s="230" t="s">
        <v>86</v>
      </c>
      <c r="N49" s="231"/>
      <c r="O49" s="229" t="s">
        <v>214</v>
      </c>
      <c r="P49" s="229"/>
      <c r="Q49" s="229"/>
      <c r="S49" s="105" t="s">
        <v>9</v>
      </c>
      <c r="T49" s="230" t="s">
        <v>86</v>
      </c>
      <c r="U49" s="231"/>
      <c r="V49" s="229" t="s">
        <v>214</v>
      </c>
      <c r="W49" s="229"/>
      <c r="X49" s="229"/>
      <c r="Z49" s="105" t="s">
        <v>9</v>
      </c>
      <c r="AA49" s="230" t="s">
        <v>86</v>
      </c>
      <c r="AB49" s="231"/>
      <c r="AC49" s="229" t="s">
        <v>214</v>
      </c>
      <c r="AD49" s="229"/>
      <c r="AE49" s="229"/>
      <c r="AG49" s="105" t="s">
        <v>9</v>
      </c>
      <c r="AH49" s="230" t="s">
        <v>86</v>
      </c>
      <c r="AI49" s="231"/>
      <c r="AJ49" s="229" t="s">
        <v>214</v>
      </c>
      <c r="AK49" s="229"/>
      <c r="AL49" s="229"/>
    </row>
    <row r="50" spans="1:39" ht="15" customHeight="1" x14ac:dyDescent="0.25">
      <c r="A50" s="242"/>
      <c r="B50" s="244"/>
      <c r="C50" s="61" t="s">
        <v>32</v>
      </c>
      <c r="E50" s="122"/>
      <c r="F50" s="232">
        <v>6.8</v>
      </c>
      <c r="G50" s="233"/>
      <c r="H50" s="234">
        <v>159</v>
      </c>
      <c r="I50" s="234"/>
      <c r="J50" s="234"/>
      <c r="L50" s="122"/>
      <c r="M50" s="232">
        <v>6.5</v>
      </c>
      <c r="N50" s="233"/>
      <c r="O50" s="234">
        <v>136.1</v>
      </c>
      <c r="P50" s="234"/>
      <c r="Q50" s="234"/>
      <c r="S50" s="106"/>
      <c r="T50" s="232" t="s">
        <v>135</v>
      </c>
      <c r="U50" s="233"/>
      <c r="V50" s="234">
        <v>92</v>
      </c>
      <c r="W50" s="234"/>
      <c r="X50" s="234"/>
      <c r="Z50" s="106"/>
      <c r="AA50" s="232" t="s">
        <v>135</v>
      </c>
      <c r="AB50" s="233"/>
      <c r="AC50" s="234">
        <v>92</v>
      </c>
      <c r="AD50" s="234"/>
      <c r="AE50" s="234"/>
      <c r="AG50" s="106"/>
      <c r="AH50" s="232" t="s">
        <v>135</v>
      </c>
      <c r="AI50" s="233"/>
      <c r="AJ50" s="234">
        <v>92</v>
      </c>
      <c r="AK50" s="234"/>
      <c r="AL50" s="234"/>
    </row>
    <row r="51" spans="1:39" ht="15.75" thickBot="1" x14ac:dyDescent="0.3">
      <c r="A51" s="242"/>
      <c r="B51" s="245"/>
      <c r="C51" s="60" t="s">
        <v>31</v>
      </c>
      <c r="E51" s="123"/>
      <c r="F51" s="218"/>
      <c r="G51" s="219"/>
      <c r="H51" s="220"/>
      <c r="I51" s="220"/>
      <c r="J51" s="220"/>
      <c r="L51" s="123"/>
      <c r="M51" s="218"/>
      <c r="N51" s="219"/>
      <c r="O51" s="220"/>
      <c r="P51" s="220"/>
      <c r="Q51" s="220"/>
      <c r="S51" s="100"/>
      <c r="T51" s="218"/>
      <c r="U51" s="219"/>
      <c r="V51" s="220"/>
      <c r="W51" s="220"/>
      <c r="X51" s="220"/>
      <c r="Z51" s="100"/>
      <c r="AA51" s="218"/>
      <c r="AB51" s="219"/>
      <c r="AC51" s="220"/>
      <c r="AD51" s="220"/>
      <c r="AE51" s="220"/>
      <c r="AG51" s="100"/>
      <c r="AH51" s="218"/>
      <c r="AI51" s="219"/>
      <c r="AJ51" s="220"/>
      <c r="AK51" s="220"/>
      <c r="AL51" s="220"/>
    </row>
    <row r="52" spans="1:39" ht="15.75" thickBot="1" x14ac:dyDescent="0.3">
      <c r="A52" s="11"/>
      <c r="B52" s="14"/>
      <c r="C52" s="14"/>
      <c r="E52" s="216"/>
      <c r="F52" s="217"/>
      <c r="G52" s="217"/>
      <c r="H52" s="217"/>
      <c r="I52" s="217"/>
      <c r="J52" s="217"/>
      <c r="L52" s="216"/>
      <c r="M52" s="217"/>
      <c r="N52" s="217"/>
      <c r="O52" s="217"/>
      <c r="P52" s="217"/>
      <c r="Q52" s="217"/>
      <c r="S52" s="216"/>
      <c r="T52" s="217"/>
      <c r="U52" s="217"/>
      <c r="V52" s="217"/>
      <c r="W52" s="217"/>
      <c r="X52" s="217"/>
      <c r="Z52" s="216"/>
      <c r="AA52" s="217"/>
      <c r="AB52" s="217"/>
      <c r="AC52" s="217"/>
      <c r="AD52" s="217"/>
      <c r="AE52" s="217"/>
      <c r="AG52" s="216"/>
      <c r="AH52" s="217"/>
      <c r="AI52" s="217"/>
      <c r="AJ52" s="217"/>
      <c r="AK52" s="217"/>
      <c r="AL52" s="217"/>
    </row>
    <row r="53" spans="1:39" ht="15" customHeight="1" x14ac:dyDescent="0.25">
      <c r="A53" s="210" t="s">
        <v>29</v>
      </c>
      <c r="B53" s="213" t="s">
        <v>110</v>
      </c>
      <c r="C53" s="59" t="s">
        <v>33</v>
      </c>
      <c r="E53" s="208">
        <v>71</v>
      </c>
      <c r="F53" s="209"/>
      <c r="G53" s="209"/>
      <c r="H53" s="209"/>
      <c r="I53" s="209"/>
      <c r="J53" s="209"/>
      <c r="L53" s="208">
        <v>28</v>
      </c>
      <c r="M53" s="209"/>
      <c r="N53" s="209"/>
      <c r="O53" s="209"/>
      <c r="P53" s="209"/>
      <c r="Q53" s="209"/>
      <c r="S53" s="208">
        <v>20</v>
      </c>
      <c r="T53" s="209"/>
      <c r="U53" s="209"/>
      <c r="V53" s="209"/>
      <c r="W53" s="209"/>
      <c r="X53" s="209"/>
      <c r="Z53" s="208">
        <v>20</v>
      </c>
      <c r="AA53" s="209"/>
      <c r="AB53" s="209"/>
      <c r="AC53" s="209"/>
      <c r="AD53" s="209"/>
      <c r="AE53" s="209"/>
      <c r="AG53" s="208">
        <v>20</v>
      </c>
      <c r="AH53" s="209"/>
      <c r="AI53" s="209"/>
      <c r="AJ53" s="209"/>
      <c r="AK53" s="209"/>
      <c r="AL53" s="209"/>
    </row>
    <row r="54" spans="1:39" x14ac:dyDescent="0.25">
      <c r="A54" s="211"/>
      <c r="B54" s="214"/>
      <c r="C54" s="18" t="s">
        <v>69</v>
      </c>
      <c r="E54" s="206">
        <v>296</v>
      </c>
      <c r="F54" s="207"/>
      <c r="G54" s="207"/>
      <c r="H54" s="207"/>
      <c r="I54" s="207"/>
      <c r="J54" s="207"/>
      <c r="L54" s="206">
        <v>277</v>
      </c>
      <c r="M54" s="207"/>
      <c r="N54" s="207"/>
      <c r="O54" s="207"/>
      <c r="P54" s="207"/>
      <c r="Q54" s="207"/>
      <c r="S54" s="206">
        <v>253</v>
      </c>
      <c r="T54" s="207"/>
      <c r="U54" s="207"/>
      <c r="V54" s="207"/>
      <c r="W54" s="207"/>
      <c r="X54" s="207"/>
      <c r="Z54" s="206">
        <v>253</v>
      </c>
      <c r="AA54" s="207"/>
      <c r="AB54" s="207"/>
      <c r="AC54" s="207"/>
      <c r="AD54" s="207"/>
      <c r="AE54" s="207"/>
      <c r="AG54" s="206">
        <v>253</v>
      </c>
      <c r="AH54" s="207"/>
      <c r="AI54" s="207"/>
      <c r="AJ54" s="207"/>
      <c r="AK54" s="207"/>
      <c r="AL54" s="207"/>
    </row>
    <row r="55" spans="1:39" x14ac:dyDescent="0.25">
      <c r="A55" s="211"/>
      <c r="B55" s="214"/>
      <c r="C55" s="18" t="s">
        <v>39</v>
      </c>
      <c r="E55" s="206">
        <v>103</v>
      </c>
      <c r="F55" s="207"/>
      <c r="G55" s="207"/>
      <c r="H55" s="207"/>
      <c r="I55" s="207"/>
      <c r="J55" s="207"/>
      <c r="L55" s="206">
        <v>67</v>
      </c>
      <c r="M55" s="207"/>
      <c r="N55" s="207"/>
      <c r="O55" s="207"/>
      <c r="P55" s="207"/>
      <c r="Q55" s="207"/>
      <c r="S55" s="206">
        <v>0</v>
      </c>
      <c r="T55" s="207"/>
      <c r="U55" s="207"/>
      <c r="V55" s="207"/>
      <c r="W55" s="207"/>
      <c r="X55" s="207"/>
      <c r="Z55" s="206">
        <v>0</v>
      </c>
      <c r="AA55" s="207"/>
      <c r="AB55" s="207"/>
      <c r="AC55" s="207"/>
      <c r="AD55" s="207"/>
      <c r="AE55" s="207"/>
      <c r="AG55" s="206">
        <v>0</v>
      </c>
      <c r="AH55" s="207"/>
      <c r="AI55" s="207"/>
      <c r="AJ55" s="207"/>
      <c r="AK55" s="207"/>
      <c r="AL55" s="207"/>
    </row>
    <row r="56" spans="1:39" x14ac:dyDescent="0.25">
      <c r="A56" s="211"/>
      <c r="B56" s="214"/>
      <c r="C56" s="18" t="s">
        <v>40</v>
      </c>
      <c r="E56" s="206">
        <v>110</v>
      </c>
      <c r="F56" s="207"/>
      <c r="G56" s="207"/>
      <c r="H56" s="207"/>
      <c r="I56" s="207"/>
      <c r="J56" s="207"/>
      <c r="L56" s="206">
        <v>105</v>
      </c>
      <c r="M56" s="207"/>
      <c r="N56" s="207"/>
      <c r="O56" s="207"/>
      <c r="P56" s="207"/>
      <c r="Q56" s="207"/>
      <c r="S56" s="206">
        <v>137</v>
      </c>
      <c r="T56" s="207"/>
      <c r="U56" s="207"/>
      <c r="V56" s="207"/>
      <c r="W56" s="207"/>
      <c r="X56" s="207"/>
      <c r="Z56" s="206">
        <v>137</v>
      </c>
      <c r="AA56" s="207"/>
      <c r="AB56" s="207"/>
      <c r="AC56" s="207"/>
      <c r="AD56" s="207"/>
      <c r="AE56" s="207"/>
      <c r="AG56" s="206">
        <v>137</v>
      </c>
      <c r="AH56" s="207"/>
      <c r="AI56" s="207"/>
      <c r="AJ56" s="207"/>
      <c r="AK56" s="207"/>
      <c r="AL56" s="207"/>
    </row>
    <row r="57" spans="1:39" x14ac:dyDescent="0.25">
      <c r="A57" s="211"/>
      <c r="B57" s="214"/>
      <c r="C57" s="16" t="s">
        <v>41</v>
      </c>
      <c r="E57" s="200"/>
      <c r="F57" s="201"/>
      <c r="G57" s="201"/>
      <c r="H57" s="201"/>
      <c r="I57" s="201"/>
      <c r="J57" s="201"/>
      <c r="L57" s="200"/>
      <c r="M57" s="201"/>
      <c r="N57" s="201"/>
      <c r="O57" s="201"/>
      <c r="P57" s="201"/>
      <c r="Q57" s="201"/>
      <c r="S57" s="200"/>
      <c r="T57" s="201"/>
      <c r="U57" s="201"/>
      <c r="V57" s="201"/>
      <c r="W57" s="201"/>
      <c r="X57" s="201"/>
      <c r="Z57" s="200"/>
      <c r="AA57" s="201"/>
      <c r="AB57" s="201"/>
      <c r="AC57" s="201"/>
      <c r="AD57" s="201"/>
      <c r="AE57" s="201"/>
      <c r="AG57" s="200"/>
      <c r="AH57" s="201"/>
      <c r="AI57" s="201"/>
      <c r="AJ57" s="201"/>
      <c r="AK57" s="201"/>
      <c r="AL57" s="201"/>
    </row>
    <row r="58" spans="1:39" x14ac:dyDescent="0.25">
      <c r="A58" s="211"/>
      <c r="B58" s="214"/>
      <c r="C58" s="16" t="s">
        <v>42</v>
      </c>
      <c r="E58" s="200"/>
      <c r="F58" s="201"/>
      <c r="G58" s="201"/>
      <c r="H58" s="201"/>
      <c r="I58" s="201"/>
      <c r="J58" s="201"/>
      <c r="L58" s="200"/>
      <c r="M58" s="201"/>
      <c r="N58" s="201"/>
      <c r="O58" s="201"/>
      <c r="P58" s="201"/>
      <c r="Q58" s="201"/>
      <c r="S58" s="200"/>
      <c r="T58" s="201"/>
      <c r="U58" s="201"/>
      <c r="V58" s="201"/>
      <c r="W58" s="201"/>
      <c r="X58" s="201"/>
      <c r="Z58" s="200"/>
      <c r="AA58" s="201"/>
      <c r="AB58" s="201"/>
      <c r="AC58" s="201"/>
      <c r="AD58" s="201"/>
      <c r="AE58" s="201"/>
      <c r="AG58" s="200"/>
      <c r="AH58" s="201"/>
      <c r="AI58" s="201"/>
      <c r="AJ58" s="201"/>
      <c r="AK58" s="201"/>
      <c r="AL58" s="201"/>
    </row>
    <row r="59" spans="1:39" x14ac:dyDescent="0.25">
      <c r="A59" s="211"/>
      <c r="B59" s="214"/>
      <c r="C59" s="18" t="s">
        <v>43</v>
      </c>
      <c r="E59" s="200">
        <v>12</v>
      </c>
      <c r="F59" s="201"/>
      <c r="G59" s="201"/>
      <c r="H59" s="201"/>
      <c r="I59" s="201"/>
      <c r="J59" s="201"/>
      <c r="L59" s="200">
        <v>12</v>
      </c>
      <c r="M59" s="201"/>
      <c r="N59" s="201"/>
      <c r="O59" s="201"/>
      <c r="P59" s="201"/>
      <c r="Q59" s="201"/>
      <c r="S59" s="200"/>
      <c r="T59" s="201"/>
      <c r="U59" s="201"/>
      <c r="V59" s="201"/>
      <c r="W59" s="201"/>
      <c r="X59" s="201"/>
      <c r="Z59" s="200"/>
      <c r="AA59" s="201"/>
      <c r="AB59" s="201"/>
      <c r="AC59" s="201"/>
      <c r="AD59" s="201"/>
      <c r="AE59" s="201"/>
      <c r="AG59" s="200"/>
      <c r="AH59" s="201"/>
      <c r="AI59" s="201"/>
      <c r="AJ59" s="201"/>
      <c r="AK59" s="201"/>
      <c r="AL59" s="201"/>
    </row>
    <row r="60" spans="1:39" x14ac:dyDescent="0.25">
      <c r="A60" s="211"/>
      <c r="B60" s="214"/>
      <c r="C60" s="16" t="s">
        <v>44</v>
      </c>
      <c r="E60" s="206" t="s">
        <v>216</v>
      </c>
      <c r="F60" s="207"/>
      <c r="G60" s="207"/>
      <c r="H60" s="207"/>
      <c r="I60" s="207"/>
      <c r="J60" s="207"/>
      <c r="L60" s="206" t="s">
        <v>193</v>
      </c>
      <c r="M60" s="207"/>
      <c r="N60" s="207"/>
      <c r="O60" s="207"/>
      <c r="P60" s="207"/>
      <c r="Q60" s="207"/>
      <c r="S60" s="206" t="s">
        <v>220</v>
      </c>
      <c r="T60" s="207"/>
      <c r="U60" s="207"/>
      <c r="V60" s="207"/>
      <c r="W60" s="207"/>
      <c r="X60" s="207"/>
      <c r="Z60" s="206" t="s">
        <v>220</v>
      </c>
      <c r="AA60" s="207"/>
      <c r="AB60" s="207"/>
      <c r="AC60" s="207"/>
      <c r="AD60" s="207"/>
      <c r="AE60" s="207"/>
      <c r="AG60" s="206" t="s">
        <v>220</v>
      </c>
      <c r="AH60" s="207"/>
      <c r="AI60" s="207"/>
      <c r="AJ60" s="207"/>
      <c r="AK60" s="207"/>
      <c r="AL60" s="207"/>
    </row>
    <row r="61" spans="1:39" ht="15" customHeight="1" x14ac:dyDescent="0.25">
      <c r="A61" s="211"/>
      <c r="B61" s="214"/>
      <c r="C61" s="204" t="s">
        <v>70</v>
      </c>
      <c r="D61" s="41"/>
      <c r="E61" s="200"/>
      <c r="F61" s="201"/>
      <c r="G61" s="201"/>
      <c r="H61" s="201"/>
      <c r="I61" s="201"/>
      <c r="J61" s="201"/>
      <c r="K61" s="37"/>
      <c r="L61" s="200"/>
      <c r="M61" s="201"/>
      <c r="N61" s="201"/>
      <c r="O61" s="201"/>
      <c r="P61" s="201"/>
      <c r="Q61" s="201"/>
      <c r="R61" s="37"/>
      <c r="S61" s="200"/>
      <c r="T61" s="201"/>
      <c r="U61" s="201"/>
      <c r="V61" s="201"/>
      <c r="W61" s="201"/>
      <c r="X61" s="201"/>
      <c r="Y61" s="37"/>
      <c r="Z61" s="200"/>
      <c r="AA61" s="201"/>
      <c r="AB61" s="201"/>
      <c r="AC61" s="201"/>
      <c r="AD61" s="201"/>
      <c r="AE61" s="201"/>
      <c r="AF61" s="37"/>
      <c r="AG61" s="200"/>
      <c r="AH61" s="201"/>
      <c r="AI61" s="201"/>
      <c r="AJ61" s="201"/>
      <c r="AK61" s="201"/>
      <c r="AL61" s="201"/>
      <c r="AM61" s="37"/>
    </row>
    <row r="62" spans="1:39" ht="15.75" thickBot="1" x14ac:dyDescent="0.3">
      <c r="A62" s="212"/>
      <c r="B62" s="215"/>
      <c r="C62" s="205"/>
      <c r="D62" s="41"/>
      <c r="E62" s="202"/>
      <c r="F62" s="203"/>
      <c r="G62" s="203"/>
      <c r="H62" s="203"/>
      <c r="I62" s="203"/>
      <c r="J62" s="203"/>
      <c r="K62" s="37"/>
      <c r="L62" s="202"/>
      <c r="M62" s="203"/>
      <c r="N62" s="203"/>
      <c r="O62" s="203"/>
      <c r="P62" s="203"/>
      <c r="Q62" s="203"/>
      <c r="R62" s="37"/>
      <c r="S62" s="202"/>
      <c r="T62" s="203"/>
      <c r="U62" s="203"/>
      <c r="V62" s="203"/>
      <c r="W62" s="203"/>
      <c r="X62" s="203"/>
      <c r="Y62" s="37"/>
      <c r="Z62" s="202"/>
      <c r="AA62" s="203"/>
      <c r="AB62" s="203"/>
      <c r="AC62" s="203"/>
      <c r="AD62" s="203"/>
      <c r="AE62" s="203"/>
      <c r="AF62" s="37"/>
      <c r="AG62" s="202"/>
      <c r="AH62" s="203"/>
      <c r="AI62" s="203"/>
      <c r="AJ62" s="203"/>
      <c r="AK62" s="203"/>
      <c r="AL62" s="203"/>
      <c r="AM62" s="37"/>
    </row>
  </sheetData>
  <mergeCells count="264">
    <mergeCell ref="S58:X58"/>
    <mergeCell ref="V49:X49"/>
    <mergeCell ref="T50:U50"/>
    <mergeCell ref="V50:X50"/>
    <mergeCell ref="T51:U51"/>
    <mergeCell ref="V51:X51"/>
    <mergeCell ref="S52:X52"/>
    <mergeCell ref="E42:H42"/>
    <mergeCell ref="L42:O42"/>
    <mergeCell ref="L56:Q56"/>
    <mergeCell ref="L57:Q57"/>
    <mergeCell ref="L58:Q58"/>
    <mergeCell ref="G46:I46"/>
    <mergeCell ref="L43:Q43"/>
    <mergeCell ref="L46:M46"/>
    <mergeCell ref="N46:P46"/>
    <mergeCell ref="L47:M47"/>
    <mergeCell ref="L55:Q55"/>
    <mergeCell ref="L52:Q52"/>
    <mergeCell ref="L53:Q53"/>
    <mergeCell ref="T49:U49"/>
    <mergeCell ref="U44:W44"/>
    <mergeCell ref="U45:W45"/>
    <mergeCell ref="U46:W46"/>
    <mergeCell ref="S33:X33"/>
    <mergeCell ref="U34:V34"/>
    <mergeCell ref="U35:V35"/>
    <mergeCell ref="U36:V36"/>
    <mergeCell ref="U38:V38"/>
    <mergeCell ref="U39:V39"/>
    <mergeCell ref="U40:V40"/>
    <mergeCell ref="U41:V41"/>
    <mergeCell ref="M51:N51"/>
    <mergeCell ref="O51:Q51"/>
    <mergeCell ref="N37:O37"/>
    <mergeCell ref="N44:P44"/>
    <mergeCell ref="N45:P45"/>
    <mergeCell ref="N47:P47"/>
    <mergeCell ref="L48:Q48"/>
    <mergeCell ref="M50:N50"/>
    <mergeCell ref="O50:Q50"/>
    <mergeCell ref="S42:V42"/>
    <mergeCell ref="S43:X43"/>
    <mergeCell ref="S44:T44"/>
    <mergeCell ref="S45:T45"/>
    <mergeCell ref="S46:T46"/>
    <mergeCell ref="S47:T47"/>
    <mergeCell ref="S48:X48"/>
    <mergeCell ref="A53:A62"/>
    <mergeCell ref="B53:B62"/>
    <mergeCell ref="S53:X53"/>
    <mergeCell ref="S55:X55"/>
    <mergeCell ref="S57:X57"/>
    <mergeCell ref="E53:J53"/>
    <mergeCell ref="E54:J54"/>
    <mergeCell ref="E55:J55"/>
    <mergeCell ref="E56:J56"/>
    <mergeCell ref="E57:J57"/>
    <mergeCell ref="E58:J58"/>
    <mergeCell ref="E59:J59"/>
    <mergeCell ref="E60:J60"/>
    <mergeCell ref="E61:J62"/>
    <mergeCell ref="C61:C62"/>
    <mergeCell ref="S61:X62"/>
    <mergeCell ref="S60:X60"/>
    <mergeCell ref="S59:X59"/>
    <mergeCell ref="S54:X54"/>
    <mergeCell ref="L54:Q54"/>
    <mergeCell ref="S56:X56"/>
    <mergeCell ref="L59:Q59"/>
    <mergeCell ref="L60:Q60"/>
    <mergeCell ref="L61:Q62"/>
    <mergeCell ref="A49:A51"/>
    <mergeCell ref="B49:B51"/>
    <mergeCell ref="F49:G49"/>
    <mergeCell ref="H49:J49"/>
    <mergeCell ref="F50:G50"/>
    <mergeCell ref="H50:J50"/>
    <mergeCell ref="U47:W47"/>
    <mergeCell ref="E52:J52"/>
    <mergeCell ref="M49:N49"/>
    <mergeCell ref="E48:J48"/>
    <mergeCell ref="F51:G51"/>
    <mergeCell ref="H51:J51"/>
    <mergeCell ref="G47:I47"/>
    <mergeCell ref="O49:Q49"/>
    <mergeCell ref="A34:A42"/>
    <mergeCell ref="B34:B42"/>
    <mergeCell ref="L45:M45"/>
    <mergeCell ref="A44:A47"/>
    <mergeCell ref="B44:B47"/>
    <mergeCell ref="E44:F44"/>
    <mergeCell ref="E45:F45"/>
    <mergeCell ref="E46:F46"/>
    <mergeCell ref="E47:F47"/>
    <mergeCell ref="G36:H36"/>
    <mergeCell ref="G40:H40"/>
    <mergeCell ref="G41:H41"/>
    <mergeCell ref="E43:J43"/>
    <mergeCell ref="G34:H34"/>
    <mergeCell ref="G44:I44"/>
    <mergeCell ref="G45:I45"/>
    <mergeCell ref="L44:M44"/>
    <mergeCell ref="G37:H37"/>
    <mergeCell ref="S13:W13"/>
    <mergeCell ref="S14:W14"/>
    <mergeCell ref="S15:W15"/>
    <mergeCell ref="A21:A32"/>
    <mergeCell ref="B21:B32"/>
    <mergeCell ref="A17:A19"/>
    <mergeCell ref="B17:B19"/>
    <mergeCell ref="S17:X17"/>
    <mergeCell ref="S18:X18"/>
    <mergeCell ref="L17:Q17"/>
    <mergeCell ref="L18:Q18"/>
    <mergeCell ref="L20:Q20"/>
    <mergeCell ref="L19:P19"/>
    <mergeCell ref="S19:W19"/>
    <mergeCell ref="S20:X20"/>
    <mergeCell ref="E13:I13"/>
    <mergeCell ref="E14:I14"/>
    <mergeCell ref="E15:I15"/>
    <mergeCell ref="E19:I19"/>
    <mergeCell ref="S7:X7"/>
    <mergeCell ref="S9:X9"/>
    <mergeCell ref="S16:X16"/>
    <mergeCell ref="L7:Q7"/>
    <mergeCell ref="S8:X8"/>
    <mergeCell ref="L16:Q16"/>
    <mergeCell ref="L13:P13"/>
    <mergeCell ref="L14:P14"/>
    <mergeCell ref="A13:A15"/>
    <mergeCell ref="B13:B15"/>
    <mergeCell ref="S10:X10"/>
    <mergeCell ref="E12:J12"/>
    <mergeCell ref="S12:X12"/>
    <mergeCell ref="L8:Q8"/>
    <mergeCell ref="L9:Q9"/>
    <mergeCell ref="L10:Q10"/>
    <mergeCell ref="L12:Q12"/>
    <mergeCell ref="A8:A11"/>
    <mergeCell ref="B8:B11"/>
    <mergeCell ref="E11:J11"/>
    <mergeCell ref="L11:Q11"/>
    <mergeCell ref="S11:X11"/>
    <mergeCell ref="E7:J7"/>
    <mergeCell ref="E8:J8"/>
    <mergeCell ref="E9:J9"/>
    <mergeCell ref="E10:J10"/>
    <mergeCell ref="E17:J17"/>
    <mergeCell ref="E18:J18"/>
    <mergeCell ref="E20:J20"/>
    <mergeCell ref="E33:J33"/>
    <mergeCell ref="G35:H35"/>
    <mergeCell ref="G38:H38"/>
    <mergeCell ref="N41:O41"/>
    <mergeCell ref="G39:H39"/>
    <mergeCell ref="E16:J16"/>
    <mergeCell ref="L15:P15"/>
    <mergeCell ref="L33:Q33"/>
    <mergeCell ref="N34:O34"/>
    <mergeCell ref="N35:O35"/>
    <mergeCell ref="N36:O36"/>
    <mergeCell ref="N38:O38"/>
    <mergeCell ref="N39:O39"/>
    <mergeCell ref="N40:O40"/>
    <mergeCell ref="Z7:AE7"/>
    <mergeCell ref="AG7:AL7"/>
    <mergeCell ref="Z8:AE8"/>
    <mergeCell ref="AG8:AL8"/>
    <mergeCell ref="Z9:AE9"/>
    <mergeCell ref="AG9:AL9"/>
    <mergeCell ref="Z10:AE10"/>
    <mergeCell ref="AG10:AL10"/>
    <mergeCell ref="Z11:AE11"/>
    <mergeCell ref="AG11:AL11"/>
    <mergeCell ref="Z12:AE12"/>
    <mergeCell ref="AG12:AL12"/>
    <mergeCell ref="Z13:AD13"/>
    <mergeCell ref="AG13:AK13"/>
    <mergeCell ref="Z14:AD14"/>
    <mergeCell ref="AG14:AK14"/>
    <mergeCell ref="Z15:AD15"/>
    <mergeCell ref="AG15:AK15"/>
    <mergeCell ref="Z16:AE16"/>
    <mergeCell ref="AG16:AL16"/>
    <mergeCell ref="Z17:AE17"/>
    <mergeCell ref="AG17:AL17"/>
    <mergeCell ref="Z18:AE18"/>
    <mergeCell ref="AG18:AL18"/>
    <mergeCell ref="Z19:AD19"/>
    <mergeCell ref="AG19:AK19"/>
    <mergeCell ref="Z20:AE20"/>
    <mergeCell ref="AG20:AL20"/>
    <mergeCell ref="Z33:AE33"/>
    <mergeCell ref="AG33:AL33"/>
    <mergeCell ref="AB34:AC34"/>
    <mergeCell ref="AI34:AJ34"/>
    <mergeCell ref="AB35:AC35"/>
    <mergeCell ref="AI35:AJ35"/>
    <mergeCell ref="AB36:AC36"/>
    <mergeCell ref="AI36:AJ36"/>
    <mergeCell ref="AB38:AC38"/>
    <mergeCell ref="AI38:AJ38"/>
    <mergeCell ref="AB39:AC39"/>
    <mergeCell ref="AI39:AJ39"/>
    <mergeCell ref="AB40:AC40"/>
    <mergeCell ref="AI40:AJ40"/>
    <mergeCell ref="AB41:AC41"/>
    <mergeCell ref="AI41:AJ41"/>
    <mergeCell ref="Z42:AC42"/>
    <mergeCell ref="AG42:AJ42"/>
    <mergeCell ref="Z43:AE43"/>
    <mergeCell ref="AG43:AL43"/>
    <mergeCell ref="Z44:AA44"/>
    <mergeCell ref="AB44:AD44"/>
    <mergeCell ref="AG44:AH44"/>
    <mergeCell ref="AI44:AK44"/>
    <mergeCell ref="Z45:AA45"/>
    <mergeCell ref="AB45:AD45"/>
    <mergeCell ref="AG45:AH45"/>
    <mergeCell ref="AI45:AK45"/>
    <mergeCell ref="Z46:AA46"/>
    <mergeCell ref="AB46:AD46"/>
    <mergeCell ref="AG46:AH46"/>
    <mergeCell ref="AI46:AK46"/>
    <mergeCell ref="Z47:AA47"/>
    <mergeCell ref="AB47:AD47"/>
    <mergeCell ref="AG47:AH47"/>
    <mergeCell ref="AI47:AK47"/>
    <mergeCell ref="Z48:AE48"/>
    <mergeCell ref="AG48:AL48"/>
    <mergeCell ref="AA49:AB49"/>
    <mergeCell ref="AC49:AE49"/>
    <mergeCell ref="AH49:AI49"/>
    <mergeCell ref="AJ49:AL49"/>
    <mergeCell ref="AA50:AB50"/>
    <mergeCell ref="AC50:AE50"/>
    <mergeCell ref="AH50:AI50"/>
    <mergeCell ref="AJ50:AL50"/>
    <mergeCell ref="AA51:AB51"/>
    <mergeCell ref="AC51:AE51"/>
    <mergeCell ref="AH51:AI51"/>
    <mergeCell ref="AJ51:AL51"/>
    <mergeCell ref="Z52:AE52"/>
    <mergeCell ref="AG52:AL52"/>
    <mergeCell ref="Z53:AE53"/>
    <mergeCell ref="AG53:AL53"/>
    <mergeCell ref="Z54:AE54"/>
    <mergeCell ref="AG54:AL54"/>
    <mergeCell ref="Z60:AE60"/>
    <mergeCell ref="AG60:AL60"/>
    <mergeCell ref="Z61:AE62"/>
    <mergeCell ref="AG61:AL62"/>
    <mergeCell ref="Z55:AE55"/>
    <mergeCell ref="AG55:AL55"/>
    <mergeCell ref="Z56:AE56"/>
    <mergeCell ref="AG56:AL56"/>
    <mergeCell ref="Z57:AE57"/>
    <mergeCell ref="AG57:AL57"/>
    <mergeCell ref="Z58:AE58"/>
    <mergeCell ref="AG58:AL58"/>
    <mergeCell ref="Z59:AE59"/>
    <mergeCell ref="AG59:AL59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8" max="8" width="21.2851562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195" t="s">
        <v>109</v>
      </c>
      <c r="B5" s="195"/>
      <c r="C5" s="195"/>
      <c r="E5" s="195" t="s">
        <v>252</v>
      </c>
      <c r="F5" s="195"/>
      <c r="G5" s="195"/>
      <c r="I5" s="195" t="s">
        <v>253</v>
      </c>
      <c r="J5" s="195"/>
      <c r="K5" s="195"/>
      <c r="M5" s="195" t="s">
        <v>254</v>
      </c>
      <c r="N5" s="195"/>
      <c r="O5" s="195"/>
      <c r="Q5" s="195" t="s">
        <v>255</v>
      </c>
      <c r="R5" s="195"/>
      <c r="S5" s="195"/>
      <c r="U5" s="195"/>
      <c r="V5" s="195"/>
      <c r="W5" s="195"/>
    </row>
    <row r="6" spans="1:23" x14ac:dyDescent="0.25">
      <c r="A6" s="4" t="s">
        <v>88</v>
      </c>
      <c r="B6" s="4" t="s">
        <v>72</v>
      </c>
      <c r="C6" s="4" t="s">
        <v>87</v>
      </c>
      <c r="E6" s="4" t="s">
        <v>88</v>
      </c>
      <c r="F6" s="4" t="s">
        <v>72</v>
      </c>
      <c r="G6" s="4" t="s">
        <v>87</v>
      </c>
      <c r="I6" s="4" t="s">
        <v>88</v>
      </c>
      <c r="J6" s="4" t="s">
        <v>72</v>
      </c>
      <c r="K6" s="4" t="s">
        <v>87</v>
      </c>
      <c r="M6" s="4" t="s">
        <v>88</v>
      </c>
      <c r="N6" s="4" t="s">
        <v>72</v>
      </c>
      <c r="O6" s="4" t="s">
        <v>87</v>
      </c>
      <c r="Q6" s="4" t="s">
        <v>88</v>
      </c>
      <c r="R6" s="4" t="s">
        <v>72</v>
      </c>
      <c r="S6" s="4" t="s">
        <v>87</v>
      </c>
      <c r="U6" s="4"/>
      <c r="V6" s="4"/>
      <c r="W6" s="4"/>
    </row>
    <row r="7" spans="1:23" x14ac:dyDescent="0.25">
      <c r="A7" s="4">
        <v>1</v>
      </c>
      <c r="B7" s="4">
        <v>2009</v>
      </c>
      <c r="C7" s="73">
        <v>2.7800000000000002</v>
      </c>
      <c r="E7" s="4">
        <v>1</v>
      </c>
      <c r="F7" s="4">
        <v>2010</v>
      </c>
      <c r="G7" s="4">
        <v>5.89</v>
      </c>
      <c r="I7" s="4">
        <v>1</v>
      </c>
      <c r="J7" s="4">
        <v>2010</v>
      </c>
      <c r="K7" s="4">
        <v>4.4800000000000004</v>
      </c>
      <c r="M7" s="4">
        <v>1</v>
      </c>
      <c r="N7" s="4">
        <v>2010</v>
      </c>
      <c r="O7" s="142">
        <f>0.35*30.9</f>
        <v>10.815</v>
      </c>
      <c r="Q7" s="4">
        <v>1</v>
      </c>
      <c r="R7" s="4">
        <v>2010</v>
      </c>
      <c r="S7" s="4">
        <v>7.6</v>
      </c>
      <c r="U7" s="4"/>
      <c r="V7" s="4"/>
      <c r="W7" s="4"/>
    </row>
    <row r="8" spans="1:23" x14ac:dyDescent="0.25">
      <c r="A8" s="4">
        <v>2</v>
      </c>
      <c r="B8" s="4">
        <v>2010</v>
      </c>
      <c r="C8" s="73">
        <v>2.52</v>
      </c>
      <c r="E8" s="4">
        <v>2</v>
      </c>
      <c r="F8" s="4">
        <v>2011</v>
      </c>
      <c r="G8" s="4">
        <v>4.54</v>
      </c>
      <c r="I8" s="4">
        <v>2</v>
      </c>
      <c r="J8" s="4">
        <v>2011</v>
      </c>
      <c r="K8" s="4">
        <v>3.39</v>
      </c>
      <c r="M8" s="4">
        <v>2</v>
      </c>
      <c r="N8" s="4">
        <v>2011</v>
      </c>
      <c r="O8" s="142">
        <f>0.35*39.1</f>
        <v>13.685</v>
      </c>
      <c r="Q8" s="4">
        <v>2</v>
      </c>
      <c r="R8" s="4">
        <v>2011</v>
      </c>
      <c r="S8" s="4">
        <v>6.73</v>
      </c>
      <c r="U8" s="4"/>
      <c r="V8" s="4"/>
      <c r="W8" s="4"/>
    </row>
    <row r="9" spans="1:23" x14ac:dyDescent="0.25">
      <c r="A9" s="4">
        <v>3</v>
      </c>
      <c r="B9" s="4">
        <v>2011</v>
      </c>
      <c r="C9" s="73">
        <v>2.27</v>
      </c>
      <c r="E9" s="4">
        <v>3</v>
      </c>
      <c r="F9" s="4">
        <v>2012</v>
      </c>
      <c r="G9" s="4">
        <v>5.38</v>
      </c>
      <c r="I9" s="4">
        <v>3</v>
      </c>
      <c r="J9" s="4">
        <v>2012</v>
      </c>
      <c r="K9" s="4">
        <v>5.52</v>
      </c>
      <c r="M9" s="4">
        <v>3</v>
      </c>
      <c r="N9" s="4">
        <v>2012</v>
      </c>
      <c r="O9" s="142">
        <f>0.35*41.7</f>
        <v>14.595000000000001</v>
      </c>
      <c r="Q9" s="4">
        <v>3</v>
      </c>
      <c r="R9" s="4">
        <v>2012</v>
      </c>
      <c r="S9" s="4">
        <v>6.15</v>
      </c>
      <c r="U9" s="4"/>
      <c r="V9" s="4"/>
      <c r="W9" s="4"/>
    </row>
    <row r="10" spans="1:23" x14ac:dyDescent="0.25">
      <c r="A10" s="4">
        <v>4</v>
      </c>
      <c r="B10" s="4">
        <v>2012</v>
      </c>
      <c r="C10" s="73">
        <v>3.79</v>
      </c>
      <c r="E10" s="4">
        <v>4</v>
      </c>
      <c r="F10" s="4">
        <v>2013</v>
      </c>
      <c r="G10" s="4">
        <v>7.28</v>
      </c>
      <c r="I10" s="4">
        <v>4</v>
      </c>
      <c r="J10" s="4">
        <v>2013</v>
      </c>
      <c r="K10" s="4">
        <v>6.01</v>
      </c>
      <c r="M10" s="4">
        <v>4</v>
      </c>
      <c r="N10" s="4">
        <v>2013</v>
      </c>
      <c r="O10" s="142">
        <f>0.35*33.68</f>
        <v>11.787999999999998</v>
      </c>
      <c r="Q10" s="4">
        <v>4</v>
      </c>
      <c r="R10" s="4">
        <v>2013</v>
      </c>
      <c r="S10" s="4">
        <v>6.73</v>
      </c>
      <c r="U10" s="4"/>
      <c r="V10" s="4"/>
      <c r="W10" s="4"/>
    </row>
    <row r="11" spans="1:23" x14ac:dyDescent="0.25">
      <c r="A11" s="4">
        <v>5</v>
      </c>
      <c r="B11" s="4">
        <v>2013</v>
      </c>
      <c r="C11" s="73">
        <v>2.95</v>
      </c>
      <c r="E11" s="4">
        <v>5</v>
      </c>
      <c r="F11" s="4">
        <v>2014</v>
      </c>
      <c r="G11" s="4">
        <v>7.94</v>
      </c>
      <c r="I11" s="4">
        <v>5</v>
      </c>
      <c r="J11" s="4">
        <v>2014</v>
      </c>
      <c r="K11" s="4">
        <v>5.98</v>
      </c>
      <c r="M11" s="4">
        <v>5</v>
      </c>
      <c r="N11" s="4">
        <v>2014</v>
      </c>
      <c r="O11" s="142">
        <f>0.35*36.17</f>
        <v>12.6595</v>
      </c>
      <c r="Q11" s="4">
        <v>5</v>
      </c>
      <c r="R11" s="4">
        <v>2014</v>
      </c>
      <c r="S11" s="4">
        <v>8.01</v>
      </c>
      <c r="U11" s="4"/>
      <c r="V11" s="4"/>
      <c r="W11" s="4"/>
    </row>
    <row r="12" spans="1:23" x14ac:dyDescent="0.25">
      <c r="A12" s="4">
        <v>6</v>
      </c>
      <c r="B12" s="4">
        <v>2014</v>
      </c>
      <c r="C12" s="73">
        <v>3.0950000000000002</v>
      </c>
      <c r="E12" s="4">
        <v>6</v>
      </c>
      <c r="F12" s="4">
        <v>2015</v>
      </c>
      <c r="G12" s="4">
        <v>6.29</v>
      </c>
      <c r="I12" s="4">
        <v>6</v>
      </c>
      <c r="J12" s="4">
        <v>2015</v>
      </c>
      <c r="K12" s="4">
        <v>4.8099999999999996</v>
      </c>
      <c r="M12" s="4">
        <v>6</v>
      </c>
      <c r="N12" s="4">
        <v>2015</v>
      </c>
      <c r="O12" s="142">
        <f>0.35*26.87</f>
        <v>9.4045000000000005</v>
      </c>
      <c r="Q12" s="4">
        <v>6</v>
      </c>
      <c r="R12" s="4">
        <v>2015</v>
      </c>
      <c r="S12" s="4">
        <v>5.26</v>
      </c>
      <c r="U12" s="4"/>
      <c r="V12" s="4"/>
      <c r="W12" s="4"/>
    </row>
    <row r="13" spans="1:23" x14ac:dyDescent="0.25">
      <c r="A13" s="4">
        <v>7</v>
      </c>
      <c r="B13" s="4">
        <v>2015</v>
      </c>
      <c r="C13" s="73">
        <v>2.4</v>
      </c>
      <c r="E13" s="4">
        <v>7</v>
      </c>
      <c r="F13" s="4">
        <v>2016</v>
      </c>
      <c r="G13" s="4">
        <v>6.57</v>
      </c>
      <c r="I13" s="4">
        <v>7</v>
      </c>
      <c r="J13" s="4">
        <v>2016</v>
      </c>
      <c r="K13" s="4">
        <v>5.59</v>
      </c>
      <c r="M13" s="4">
        <v>7</v>
      </c>
      <c r="N13" s="4">
        <v>2016</v>
      </c>
      <c r="O13" s="142">
        <f>0.35*37.71</f>
        <v>13.198499999999999</v>
      </c>
      <c r="Q13" s="4">
        <v>7</v>
      </c>
      <c r="R13" s="4">
        <v>2016</v>
      </c>
      <c r="S13" s="4">
        <v>5.68</v>
      </c>
      <c r="U13" s="4"/>
      <c r="V13" s="4"/>
      <c r="W13" s="4"/>
    </row>
    <row r="14" spans="1:23" x14ac:dyDescent="0.25">
      <c r="A14" s="4">
        <v>8</v>
      </c>
      <c r="B14" s="4">
        <v>2016</v>
      </c>
      <c r="C14" s="73">
        <v>4.4799999999999995</v>
      </c>
      <c r="E14" s="4">
        <v>8</v>
      </c>
      <c r="F14" s="4">
        <v>2017</v>
      </c>
      <c r="G14" s="4">
        <v>6.38</v>
      </c>
      <c r="I14" s="4">
        <v>8</v>
      </c>
      <c r="J14" s="4">
        <v>2017</v>
      </c>
      <c r="K14" s="4">
        <v>4.99</v>
      </c>
      <c r="M14" s="4">
        <v>8</v>
      </c>
      <c r="N14" s="4">
        <v>2017</v>
      </c>
      <c r="O14" s="142">
        <f>0.35*42.13</f>
        <v>14.7455</v>
      </c>
      <c r="Q14" s="4">
        <v>8</v>
      </c>
      <c r="R14" s="4">
        <v>2017</v>
      </c>
      <c r="S14" s="4">
        <v>6.58</v>
      </c>
      <c r="U14" s="4"/>
      <c r="V14" s="4"/>
      <c r="W14" s="4"/>
    </row>
    <row r="15" spans="1:23" x14ac:dyDescent="0.25">
      <c r="A15" s="4">
        <v>9</v>
      </c>
      <c r="B15" s="4">
        <v>2017</v>
      </c>
      <c r="C15" s="73">
        <v>2.17</v>
      </c>
      <c r="E15" s="4">
        <v>9</v>
      </c>
      <c r="F15" s="4">
        <v>2018</v>
      </c>
      <c r="G15" s="4">
        <v>5.38</v>
      </c>
      <c r="I15" s="4">
        <v>9</v>
      </c>
      <c r="J15" s="4">
        <v>2018</v>
      </c>
      <c r="K15" s="4">
        <v>3.86</v>
      </c>
      <c r="M15" s="4">
        <v>9</v>
      </c>
      <c r="N15" s="4">
        <v>2018</v>
      </c>
      <c r="O15" s="142">
        <f>0.35*26.49</f>
        <v>9.2714999999999996</v>
      </c>
      <c r="Q15" s="4">
        <v>9</v>
      </c>
      <c r="R15" s="4">
        <v>2018</v>
      </c>
      <c r="S15" s="4">
        <v>3.96</v>
      </c>
      <c r="U15" s="4"/>
      <c r="V15" s="4"/>
      <c r="W15" s="4"/>
    </row>
    <row r="16" spans="1:23" x14ac:dyDescent="0.25">
      <c r="A16" s="4">
        <v>10</v>
      </c>
      <c r="B16" s="4">
        <v>2018</v>
      </c>
      <c r="C16" s="73">
        <v>3.0100000000000002</v>
      </c>
      <c r="E16" s="4">
        <v>10</v>
      </c>
      <c r="F16" s="4">
        <v>2019</v>
      </c>
      <c r="G16" s="4">
        <v>6.21</v>
      </c>
      <c r="I16" s="4">
        <v>10</v>
      </c>
      <c r="J16" s="4">
        <v>2019</v>
      </c>
      <c r="K16" s="4">
        <v>5.37</v>
      </c>
      <c r="M16" s="4">
        <v>10</v>
      </c>
      <c r="N16" s="4">
        <v>2019</v>
      </c>
      <c r="O16" s="142">
        <f>0.35*31.29</f>
        <v>10.951499999999999</v>
      </c>
      <c r="Q16" s="4">
        <v>10</v>
      </c>
      <c r="R16" s="4">
        <v>2019</v>
      </c>
      <c r="S16" s="4">
        <v>6.52</v>
      </c>
      <c r="U16" s="4"/>
      <c r="V16" s="4"/>
      <c r="W16" s="4"/>
    </row>
    <row r="17" spans="1:23" x14ac:dyDescent="0.25">
      <c r="C17" s="137">
        <f>_xlfn.STDEV.P(C7:C16)/AVERAGE(C7:C16)</f>
        <v>0.23163174288024402</v>
      </c>
      <c r="G17" s="137">
        <f>_xlfn.STDEV.P(G7:G16)/AVERAGE(G7:G16)</f>
        <v>0.14961672129034928</v>
      </c>
      <c r="K17" s="137">
        <f>_xlfn.STDEV.P(K7:K16)/AVERAGE(K7:K16)</f>
        <v>0.16654368796204755</v>
      </c>
      <c r="O17" s="137">
        <f>_xlfn.STDEV.P(O7:O16)/AVERAGE(O7:O16)</f>
        <v>0.15576079549916674</v>
      </c>
      <c r="S17" s="137">
        <f>_xlfn.STDEV.P(S7:S16)/AVERAGE(S7:S16)</f>
        <v>0.17377945221706967</v>
      </c>
    </row>
    <row r="20" spans="1:23" x14ac:dyDescent="0.25">
      <c r="A20" s="195"/>
      <c r="B20" s="195"/>
      <c r="C20" s="195"/>
      <c r="D20" s="4"/>
      <c r="E20" s="195"/>
      <c r="F20" s="195"/>
      <c r="G20" s="195"/>
      <c r="H20" s="5" t="s">
        <v>296</v>
      </c>
      <c r="I20" s="195"/>
      <c r="J20" s="195"/>
      <c r="K20" s="195"/>
      <c r="L20" s="4"/>
      <c r="M20" s="195"/>
      <c r="N20" s="195"/>
      <c r="O20" s="195"/>
      <c r="P20" s="4"/>
      <c r="Q20" s="195"/>
      <c r="R20" s="195"/>
      <c r="S20" s="195"/>
      <c r="T20" s="4"/>
      <c r="U20" s="195"/>
      <c r="V20" s="195"/>
      <c r="W20" s="195"/>
    </row>
    <row r="21" spans="1:23" x14ac:dyDescent="0.25">
      <c r="A21" s="4"/>
      <c r="B21" s="4"/>
      <c r="C21" s="4"/>
      <c r="D21" s="4"/>
      <c r="E21" s="4"/>
      <c r="F21" s="4"/>
      <c r="G21" s="4"/>
      <c r="H21" s="4"/>
      <c r="I21" s="4" t="s">
        <v>261</v>
      </c>
      <c r="J21" s="4" t="s">
        <v>262</v>
      </c>
      <c r="K21" s="4" t="s">
        <v>263</v>
      </c>
      <c r="L21" s="4" t="s">
        <v>264</v>
      </c>
      <c r="M21" s="4" t="s">
        <v>265</v>
      </c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4"/>
      <c r="B22" s="4"/>
      <c r="C22" s="4"/>
      <c r="D22" s="4"/>
      <c r="E22" s="4"/>
      <c r="F22" s="4"/>
      <c r="G22" s="4"/>
      <c r="H22" s="4" t="s">
        <v>256</v>
      </c>
      <c r="I22" s="4" t="s">
        <v>266</v>
      </c>
      <c r="J22" s="4" t="s">
        <v>257</v>
      </c>
      <c r="K22" s="4" t="s">
        <v>267</v>
      </c>
      <c r="L22" s="4" t="s">
        <v>267</v>
      </c>
      <c r="M22" s="4" t="s">
        <v>267</v>
      </c>
      <c r="N22" s="138">
        <f>AVERAGE(G17,K17,O17,O17,O17)</f>
        <v>0.15668855914997942</v>
      </c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4"/>
      <c r="B23" s="4"/>
      <c r="C23" s="4"/>
      <c r="D23" s="4"/>
      <c r="E23" s="4"/>
      <c r="F23" s="4"/>
      <c r="G23" s="4"/>
      <c r="H23" s="4" t="s">
        <v>259</v>
      </c>
      <c r="I23" s="4" t="s">
        <v>266</v>
      </c>
      <c r="J23" s="4" t="s">
        <v>257</v>
      </c>
      <c r="K23" s="4" t="s">
        <v>268</v>
      </c>
      <c r="L23" s="4" t="s">
        <v>268</v>
      </c>
      <c r="M23" s="4" t="s">
        <v>268</v>
      </c>
      <c r="N23" s="138">
        <f>AVERAGE(G17,K17,S17,S17,S17)</f>
        <v>0.16749975318072119</v>
      </c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5" spans="1:23" x14ac:dyDescent="0.25">
      <c r="A35" s="195"/>
      <c r="B35" s="195"/>
      <c r="C35" s="195"/>
      <c r="D35" s="4"/>
      <c r="E35" s="195"/>
      <c r="F35" s="195"/>
      <c r="G35" s="195"/>
      <c r="H35" s="4"/>
      <c r="I35" s="195"/>
      <c r="J35" s="195"/>
      <c r="K35" s="195"/>
      <c r="L35" s="4"/>
      <c r="M35" s="195"/>
      <c r="N35" s="195"/>
      <c r="O35" s="195"/>
      <c r="P35" s="4"/>
      <c r="Q35" s="195"/>
      <c r="R35" s="195"/>
      <c r="S35" s="195"/>
      <c r="T35" s="4"/>
      <c r="U35" s="195"/>
      <c r="V35" s="195"/>
      <c r="W35" s="195"/>
    </row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50" spans="1:23" x14ac:dyDescent="0.25">
      <c r="A50" s="195" t="s">
        <v>89</v>
      </c>
      <c r="B50" s="195"/>
      <c r="C50" s="195"/>
      <c r="D50" s="4"/>
      <c r="E50" s="195" t="s">
        <v>89</v>
      </c>
      <c r="F50" s="195"/>
      <c r="G50" s="195"/>
      <c r="H50" s="4"/>
      <c r="I50" s="195" t="s">
        <v>89</v>
      </c>
      <c r="J50" s="195"/>
      <c r="K50" s="195"/>
      <c r="L50" s="4"/>
      <c r="M50" s="195" t="s">
        <v>89</v>
      </c>
      <c r="N50" s="195"/>
      <c r="O50" s="195"/>
      <c r="P50" s="4"/>
      <c r="Q50" s="195" t="s">
        <v>89</v>
      </c>
      <c r="R50" s="195"/>
      <c r="S50" s="195"/>
      <c r="T50" s="4"/>
      <c r="U50" s="195" t="s">
        <v>89</v>
      </c>
      <c r="V50" s="195"/>
      <c r="W50" s="195"/>
    </row>
    <row r="51" spans="1:23" x14ac:dyDescent="0.25">
      <c r="A51" s="4" t="s">
        <v>88</v>
      </c>
      <c r="B51" s="4" t="s">
        <v>72</v>
      </c>
      <c r="C51" s="4" t="s">
        <v>87</v>
      </c>
      <c r="D51" s="4"/>
      <c r="E51" s="4" t="s">
        <v>88</v>
      </c>
      <c r="F51" s="4" t="s">
        <v>72</v>
      </c>
      <c r="G51" s="4" t="s">
        <v>87</v>
      </c>
      <c r="H51" s="4"/>
      <c r="I51" s="4" t="s">
        <v>88</v>
      </c>
      <c r="J51" s="4" t="s">
        <v>72</v>
      </c>
      <c r="K51" s="4" t="s">
        <v>87</v>
      </c>
      <c r="L51" s="4"/>
      <c r="M51" s="4" t="s">
        <v>88</v>
      </c>
      <c r="N51" s="4" t="s">
        <v>72</v>
      </c>
      <c r="O51" s="4" t="s">
        <v>87</v>
      </c>
      <c r="P51" s="4"/>
      <c r="Q51" s="4" t="s">
        <v>88</v>
      </c>
      <c r="R51" s="4" t="s">
        <v>72</v>
      </c>
      <c r="S51" s="4" t="s">
        <v>87</v>
      </c>
      <c r="T51" s="4"/>
      <c r="U51" s="4" t="s">
        <v>88</v>
      </c>
      <c r="V51" s="4" t="s">
        <v>72</v>
      </c>
      <c r="W51" s="4" t="s">
        <v>87</v>
      </c>
    </row>
    <row r="52" spans="1:23" x14ac:dyDescent="0.25">
      <c r="A52" s="4">
        <v>1</v>
      </c>
      <c r="B52" s="4"/>
      <c r="C52" s="4"/>
      <c r="D52" s="4"/>
      <c r="E52" s="4">
        <v>1</v>
      </c>
      <c r="F52" s="4"/>
      <c r="G52" s="4"/>
      <c r="H52" s="4"/>
      <c r="I52" s="4">
        <v>1</v>
      </c>
      <c r="J52" s="4"/>
      <c r="K52" s="4"/>
      <c r="L52" s="4"/>
      <c r="M52" s="4">
        <v>1</v>
      </c>
      <c r="N52" s="4"/>
      <c r="O52" s="4"/>
      <c r="P52" s="4"/>
      <c r="Q52" s="4">
        <v>1</v>
      </c>
      <c r="R52" s="4"/>
      <c r="S52" s="4"/>
      <c r="T52" s="4"/>
      <c r="U52" s="4">
        <v>1</v>
      </c>
      <c r="V52" s="4"/>
      <c r="W52" s="4"/>
    </row>
    <row r="53" spans="1:23" x14ac:dyDescent="0.25">
      <c r="A53" s="4">
        <v>2</v>
      </c>
      <c r="B53" s="4"/>
      <c r="C53" s="4"/>
      <c r="D53" s="4"/>
      <c r="E53" s="4">
        <v>2</v>
      </c>
      <c r="F53" s="4"/>
      <c r="G53" s="4"/>
      <c r="H53" s="4"/>
      <c r="I53" s="4">
        <v>2</v>
      </c>
      <c r="J53" s="4"/>
      <c r="K53" s="4"/>
      <c r="L53" s="4"/>
      <c r="M53" s="4">
        <v>2</v>
      </c>
      <c r="N53" s="4"/>
      <c r="O53" s="4"/>
      <c r="P53" s="4"/>
      <c r="Q53" s="4">
        <v>2</v>
      </c>
      <c r="R53" s="4"/>
      <c r="S53" s="4"/>
      <c r="T53" s="4"/>
      <c r="U53" s="4">
        <v>2</v>
      </c>
      <c r="V53" s="4"/>
      <c r="W53" s="4"/>
    </row>
    <row r="54" spans="1:23" x14ac:dyDescent="0.25">
      <c r="A54" s="4">
        <v>3</v>
      </c>
      <c r="B54" s="4"/>
      <c r="C54" s="4"/>
      <c r="D54" s="4"/>
      <c r="E54" s="4">
        <v>3</v>
      </c>
      <c r="F54" s="4"/>
      <c r="G54" s="4"/>
      <c r="H54" s="4"/>
      <c r="I54" s="4">
        <v>3</v>
      </c>
      <c r="J54" s="4"/>
      <c r="K54" s="4"/>
      <c r="L54" s="4"/>
      <c r="M54" s="4">
        <v>3</v>
      </c>
      <c r="N54" s="4"/>
      <c r="O54" s="4"/>
      <c r="P54" s="4"/>
      <c r="Q54" s="4">
        <v>3</v>
      </c>
      <c r="R54" s="4"/>
      <c r="S54" s="4"/>
      <c r="T54" s="4"/>
      <c r="U54" s="4">
        <v>3</v>
      </c>
      <c r="V54" s="4"/>
      <c r="W54" s="4"/>
    </row>
    <row r="55" spans="1:23" x14ac:dyDescent="0.25">
      <c r="A55" s="4">
        <v>4</v>
      </c>
      <c r="B55" s="4"/>
      <c r="C55" s="4"/>
      <c r="D55" s="4"/>
      <c r="E55" s="4">
        <v>4</v>
      </c>
      <c r="F55" s="4"/>
      <c r="G55" s="4"/>
      <c r="H55" s="4"/>
      <c r="I55" s="4">
        <v>4</v>
      </c>
      <c r="J55" s="4"/>
      <c r="K55" s="4"/>
      <c r="L55" s="4"/>
      <c r="M55" s="4">
        <v>4</v>
      </c>
      <c r="N55" s="4"/>
      <c r="O55" s="4"/>
      <c r="P55" s="4"/>
      <c r="Q55" s="4">
        <v>4</v>
      </c>
      <c r="R55" s="4"/>
      <c r="S55" s="4"/>
      <c r="T55" s="4"/>
      <c r="U55" s="4">
        <v>4</v>
      </c>
      <c r="V55" s="4"/>
      <c r="W55" s="4"/>
    </row>
    <row r="56" spans="1:23" x14ac:dyDescent="0.25">
      <c r="A56" s="4">
        <v>5</v>
      </c>
      <c r="B56" s="4"/>
      <c r="C56" s="4"/>
      <c r="D56" s="4"/>
      <c r="E56" s="4">
        <v>5</v>
      </c>
      <c r="F56" s="4"/>
      <c r="G56" s="4"/>
      <c r="H56" s="4"/>
      <c r="I56" s="4">
        <v>5</v>
      </c>
      <c r="J56" s="4"/>
      <c r="K56" s="4"/>
      <c r="L56" s="4"/>
      <c r="M56" s="4">
        <v>5</v>
      </c>
      <c r="N56" s="4"/>
      <c r="O56" s="4"/>
      <c r="P56" s="4"/>
      <c r="Q56" s="4">
        <v>5</v>
      </c>
      <c r="R56" s="4"/>
      <c r="S56" s="4"/>
      <c r="T56" s="4"/>
      <c r="U56" s="4">
        <v>5</v>
      </c>
      <c r="V56" s="4"/>
      <c r="W56" s="4"/>
    </row>
    <row r="57" spans="1:23" x14ac:dyDescent="0.25">
      <c r="A57" s="4">
        <v>6</v>
      </c>
      <c r="B57" s="4"/>
      <c r="C57" s="4"/>
      <c r="D57" s="4"/>
      <c r="E57" s="4">
        <v>6</v>
      </c>
      <c r="F57" s="4"/>
      <c r="G57" s="4"/>
      <c r="H57" s="4"/>
      <c r="I57" s="4">
        <v>6</v>
      </c>
      <c r="J57" s="4"/>
      <c r="K57" s="4"/>
      <c r="L57" s="4"/>
      <c r="M57" s="4">
        <v>6</v>
      </c>
      <c r="N57" s="4"/>
      <c r="O57" s="4"/>
      <c r="P57" s="4"/>
      <c r="Q57" s="4">
        <v>6</v>
      </c>
      <c r="R57" s="4"/>
      <c r="S57" s="4"/>
      <c r="T57" s="4"/>
      <c r="U57" s="4">
        <v>6</v>
      </c>
      <c r="V57" s="4"/>
      <c r="W57" s="4"/>
    </row>
    <row r="58" spans="1:23" x14ac:dyDescent="0.25">
      <c r="A58" s="4">
        <v>7</v>
      </c>
      <c r="B58" s="4"/>
      <c r="C58" s="4"/>
      <c r="D58" s="4"/>
      <c r="E58" s="4">
        <v>7</v>
      </c>
      <c r="F58" s="4"/>
      <c r="G58" s="4"/>
      <c r="H58" s="4"/>
      <c r="I58" s="4">
        <v>7</v>
      </c>
      <c r="J58" s="4"/>
      <c r="K58" s="4"/>
      <c r="L58" s="4"/>
      <c r="M58" s="4">
        <v>7</v>
      </c>
      <c r="N58" s="4"/>
      <c r="O58" s="4"/>
      <c r="P58" s="4"/>
      <c r="Q58" s="4">
        <v>7</v>
      </c>
      <c r="R58" s="4"/>
      <c r="S58" s="4"/>
      <c r="T58" s="4"/>
      <c r="U58" s="4">
        <v>7</v>
      </c>
      <c r="V58" s="4"/>
      <c r="W58" s="4"/>
    </row>
    <row r="59" spans="1:23" x14ac:dyDescent="0.25">
      <c r="A59" s="4">
        <v>8</v>
      </c>
      <c r="B59" s="4"/>
      <c r="C59" s="4"/>
      <c r="D59" s="4"/>
      <c r="E59" s="4">
        <v>8</v>
      </c>
      <c r="F59" s="4"/>
      <c r="G59" s="4"/>
      <c r="H59" s="4"/>
      <c r="I59" s="4">
        <v>8</v>
      </c>
      <c r="J59" s="4"/>
      <c r="K59" s="4"/>
      <c r="L59" s="4"/>
      <c r="M59" s="4">
        <v>8</v>
      </c>
      <c r="N59" s="4"/>
      <c r="O59" s="4"/>
      <c r="P59" s="4"/>
      <c r="Q59" s="4">
        <v>8</v>
      </c>
      <c r="R59" s="4"/>
      <c r="S59" s="4"/>
      <c r="T59" s="4"/>
      <c r="U59" s="4">
        <v>8</v>
      </c>
      <c r="V59" s="4"/>
      <c r="W59" s="4"/>
    </row>
    <row r="60" spans="1:23" x14ac:dyDescent="0.25">
      <c r="A60" s="4">
        <v>9</v>
      </c>
      <c r="B60" s="4"/>
      <c r="C60" s="4"/>
      <c r="D60" s="4"/>
      <c r="E60" s="4">
        <v>9</v>
      </c>
      <c r="F60" s="4"/>
      <c r="G60" s="4"/>
      <c r="H60" s="4"/>
      <c r="I60" s="4">
        <v>9</v>
      </c>
      <c r="J60" s="4"/>
      <c r="K60" s="4"/>
      <c r="L60" s="4"/>
      <c r="M60" s="4">
        <v>9</v>
      </c>
      <c r="N60" s="4"/>
      <c r="O60" s="4"/>
      <c r="P60" s="4"/>
      <c r="Q60" s="4">
        <v>9</v>
      </c>
      <c r="R60" s="4"/>
      <c r="S60" s="4"/>
      <c r="T60" s="4"/>
      <c r="U60" s="4">
        <v>9</v>
      </c>
      <c r="V60" s="4"/>
      <c r="W60" s="4"/>
    </row>
    <row r="61" spans="1:23" x14ac:dyDescent="0.25">
      <c r="A61" s="4">
        <v>10</v>
      </c>
      <c r="B61" s="4"/>
      <c r="C61" s="4"/>
      <c r="D61" s="4"/>
      <c r="E61" s="4">
        <v>10</v>
      </c>
      <c r="F61" s="4"/>
      <c r="G61" s="4"/>
      <c r="H61" s="4"/>
      <c r="I61" s="4">
        <v>10</v>
      </c>
      <c r="J61" s="4"/>
      <c r="K61" s="4"/>
      <c r="L61" s="4"/>
      <c r="M61" s="4">
        <v>10</v>
      </c>
      <c r="N61" s="4"/>
      <c r="O61" s="4"/>
      <c r="P61" s="4"/>
      <c r="Q61" s="4">
        <v>10</v>
      </c>
      <c r="R61" s="4"/>
      <c r="S61" s="4"/>
      <c r="T61" s="4"/>
      <c r="U61" s="4">
        <v>10</v>
      </c>
      <c r="V61" s="4"/>
      <c r="W61" s="4"/>
    </row>
  </sheetData>
  <mergeCells count="24"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I5:K5"/>
    <mergeCell ref="M5:O5"/>
    <mergeCell ref="Q5:S5"/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9" sqref="A19"/>
    </sheetView>
  </sheetViews>
  <sheetFormatPr baseColWidth="10" defaultColWidth="11.42578125" defaultRowHeight="15" x14ac:dyDescent="0.25"/>
  <cols>
    <col min="1" max="1" width="26.140625" style="4" bestFit="1" customWidth="1"/>
    <col min="2" max="16384" width="11.42578125" style="4"/>
  </cols>
  <sheetData>
    <row r="1" spans="1:21" x14ac:dyDescent="0.25"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</row>
    <row r="2" spans="1:21" x14ac:dyDescent="0.25">
      <c r="A2" s="4" t="s">
        <v>256</v>
      </c>
      <c r="B2" s="4" t="s">
        <v>266</v>
      </c>
      <c r="C2" s="4" t="s">
        <v>257</v>
      </c>
      <c r="D2" s="4" t="s">
        <v>267</v>
      </c>
      <c r="E2" s="4" t="s">
        <v>267</v>
      </c>
      <c r="F2" s="4" t="s">
        <v>267</v>
      </c>
    </row>
    <row r="3" spans="1:21" x14ac:dyDescent="0.25">
      <c r="A3" s="4" t="s">
        <v>259</v>
      </c>
      <c r="B3" s="4" t="s">
        <v>266</v>
      </c>
      <c r="C3" s="4" t="s">
        <v>257</v>
      </c>
      <c r="D3" s="4" t="s">
        <v>268</v>
      </c>
      <c r="E3" s="4" t="s">
        <v>268</v>
      </c>
      <c r="F3" s="4" t="s">
        <v>268</v>
      </c>
    </row>
    <row r="7" spans="1:21" x14ac:dyDescent="0.25">
      <c r="B7" s="4" t="s">
        <v>266</v>
      </c>
      <c r="C7" s="4" t="s">
        <v>257</v>
      </c>
      <c r="D7" s="4" t="s">
        <v>267</v>
      </c>
      <c r="E7" s="4" t="s">
        <v>267</v>
      </c>
      <c r="F7" s="4" t="s">
        <v>267</v>
      </c>
      <c r="I7" s="4" t="s">
        <v>266</v>
      </c>
      <c r="J7" s="4" t="s">
        <v>257</v>
      </c>
      <c r="K7" s="4" t="s">
        <v>268</v>
      </c>
      <c r="L7" s="4" t="s">
        <v>268</v>
      </c>
      <c r="M7" s="4" t="s">
        <v>268</v>
      </c>
    </row>
    <row r="8" spans="1:21" x14ac:dyDescent="0.25">
      <c r="A8" s="4" t="s">
        <v>414</v>
      </c>
      <c r="B8" s="151">
        <v>5.7</v>
      </c>
      <c r="C8" s="151">
        <v>6.5</v>
      </c>
      <c r="D8" s="151">
        <v>10.9</v>
      </c>
      <c r="E8" s="151">
        <v>10.9</v>
      </c>
      <c r="F8" s="151">
        <v>10.9</v>
      </c>
      <c r="G8" s="153"/>
      <c r="I8" s="152">
        <v>6.8</v>
      </c>
      <c r="J8" s="151">
        <v>6.5</v>
      </c>
      <c r="K8" s="152">
        <v>8.1999999999999993</v>
      </c>
      <c r="L8" s="152">
        <v>8.1999999999999993</v>
      </c>
      <c r="M8" s="152">
        <v>8.1999999999999993</v>
      </c>
      <c r="O8" s="139"/>
      <c r="P8" s="139"/>
      <c r="Q8" s="139"/>
      <c r="R8" s="139"/>
    </row>
    <row r="9" spans="1:21" x14ac:dyDescent="0.25">
      <c r="A9" s="4" t="s">
        <v>453</v>
      </c>
      <c r="B9" s="140">
        <v>159</v>
      </c>
      <c r="C9" s="140">
        <v>136.1</v>
      </c>
      <c r="D9" s="140">
        <v>108.1</v>
      </c>
      <c r="E9" s="140">
        <v>108.1</v>
      </c>
      <c r="F9" s="140">
        <v>108.1</v>
      </c>
      <c r="G9" s="164"/>
      <c r="I9" s="140">
        <v>159</v>
      </c>
      <c r="J9" s="140">
        <v>136.1</v>
      </c>
      <c r="K9" s="140">
        <v>92</v>
      </c>
      <c r="L9" s="140">
        <v>92</v>
      </c>
      <c r="M9" s="140">
        <v>92</v>
      </c>
      <c r="O9" s="140"/>
      <c r="P9" s="140"/>
      <c r="Q9" s="140"/>
      <c r="R9" s="140"/>
    </row>
    <row r="10" spans="1:21" x14ac:dyDescent="0.25">
      <c r="A10" s="4" t="s">
        <v>454</v>
      </c>
      <c r="B10" s="4">
        <f>B8*B9</f>
        <v>906.30000000000007</v>
      </c>
      <c r="C10" s="4">
        <f t="shared" ref="C10:F10" si="0">C8*C9</f>
        <v>884.65</v>
      </c>
      <c r="D10" s="4">
        <f t="shared" si="0"/>
        <v>1178.29</v>
      </c>
      <c r="E10" s="4">
        <f t="shared" si="0"/>
        <v>1178.29</v>
      </c>
      <c r="F10" s="4">
        <f t="shared" si="0"/>
        <v>1178.29</v>
      </c>
      <c r="I10" s="4">
        <f>I8*I9</f>
        <v>1081.2</v>
      </c>
      <c r="J10" s="4">
        <f t="shared" ref="J10" si="1">J8*J9</f>
        <v>884.65</v>
      </c>
      <c r="K10" s="4">
        <f t="shared" ref="K10" si="2">K8*K9</f>
        <v>754.4</v>
      </c>
      <c r="L10" s="4">
        <f t="shared" ref="L10" si="3">L8*L9</f>
        <v>754.4</v>
      </c>
      <c r="M10" s="4">
        <f t="shared" ref="M10" si="4">M8*M9</f>
        <v>754.4</v>
      </c>
    </row>
    <row r="11" spans="1:21" x14ac:dyDescent="0.25">
      <c r="A11" s="165" t="s">
        <v>455</v>
      </c>
    </row>
    <row r="12" spans="1:21" x14ac:dyDescent="0.25">
      <c r="A12" s="4" t="s">
        <v>456</v>
      </c>
      <c r="B12" s="140">
        <v>556</v>
      </c>
      <c r="C12" s="140">
        <v>503</v>
      </c>
      <c r="D12" s="140">
        <v>722</v>
      </c>
      <c r="E12" s="140">
        <v>722</v>
      </c>
      <c r="F12" s="140">
        <v>722</v>
      </c>
      <c r="G12" s="164"/>
      <c r="I12" s="140">
        <v>608</v>
      </c>
      <c r="J12" s="140">
        <v>503</v>
      </c>
      <c r="K12" s="140">
        <v>439</v>
      </c>
      <c r="L12" s="140">
        <v>439</v>
      </c>
      <c r="M12" s="140">
        <v>439</v>
      </c>
      <c r="O12" s="141"/>
      <c r="P12" s="141"/>
      <c r="Q12" s="141"/>
      <c r="R12" s="141"/>
    </row>
    <row r="13" spans="1:21" x14ac:dyDescent="0.25">
      <c r="A13" s="4" t="s">
        <v>457</v>
      </c>
      <c r="B13" s="4">
        <f>B10-B12</f>
        <v>350.30000000000007</v>
      </c>
      <c r="C13" s="4">
        <f t="shared" ref="C13:F13" si="5">C10-C12</f>
        <v>381.65</v>
      </c>
      <c r="D13" s="4">
        <f t="shared" si="5"/>
        <v>456.28999999999996</v>
      </c>
      <c r="E13" s="4">
        <f t="shared" si="5"/>
        <v>456.28999999999996</v>
      </c>
      <c r="F13" s="4">
        <f t="shared" si="5"/>
        <v>456.28999999999996</v>
      </c>
      <c r="I13" s="4">
        <f>I10-I12</f>
        <v>473.20000000000005</v>
      </c>
      <c r="J13" s="4">
        <f t="shared" ref="J13" si="6">J10-J12</f>
        <v>381.65</v>
      </c>
      <c r="K13" s="4">
        <f t="shared" ref="K13" si="7">K10-K12</f>
        <v>315.39999999999998</v>
      </c>
      <c r="L13" s="4">
        <f t="shared" ref="L13" si="8">L10-L12</f>
        <v>315.39999999999998</v>
      </c>
      <c r="M13" s="4">
        <f t="shared" ref="M13" si="9">M10-M12</f>
        <v>315.39999999999998</v>
      </c>
    </row>
    <row r="15" spans="1:21" x14ac:dyDescent="0.25">
      <c r="A15" s="4" t="s">
        <v>458</v>
      </c>
      <c r="B15" s="142">
        <f>AVERAGE(B13:F13)</f>
        <v>420.16399999999993</v>
      </c>
      <c r="I15" s="142">
        <f>AVERAGE(I13:M13)</f>
        <v>360.21000000000004</v>
      </c>
      <c r="J15" s="142"/>
      <c r="P15" s="142"/>
      <c r="U15" s="142"/>
    </row>
    <row r="22" spans="2:2" x14ac:dyDescent="0.25">
      <c r="B22" s="14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26.42578125" style="4" bestFit="1" customWidth="1"/>
    <col min="2" max="7" width="11.42578125" style="4"/>
    <col min="8" max="8" width="16.42578125" style="4" bestFit="1" customWidth="1"/>
    <col min="9" max="13" width="11.42578125" style="4"/>
    <col min="14" max="14" width="16.42578125" style="4" bestFit="1" customWidth="1"/>
    <col min="15" max="16384" width="11.42578125" style="4"/>
  </cols>
  <sheetData>
    <row r="1" spans="1:18" x14ac:dyDescent="0.25">
      <c r="B1" s="4" t="s">
        <v>262</v>
      </c>
      <c r="C1" s="4" t="s">
        <v>263</v>
      </c>
      <c r="D1" s="4" t="s">
        <v>264</v>
      </c>
      <c r="E1" s="4" t="s">
        <v>265</v>
      </c>
    </row>
    <row r="2" spans="1:18" x14ac:dyDescent="0.25">
      <c r="A2" s="4" t="s">
        <v>256</v>
      </c>
      <c r="B2" s="4" t="s">
        <v>257</v>
      </c>
      <c r="C2" s="4" t="s">
        <v>267</v>
      </c>
      <c r="D2" s="4" t="s">
        <v>267</v>
      </c>
      <c r="E2" s="4" t="s">
        <v>267</v>
      </c>
    </row>
    <row r="3" spans="1:18" x14ac:dyDescent="0.25">
      <c r="A3" s="4" t="s">
        <v>259</v>
      </c>
      <c r="B3" s="4" t="s">
        <v>257</v>
      </c>
      <c r="C3" s="4" t="s">
        <v>268</v>
      </c>
      <c r="D3" s="4" t="s">
        <v>268</v>
      </c>
      <c r="E3" s="4" t="s">
        <v>268</v>
      </c>
    </row>
    <row r="7" spans="1:18" x14ac:dyDescent="0.25">
      <c r="A7" s="160"/>
      <c r="B7" s="5" t="s">
        <v>266</v>
      </c>
      <c r="C7" s="5" t="s">
        <v>257</v>
      </c>
      <c r="D7" s="5" t="s">
        <v>267</v>
      </c>
      <c r="E7" s="5" t="s">
        <v>267</v>
      </c>
      <c r="F7" s="5" t="s">
        <v>267</v>
      </c>
      <c r="G7" s="5"/>
      <c r="H7" s="162"/>
      <c r="I7" s="5" t="s">
        <v>266</v>
      </c>
      <c r="J7" s="5" t="s">
        <v>257</v>
      </c>
      <c r="K7" s="5" t="s">
        <v>268</v>
      </c>
      <c r="L7" s="5" t="s">
        <v>268</v>
      </c>
      <c r="M7" s="5" t="s">
        <v>268</v>
      </c>
    </row>
    <row r="8" spans="1:18" x14ac:dyDescent="0.25">
      <c r="A8" s="161" t="s">
        <v>414</v>
      </c>
      <c r="B8" s="159">
        <v>5.7</v>
      </c>
      <c r="C8" s="157">
        <v>6.5</v>
      </c>
      <c r="D8" s="157">
        <v>10.9</v>
      </c>
      <c r="E8" s="157">
        <v>10.9</v>
      </c>
      <c r="F8" s="157">
        <v>10.9</v>
      </c>
      <c r="G8" s="156"/>
      <c r="H8" s="161" t="s">
        <v>414</v>
      </c>
      <c r="I8" s="163">
        <v>6.8</v>
      </c>
      <c r="J8" s="157">
        <v>6.5</v>
      </c>
      <c r="K8" s="158">
        <v>8.1999999999999993</v>
      </c>
      <c r="L8" s="158">
        <v>8.1999999999999993</v>
      </c>
      <c r="M8" s="158">
        <v>8.1999999999999993</v>
      </c>
      <c r="O8" s="139"/>
      <c r="P8" s="139"/>
      <c r="Q8" s="139"/>
      <c r="R8" s="139"/>
    </row>
    <row r="9" spans="1:18" x14ac:dyDescent="0.25">
      <c r="A9" s="162" t="s">
        <v>297</v>
      </c>
      <c r="B9" s="153"/>
      <c r="C9" s="153"/>
      <c r="D9" s="153"/>
      <c r="E9" s="153"/>
      <c r="F9" s="153"/>
      <c r="H9" s="162" t="s">
        <v>297</v>
      </c>
      <c r="I9" s="154"/>
      <c r="J9" s="153"/>
      <c r="K9" s="154"/>
      <c r="L9" s="154"/>
      <c r="M9" s="154"/>
      <c r="O9" s="155"/>
      <c r="P9" s="155"/>
      <c r="Q9" s="155"/>
      <c r="R9" s="155"/>
    </row>
    <row r="10" spans="1:18" x14ac:dyDescent="0.25">
      <c r="A10" s="160" t="s">
        <v>30</v>
      </c>
      <c r="B10" s="4" t="s">
        <v>119</v>
      </c>
      <c r="C10" s="4" t="s">
        <v>119</v>
      </c>
      <c r="D10" s="4" t="s">
        <v>129</v>
      </c>
      <c r="E10" s="4" t="s">
        <v>129</v>
      </c>
      <c r="F10" s="4" t="s">
        <v>129</v>
      </c>
      <c r="H10" s="160" t="s">
        <v>30</v>
      </c>
      <c r="I10" s="4" t="s">
        <v>119</v>
      </c>
      <c r="J10" s="4" t="s">
        <v>119</v>
      </c>
    </row>
    <row r="11" spans="1:18" x14ac:dyDescent="0.25">
      <c r="A11" s="160" t="s">
        <v>271</v>
      </c>
      <c r="B11" s="138">
        <v>0.27</v>
      </c>
      <c r="C11" s="138">
        <v>0.27</v>
      </c>
      <c r="D11" s="138">
        <v>0.46</v>
      </c>
      <c r="E11" s="138">
        <v>0.46</v>
      </c>
      <c r="F11" s="138">
        <v>0.46</v>
      </c>
      <c r="H11" s="160" t="s">
        <v>271</v>
      </c>
      <c r="I11" s="138">
        <v>0.27</v>
      </c>
      <c r="J11" s="138">
        <v>0.27</v>
      </c>
      <c r="K11" s="138"/>
      <c r="L11" s="138"/>
      <c r="O11" s="138"/>
      <c r="P11" s="138"/>
      <c r="Q11" s="138"/>
      <c r="R11" s="138"/>
    </row>
    <row r="12" spans="1:18" x14ac:dyDescent="0.25">
      <c r="A12" s="160" t="s">
        <v>459</v>
      </c>
      <c r="B12" s="4">
        <v>443</v>
      </c>
      <c r="C12" s="4">
        <v>441</v>
      </c>
      <c r="D12" s="4">
        <v>170</v>
      </c>
      <c r="E12" s="4">
        <v>170</v>
      </c>
      <c r="F12" s="4">
        <v>170</v>
      </c>
      <c r="H12" s="160" t="s">
        <v>459</v>
      </c>
      <c r="I12" s="4">
        <v>433</v>
      </c>
      <c r="J12" s="4">
        <v>441</v>
      </c>
    </row>
    <row r="13" spans="1:18" x14ac:dyDescent="0.25">
      <c r="A13" s="160" t="s">
        <v>460</v>
      </c>
      <c r="B13" s="4">
        <f>B11*B12</f>
        <v>119.61000000000001</v>
      </c>
      <c r="C13" s="4">
        <f>C11*C12</f>
        <v>119.07000000000001</v>
      </c>
      <c r="D13" s="4">
        <f>D11*D12</f>
        <v>78.2</v>
      </c>
      <c r="E13" s="4">
        <f>E11*E12</f>
        <v>78.2</v>
      </c>
      <c r="F13" s="4">
        <f>F11*F12</f>
        <v>78.2</v>
      </c>
      <c r="H13" s="160" t="s">
        <v>460</v>
      </c>
      <c r="I13" s="4">
        <f>I11*I12</f>
        <v>116.91000000000001</v>
      </c>
      <c r="J13" s="4">
        <f>J11*J12</f>
        <v>119.07000000000001</v>
      </c>
    </row>
    <row r="14" spans="1:18" x14ac:dyDescent="0.25">
      <c r="A14" s="160"/>
      <c r="H14" s="160"/>
    </row>
    <row r="15" spans="1:18" x14ac:dyDescent="0.25">
      <c r="A15" s="160" t="s">
        <v>30</v>
      </c>
      <c r="D15" s="4" t="s">
        <v>132</v>
      </c>
      <c r="E15" s="4" t="s">
        <v>132</v>
      </c>
      <c r="F15" s="4" t="s">
        <v>132</v>
      </c>
      <c r="H15" s="160"/>
    </row>
    <row r="16" spans="1:18" x14ac:dyDescent="0.25">
      <c r="A16" s="160" t="s">
        <v>271</v>
      </c>
      <c r="D16" s="144">
        <v>0.18</v>
      </c>
      <c r="E16" s="144">
        <v>0.18</v>
      </c>
      <c r="F16" s="144">
        <v>0.18</v>
      </c>
      <c r="H16" s="160"/>
      <c r="L16" s="144"/>
      <c r="R16" s="144"/>
    </row>
    <row r="17" spans="1:13" x14ac:dyDescent="0.25">
      <c r="A17" s="160" t="s">
        <v>459</v>
      </c>
      <c r="D17" s="4">
        <v>50</v>
      </c>
      <c r="E17" s="4">
        <v>50</v>
      </c>
      <c r="F17" s="4">
        <v>50</v>
      </c>
      <c r="H17" s="160"/>
    </row>
    <row r="18" spans="1:13" x14ac:dyDescent="0.25">
      <c r="A18" s="160" t="s">
        <v>460</v>
      </c>
      <c r="D18" s="4">
        <f>D16*D17</f>
        <v>9</v>
      </c>
      <c r="E18" s="4">
        <f>E16*E17</f>
        <v>9</v>
      </c>
      <c r="F18" s="4">
        <f>F16*F17</f>
        <v>9</v>
      </c>
      <c r="H18" s="160"/>
    </row>
    <row r="19" spans="1:13" x14ac:dyDescent="0.25">
      <c r="A19" s="160"/>
      <c r="H19" s="160"/>
    </row>
    <row r="20" spans="1:13" x14ac:dyDescent="0.25">
      <c r="A20" s="160" t="s">
        <v>30</v>
      </c>
      <c r="D20" s="4" t="s">
        <v>294</v>
      </c>
      <c r="E20" s="4" t="s">
        <v>294</v>
      </c>
      <c r="F20" s="4" t="s">
        <v>294</v>
      </c>
      <c r="H20" s="160"/>
    </row>
    <row r="21" spans="1:13" x14ac:dyDescent="0.25">
      <c r="A21" s="160" t="s">
        <v>271</v>
      </c>
      <c r="H21" s="160"/>
    </row>
    <row r="22" spans="1:13" x14ac:dyDescent="0.25">
      <c r="A22" s="160" t="s">
        <v>459</v>
      </c>
      <c r="H22" s="160"/>
    </row>
    <row r="23" spans="1:13" x14ac:dyDescent="0.25">
      <c r="A23" s="160" t="s">
        <v>460</v>
      </c>
      <c r="D23" s="4">
        <v>114</v>
      </c>
      <c r="E23" s="4">
        <v>114</v>
      </c>
      <c r="F23" s="4">
        <v>114</v>
      </c>
      <c r="H23" s="160"/>
    </row>
    <row r="24" spans="1:13" x14ac:dyDescent="0.25">
      <c r="A24" s="160"/>
      <c r="H24" s="160"/>
    </row>
    <row r="25" spans="1:13" x14ac:dyDescent="0.25">
      <c r="A25" s="160" t="s">
        <v>461</v>
      </c>
      <c r="B25" s="4">
        <f>B13</f>
        <v>119.61000000000001</v>
      </c>
      <c r="C25" s="4">
        <f t="shared" ref="C25" si="0">C13</f>
        <v>119.07000000000001</v>
      </c>
      <c r="D25" s="4">
        <f>D13+D18+D23</f>
        <v>201.2</v>
      </c>
      <c r="E25" s="4">
        <f>E13+E18+E23</f>
        <v>201.2</v>
      </c>
      <c r="F25" s="4">
        <f>F13+F18+F23</f>
        <v>201.2</v>
      </c>
      <c r="H25" s="160" t="s">
        <v>461</v>
      </c>
      <c r="I25" s="4">
        <f>I13</f>
        <v>116.91000000000001</v>
      </c>
      <c r="J25" s="4">
        <f t="shared" ref="J25:M25" si="1">J13</f>
        <v>119.07000000000001</v>
      </c>
      <c r="K25" s="4">
        <f t="shared" si="1"/>
        <v>0</v>
      </c>
      <c r="L25" s="4">
        <f t="shared" si="1"/>
        <v>0</v>
      </c>
      <c r="M25" s="4">
        <f t="shared" si="1"/>
        <v>0</v>
      </c>
    </row>
    <row r="26" spans="1:13" x14ac:dyDescent="0.25">
      <c r="A26" s="160"/>
      <c r="H26" s="160"/>
    </row>
    <row r="27" spans="1:13" x14ac:dyDescent="0.25">
      <c r="A27" s="160" t="s">
        <v>463</v>
      </c>
      <c r="B27" s="4">
        <f>B25</f>
        <v>119.61000000000001</v>
      </c>
      <c r="C27" s="4">
        <f>C25</f>
        <v>119.07000000000001</v>
      </c>
      <c r="D27" s="4">
        <f>D13+D18</f>
        <v>87.2</v>
      </c>
      <c r="E27" s="4">
        <f t="shared" ref="E27:F27" si="2">E13+E18</f>
        <v>87.2</v>
      </c>
      <c r="F27" s="4">
        <f t="shared" si="2"/>
        <v>87.2</v>
      </c>
      <c r="H27" s="160"/>
    </row>
    <row r="28" spans="1:13" x14ac:dyDescent="0.25">
      <c r="A28" s="160"/>
      <c r="H28" s="160"/>
    </row>
    <row r="29" spans="1:13" x14ac:dyDescent="0.25">
      <c r="A29" s="160" t="s">
        <v>462</v>
      </c>
      <c r="B29" s="4">
        <f>AVERAGE(B25:F25)</f>
        <v>168.45599999999999</v>
      </c>
      <c r="H29" s="160" t="s">
        <v>462</v>
      </c>
      <c r="I29" s="4">
        <f>AVERAGE(I25:M25)</f>
        <v>47.196000000000005</v>
      </c>
    </row>
    <row r="30" spans="1:13" x14ac:dyDescent="0.25">
      <c r="A30" s="160"/>
    </row>
    <row r="31" spans="1:13" x14ac:dyDescent="0.25">
      <c r="A31" s="160" t="s">
        <v>464</v>
      </c>
      <c r="B31" s="4">
        <f>AVERAGE(B27:F27)</f>
        <v>100.056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L25" sqref="L25"/>
    </sheetView>
  </sheetViews>
  <sheetFormatPr baseColWidth="10" defaultColWidth="11.42578125" defaultRowHeight="15" x14ac:dyDescent="0.25"/>
  <cols>
    <col min="1" max="1" width="23.7109375" style="4" bestFit="1" customWidth="1"/>
    <col min="2" max="14" width="11.42578125" style="4"/>
    <col min="15" max="15" width="17.85546875" style="4" customWidth="1"/>
    <col min="16" max="16" width="19.85546875" style="4" customWidth="1"/>
    <col min="17" max="17" width="22" style="4" bestFit="1" customWidth="1"/>
    <col min="18" max="18" width="11.42578125" style="4"/>
    <col min="19" max="19" width="18.140625" style="4" customWidth="1"/>
    <col min="20" max="16384" width="11.42578125" style="4"/>
  </cols>
  <sheetData>
    <row r="1" spans="1:20" x14ac:dyDescent="0.25"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O1" s="5" t="s">
        <v>299</v>
      </c>
      <c r="P1" s="5" t="s">
        <v>427</v>
      </c>
      <c r="Q1" s="5" t="s">
        <v>430</v>
      </c>
      <c r="R1" s="5"/>
      <c r="S1" s="5" t="s">
        <v>299</v>
      </c>
      <c r="T1" s="133" t="s">
        <v>300</v>
      </c>
    </row>
    <row r="2" spans="1:20" x14ac:dyDescent="0.25">
      <c r="A2" s="4" t="s">
        <v>256</v>
      </c>
      <c r="B2" s="4" t="s">
        <v>266</v>
      </c>
      <c r="C2" s="4" t="s">
        <v>257</v>
      </c>
      <c r="D2" s="4" t="s">
        <v>267</v>
      </c>
      <c r="E2" s="4" t="s">
        <v>267</v>
      </c>
      <c r="F2" s="4" t="s">
        <v>267</v>
      </c>
      <c r="O2" s="176" t="s">
        <v>433</v>
      </c>
      <c r="P2" s="184">
        <v>0.10299999999999999</v>
      </c>
      <c r="Q2" s="165">
        <v>18</v>
      </c>
      <c r="R2" s="165"/>
      <c r="S2" s="134" t="s">
        <v>301</v>
      </c>
      <c r="T2" s="39">
        <v>0.85</v>
      </c>
    </row>
    <row r="3" spans="1:20" x14ac:dyDescent="0.25">
      <c r="A3" s="4" t="s">
        <v>259</v>
      </c>
      <c r="B3" s="4" t="s">
        <v>266</v>
      </c>
      <c r="C3" s="4" t="s">
        <v>257</v>
      </c>
      <c r="D3" s="4" t="s">
        <v>268</v>
      </c>
      <c r="E3" s="4" t="s">
        <v>268</v>
      </c>
      <c r="F3" s="4" t="s">
        <v>268</v>
      </c>
      <c r="O3" s="185" t="s">
        <v>434</v>
      </c>
      <c r="P3" s="184">
        <v>0.11700000000000001</v>
      </c>
      <c r="Q3" s="4">
        <v>18.100000000000001</v>
      </c>
      <c r="S3" s="4" t="s">
        <v>302</v>
      </c>
      <c r="T3" s="4">
        <v>0.88</v>
      </c>
    </row>
    <row r="4" spans="1:20" x14ac:dyDescent="0.25">
      <c r="O4" s="145" t="s">
        <v>405</v>
      </c>
      <c r="P4" s="184">
        <v>0.126</v>
      </c>
      <c r="Q4" s="4">
        <v>18.2</v>
      </c>
      <c r="S4" s="4" t="s">
        <v>303</v>
      </c>
      <c r="T4" s="4">
        <v>0.89</v>
      </c>
    </row>
    <row r="5" spans="1:20" x14ac:dyDescent="0.25">
      <c r="O5" s="145" t="s">
        <v>305</v>
      </c>
      <c r="P5" s="184">
        <v>0.11799999999999999</v>
      </c>
      <c r="Q5" s="165">
        <v>18.399999999999999</v>
      </c>
      <c r="S5" s="4" t="s">
        <v>304</v>
      </c>
      <c r="T5" s="4">
        <v>0.89</v>
      </c>
    </row>
    <row r="6" spans="1:20" x14ac:dyDescent="0.25">
      <c r="O6" s="176" t="s">
        <v>392</v>
      </c>
      <c r="P6" s="184">
        <v>0.28999999999999998</v>
      </c>
      <c r="Q6" s="165">
        <v>18.7</v>
      </c>
      <c r="R6" s="165"/>
      <c r="S6" s="4" t="s">
        <v>305</v>
      </c>
      <c r="T6" s="4">
        <v>0.89</v>
      </c>
    </row>
    <row r="7" spans="1:20" x14ac:dyDescent="0.25">
      <c r="O7" s="4" t="s">
        <v>435</v>
      </c>
      <c r="P7" s="184">
        <v>0.20899999999999999</v>
      </c>
      <c r="Q7" s="4">
        <v>28.8</v>
      </c>
      <c r="S7" s="4" t="s">
        <v>306</v>
      </c>
      <c r="T7" s="4">
        <v>0.89</v>
      </c>
    </row>
    <row r="8" spans="1:20" x14ac:dyDescent="0.25">
      <c r="O8" s="4" t="s">
        <v>436</v>
      </c>
      <c r="P8" s="184">
        <v>0.33700000000000002</v>
      </c>
      <c r="Q8" s="165">
        <v>20.3</v>
      </c>
      <c r="R8" s="165"/>
      <c r="S8" s="4" t="s">
        <v>307</v>
      </c>
      <c r="T8" s="4">
        <v>0.87</v>
      </c>
    </row>
    <row r="9" spans="1:20" x14ac:dyDescent="0.25">
      <c r="B9" s="4" t="s">
        <v>266</v>
      </c>
      <c r="C9" s="4" t="s">
        <v>257</v>
      </c>
      <c r="D9" s="4" t="s">
        <v>267</v>
      </c>
      <c r="E9" s="4" t="s">
        <v>267</v>
      </c>
      <c r="F9" s="4" t="s">
        <v>267</v>
      </c>
      <c r="H9" s="4" t="s">
        <v>266</v>
      </c>
      <c r="I9" s="4" t="s">
        <v>257</v>
      </c>
      <c r="J9" s="4" t="s">
        <v>268</v>
      </c>
      <c r="K9" s="4" t="s">
        <v>268</v>
      </c>
      <c r="L9" s="4" t="s">
        <v>268</v>
      </c>
      <c r="O9" s="4" t="s">
        <v>437</v>
      </c>
      <c r="P9" s="184">
        <v>0.23899999999999999</v>
      </c>
      <c r="Q9" s="165">
        <v>18.3</v>
      </c>
      <c r="S9" s="4" t="s">
        <v>308</v>
      </c>
      <c r="T9" s="4">
        <v>0.88</v>
      </c>
    </row>
    <row r="10" spans="1:20" x14ac:dyDescent="0.25">
      <c r="A10" s="4" t="s">
        <v>273</v>
      </c>
      <c r="B10" s="151">
        <v>5.7</v>
      </c>
      <c r="C10" s="151">
        <v>6.5</v>
      </c>
      <c r="D10" s="151">
        <v>10.9</v>
      </c>
      <c r="E10" s="151">
        <v>10.9</v>
      </c>
      <c r="F10" s="151">
        <v>10.9</v>
      </c>
      <c r="G10" s="139"/>
      <c r="H10" s="152">
        <v>6.8</v>
      </c>
      <c r="I10" s="151">
        <v>6.5</v>
      </c>
      <c r="J10" s="152">
        <v>8.1999999999999993</v>
      </c>
      <c r="K10" s="152">
        <v>8.1999999999999993</v>
      </c>
      <c r="L10" s="152">
        <v>8.1999999999999993</v>
      </c>
      <c r="M10" s="139"/>
      <c r="N10" s="139"/>
      <c r="O10" s="4" t="s">
        <v>438</v>
      </c>
      <c r="P10" s="184">
        <v>0.11</v>
      </c>
      <c r="Q10" s="165">
        <v>19.5</v>
      </c>
      <c r="R10" s="165"/>
      <c r="S10" s="4" t="s">
        <v>309</v>
      </c>
      <c r="T10" s="4">
        <v>0.89</v>
      </c>
    </row>
    <row r="11" spans="1:20" x14ac:dyDescent="0.25">
      <c r="A11" s="4" t="s">
        <v>427</v>
      </c>
      <c r="B11" s="144">
        <v>0.126</v>
      </c>
      <c r="C11" s="144">
        <v>0.10299999999999999</v>
      </c>
      <c r="D11" s="144">
        <v>0.08</v>
      </c>
      <c r="E11" s="144">
        <v>0.08</v>
      </c>
      <c r="F11" s="144">
        <v>0.08</v>
      </c>
      <c r="G11" s="144"/>
      <c r="H11" s="144">
        <v>0.126</v>
      </c>
      <c r="I11" s="144">
        <v>0.10299999999999999</v>
      </c>
      <c r="J11" s="144">
        <v>0.191</v>
      </c>
      <c r="K11" s="144">
        <v>0.191</v>
      </c>
      <c r="L11" s="144">
        <v>0.191</v>
      </c>
      <c r="M11" s="144"/>
      <c r="N11" s="144"/>
      <c r="O11" s="176" t="s">
        <v>439</v>
      </c>
      <c r="P11" s="184">
        <v>0.08</v>
      </c>
      <c r="Q11" s="73">
        <v>18.899999999999999</v>
      </c>
      <c r="R11" s="165"/>
      <c r="S11" s="4" t="s">
        <v>310</v>
      </c>
      <c r="T11" s="142">
        <v>0.9</v>
      </c>
    </row>
    <row r="12" spans="1:20" x14ac:dyDescent="0.25">
      <c r="A12" s="4" t="s">
        <v>428</v>
      </c>
      <c r="B12" s="147">
        <f>B10*B11</f>
        <v>0.71820000000000006</v>
      </c>
      <c r="C12" s="147">
        <f t="shared" ref="C12:F12" si="0">C10*C11</f>
        <v>0.66949999999999998</v>
      </c>
      <c r="D12" s="147">
        <f t="shared" si="0"/>
        <v>0.872</v>
      </c>
      <c r="E12" s="147">
        <f t="shared" si="0"/>
        <v>0.872</v>
      </c>
      <c r="F12" s="147">
        <f t="shared" si="0"/>
        <v>0.872</v>
      </c>
      <c r="H12" s="147">
        <f>H10*H11</f>
        <v>0.85680000000000001</v>
      </c>
      <c r="I12" s="147">
        <f t="shared" ref="I12" si="1">I10*I11</f>
        <v>0.66949999999999998</v>
      </c>
      <c r="J12" s="147">
        <f t="shared" ref="J12" si="2">J10*J11</f>
        <v>1.5661999999999998</v>
      </c>
      <c r="K12" s="147">
        <f t="shared" ref="K12" si="3">K10*K11</f>
        <v>1.5661999999999998</v>
      </c>
      <c r="L12" s="147">
        <f t="shared" ref="L12" si="4">L10*L11</f>
        <v>1.5661999999999998</v>
      </c>
      <c r="O12" s="176" t="s">
        <v>134</v>
      </c>
      <c r="P12" s="184">
        <v>0.191</v>
      </c>
      <c r="Q12" s="4">
        <v>18.2</v>
      </c>
      <c r="S12" s="4" t="s">
        <v>311</v>
      </c>
      <c r="T12" s="4">
        <v>0.89</v>
      </c>
    </row>
    <row r="13" spans="1:20" x14ac:dyDescent="0.25">
      <c r="M13" s="144"/>
      <c r="N13" s="144"/>
      <c r="O13" s="148" t="s">
        <v>402</v>
      </c>
      <c r="P13" s="184">
        <v>0.39600000000000002</v>
      </c>
      <c r="Q13" s="165">
        <v>23.6</v>
      </c>
      <c r="S13" s="4" t="s">
        <v>312</v>
      </c>
      <c r="T13" s="4">
        <v>0.91</v>
      </c>
    </row>
    <row r="14" spans="1:20" x14ac:dyDescent="0.25">
      <c r="A14" s="4" t="s">
        <v>429</v>
      </c>
      <c r="C14" s="4">
        <f>AVERAGE(B12:F12)*1000</f>
        <v>800.74</v>
      </c>
      <c r="I14" s="4">
        <f>AVERAGE(H12:L12)*1000</f>
        <v>1244.98</v>
      </c>
      <c r="O14" s="4" t="s">
        <v>440</v>
      </c>
      <c r="P14" s="184">
        <v>9.4E-2</v>
      </c>
      <c r="Q14" s="4">
        <v>18.7</v>
      </c>
      <c r="R14" s="165"/>
      <c r="S14" s="4" t="s">
        <v>313</v>
      </c>
      <c r="T14" s="4">
        <v>0.91</v>
      </c>
    </row>
    <row r="15" spans="1:20" x14ac:dyDescent="0.25">
      <c r="O15" s="148" t="s">
        <v>399</v>
      </c>
      <c r="P15" s="184">
        <v>0.16600000000000001</v>
      </c>
      <c r="Q15" s="4">
        <v>28.7</v>
      </c>
      <c r="S15" s="4" t="s">
        <v>314</v>
      </c>
      <c r="T15" s="4">
        <v>0.22</v>
      </c>
    </row>
    <row r="16" spans="1:20" x14ac:dyDescent="0.25">
      <c r="O16" s="146" t="s">
        <v>441</v>
      </c>
      <c r="P16" s="184">
        <v>0.248</v>
      </c>
      <c r="Q16" s="4">
        <v>18.600000000000001</v>
      </c>
      <c r="S16" s="4" t="s">
        <v>315</v>
      </c>
      <c r="T16" s="4">
        <v>0.94</v>
      </c>
    </row>
    <row r="17" spans="1:20" x14ac:dyDescent="0.25">
      <c r="A17" s="4" t="s">
        <v>430</v>
      </c>
      <c r="B17" s="147">
        <v>18.2</v>
      </c>
      <c r="C17" s="165">
        <v>18</v>
      </c>
      <c r="D17" s="4">
        <v>18.899999999999999</v>
      </c>
      <c r="E17" s="4">
        <v>18.899999999999999</v>
      </c>
      <c r="F17" s="4">
        <v>18.899999999999999</v>
      </c>
      <c r="H17" s="4">
        <v>18.2</v>
      </c>
      <c r="I17" s="165">
        <v>18</v>
      </c>
      <c r="J17" s="4">
        <v>18.2</v>
      </c>
      <c r="K17" s="4">
        <v>18.2</v>
      </c>
      <c r="L17" s="4">
        <v>18.2</v>
      </c>
      <c r="O17" s="4" t="s">
        <v>442</v>
      </c>
      <c r="P17" s="184">
        <v>0.17699999999999999</v>
      </c>
      <c r="Q17" s="4">
        <v>18.5</v>
      </c>
      <c r="R17" s="165"/>
      <c r="S17" s="4" t="s">
        <v>316</v>
      </c>
      <c r="T17" s="4">
        <v>0.9</v>
      </c>
    </row>
    <row r="18" spans="1:20" x14ac:dyDescent="0.25">
      <c r="A18" s="4" t="s">
        <v>431</v>
      </c>
      <c r="B18" s="4">
        <f>B17*B10</f>
        <v>103.74</v>
      </c>
      <c r="C18" s="4">
        <f t="shared" ref="C18:F18" si="5">C17*C10</f>
        <v>117</v>
      </c>
      <c r="D18" s="4">
        <f t="shared" si="5"/>
        <v>206.01</v>
      </c>
      <c r="E18" s="4">
        <f t="shared" si="5"/>
        <v>206.01</v>
      </c>
      <c r="F18" s="4">
        <f t="shared" si="5"/>
        <v>206.01</v>
      </c>
      <c r="H18" s="4">
        <f>H17*H10</f>
        <v>123.75999999999999</v>
      </c>
      <c r="I18" s="4">
        <f t="shared" ref="I18:L18" si="6">I17*I10</f>
        <v>117</v>
      </c>
      <c r="J18" s="4">
        <f t="shared" si="6"/>
        <v>149.23999999999998</v>
      </c>
      <c r="K18" s="4">
        <f t="shared" si="6"/>
        <v>149.23999999999998</v>
      </c>
      <c r="L18" s="4">
        <f t="shared" si="6"/>
        <v>149.23999999999998</v>
      </c>
      <c r="O18" s="4" t="s">
        <v>443</v>
      </c>
      <c r="P18" s="184">
        <v>7.8E-2</v>
      </c>
      <c r="Q18" s="4">
        <v>16.899999999999999</v>
      </c>
      <c r="S18" s="4" t="s">
        <v>317</v>
      </c>
      <c r="T18" s="4">
        <v>0.9</v>
      </c>
    </row>
    <row r="19" spans="1:20" x14ac:dyDescent="0.25">
      <c r="O19" s="4" t="s">
        <v>444</v>
      </c>
      <c r="P19" s="184">
        <v>0.189</v>
      </c>
      <c r="Q19" s="4">
        <v>18.899999999999999</v>
      </c>
      <c r="S19" s="4" t="s">
        <v>318</v>
      </c>
      <c r="T19" s="4">
        <v>0.9</v>
      </c>
    </row>
    <row r="20" spans="1:20" x14ac:dyDescent="0.25">
      <c r="A20" s="4" t="s">
        <v>432</v>
      </c>
      <c r="C20" s="4">
        <f>AVERAGE(B18:E18)</f>
        <v>158.19</v>
      </c>
      <c r="I20" s="4">
        <f>AVERAGE(H18:L18)</f>
        <v>137.696</v>
      </c>
      <c r="O20" s="4" t="s">
        <v>445</v>
      </c>
      <c r="P20" s="184">
        <v>0.16200000000000001</v>
      </c>
      <c r="Q20" s="4">
        <v>18.7</v>
      </c>
      <c r="S20" s="4" t="s">
        <v>319</v>
      </c>
      <c r="T20" s="4">
        <v>0.9</v>
      </c>
    </row>
    <row r="21" spans="1:20" x14ac:dyDescent="0.25">
      <c r="O21" s="4" t="s">
        <v>446</v>
      </c>
      <c r="P21" s="184">
        <v>0.10199999999999999</v>
      </c>
      <c r="Q21" s="4">
        <v>17.7</v>
      </c>
      <c r="S21" s="4" t="s">
        <v>320</v>
      </c>
      <c r="T21" s="4">
        <v>0.9</v>
      </c>
    </row>
    <row r="22" spans="1:20" x14ac:dyDescent="0.25">
      <c r="O22" s="4" t="s">
        <v>447</v>
      </c>
      <c r="P22" s="184">
        <v>0.14699999999999999</v>
      </c>
      <c r="Q22" s="73">
        <v>18.18</v>
      </c>
      <c r="S22" s="4" t="s">
        <v>321</v>
      </c>
      <c r="T22" s="4">
        <v>0.9</v>
      </c>
    </row>
    <row r="23" spans="1:20" x14ac:dyDescent="0.25">
      <c r="O23" s="4" t="s">
        <v>448</v>
      </c>
      <c r="P23" s="184">
        <v>0.11</v>
      </c>
      <c r="Q23" s="4">
        <v>17.899999999999999</v>
      </c>
    </row>
    <row r="24" spans="1:20" x14ac:dyDescent="0.25">
      <c r="O24" s="185" t="s">
        <v>411</v>
      </c>
      <c r="P24" s="184">
        <v>0.17280000000000001</v>
      </c>
      <c r="Q24" s="186">
        <v>18.78</v>
      </c>
      <c r="S24" s="4" t="s">
        <v>449</v>
      </c>
    </row>
    <row r="26" spans="1:20" x14ac:dyDescent="0.25">
      <c r="O26" s="165" t="s">
        <v>450</v>
      </c>
      <c r="P26" s="4" t="s">
        <v>451</v>
      </c>
    </row>
    <row r="27" spans="1:20" x14ac:dyDescent="0.25">
      <c r="P27" s="4" t="s">
        <v>452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</vt:lpstr>
      <vt:lpstr>With legumes</vt:lpstr>
      <vt:lpstr>Data for yield stability</vt:lpstr>
      <vt:lpstr>GM</vt:lpstr>
      <vt:lpstr>N fertilizer</vt:lpstr>
      <vt:lpstr>Protein &amp; Energy Output</vt:lpstr>
      <vt:lpstr>Crop Diversity</vt:lpstr>
      <vt:lpstr>NO3-N</vt:lpstr>
      <vt:lpstr>N2O calculations</vt:lpstr>
      <vt:lpstr>N2O default values</vt:lpstr>
      <vt:lpstr>Mapping crops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2020-12-16T10:17:04Z</dcterms:modified>
</cp:coreProperties>
</file>