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/>
  </bookViews>
  <sheets>
    <sheet name="Output" sheetId="21" r:id="rId1"/>
    <sheet name="Data source" sheetId="16" r:id="rId2"/>
    <sheet name="Site characteristics" sheetId="1" r:id="rId3"/>
    <sheet name="Without legumes" sheetId="9" r:id="rId4"/>
    <sheet name="With legumes option 1 " sheetId="15" r:id="rId5"/>
    <sheet name="With legumes option 2" sheetId="14" r:id="rId6"/>
    <sheet name="Data for yield stability" sheetId="12" r:id="rId7"/>
    <sheet name="GM" sheetId="17" r:id="rId8"/>
    <sheet name="N fertilizer" sheetId="18" r:id="rId9"/>
    <sheet name="Protein &amp; Energy Output" sheetId="19" r:id="rId10"/>
    <sheet name="Crop Diversity" sheetId="20" r:id="rId11"/>
    <sheet name="NO3" sheetId="25" r:id="rId12"/>
    <sheet name="N2O calculations" sheetId="22" r:id="rId13"/>
    <sheet name="N2O default values" sheetId="23" r:id="rId14"/>
    <sheet name="Mapping crops" sheetId="24" r:id="rId1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7" i="12" l="1"/>
  <c r="O17" i="12"/>
  <c r="C32" i="12"/>
  <c r="C17" i="12"/>
  <c r="G17" i="12"/>
  <c r="K17" i="12"/>
  <c r="P21" i="17"/>
  <c r="P19" i="17"/>
  <c r="I21" i="17"/>
  <c r="I19" i="17"/>
  <c r="B19" i="17"/>
  <c r="B32" i="18"/>
  <c r="B30" i="18"/>
  <c r="C32" i="19"/>
  <c r="C38" i="19"/>
  <c r="C22" i="19"/>
  <c r="I22" i="19"/>
  <c r="I16" i="19"/>
  <c r="C16" i="19"/>
  <c r="K22" i="25" l="1"/>
  <c r="K15" i="25"/>
  <c r="K8" i="25"/>
  <c r="L4" i="21" l="1"/>
  <c r="L3" i="21"/>
  <c r="L2" i="21"/>
  <c r="S25" i="22"/>
  <c r="R25" i="22"/>
  <c r="Q25" i="22"/>
  <c r="P25" i="22"/>
  <c r="M25" i="22"/>
  <c r="L25" i="22"/>
  <c r="K25" i="22"/>
  <c r="J25" i="22"/>
  <c r="I25" i="22"/>
  <c r="C25" i="22"/>
  <c r="D25" i="22"/>
  <c r="E25" i="22"/>
  <c r="F25" i="22"/>
  <c r="B25" i="22"/>
  <c r="C19" i="22"/>
  <c r="C28" i="22"/>
  <c r="T28" i="22"/>
  <c r="S28" i="22"/>
  <c r="R28" i="22"/>
  <c r="Q28" i="22"/>
  <c r="P28" i="22"/>
  <c r="M28" i="22"/>
  <c r="L28" i="22"/>
  <c r="K28" i="22"/>
  <c r="J28" i="22"/>
  <c r="I28" i="22"/>
  <c r="D28" i="22"/>
  <c r="E28" i="22"/>
  <c r="F28" i="22"/>
  <c r="B28" i="22"/>
  <c r="E12" i="19"/>
  <c r="E20" i="19"/>
  <c r="F12" i="19"/>
  <c r="F20" i="19"/>
  <c r="K12" i="19"/>
  <c r="K20" i="19"/>
  <c r="I12" i="19"/>
  <c r="I20" i="19"/>
  <c r="C12" i="19"/>
  <c r="C20" i="19"/>
  <c r="B12" i="19"/>
  <c r="B20" i="19"/>
  <c r="D12" i="19"/>
  <c r="D20" i="19"/>
  <c r="R24" i="22"/>
  <c r="Q24" i="22"/>
  <c r="M24" i="22"/>
  <c r="L24" i="22"/>
  <c r="K24" i="22"/>
  <c r="C24" i="22"/>
  <c r="D24" i="22"/>
  <c r="F24" i="22"/>
  <c r="B7" i="22"/>
  <c r="B8" i="22"/>
  <c r="E4" i="23"/>
  <c r="E3" i="23"/>
  <c r="E2" i="23"/>
  <c r="U22" i="23"/>
  <c r="U21" i="23"/>
  <c r="U20" i="23"/>
  <c r="U19" i="23"/>
  <c r="U18" i="23"/>
  <c r="Q18" i="23"/>
  <c r="U17" i="23"/>
  <c r="Q17" i="23"/>
  <c r="U16" i="23"/>
  <c r="R16" i="23"/>
  <c r="P16" i="23"/>
  <c r="U15" i="23"/>
  <c r="U14" i="23"/>
  <c r="U13" i="23"/>
  <c r="U12" i="23"/>
  <c r="R12" i="23"/>
  <c r="U11" i="23"/>
  <c r="R11" i="23"/>
  <c r="P11" i="23"/>
  <c r="U10" i="23"/>
  <c r="P10" i="23"/>
  <c r="U9" i="23"/>
  <c r="R9" i="23"/>
  <c r="U8" i="23"/>
  <c r="U7" i="23"/>
  <c r="U6" i="23"/>
  <c r="U5" i="23"/>
  <c r="U4" i="23"/>
  <c r="U3" i="23"/>
  <c r="U2" i="23"/>
  <c r="G2" i="23"/>
  <c r="T11" i="22"/>
  <c r="S11" i="22"/>
  <c r="R11" i="22"/>
  <c r="Q11" i="22"/>
  <c r="P11" i="22"/>
  <c r="T10" i="22"/>
  <c r="S10" i="22"/>
  <c r="R10" i="22"/>
  <c r="Q10" i="22"/>
  <c r="S9" i="22"/>
  <c r="R9" i="22"/>
  <c r="Q9" i="22"/>
  <c r="M11" i="22"/>
  <c r="L11" i="22"/>
  <c r="K11" i="22"/>
  <c r="J11" i="22"/>
  <c r="I11" i="22"/>
  <c r="M10" i="22"/>
  <c r="L10" i="22"/>
  <c r="K10" i="22"/>
  <c r="J10" i="22"/>
  <c r="I10" i="22"/>
  <c r="K9" i="22"/>
  <c r="J9" i="22"/>
  <c r="I9" i="22"/>
  <c r="E9" i="22"/>
  <c r="C10" i="22"/>
  <c r="D10" i="22"/>
  <c r="E10" i="22"/>
  <c r="F10" i="22"/>
  <c r="C11" i="22"/>
  <c r="D11" i="22"/>
  <c r="E11" i="22"/>
  <c r="F11" i="22"/>
  <c r="B11" i="22"/>
  <c r="A2" i="22"/>
  <c r="B2" i="22"/>
  <c r="C2" i="22"/>
  <c r="D2" i="22"/>
  <c r="E2" i="22"/>
  <c r="F2" i="22"/>
  <c r="A3" i="22"/>
  <c r="B3" i="22"/>
  <c r="C3" i="22"/>
  <c r="D3" i="22"/>
  <c r="E3" i="22"/>
  <c r="F3" i="22"/>
  <c r="A4" i="22"/>
  <c r="B4" i="22"/>
  <c r="C4" i="22"/>
  <c r="D4" i="22"/>
  <c r="E4" i="22"/>
  <c r="F4" i="22"/>
  <c r="B1" i="22"/>
  <c r="C1" i="22"/>
  <c r="D1" i="22"/>
  <c r="E1" i="22"/>
  <c r="F1" i="22"/>
  <c r="A1" i="22"/>
  <c r="T7" i="22"/>
  <c r="T24" i="22"/>
  <c r="S7" i="22"/>
  <c r="S24" i="22"/>
  <c r="R7" i="22"/>
  <c r="Q7" i="22"/>
  <c r="Q8" i="22"/>
  <c r="P7" i="22"/>
  <c r="P8" i="22"/>
  <c r="P14" i="22"/>
  <c r="P15" i="22"/>
  <c r="P16" i="22"/>
  <c r="P18" i="22"/>
  <c r="M7" i="22"/>
  <c r="L7" i="22"/>
  <c r="K7" i="22"/>
  <c r="K8" i="22"/>
  <c r="J7" i="22"/>
  <c r="J24" i="22"/>
  <c r="I7" i="22"/>
  <c r="I24" i="22"/>
  <c r="C7" i="22"/>
  <c r="D7" i="22"/>
  <c r="D8" i="22"/>
  <c r="D14" i="22"/>
  <c r="D15" i="22"/>
  <c r="E7" i="22"/>
  <c r="E8" i="22"/>
  <c r="F7" i="22"/>
  <c r="S27" i="22"/>
  <c r="T27" i="22"/>
  <c r="M27" i="22"/>
  <c r="L8" i="22"/>
  <c r="L14" i="22"/>
  <c r="L15" i="22"/>
  <c r="L17" i="22"/>
  <c r="M8" i="22"/>
  <c r="M14" i="22"/>
  <c r="M16" i="22"/>
  <c r="M18" i="22"/>
  <c r="S8" i="22"/>
  <c r="S14" i="22"/>
  <c r="R27" i="22"/>
  <c r="Q27" i="22"/>
  <c r="P27" i="22"/>
  <c r="L27" i="22"/>
  <c r="K27" i="22"/>
  <c r="J27" i="22"/>
  <c r="I27" i="22"/>
  <c r="R8" i="22"/>
  <c r="R14" i="22"/>
  <c r="R15" i="22"/>
  <c r="C8" i="22"/>
  <c r="C14" i="22"/>
  <c r="C15" i="22"/>
  <c r="C17" i="22"/>
  <c r="F8" i="22"/>
  <c r="F14" i="22"/>
  <c r="F15" i="22"/>
  <c r="F17" i="22"/>
  <c r="M15" i="22"/>
  <c r="M17" i="22"/>
  <c r="S15" i="22"/>
  <c r="S17" i="22"/>
  <c r="C27" i="22"/>
  <c r="D27" i="22"/>
  <c r="E27" i="22"/>
  <c r="F27" i="22"/>
  <c r="B27" i="22"/>
  <c r="F28" i="19"/>
  <c r="F36" i="19"/>
  <c r="E28" i="19"/>
  <c r="E36" i="19"/>
  <c r="D28" i="19"/>
  <c r="D36" i="19"/>
  <c r="C28" i="19"/>
  <c r="C36" i="19"/>
  <c r="B28" i="19"/>
  <c r="B36" i="19"/>
  <c r="D28" i="20"/>
  <c r="E28" i="20"/>
  <c r="E29" i="20"/>
  <c r="S4" i="21"/>
  <c r="B28" i="20"/>
  <c r="D27" i="20"/>
  <c r="E27" i="20"/>
  <c r="B27" i="20"/>
  <c r="D26" i="20"/>
  <c r="E26" i="20"/>
  <c r="B26" i="20"/>
  <c r="D21" i="20"/>
  <c r="E21" i="20"/>
  <c r="B21" i="20"/>
  <c r="B19" i="20"/>
  <c r="D20" i="20"/>
  <c r="E20" i="20"/>
  <c r="E22" i="20"/>
  <c r="S3" i="21"/>
  <c r="B20" i="20"/>
  <c r="D19" i="20"/>
  <c r="E19" i="20"/>
  <c r="D14" i="20"/>
  <c r="E14" i="20"/>
  <c r="B14" i="20"/>
  <c r="B13" i="20"/>
  <c r="L12" i="19"/>
  <c r="L20" i="19"/>
  <c r="I14" i="19"/>
  <c r="H12" i="19"/>
  <c r="H20" i="19"/>
  <c r="H14" i="19"/>
  <c r="J12" i="19"/>
  <c r="J20" i="19"/>
  <c r="C14" i="19"/>
  <c r="D13" i="20"/>
  <c r="E13" i="20"/>
  <c r="E16" i="20"/>
  <c r="S2" i="21"/>
  <c r="F7" i="20"/>
  <c r="S25" i="18"/>
  <c r="P18" i="18"/>
  <c r="P10" i="22"/>
  <c r="I18" i="18"/>
  <c r="B18" i="18"/>
  <c r="B10" i="22"/>
  <c r="T13" i="18"/>
  <c r="T25" i="18" s="1"/>
  <c r="P30" i="18" s="1"/>
  <c r="M4" i="21" s="1"/>
  <c r="R13" i="18"/>
  <c r="R25" i="18"/>
  <c r="Q13" i="18"/>
  <c r="Q25" i="18"/>
  <c r="P13" i="18"/>
  <c r="P9" i="22"/>
  <c r="M13" i="18"/>
  <c r="M25" i="18"/>
  <c r="L13" i="18"/>
  <c r="L25" i="18" s="1"/>
  <c r="I30" i="18" s="1"/>
  <c r="M3" i="21" s="1"/>
  <c r="N3" i="21" s="1"/>
  <c r="K3" i="21" s="1"/>
  <c r="I3" i="21" s="1"/>
  <c r="K13" i="18"/>
  <c r="K25" i="18"/>
  <c r="J13" i="18"/>
  <c r="I13" i="18"/>
  <c r="I25" i="18"/>
  <c r="F13" i="18"/>
  <c r="F25" i="18"/>
  <c r="E13" i="18"/>
  <c r="E25" i="18"/>
  <c r="D13" i="18"/>
  <c r="D9" i="22"/>
  <c r="C13" i="18"/>
  <c r="C9" i="22"/>
  <c r="C25" i="18"/>
  <c r="B13" i="18"/>
  <c r="B9" i="18"/>
  <c r="T31" i="17"/>
  <c r="S31" i="17"/>
  <c r="S14" i="17"/>
  <c r="S17" i="17"/>
  <c r="R31" i="17"/>
  <c r="Q31" i="17"/>
  <c r="Q14" i="17"/>
  <c r="Q15" i="17"/>
  <c r="P31" i="17"/>
  <c r="P14" i="17"/>
  <c r="P15" i="17"/>
  <c r="M31" i="17"/>
  <c r="M14" i="17"/>
  <c r="M15" i="17"/>
  <c r="L31" i="17"/>
  <c r="L14" i="17"/>
  <c r="L17" i="17"/>
  <c r="K31" i="17"/>
  <c r="K14" i="17"/>
  <c r="K15" i="17"/>
  <c r="J31" i="17"/>
  <c r="I31" i="17"/>
  <c r="I14" i="17"/>
  <c r="I15" i="17"/>
  <c r="F31" i="17"/>
  <c r="F14" i="17"/>
  <c r="E31" i="17"/>
  <c r="E14" i="17"/>
  <c r="D31" i="17"/>
  <c r="C31" i="17"/>
  <c r="B31" i="17"/>
  <c r="B14" i="17"/>
  <c r="T14" i="17"/>
  <c r="R14" i="17"/>
  <c r="J14" i="17"/>
  <c r="D14" i="17"/>
  <c r="C14" i="17"/>
  <c r="T13" i="17"/>
  <c r="R13" i="17"/>
  <c r="Q13" i="17"/>
  <c r="M13" i="17"/>
  <c r="L13" i="17"/>
  <c r="K13" i="17"/>
  <c r="J13" i="17"/>
  <c r="F13" i="17"/>
  <c r="E13" i="17"/>
  <c r="D13" i="17"/>
  <c r="C13" i="17"/>
  <c r="T10" i="17"/>
  <c r="T15" i="17"/>
  <c r="S10" i="17"/>
  <c r="S15" i="17"/>
  <c r="R10" i="17"/>
  <c r="R15" i="17"/>
  <c r="Q10" i="17"/>
  <c r="P10" i="17"/>
  <c r="M10" i="17"/>
  <c r="L10" i="17"/>
  <c r="K10" i="17"/>
  <c r="J10" i="17"/>
  <c r="J15" i="17"/>
  <c r="I10" i="17"/>
  <c r="F10" i="17"/>
  <c r="F15" i="17"/>
  <c r="E10" i="17"/>
  <c r="D10" i="17"/>
  <c r="D15" i="17"/>
  <c r="C10" i="17"/>
  <c r="C15" i="17"/>
  <c r="B10" i="17"/>
  <c r="B15" i="17"/>
  <c r="G32" i="12"/>
  <c r="R39" i="12"/>
  <c r="P4" i="21"/>
  <c r="E15" i="17"/>
  <c r="B25" i="18"/>
  <c r="R37" i="12"/>
  <c r="P2" i="21"/>
  <c r="L15" i="17"/>
  <c r="R12" i="14"/>
  <c r="R14" i="15"/>
  <c r="R12" i="15"/>
  <c r="B14" i="22"/>
  <c r="B15" i="22"/>
  <c r="B17" i="22"/>
  <c r="K14" i="22"/>
  <c r="K15" i="22"/>
  <c r="K17" i="22"/>
  <c r="M2" i="21"/>
  <c r="E14" i="22"/>
  <c r="E15" i="22"/>
  <c r="E17" i="22"/>
  <c r="G2" i="21"/>
  <c r="H2" i="21" s="1"/>
  <c r="G3" i="21"/>
  <c r="G4" i="21"/>
  <c r="Q14" i="22"/>
  <c r="Q15" i="22"/>
  <c r="Q17" i="22"/>
  <c r="C16" i="22"/>
  <c r="C18" i="22"/>
  <c r="B9" i="22"/>
  <c r="B26" i="22"/>
  <c r="B24" i="22"/>
  <c r="R4" i="21"/>
  <c r="M19" i="22"/>
  <c r="D26" i="22"/>
  <c r="N2" i="21"/>
  <c r="K2" i="21"/>
  <c r="I2" i="21" s="1"/>
  <c r="D25" i="18"/>
  <c r="J25" i="18"/>
  <c r="D14" i="19"/>
  <c r="I8" i="22"/>
  <c r="I14" i="22"/>
  <c r="I15" i="22"/>
  <c r="I17" i="22"/>
  <c r="L9" i="22"/>
  <c r="L26" i="22" s="1"/>
  <c r="T9" i="22"/>
  <c r="T26" i="22" s="1"/>
  <c r="E24" i="22"/>
  <c r="P24" i="22"/>
  <c r="R38" i="12"/>
  <c r="P3" i="21"/>
  <c r="H4" i="21"/>
  <c r="T8" i="22"/>
  <c r="T14" i="22"/>
  <c r="T15" i="22"/>
  <c r="M9" i="22"/>
  <c r="H3" i="21"/>
  <c r="K14" i="19"/>
  <c r="P25" i="18"/>
  <c r="R2" i="21"/>
  <c r="J8" i="22"/>
  <c r="J14" i="22"/>
  <c r="J15" i="22"/>
  <c r="J17" i="22"/>
  <c r="F9" i="22"/>
  <c r="F26" i="22"/>
  <c r="R3" i="21"/>
  <c r="C26" i="22"/>
  <c r="R26" i="22"/>
  <c r="I26" i="22"/>
  <c r="Q26" i="22"/>
  <c r="J26" i="22"/>
  <c r="M26" i="22"/>
  <c r="M31" i="22"/>
  <c r="K26" i="22"/>
  <c r="S26" i="22"/>
  <c r="E26" i="22"/>
  <c r="P26" i="22"/>
  <c r="T17" i="22"/>
  <c r="D17" i="22"/>
  <c r="D16" i="22"/>
  <c r="D18" i="22"/>
  <c r="R16" i="22"/>
  <c r="R18" i="22"/>
  <c r="R17" i="22"/>
  <c r="S16" i="22"/>
  <c r="S18" i="22"/>
  <c r="S19" i="22"/>
  <c r="I16" i="22"/>
  <c r="I18" i="22"/>
  <c r="I19" i="22"/>
  <c r="F16" i="22"/>
  <c r="F18" i="22"/>
  <c r="F19" i="22"/>
  <c r="L16" i="22"/>
  <c r="L18" i="22"/>
  <c r="L19" i="22"/>
  <c r="P17" i="22"/>
  <c r="P19" i="22"/>
  <c r="B14" i="19"/>
  <c r="Q2" i="21"/>
  <c r="L14" i="19"/>
  <c r="B30" i="19"/>
  <c r="F30" i="19"/>
  <c r="E14" i="19"/>
  <c r="J14" i="19"/>
  <c r="C30" i="19"/>
  <c r="D30" i="19"/>
  <c r="E30" i="19"/>
  <c r="F14" i="19"/>
  <c r="J2" i="21"/>
  <c r="Q3" i="21"/>
  <c r="E16" i="22"/>
  <c r="E18" i="22"/>
  <c r="E19" i="22"/>
  <c r="E31" i="22"/>
  <c r="T16" i="22"/>
  <c r="T18" i="22"/>
  <c r="R19" i="22"/>
  <c r="Q16" i="22"/>
  <c r="Q18" i="22"/>
  <c r="K16" i="22"/>
  <c r="K18" i="22"/>
  <c r="K19" i="22"/>
  <c r="K31" i="22"/>
  <c r="C31" i="22"/>
  <c r="Q19" i="22"/>
  <c r="Q31" i="22"/>
  <c r="T19" i="22"/>
  <c r="D19" i="22"/>
  <c r="D31" i="22"/>
  <c r="B16" i="22"/>
  <c r="B18" i="22"/>
  <c r="B19" i="22"/>
  <c r="B31" i="22"/>
  <c r="R31" i="22"/>
  <c r="I31" i="22"/>
  <c r="S31" i="22"/>
  <c r="F31" i="22"/>
  <c r="P31" i="22"/>
  <c r="J16" i="22"/>
  <c r="J18" i="22"/>
  <c r="J19" i="22"/>
  <c r="J31" i="22"/>
  <c r="Q4" i="21"/>
  <c r="A31" i="22"/>
  <c r="O2" i="21"/>
  <c r="T25" i="22" l="1"/>
  <c r="T31" i="22" s="1"/>
  <c r="O31" i="22" s="1"/>
  <c r="O4" i="21" s="1"/>
  <c r="T27" i="18"/>
  <c r="P32" i="18" s="1"/>
  <c r="N4" i="21" s="1"/>
  <c r="K4" i="21" s="1"/>
  <c r="J4" i="21" s="1"/>
  <c r="L31" i="22"/>
  <c r="H31" i="22" s="1"/>
  <c r="O3" i="21" s="1"/>
  <c r="J3" i="21"/>
  <c r="I4" i="21" l="1"/>
</calcChain>
</file>

<file path=xl/comments1.xml><?xml version="1.0" encoding="utf-8"?>
<comments xmlns="http://schemas.openxmlformats.org/spreadsheetml/2006/main">
  <authors>
    <author>notz</author>
  </authors>
  <commentList>
    <comment ref="H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The GM from the legume-based rotations increased compared to the standard GM as the given legume prices were exchanged here with their actual feed value - calculation details see sheet "GM"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</commentList>
</comments>
</file>

<file path=xl/sharedStrings.xml><?xml version="1.0" encoding="utf-8"?>
<sst xmlns="http://schemas.openxmlformats.org/spreadsheetml/2006/main" count="2202" uniqueCount="535">
  <si>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</si>
  <si>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</si>
  <si>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</si>
  <si>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</si>
  <si>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</si>
  <si>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</si>
  <si>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</si>
  <si>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</si>
  <si>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</si>
  <si>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</si>
  <si>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</si>
  <si>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</si>
  <si>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</si>
  <si>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</si>
  <si>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</si>
  <si>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</si>
  <si>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</si>
  <si>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</si>
  <si>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Compost</t>
  </si>
  <si>
    <t>Manure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</si>
  <si>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</si>
  <si>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</si>
  <si>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</si>
  <si>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</si>
  <si>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</si>
  <si>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</si>
  <si>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</si>
  <si>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</si>
  <si>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</si>
  <si>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</si>
  <si>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</si>
  <si>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</si>
  <si>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</si>
  <si>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Other fertiliser used?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</si>
  <si>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</si>
  <si>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</si>
  <si>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</si>
  <si>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</si>
  <si>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</si>
  <si>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</si>
  <si>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</si>
  <si>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</si>
  <si>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</si>
  <si>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</si>
  <si>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</si>
  <si>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</si>
  <si>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</si>
  <si>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</si>
  <si>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</si>
  <si>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</si>
  <si>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>CROP 3</t>
  </si>
  <si>
    <t>CROP 4</t>
  </si>
  <si>
    <t>CROP 5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</si>
  <si>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</si>
  <si>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</si>
  <si>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</si>
  <si>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</si>
  <si>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</si>
  <si>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</si>
  <si>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</si>
  <si>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Please indicate the name of the region (e.g. Brandenburg) and the code according to the specification of the territorial statistical units of the second level (NUTS 2*) (e.g. DE40 ).</t>
  </si>
  <si>
    <t>Region</t>
  </si>
  <si>
    <t>Site</t>
  </si>
  <si>
    <t>Please indicate the local name of the site within the region e.g. name of the soil type, class…</t>
  </si>
  <si>
    <t>Please describe the typical soil type of your region (e.g. sandy loam).</t>
  </si>
  <si>
    <t xml:space="preserve">If you do not have the following information we will help you and might use default values. </t>
  </si>
  <si>
    <t>Please indicate the average AZ (e.g. 49)</t>
  </si>
  <si>
    <t xml:space="preserve">Please indicate the carbon to nitrogen ratio of the soil organic matter (e.g. 11). 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</si>
  <si>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</si>
  <si>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</si>
  <si>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</si>
  <si>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</si>
  <si>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</si>
  <si>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</si>
  <si>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</si>
  <si>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</si>
  <si>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Please indicate the years of cultivation (e.g. 2015-2018).</t>
  </si>
  <si>
    <t>Winter rape</t>
  </si>
  <si>
    <t>Grain</t>
  </si>
  <si>
    <t>Kieserite</t>
  </si>
  <si>
    <t>Lime</t>
  </si>
  <si>
    <t>Kornkali</t>
  </si>
  <si>
    <t>TSP</t>
  </si>
  <si>
    <t>46% P</t>
  </si>
  <si>
    <t>-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</si>
  <si>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</si>
  <si>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Please indicate the average field size [ha].</t>
  </si>
  <si>
    <t>Please indicate the average C_org [% C in DM] (e.g. 0,9%)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</si>
  <si>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</si>
  <si>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Please indicate the depth of the top soil layer [cm] (e.g. 30 cm).</t>
  </si>
  <si>
    <t>Please indicate the annual mineralisation rate [%] (e.g. 1,7%).</t>
  </si>
  <si>
    <t xml:space="preserve">Please indicate the water holding capacity in the root zone [mm] (e.g. 400mm). </t>
  </si>
  <si>
    <t xml:space="preserve">Please indicate the annual precipitation [mm] (e.g. 510mm). </t>
  </si>
  <si>
    <t xml:space="preserve">Please indicate the precipitation in the winter half, from October to March [mm] (e.g.220mm). </t>
  </si>
  <si>
    <t xml:space="preserve">Amount [t/ha] </t>
  </si>
  <si>
    <t xml:space="preserve">Yield [t/ha] </t>
  </si>
  <si>
    <t>Number of year</t>
  </si>
  <si>
    <t>Crop [name of crop]:</t>
  </si>
  <si>
    <t>Organic fertilizers</t>
  </si>
  <si>
    <t>Composition</t>
  </si>
  <si>
    <t>Mineral fertilizers</t>
  </si>
  <si>
    <r>
      <t>Total amount [kg or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/ha]</t>
    </r>
  </si>
  <si>
    <t>Nimbus CS</t>
  </si>
  <si>
    <t>Trailer sprayer</t>
  </si>
  <si>
    <t>Amount [kg or l/ha]</t>
  </si>
  <si>
    <t xml:space="preserve">2l </t>
  </si>
  <si>
    <t>Karate Zeon</t>
  </si>
  <si>
    <t>0,05l</t>
  </si>
  <si>
    <t>AGIL-S</t>
  </si>
  <si>
    <t>0,5l</t>
  </si>
  <si>
    <t>Caramba</t>
  </si>
  <si>
    <t>1l</t>
  </si>
  <si>
    <t>Nutribor</t>
  </si>
  <si>
    <t>8% B, 01%Mn, 0,04% Mo, 0,1 %Zn, 0,6% N, 0,6% S</t>
  </si>
  <si>
    <t>20%S</t>
  </si>
  <si>
    <t>Trafo WG</t>
  </si>
  <si>
    <t>0,15l</t>
  </si>
  <si>
    <t>Biscaya</t>
  </si>
  <si>
    <t>0,6l</t>
  </si>
  <si>
    <t>6l</t>
  </si>
  <si>
    <t>Semimounted-plough (25 cm depth)</t>
  </si>
  <si>
    <t>Disc harrow</t>
  </si>
  <si>
    <t>Pneumatic seed drill</t>
  </si>
  <si>
    <t>None</t>
  </si>
  <si>
    <t>Total amount [kg or l/ha]</t>
  </si>
  <si>
    <t>122 kg</t>
  </si>
  <si>
    <t>75 kg</t>
  </si>
  <si>
    <t>100 kg</t>
  </si>
  <si>
    <t>333 kg</t>
  </si>
  <si>
    <t>Combine harvester</t>
  </si>
  <si>
    <t>Left on the field</t>
  </si>
  <si>
    <t>Ploughed before next crop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</si>
  <si>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</si>
  <si>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</si>
  <si>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</si>
  <si>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</si>
  <si>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Toal amount [kg or l/ha]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</si>
  <si>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</si>
  <si>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</si>
  <si>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Sold</t>
  </si>
  <si>
    <t>Crop internally used (e.g. as feed) or sold?</t>
  </si>
  <si>
    <t>Solid</t>
  </si>
  <si>
    <t>liquid</t>
  </si>
  <si>
    <t>Other fertiliser used</t>
  </si>
  <si>
    <t>Nutrient content e.g. N, P, K (%)</t>
  </si>
  <si>
    <t>100% CaO</t>
  </si>
  <si>
    <t>Eraton</t>
  </si>
  <si>
    <t>33% K, 4% Mg</t>
  </si>
  <si>
    <t>Spreader</t>
  </si>
  <si>
    <t>Slurry</t>
  </si>
  <si>
    <t>EXAMPLE - Crop [name of crop]: Winter rye</t>
  </si>
  <si>
    <t xml:space="preserve">Please indicate the specific costs of production, the total variable costs and subsidies. </t>
  </si>
  <si>
    <t>Date</t>
  </si>
  <si>
    <t>Date/ Period</t>
  </si>
  <si>
    <t>Winter barley</t>
  </si>
  <si>
    <t>Winter oat</t>
  </si>
  <si>
    <t>Spring barley</t>
  </si>
  <si>
    <t>Price [EUR/t]</t>
  </si>
  <si>
    <t>46% P2O5</t>
  </si>
  <si>
    <t>MOP</t>
  </si>
  <si>
    <t>50% K</t>
  </si>
  <si>
    <t>83kg</t>
  </si>
  <si>
    <t>August</t>
  </si>
  <si>
    <t>Date: August</t>
  </si>
  <si>
    <t>Crop [name of crop]: Winter rape</t>
  </si>
  <si>
    <t>Date: September</t>
  </si>
  <si>
    <t>Yes, 15-20cm</t>
  </si>
  <si>
    <t>September</t>
  </si>
  <si>
    <t>AN</t>
  </si>
  <si>
    <t>33% N</t>
  </si>
  <si>
    <t>475kg</t>
  </si>
  <si>
    <t>150kg</t>
  </si>
  <si>
    <t>120kg</t>
  </si>
  <si>
    <t>March/ April</t>
  </si>
  <si>
    <t>130kg</t>
  </si>
  <si>
    <t>100kg</t>
  </si>
  <si>
    <t>350kg</t>
  </si>
  <si>
    <t>March</t>
  </si>
  <si>
    <t>Date: April</t>
  </si>
  <si>
    <t>NPK</t>
  </si>
  <si>
    <t>April</t>
  </si>
  <si>
    <t>May</t>
  </si>
  <si>
    <t>Date: March</t>
  </si>
  <si>
    <t>October</t>
  </si>
  <si>
    <t>Crop [name of crop]: Winter barley</t>
  </si>
  <si>
    <t>Crop [name of crop]: Winter oat</t>
  </si>
  <si>
    <t>Crop [name of crop]: Spring barley</t>
  </si>
  <si>
    <t>Crop [name of crop]: Field pea</t>
  </si>
  <si>
    <t>Crop [name of crop]: Faba bean</t>
  </si>
  <si>
    <t>87kg</t>
  </si>
  <si>
    <t>No</t>
  </si>
  <si>
    <t>Date: February</t>
  </si>
  <si>
    <t>Yes</t>
  </si>
  <si>
    <t>N/A</t>
  </si>
  <si>
    <t>L G Diablo</t>
  </si>
  <si>
    <t>Drill</t>
  </si>
  <si>
    <t>33%N</t>
  </si>
  <si>
    <t>spreader</t>
  </si>
  <si>
    <t>FYM</t>
  </si>
  <si>
    <t>spray</t>
  </si>
  <si>
    <t>1 l/ha</t>
  </si>
  <si>
    <t>sray</t>
  </si>
  <si>
    <t>1.25 l/ha</t>
  </si>
  <si>
    <t>April + May</t>
  </si>
  <si>
    <t>combine</t>
  </si>
  <si>
    <t>5.5 t/ha grain and 2.9 t/ha straw</t>
  </si>
  <si>
    <t>yes</t>
  </si>
  <si>
    <t>sold as straw</t>
  </si>
  <si>
    <t>June</t>
  </si>
  <si>
    <t>May, July</t>
  </si>
  <si>
    <t>Mar</t>
  </si>
  <si>
    <t>Mar, Apr, May</t>
  </si>
  <si>
    <t>Aug</t>
  </si>
  <si>
    <t>Jordan</t>
  </si>
  <si>
    <t>Collect straw</t>
  </si>
  <si>
    <t>baler</t>
  </si>
  <si>
    <t>Straw</t>
  </si>
  <si>
    <t>Grain 154.00</t>
  </si>
  <si>
    <t>Pea</t>
  </si>
  <si>
    <t>no</t>
  </si>
  <si>
    <t>Date:March</t>
  </si>
  <si>
    <t>direct drill</t>
  </si>
  <si>
    <t>12%N,11%P, 18% K</t>
  </si>
  <si>
    <t>173kg</t>
  </si>
  <si>
    <t>silage</t>
  </si>
  <si>
    <t>harvester</t>
  </si>
  <si>
    <t>July</t>
  </si>
  <si>
    <t>seed</t>
  </si>
  <si>
    <t>2.5l</t>
  </si>
  <si>
    <t>0.8l + 1l</t>
  </si>
  <si>
    <t>0.4l</t>
  </si>
  <si>
    <t>sold</t>
  </si>
  <si>
    <t>Bean</t>
  </si>
  <si>
    <t>Fanfare</t>
  </si>
  <si>
    <t>40% P2O5</t>
  </si>
  <si>
    <t>40% K</t>
  </si>
  <si>
    <t>grain/seed</t>
  </si>
  <si>
    <t>grain</t>
  </si>
  <si>
    <t>155 grain</t>
  </si>
  <si>
    <t>1l + 0.4l</t>
  </si>
  <si>
    <t>power harrow</t>
  </si>
  <si>
    <t>residual</t>
  </si>
  <si>
    <t>weed control</t>
  </si>
  <si>
    <t>mildew and crown rust</t>
  </si>
  <si>
    <t>combine harvester</t>
  </si>
  <si>
    <t>straw</t>
  </si>
  <si>
    <t>0.5l + 2l</t>
  </si>
  <si>
    <t>April + June</t>
  </si>
  <si>
    <t>Northeast Scotland</t>
  </si>
  <si>
    <t>Sandy loam</t>
  </si>
  <si>
    <t>5.83 t/ha grain</t>
  </si>
  <si>
    <t>3.1 t/ha straw</t>
  </si>
  <si>
    <t>control of meadow grass and broadleaf weeds Kerb Flo 500</t>
  </si>
  <si>
    <t>1.7l</t>
  </si>
  <si>
    <t>chocolate spot and downy mildew (product containing both azoxystrobin/ tebuconazole such as Custodia from ADAMA)</t>
  </si>
  <si>
    <t>rhynchosporium, mildew and other leaf diseases (controlled with Kayak (Syngenta))</t>
  </si>
  <si>
    <t>post emergence to control broadleaf weeds Kerb Flo 500</t>
  </si>
  <si>
    <t>Harvested for seed</t>
  </si>
  <si>
    <t>667 kg</t>
  </si>
  <si>
    <t>34.5% N</t>
  </si>
  <si>
    <t>Pre emergence application of Alternator-Met (Bayer) for meadow grasses and broadleaf species</t>
  </si>
  <si>
    <t>1.0l</t>
  </si>
  <si>
    <t>August and April</t>
  </si>
  <si>
    <t>1.5l</t>
  </si>
  <si>
    <t>March and May</t>
  </si>
  <si>
    <t>Dalguise</t>
  </si>
  <si>
    <t>residual hderbicide for pre emergance control of grasses (Liberator (Bayer))</t>
  </si>
  <si>
    <t>0.3l</t>
  </si>
  <si>
    <t>1.0l + 1.0l</t>
  </si>
  <si>
    <t>Weed control post emergence (Spitfire (Dow))</t>
  </si>
  <si>
    <t>Mildew and crown rust - Prosaro (Bayer)</t>
  </si>
  <si>
    <t xml:space="preserve">2 l </t>
  </si>
  <si>
    <t>0.5 l</t>
  </si>
  <si>
    <t>1 l</t>
  </si>
  <si>
    <t>0.05 l</t>
  </si>
  <si>
    <t>0.6 l</t>
  </si>
  <si>
    <t>0.15 l</t>
  </si>
  <si>
    <t>Rhynchosporium, mildew and other leaf diseases (controlled with Kayak (Syngenta))</t>
  </si>
  <si>
    <t>1.0 l</t>
  </si>
  <si>
    <t>1.5 l</t>
  </si>
  <si>
    <t>1.0 l + 1.0 l</t>
  </si>
  <si>
    <t>0.3 l</t>
  </si>
  <si>
    <t xml:space="preserve">  Pre-emergance (a product containing pendimethalin and imazamox such as Nirvana (BASF))</t>
  </si>
  <si>
    <t>Downy mildew + botrytis (products containing chlorothalonil and cyproconazole such as Alto Elite (Syngenta)</t>
  </si>
  <si>
    <t>Aphid control (containing  oil dispersion formulation containing thiacloprid with a product such as Biscaya (Bayer))</t>
  </si>
  <si>
    <t>375 kg</t>
  </si>
  <si>
    <t>113 kg</t>
  </si>
  <si>
    <t>95 kg</t>
  </si>
  <si>
    <t>200kg</t>
  </si>
  <si>
    <t>50t</t>
  </si>
  <si>
    <t>190kg</t>
  </si>
  <si>
    <t xml:space="preserve">Contact person:
</t>
  </si>
  <si>
    <t xml:space="preserve">Acknowledgement to:
</t>
  </si>
  <si>
    <t>How representative are the data?</t>
  </si>
  <si>
    <t>Data representing practical farming?</t>
  </si>
  <si>
    <t>Data coming from averages over several years?</t>
  </si>
  <si>
    <t>Data for yield stability?</t>
  </si>
  <si>
    <t>Average yields from this data cannot be compared with the data in the rotations!</t>
  </si>
  <si>
    <t>Can differences between the rotations be traced back to the presence of the legume alone?</t>
  </si>
  <si>
    <t>Dr. Paul Hargreaves (paul.hargreaves@sruc.ac.uk)</t>
  </si>
  <si>
    <t>There are no differences in the management and yield of the other crops.</t>
  </si>
  <si>
    <t>Management and yield data were compiled mainly on basis of the SAC Farm Management Handbook 2018/19.</t>
  </si>
  <si>
    <t>Dr. Paul Hargreaves  and Dr. Kairsty Topp (Institution: SRUC)</t>
  </si>
  <si>
    <t>Therefore the data display current farming approaches as well as interesting new cropping systems.</t>
  </si>
  <si>
    <t>Data are coming from mean yields of the cereals and peas provided by the Scottish Government. The bean data are from eurostat.</t>
  </si>
  <si>
    <t xml:space="preserve">The rotations were identified by researchers incorporating the interests of the regional actor group "SAC Dairy Protein Group". </t>
  </si>
  <si>
    <t xml:space="preserve">Therefore they are expert-derived crop rotations displaying typical management and yield data for this region. </t>
  </si>
  <si>
    <t>Crop 1</t>
  </si>
  <si>
    <t>Crop 2</t>
  </si>
  <si>
    <t>Crop 3</t>
  </si>
  <si>
    <t>Crop 4</t>
  </si>
  <si>
    <t>Crop 5</t>
  </si>
  <si>
    <t xml:space="preserve">Without legumes: </t>
  </si>
  <si>
    <t xml:space="preserve">With legumes option 1: </t>
  </si>
  <si>
    <t>Field pea</t>
  </si>
  <si>
    <t xml:space="preserve">With legumes option 2: </t>
  </si>
  <si>
    <t>Faba bean</t>
  </si>
  <si>
    <t>Content N</t>
  </si>
  <si>
    <t>1,2kg/t</t>
  </si>
  <si>
    <t>Without legumes</t>
  </si>
  <si>
    <t>wwheat</t>
  </si>
  <si>
    <t>wrye</t>
  </si>
  <si>
    <t>With legumes option 1</t>
  </si>
  <si>
    <t>wbarley</t>
  </si>
  <si>
    <t>wrape</t>
  </si>
  <si>
    <t>Yield DM</t>
  </si>
  <si>
    <t>lupin</t>
  </si>
  <si>
    <t>Triticale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</si>
  <si>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</si>
  <si>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</si>
  <si>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</si>
  <si>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</si>
  <si>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</si>
  <si>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</si>
  <si>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</si>
  <si>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</si>
  <si>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Cereal crop</t>
  </si>
  <si>
    <t>Leaf crop</t>
  </si>
  <si>
    <t>Legume</t>
  </si>
  <si>
    <t>Gross margin (prices feed calculator)</t>
  </si>
  <si>
    <t>GM with CO2 tax I</t>
  </si>
  <si>
    <t>GM with CO2 tax II</t>
  </si>
  <si>
    <t>NO3 leaching [kg/ha]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</si>
  <si>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</si>
  <si>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</si>
  <si>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</si>
  <si>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</si>
  <si>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Crop diversity</t>
  </si>
  <si>
    <t>DM content</t>
  </si>
  <si>
    <t>With legumes option 2</t>
  </si>
  <si>
    <t>Soy</t>
  </si>
  <si>
    <t>Wheat</t>
  </si>
  <si>
    <t>Protein yield [kg/ha]</t>
  </si>
  <si>
    <t>Coefficient of variation</t>
  </si>
  <si>
    <t>N fertilizers</t>
  </si>
  <si>
    <t>Yield stability (CV)</t>
  </si>
  <si>
    <t>Climate</t>
  </si>
  <si>
    <t>wet</t>
  </si>
  <si>
    <t>dry</t>
  </si>
  <si>
    <t>EF1 - synthetic fert</t>
  </si>
  <si>
    <t>EF1 - organic N</t>
  </si>
  <si>
    <t>Fert</t>
  </si>
  <si>
    <t>FracGas</t>
  </si>
  <si>
    <t>Urea</t>
  </si>
  <si>
    <t>Nitrate</t>
  </si>
  <si>
    <t>Ammonium</t>
  </si>
  <si>
    <t>FracGasF / FracGasM</t>
  </si>
  <si>
    <t>N2O emissions</t>
  </si>
  <si>
    <t>Volat</t>
  </si>
  <si>
    <t>EF4</t>
  </si>
  <si>
    <t>Leaching</t>
  </si>
  <si>
    <t>Residue N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</si>
  <si>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</si>
  <si>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</si>
  <si>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</si>
  <si>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</si>
  <si>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</si>
  <si>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</si>
  <si>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</si>
  <si>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</si>
  <si>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</si>
  <si>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</si>
  <si>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</si>
  <si>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Maize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</si>
  <si>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</si>
  <si>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</si>
  <si>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</si>
  <si>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</si>
  <si>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</si>
  <si>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</si>
  <si>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</si>
  <si>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</si>
  <si>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</si>
  <si>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</si>
  <si>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</si>
  <si>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Perennial Grasses</t>
  </si>
  <si>
    <t>Non-N-fixing forage</t>
  </si>
  <si>
    <t>Grass-Clover Mixtures</t>
  </si>
  <si>
    <t>Crop</t>
  </si>
  <si>
    <t>ID for mapping</t>
  </si>
  <si>
    <t>IPCCID</t>
  </si>
  <si>
    <t>FracRenew</t>
  </si>
  <si>
    <t>Soya</t>
  </si>
  <si>
    <t>Above</t>
  </si>
  <si>
    <t>Below</t>
  </si>
  <si>
    <t>Straw DM</t>
  </si>
  <si>
    <t>N2O above</t>
  </si>
  <si>
    <t>N2O below</t>
  </si>
  <si>
    <t>Total</t>
  </si>
  <si>
    <t>Residue</t>
  </si>
  <si>
    <t>Convert to kg N2O</t>
  </si>
  <si>
    <t>N2O-N emissions</t>
  </si>
  <si>
    <t>Winter wheat</t>
  </si>
  <si>
    <t>Sunflower</t>
  </si>
  <si>
    <t>Dry bean</t>
  </si>
  <si>
    <t>Value for Urea</t>
  </si>
  <si>
    <t>Value for Ammonium based</t>
  </si>
  <si>
    <t>Value for Nitrate based</t>
  </si>
  <si>
    <t>Value for ammonium-Nitrate based</t>
  </si>
  <si>
    <t>Default</t>
  </si>
  <si>
    <t>NH4NO3</t>
  </si>
  <si>
    <t>Euroserial Duo</t>
  </si>
  <si>
    <t>Sulfano</t>
  </si>
  <si>
    <t>DAP</t>
  </si>
  <si>
    <t>Lebosol</t>
  </si>
  <si>
    <t>CAN</t>
  </si>
  <si>
    <t>Forage pea</t>
  </si>
  <si>
    <t>Urea 120</t>
  </si>
  <si>
    <t>N8P16K20 +SO3+B</t>
  </si>
  <si>
    <t>MAP</t>
  </si>
  <si>
    <t>Other</t>
  </si>
  <si>
    <t>Soybean</t>
  </si>
  <si>
    <t>Corn</t>
  </si>
  <si>
    <t>NP</t>
  </si>
  <si>
    <t>Anhydrous ammonia</t>
  </si>
  <si>
    <t>ammonium nitrate</t>
  </si>
  <si>
    <t>Diammofoska</t>
  </si>
  <si>
    <t>Ammonium sulfate</t>
  </si>
  <si>
    <t>Nitroamofoska</t>
  </si>
  <si>
    <t>Urea (carbamide)</t>
  </si>
  <si>
    <t>VK gelb</t>
  </si>
  <si>
    <t>NAC</t>
  </si>
  <si>
    <t>KAS</t>
  </si>
  <si>
    <t>Alzon</t>
  </si>
  <si>
    <t>Diammonium phosphate</t>
  </si>
  <si>
    <t>Yara tris</t>
  </si>
  <si>
    <t>UMOSTART G MAXI</t>
  </si>
  <si>
    <t>Harnstoff</t>
  </si>
  <si>
    <t>Gülle</t>
  </si>
  <si>
    <t>Entec</t>
  </si>
  <si>
    <t>Mischdünger</t>
  </si>
  <si>
    <t>Sugar beet</t>
  </si>
  <si>
    <t>Winter rapeseed</t>
  </si>
  <si>
    <t>N</t>
  </si>
  <si>
    <t>Winter oats</t>
  </si>
  <si>
    <t>Sulcan</t>
  </si>
  <si>
    <t>Super Can</t>
  </si>
  <si>
    <t>Spring beans</t>
  </si>
  <si>
    <t>ASN</t>
  </si>
  <si>
    <t>Data source: eurostat, UK broad, field bean (https://appsso.eurostat.ec.europa.eu/nui/submitViewTableAction.do)</t>
  </si>
  <si>
    <t>(2.4% N, 1.28% P2O5, 3.2% K2O) 1,2kg N/t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</si>
  <si>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</si>
  <si>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</si>
  <si>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</si>
  <si>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</si>
  <si>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</si>
  <si>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</si>
  <si>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</si>
  <si>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</si>
  <si>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</si>
  <si>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Energy output [GJ/ha]</t>
  </si>
  <si>
    <t>Crude protein [% DM]</t>
  </si>
  <si>
    <t>Gross energy [GJ/t DM]</t>
  </si>
  <si>
    <t xml:space="preserve">Rye </t>
  </si>
  <si>
    <t>Tritcale</t>
  </si>
  <si>
    <t>Rapeseeds</t>
  </si>
  <si>
    <t>Blue lupin</t>
  </si>
  <si>
    <t>Pea seeds</t>
  </si>
  <si>
    <t>Oat</t>
  </si>
  <si>
    <t>Maize silage</t>
  </si>
  <si>
    <t>Alfalfa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</si>
  <si>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</si>
  <si>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</si>
  <si>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</si>
  <si>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</si>
  <si>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</si>
  <si>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</si>
  <si>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</si>
  <si>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</si>
  <si>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</si>
  <si>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</si>
  <si>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</si>
  <si>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</si>
  <si>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</si>
  <si>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</si>
  <si>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Yield FM [t/ha]</t>
  </si>
  <si>
    <t>Yield DM [t/ha]</t>
  </si>
  <si>
    <t>Protein output [t/ha]</t>
  </si>
  <si>
    <t>Protein output rotations [kg/ha]</t>
  </si>
  <si>
    <t xml:space="preserve">Energy output rotations [GJ/ha] </t>
  </si>
  <si>
    <t>155 t/ha grain + 63 EUR/t straw</t>
  </si>
  <si>
    <t>Grain yield [t/ha]</t>
  </si>
  <si>
    <t>Price [€/t]</t>
  </si>
  <si>
    <t>Revenue [€/ha]</t>
  </si>
  <si>
    <t>Straw [t/ha]</t>
  </si>
  <si>
    <t>Variable costs [€/ha]</t>
  </si>
  <si>
    <t>Gross margin [€/ha]</t>
  </si>
  <si>
    <t>GM 'feed calculator' per crop [€/ha]</t>
  </si>
  <si>
    <t>Gross margin rotation [€/ha]</t>
  </si>
  <si>
    <t>GM 'feed calculator' per rotation [€/ha]</t>
  </si>
  <si>
    <t>Prices feed calculator*</t>
  </si>
  <si>
    <t>Input prices [€/t] (Eurostat: https://ec.europa.eu/eurostat/databrowser/view/APRI_AP_INA__custom_152018/default/table?lang=en)</t>
  </si>
  <si>
    <t>Output prices  [€/t]</t>
  </si>
  <si>
    <t>*Landesbetrieb Landwirtschaft Hessen (LLH) (2018) Berechnung der Preiswürdigkeit von</t>
  </si>
  <si>
    <t>Einzelfuttermitteln für Schweine nach der Austauschmethode Löhr. Excel-based calculation tool. Landesbetrieb</t>
  </si>
  <si>
    <t>Landwirtschaft Hessen. Available at: https://www.proteinmarkt.de/aktuelles/schweine/rationsberechnung</t>
  </si>
  <si>
    <t>Total amount [kg/ha]</t>
  </si>
  <si>
    <t xml:space="preserve">N [kg/ha]  </t>
  </si>
  <si>
    <t xml:space="preserve">Total N per crop [kg/ha]  </t>
  </si>
  <si>
    <t xml:space="preserve">Total mineral N crop [kg/ha]  </t>
  </si>
  <si>
    <t xml:space="preserve">Total N rotation [kg/ha]  </t>
  </si>
  <si>
    <t xml:space="preserve">Total synthetic N fertilizer [kg/ha]  </t>
  </si>
  <si>
    <t>Nfix [kg/ha]</t>
  </si>
  <si>
    <t>Gross margin (standard) [€/ha]</t>
  </si>
  <si>
    <t>Calculations</t>
  </si>
  <si>
    <t xml:space="preserve"> N leaching= N surplus * Leaching probability * N leach_corr</t>
  </si>
  <si>
    <t>N surplus = N input + Nminpa - N dfs</t>
  </si>
  <si>
    <t>-&gt; valid for non-legumes</t>
  </si>
  <si>
    <t>N surplus = N minfert + N manure P + Nminpa - N dfs</t>
  </si>
  <si>
    <t>-&gt; valid for legumes and non-legumes</t>
  </si>
  <si>
    <t xml:space="preserve">N dfs is the nitrogen derived from soil </t>
  </si>
  <si>
    <t>-&gt; N uptake is the N accumulated by the crop and N fix is BNF of grain and forage legumes</t>
  </si>
  <si>
    <t>(N input encloses additional N from seed)</t>
  </si>
  <si>
    <t>Value for organic fertilizers is 0,21</t>
  </si>
  <si>
    <t>N dfs = N uptake - N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</si>
</sst>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</cellStyleXfs>
  <cellXfs count="37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8" borderId="0" xfId="0" applyFill="1"/>
    <xf numFmtId="0" fontId="0" fillId="8" borderId="0" xfId="0" applyFill="1" applyAlignment="1"/>
    <xf numFmtId="0" fontId="0" fillId="0" borderId="10" xfId="0" applyBorder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0" fillId="0" borderId="21" xfId="0" applyBorder="1"/>
    <xf numFmtId="0" fontId="1" fillId="0" borderId="8" xfId="0" applyFont="1" applyBorder="1"/>
    <xf numFmtId="0" fontId="0" fillId="8" borderId="0" xfId="0" applyFill="1" applyBorder="1"/>
    <xf numFmtId="0" fontId="0" fillId="8" borderId="0" xfId="0" applyFill="1" applyBorder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/>
    <xf numFmtId="0" fontId="0" fillId="8" borderId="7" xfId="0" applyFill="1" applyBorder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8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9" borderId="19" xfId="0" applyFont="1" applyFill="1" applyBorder="1"/>
    <xf numFmtId="0" fontId="3" fillId="9" borderId="14" xfId="0" applyFont="1" applyFill="1" applyBorder="1"/>
    <xf numFmtId="0" fontId="0" fillId="8" borderId="29" xfId="0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9" xfId="0" applyFill="1" applyBorder="1"/>
    <xf numFmtId="0" fontId="0" fillId="3" borderId="6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3" xfId="0" applyFill="1" applyBorder="1"/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8" xfId="0" applyFill="1" applyBorder="1"/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9" xfId="0" applyFill="1" applyBorder="1" applyAlignment="1"/>
    <xf numFmtId="0" fontId="0" fillId="3" borderId="37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6" borderId="46" xfId="0" applyFill="1" applyBorder="1"/>
    <xf numFmtId="0" fontId="0" fillId="6" borderId="33" xfId="0" applyFill="1" applyBorder="1"/>
    <xf numFmtId="0" fontId="3" fillId="4" borderId="46" xfId="0" applyFont="1" applyFill="1" applyBorder="1"/>
    <xf numFmtId="0" fontId="0" fillId="4" borderId="33" xfId="0" applyFill="1" applyBorder="1" applyAlignment="1">
      <alignment wrapText="1"/>
    </xf>
    <xf numFmtId="0" fontId="0" fillId="0" borderId="18" xfId="0" applyBorder="1" applyAlignment="1"/>
    <xf numFmtId="0" fontId="0" fillId="9" borderId="33" xfId="0" applyFill="1" applyBorder="1"/>
    <xf numFmtId="0" fontId="0" fillId="3" borderId="46" xfId="0" applyFill="1" applyBorder="1"/>
    <xf numFmtId="0" fontId="0" fillId="4" borderId="33" xfId="0" applyFill="1" applyBorder="1"/>
    <xf numFmtId="0" fontId="0" fillId="4" borderId="34" xfId="0" applyFill="1" applyBorder="1" applyAlignment="1">
      <alignment horizontal="center"/>
    </xf>
    <xf numFmtId="0" fontId="0" fillId="4" borderId="19" xfId="0" applyFill="1" applyBorder="1"/>
    <xf numFmtId="0" fontId="0" fillId="4" borderId="6" xfId="0" applyFill="1" applyBorder="1" applyAlignment="1">
      <alignment horizontal="center"/>
    </xf>
    <xf numFmtId="0" fontId="0" fillId="4" borderId="8" xfId="0" applyFill="1" applyBorder="1"/>
    <xf numFmtId="0" fontId="0" fillId="4" borderId="38" xfId="0" applyFill="1" applyBorder="1" applyAlignment="1">
      <alignment horizontal="center"/>
    </xf>
    <xf numFmtId="0" fontId="0" fillId="8" borderId="10" xfId="0" applyFill="1" applyBorder="1"/>
    <xf numFmtId="0" fontId="1" fillId="8" borderId="52" xfId="0" applyFont="1" applyFill="1" applyBorder="1" applyAlignment="1"/>
    <xf numFmtId="0" fontId="0" fillId="8" borderId="52" xfId="0" applyFill="1" applyBorder="1"/>
    <xf numFmtId="0" fontId="0" fillId="3" borderId="39" xfId="0" applyFill="1" applyBorder="1" applyAlignment="1">
      <alignment horizontal="center"/>
    </xf>
    <xf numFmtId="0" fontId="3" fillId="9" borderId="54" xfId="0" applyFont="1" applyFill="1" applyBorder="1"/>
    <xf numFmtId="0" fontId="0" fillId="9" borderId="53" xfId="0" applyFill="1" applyBorder="1"/>
    <xf numFmtId="0" fontId="0" fillId="8" borderId="1" xfId="0" applyFill="1" applyBorder="1" applyAlignment="1"/>
    <xf numFmtId="0" fontId="0" fillId="8" borderId="1" xfId="0" applyFill="1" applyBorder="1"/>
    <xf numFmtId="0" fontId="0" fillId="8" borderId="10" xfId="0" applyFill="1" applyBorder="1" applyAlignment="1"/>
    <xf numFmtId="0" fontId="0" fillId="8" borderId="35" xfId="0" applyFill="1" applyBorder="1" applyAlignment="1"/>
    <xf numFmtId="0" fontId="0" fillId="8" borderId="35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9" fontId="0" fillId="3" borderId="32" xfId="0" applyNumberFormat="1" applyFill="1" applyBorder="1" applyAlignment="1">
      <alignment horizontal="center"/>
    </xf>
    <xf numFmtId="165" fontId="0" fillId="0" borderId="0" xfId="0" applyNumberFormat="1"/>
    <xf numFmtId="0" fontId="0" fillId="6" borderId="3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9" xfId="0" applyFill="1" applyBorder="1" applyAlignment="1">
      <alignment horizontal="center" wrapText="1"/>
    </xf>
    <xf numFmtId="0" fontId="0" fillId="3" borderId="39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4" borderId="1" xfId="0" applyFill="1" applyBorder="1" applyAlignment="1"/>
    <xf numFmtId="0" fontId="0" fillId="6" borderId="35" xfId="0" applyFill="1" applyBorder="1" applyAlignment="1"/>
    <xf numFmtId="0" fontId="0" fillId="3" borderId="38" xfId="0" applyFill="1" applyBorder="1" applyAlignment="1"/>
    <xf numFmtId="0" fontId="0" fillId="3" borderId="5" xfId="0" applyFill="1" applyBorder="1" applyAlignment="1"/>
    <xf numFmtId="0" fontId="0" fillId="3" borderId="1" xfId="0" applyFill="1" applyBorder="1" applyAlignment="1"/>
    <xf numFmtId="0" fontId="0" fillId="3" borderId="26" xfId="0" applyFill="1" applyBorder="1" applyAlignment="1"/>
    <xf numFmtId="0" fontId="0" fillId="3" borderId="34" xfId="0" applyFill="1" applyBorder="1" applyAlignment="1"/>
    <xf numFmtId="0" fontId="0" fillId="3" borderId="35" xfId="0" applyFill="1" applyBorder="1" applyAlignment="1"/>
    <xf numFmtId="0" fontId="0" fillId="3" borderId="39" xfId="0" applyFill="1" applyBorder="1" applyAlignment="1">
      <alignment wrapText="1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6" borderId="5" xfId="0" applyFill="1" applyBorder="1" applyAlignment="1"/>
    <xf numFmtId="0" fontId="0" fillId="6" borderId="1" xfId="0" applyFill="1" applyBorder="1" applyAlignment="1"/>
    <xf numFmtId="0" fontId="0" fillId="4" borderId="47" xfId="0" applyFill="1" applyBorder="1" applyAlignment="1"/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/>
    <xf numFmtId="0" fontId="0" fillId="3" borderId="59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/>
    <xf numFmtId="0" fontId="0" fillId="3" borderId="38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35" xfId="0" applyFill="1" applyBorder="1" applyAlignment="1"/>
    <xf numFmtId="0" fontId="1" fillId="0" borderId="0" xfId="0" applyFont="1" applyAlignment="1"/>
    <xf numFmtId="0" fontId="0" fillId="0" borderId="0" xfId="0" applyAlignment="1"/>
    <xf numFmtId="0" fontId="5" fillId="0" borderId="0" xfId="0" applyFont="1"/>
    <xf numFmtId="0" fontId="0" fillId="4" borderId="28" xfId="0" applyFill="1" applyBorder="1" applyAlignment="1"/>
    <xf numFmtId="0" fontId="0" fillId="4" borderId="5" xfId="0" applyFill="1" applyBorder="1" applyAlignment="1"/>
    <xf numFmtId="0" fontId="3" fillId="0" borderId="0" xfId="0" applyFont="1"/>
    <xf numFmtId="9" fontId="0" fillId="0" borderId="0" xfId="1" applyFont="1"/>
    <xf numFmtId="0" fontId="3" fillId="0" borderId="0" xfId="0" applyFont="1" applyBorder="1"/>
    <xf numFmtId="9" fontId="0" fillId="0" borderId="0" xfId="0" applyNumberFormat="1"/>
    <xf numFmtId="0" fontId="0" fillId="0" borderId="0" xfId="0" applyFill="1" applyBorder="1"/>
    <xf numFmtId="10" fontId="0" fillId="0" borderId="0" xfId="0" applyNumberFormat="1"/>
    <xf numFmtId="0" fontId="0" fillId="0" borderId="0" xfId="0" applyFill="1"/>
    <xf numFmtId="10" fontId="0" fillId="0" borderId="0" xfId="0" quotePrefix="1" applyNumberFormat="1"/>
    <xf numFmtId="0" fontId="8" fillId="0" borderId="0" xfId="3" applyFont="1" applyFill="1" applyBorder="1" applyAlignment="1">
      <alignment wrapText="1"/>
    </xf>
    <xf numFmtId="0" fontId="8" fillId="0" borderId="0" xfId="2" applyFont="1" applyFill="1" applyBorder="1" applyAlignment="1"/>
    <xf numFmtId="2" fontId="8" fillId="0" borderId="66" xfId="4" applyNumberFormat="1" applyFont="1" applyFill="1" applyBorder="1" applyAlignment="1">
      <alignment horizontal="right" wrapText="1"/>
    </xf>
    <xf numFmtId="0" fontId="0" fillId="0" borderId="0" xfId="0" applyNumberFormat="1"/>
    <xf numFmtId="0" fontId="8" fillId="0" borderId="0" xfId="2" applyFont="1" applyFill="1" applyBorder="1" applyAlignment="1">
      <alignment wrapText="1"/>
    </xf>
    <xf numFmtId="0" fontId="8" fillId="0" borderId="3" xfId="5" applyFont="1" applyFill="1" applyBorder="1" applyAlignment="1">
      <alignment horizontal="left" wrapText="1"/>
    </xf>
    <xf numFmtId="0" fontId="8" fillId="0" borderId="3" xfId="5" applyFont="1" applyFill="1" applyBorder="1" applyAlignment="1">
      <alignment horizontal="right" wrapText="1"/>
    </xf>
    <xf numFmtId="2" fontId="8" fillId="0" borderId="0" xfId="4" applyNumberFormat="1" applyFont="1" applyFill="1" applyBorder="1" applyAlignment="1">
      <alignment horizontal="right" wrapText="1"/>
    </xf>
    <xf numFmtId="0" fontId="1" fillId="0" borderId="0" xfId="0" applyFont="1" applyBorder="1"/>
    <xf numFmtId="0" fontId="12" fillId="0" borderId="0" xfId="0" applyFont="1" applyBorder="1"/>
    <xf numFmtId="0" fontId="0" fillId="0" borderId="7" xfId="0" applyBorder="1"/>
    <xf numFmtId="0" fontId="0" fillId="0" borderId="29" xfId="0" applyBorder="1"/>
    <xf numFmtId="0" fontId="1" fillId="0" borderId="6" xfId="0" applyFont="1" applyBorder="1"/>
    <xf numFmtId="0" fontId="1" fillId="0" borderId="29" xfId="0" applyFont="1" applyBorder="1"/>
    <xf numFmtId="0" fontId="0" fillId="11" borderId="0" xfId="0" applyFill="1"/>
    <xf numFmtId="0" fontId="0" fillId="12" borderId="0" xfId="0" applyFill="1"/>
    <xf numFmtId="0" fontId="1" fillId="0" borderId="0" xfId="0" applyFont="1" applyFill="1" applyBorder="1"/>
    <xf numFmtId="0" fontId="0" fillId="0" borderId="28" xfId="0" applyFill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 wrapText="1"/>
    </xf>
    <xf numFmtId="164" fontId="0" fillId="0" borderId="67" xfId="0" applyNumberFormat="1" applyFill="1" applyBorder="1" applyAlignment="1">
      <alignment horizontal="center" vertical="center" wrapText="1"/>
    </xf>
    <xf numFmtId="0" fontId="0" fillId="0" borderId="0" xfId="0"/>
    <xf numFmtId="0" fontId="8" fillId="0" borderId="68" xfId="5" applyFont="1" applyFill="1" applyBorder="1" applyAlignment="1">
      <alignment horizontal="right" wrapText="1"/>
    </xf>
    <xf numFmtId="0" fontId="8" fillId="0" borderId="69" xfId="2" applyFont="1" applyFill="1" applyBorder="1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/>
    <xf numFmtId="0" fontId="1" fillId="13" borderId="0" xfId="0" applyFont="1" applyFill="1"/>
    <xf numFmtId="2" fontId="13" fillId="0" borderId="71" xfId="0" applyNumberFormat="1" applyFont="1" applyFill="1" applyBorder="1" applyAlignment="1" applyProtection="1">
      <alignment horizontal="right" vertical="center" wrapText="1"/>
    </xf>
    <xf numFmtId="1" fontId="13" fillId="0" borderId="70" xfId="0" applyNumberFormat="1" applyFont="1" applyFill="1" applyBorder="1" applyAlignment="1" applyProtection="1">
      <alignment horizontal="right" vertical="center" wrapText="1"/>
    </xf>
    <xf numFmtId="166" fontId="0" fillId="0" borderId="0" xfId="0" applyNumberFormat="1"/>
    <xf numFmtId="0" fontId="8" fillId="0" borderId="69" xfId="3" applyFont="1" applyFill="1" applyBorder="1" applyAlignment="1">
      <alignment wrapText="1"/>
    </xf>
    <xf numFmtId="165" fontId="0" fillId="0" borderId="0" xfId="0" applyNumberFormat="1" applyFill="1" applyBorder="1"/>
    <xf numFmtId="0" fontId="0" fillId="9" borderId="0" xfId="0" applyFill="1"/>
    <xf numFmtId="2" fontId="13" fillId="0" borderId="70" xfId="0" applyNumberFormat="1" applyFont="1" applyFill="1" applyBorder="1" applyAlignment="1" applyProtection="1">
      <alignment horizontal="right" vertical="center" wrapText="1"/>
    </xf>
    <xf numFmtId="1" fontId="13" fillId="0" borderId="71" xfId="0" applyNumberFormat="1" applyFont="1" applyFill="1" applyBorder="1" applyAlignment="1" applyProtection="1">
      <alignment horizontal="right" vertical="center" wrapText="1"/>
    </xf>
    <xf numFmtId="1" fontId="13" fillId="0" borderId="0" xfId="0" applyNumberFormat="1" applyFont="1" applyFill="1" applyBorder="1" applyAlignment="1" applyProtection="1">
      <alignment horizontal="right" vertical="center" wrapText="1"/>
    </xf>
    <xf numFmtId="2" fontId="8" fillId="0" borderId="72" xfId="4" applyNumberFormat="1" applyFont="1" applyFill="1" applyBorder="1" applyAlignment="1">
      <alignment horizontal="right" wrapText="1"/>
    </xf>
    <xf numFmtId="2" fontId="8" fillId="0" borderId="73" xfId="4" applyNumberFormat="1" applyFont="1" applyFill="1" applyBorder="1" applyAlignment="1">
      <alignment horizontal="righ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57" xfId="0" applyFill="1" applyBorder="1" applyAlignment="1">
      <alignment horizontal="center"/>
    </xf>
    <xf numFmtId="0" fontId="0" fillId="6" borderId="56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0" fillId="9" borderId="36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45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5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" fillId="9" borderId="2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7" borderId="15" xfId="0" applyFont="1" applyFill="1" applyBorder="1" applyAlignment="1">
      <alignment horizontal="center" textRotation="90"/>
    </xf>
    <xf numFmtId="0" fontId="1" fillId="7" borderId="17" xfId="0" applyFont="1" applyFill="1" applyBorder="1" applyAlignment="1">
      <alignment horizontal="center" textRotation="90"/>
    </xf>
    <xf numFmtId="0" fontId="1" fillId="7" borderId="9" xfId="0" applyFont="1" applyFill="1" applyBorder="1" applyAlignment="1">
      <alignment horizontal="center" textRotation="90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textRotation="90"/>
    </xf>
    <xf numFmtId="0" fontId="1" fillId="5" borderId="17" xfId="0" applyFont="1" applyFill="1" applyBorder="1" applyAlignment="1">
      <alignment horizontal="center" textRotation="90"/>
    </xf>
    <xf numFmtId="0" fontId="1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textRotation="90"/>
    </xf>
    <xf numFmtId="0" fontId="1" fillId="7" borderId="13" xfId="0" applyFont="1" applyFill="1" applyBorder="1" applyAlignment="1">
      <alignment horizontal="center" textRotation="90"/>
    </xf>
    <xf numFmtId="0" fontId="1" fillId="7" borderId="23" xfId="0" applyFont="1" applyFill="1" applyBorder="1" applyAlignment="1">
      <alignment horizontal="center" textRotation="90"/>
    </xf>
    <xf numFmtId="0" fontId="0" fillId="3" borderId="5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0" fillId="6" borderId="51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" fillId="2" borderId="15" xfId="0" applyFont="1" applyFill="1" applyBorder="1" applyAlignment="1">
      <alignment horizontal="center" textRotation="90" wrapText="1"/>
    </xf>
    <xf numFmtId="0" fontId="1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36" xfId="0" quotePrefix="1" applyFill="1" applyBorder="1" applyAlignment="1">
      <alignment horizontal="center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50" xfId="0" applyFill="1" applyBorder="1" applyAlignment="1">
      <alignment horizontal="left" wrapText="1"/>
    </xf>
    <xf numFmtId="0" fontId="0" fillId="3" borderId="34" xfId="0" quotePrefix="1" applyFill="1" applyBorder="1" applyAlignment="1">
      <alignment horizontal="center"/>
    </xf>
    <xf numFmtId="0" fontId="0" fillId="3" borderId="35" xfId="0" quotePrefix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0" fillId="3" borderId="60" xfId="0" quotePrefix="1" applyFill="1" applyBorder="1" applyAlignment="1">
      <alignment horizontal="center"/>
    </xf>
    <xf numFmtId="0" fontId="0" fillId="3" borderId="61" xfId="0" quotePrefix="1" applyFill="1" applyBorder="1" applyAlignment="1">
      <alignment horizontal="center"/>
    </xf>
    <xf numFmtId="0" fontId="0" fillId="3" borderId="26" xfId="0" quotePrefix="1" applyFill="1" applyBorder="1" applyAlignment="1">
      <alignment horizontal="center"/>
    </xf>
    <xf numFmtId="0" fontId="0" fillId="3" borderId="64" xfId="0" quotePrefix="1" applyFill="1" applyBorder="1" applyAlignment="1">
      <alignment horizontal="center"/>
    </xf>
    <xf numFmtId="0" fontId="0" fillId="3" borderId="10" xfId="0" quotePrefix="1" applyFill="1" applyBorder="1" applyAlignment="1">
      <alignment horizontal="center"/>
    </xf>
    <xf numFmtId="0" fontId="0" fillId="3" borderId="65" xfId="0" quotePrefix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Prozent" xfId="1" builtinId="5"/>
    <cellStyle name="Standard" xfId="0" builtinId="0"/>
    <cellStyle name="Standard_arable-legume" xfId="5"/>
    <cellStyle name="Standard_Input data crop_1" xfId="4"/>
    <cellStyle name="Standard_Tabelle1" xfId="2"/>
    <cellStyle name="Standard_Tabelle1_1" xfId="3"/>
  </cellStyles>
  <dxfs count="0"/>
  <tableStyles count="0" defaultTableStyle="TableStyleMedium2" defaultPivotStyle="PivotStyleLight16"/>
  <colors>
    <mruColors>
      <color rgb="FFCCCCFF"/>
      <color rgb="FFCC99FF"/>
      <color rgb="FFCC9900"/>
      <color rgb="FF996600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433917</xdr:colOff>
      <xdr:row>4</xdr:row>
      <xdr:rowOff>163286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24831524" cy="925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In the following four sheets please fill in information on crop rotations and crop production activities for all selected crops. </a:t>
          </a:r>
        </a:p>
        <a:p>
          <a:r>
            <a:rPr lang="de-DE" sz="1200" b="1"/>
            <a:t>Please provide at least three rotation examples, one without legumes that represents current farming and a minimum of two alternatives with legumes. The length of the rotation can vary and</a:t>
          </a:r>
          <a:r>
            <a:rPr lang="de-DE" sz="1200" b="1" baseline="0"/>
            <a:t> should at least have three years</a:t>
          </a:r>
          <a:r>
            <a:rPr lang="de-DE" sz="1200" b="1"/>
            <a:t>.</a:t>
          </a:r>
        </a:p>
        <a:p>
          <a:r>
            <a:rPr lang="de-DE" sz="1200" b="1"/>
            <a:t>To simplify the completion</a:t>
          </a:r>
          <a:r>
            <a:rPr lang="de-DE" sz="1200" b="1" baseline="0"/>
            <a:t> for you, an example with winter rape is provided in the first sheet.</a:t>
          </a:r>
          <a:endParaRPr lang="de-DE" sz="1200" b="1"/>
        </a:p>
        <a:p>
          <a:r>
            <a:rPr lang="de-DE" sz="1200" b="1"/>
            <a:t>Please</a:t>
          </a:r>
          <a:r>
            <a:rPr lang="de-DE" sz="1200" b="1" baseline="0"/>
            <a:t> use in terms of price and costs values of the years indicated in the first sheet.</a:t>
          </a:r>
          <a:endParaRPr lang="de-DE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12033248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I1" sqref="I1:J1"/>
    </sheetView>
  </sheetViews>
  <sheetFormatPr baseColWidth="10" defaultColWidth="11.42578125" defaultRowHeight="15" x14ac:dyDescent="0.25"/>
  <cols>
    <col min="1" max="1" width="22.28515625" style="5" bestFit="1" customWidth="1"/>
    <col min="2" max="2" width="11.42578125" style="5"/>
    <col min="3" max="3" width="13.140625" style="5" bestFit="1" customWidth="1"/>
    <col min="4" max="4" width="11.42578125" style="5"/>
    <col min="5" max="5" width="12.5703125" style="5" bestFit="1" customWidth="1"/>
    <col min="6" max="6" width="13.140625" style="5" bestFit="1" customWidth="1"/>
    <col min="7" max="10" width="11.42578125" style="5"/>
    <col min="11" max="11" width="0" style="5" hidden="1" customWidth="1"/>
    <col min="12" max="13" width="11.42578125" style="5"/>
    <col min="14" max="14" width="0" style="5" hidden="1" customWidth="1"/>
    <col min="15" max="16" width="11.42578125" style="5"/>
    <col min="17" max="17" width="13.5703125" style="5" bestFit="1" customWidth="1"/>
    <col min="18" max="18" width="13.5703125" style="217" customWidth="1"/>
    <col min="19" max="19" width="11.5703125" style="5" bestFit="1" customWidth="1"/>
    <col min="20" max="16384" width="11.42578125" style="5"/>
  </cols>
  <sheetData>
    <row r="1" spans="1:19" ht="76.5" x14ac:dyDescent="0.35"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  <c r="G1" s="201" t="s">
        <v>523</v>
      </c>
      <c r="H1" s="201" t="s">
        <v>339</v>
      </c>
      <c r="I1" s="202" t="s">
        <v>340</v>
      </c>
      <c r="J1" s="202" t="s">
        <v>341</v>
      </c>
      <c r="K1" s="202" t="s">
        <v>345</v>
      </c>
      <c r="L1" s="202" t="s">
        <v>342</v>
      </c>
      <c r="M1" s="202" t="s">
        <v>343</v>
      </c>
      <c r="N1" s="202" t="s">
        <v>344</v>
      </c>
      <c r="O1" s="202" t="s">
        <v>346</v>
      </c>
      <c r="P1" s="202" t="s">
        <v>355</v>
      </c>
      <c r="Q1" s="202" t="s">
        <v>352</v>
      </c>
      <c r="R1" s="218" t="s">
        <v>470</v>
      </c>
      <c r="S1" s="202" t="s">
        <v>347</v>
      </c>
    </row>
    <row r="2" spans="1:19" x14ac:dyDescent="0.25">
      <c r="A2" s="5" t="s">
        <v>312</v>
      </c>
      <c r="B2" s="36" t="s">
        <v>77</v>
      </c>
      <c r="C2" s="36" t="s">
        <v>154</v>
      </c>
      <c r="D2" s="36" t="s">
        <v>155</v>
      </c>
      <c r="E2" s="36" t="s">
        <v>156</v>
      </c>
      <c r="F2" s="36" t="s">
        <v>154</v>
      </c>
      <c r="G2" s="221">
        <f>GM!B19</f>
        <v>819.16280000000006</v>
      </c>
      <c r="H2" s="221">
        <f>G2</f>
        <v>819.16280000000006</v>
      </c>
      <c r="I2" s="221">
        <f>G2-(0.15*K2)</f>
        <v>682.9296164000001</v>
      </c>
      <c r="J2" s="221">
        <f>G2-(0.05*K2)</f>
        <v>773.75173880000011</v>
      </c>
      <c r="K2" s="221">
        <f>N2*5.62</f>
        <v>908.22122400000001</v>
      </c>
      <c r="L2" s="221">
        <f>'NO3'!K8</f>
        <v>44.2069526044898</v>
      </c>
      <c r="M2" s="221">
        <f>'N fertilizer'!B30</f>
        <v>173.6052</v>
      </c>
      <c r="N2" s="221">
        <f>'N fertilizer'!B32</f>
        <v>161.6052</v>
      </c>
      <c r="O2" s="95">
        <f>'N2O calculations'!A31/5</f>
        <v>5.7535969898776091</v>
      </c>
      <c r="P2" s="191">
        <f>'Data for yield stability'!R37</f>
        <v>7.4222886477002703E-2</v>
      </c>
      <c r="Q2" s="221">
        <f>'Protein &amp; Energy Output'!C16</f>
        <v>707.12299999999993</v>
      </c>
      <c r="R2" s="221">
        <f>'Protein &amp; Energy Output'!C22</f>
        <v>111.01329999999999</v>
      </c>
      <c r="S2" s="169">
        <f>'Crop Diversity'!E16</f>
        <v>0.50040242353818787</v>
      </c>
    </row>
    <row r="3" spans="1:19" x14ac:dyDescent="0.25">
      <c r="A3" s="5" t="s">
        <v>313</v>
      </c>
      <c r="B3" s="36" t="s">
        <v>77</v>
      </c>
      <c r="C3" s="36" t="s">
        <v>154</v>
      </c>
      <c r="D3" s="36" t="s">
        <v>155</v>
      </c>
      <c r="E3" s="36" t="s">
        <v>314</v>
      </c>
      <c r="F3" s="36" t="s">
        <v>154</v>
      </c>
      <c r="G3" s="221">
        <f>GM!I19</f>
        <v>820.33529999999996</v>
      </c>
      <c r="H3" s="221">
        <f>GM!I21</f>
        <v>851.93529999999987</v>
      </c>
      <c r="I3" s="221">
        <f>G3-(0.15*K3)</f>
        <v>718.41053039999997</v>
      </c>
      <c r="J3" s="221">
        <f>G3-(0.05*K3)</f>
        <v>786.36037679999993</v>
      </c>
      <c r="K3" s="221">
        <f>N3*5.62</f>
        <v>679.4984639999999</v>
      </c>
      <c r="L3" s="221">
        <f>'NO3'!K15</f>
        <v>33.455032739504034</v>
      </c>
      <c r="M3" s="221">
        <f>'N fertilizer'!I30</f>
        <v>120.90719999999999</v>
      </c>
      <c r="N3" s="221">
        <f>M3</f>
        <v>120.90719999999999</v>
      </c>
      <c r="O3" s="95">
        <f>'N2O calculations'!H31/5</f>
        <v>4.4113164976859007</v>
      </c>
      <c r="P3" s="191">
        <f>'Data for yield stability'!R38</f>
        <v>8.4357451238387351E-2</v>
      </c>
      <c r="Q3" s="221">
        <f>'Protein &amp; Energy Output'!I16</f>
        <v>775.0447999999999</v>
      </c>
      <c r="R3" s="221">
        <f>'Protein &amp; Energy Output'!I22</f>
        <v>107.79594</v>
      </c>
      <c r="S3" s="169">
        <f>'Crop Diversity'!E22</f>
        <v>0.95027053923323468</v>
      </c>
    </row>
    <row r="4" spans="1:19" x14ac:dyDescent="0.25">
      <c r="A4" s="5" t="s">
        <v>315</v>
      </c>
      <c r="B4" s="190" t="s">
        <v>77</v>
      </c>
      <c r="C4" s="190" t="s">
        <v>154</v>
      </c>
      <c r="D4" s="190" t="s">
        <v>155</v>
      </c>
      <c r="E4" s="190" t="s">
        <v>316</v>
      </c>
      <c r="F4" s="36" t="s">
        <v>156</v>
      </c>
      <c r="G4" s="221">
        <f>GM!P19</f>
        <v>830.58500000000004</v>
      </c>
      <c r="H4" s="221">
        <f>GM!P21</f>
        <v>869.58500000000004</v>
      </c>
      <c r="I4" s="221">
        <f>G4-(0.15*K4)</f>
        <v>732.74203640000007</v>
      </c>
      <c r="J4" s="221">
        <f>G4-(0.05*K4)</f>
        <v>797.97067880000009</v>
      </c>
      <c r="K4" s="221">
        <f>N4*5.62</f>
        <v>652.2864239999999</v>
      </c>
      <c r="L4" s="221">
        <f>'NO3'!K22</f>
        <v>31.905543315900264</v>
      </c>
      <c r="M4" s="221">
        <f>'N fertilizer'!P30</f>
        <v>128.06519999999998</v>
      </c>
      <c r="N4" s="221">
        <f>'N fertilizer'!P32</f>
        <v>116.06519999999998</v>
      </c>
      <c r="O4" s="95">
        <f>'N2O calculations'!O31/5</f>
        <v>4.3196815310907652</v>
      </c>
      <c r="P4" s="191">
        <f>'Data for yield stability'!R39</f>
        <v>9.0556877325390014E-2</v>
      </c>
      <c r="Q4" s="221">
        <f>'Protein &amp; Energy Output'!C32</f>
        <v>820.42431999999985</v>
      </c>
      <c r="R4" s="221">
        <f>'Protein &amp; Energy Output'!C38</f>
        <v>104.54711599999999</v>
      </c>
      <c r="S4" s="169">
        <f>'Crop Diversity'!E29</f>
        <v>0.95027053923323468</v>
      </c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C33" sqref="C33"/>
    </sheetView>
  </sheetViews>
  <sheetFormatPr baseColWidth="10" defaultColWidth="11.42578125" defaultRowHeight="15" x14ac:dyDescent="0.25"/>
  <cols>
    <col min="1" max="1" width="23.42578125" style="5" customWidth="1"/>
    <col min="2" max="14" width="11.42578125" style="5"/>
    <col min="15" max="15" width="16.140625" style="5" customWidth="1"/>
    <col min="16" max="16" width="21.140625" style="5" customWidth="1"/>
    <col min="17" max="17" width="22" style="5" bestFit="1" customWidth="1"/>
    <col min="18" max="16384" width="11.42578125" style="5"/>
  </cols>
  <sheetData>
    <row r="1" spans="1:20" x14ac:dyDescent="0.25"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  <c r="O1" s="6" t="s">
        <v>398</v>
      </c>
      <c r="P1" s="6" t="s">
        <v>471</v>
      </c>
      <c r="Q1" s="6" t="s">
        <v>472</v>
      </c>
      <c r="R1" s="6"/>
      <c r="S1" s="6" t="s">
        <v>398</v>
      </c>
      <c r="T1" s="183" t="s">
        <v>376</v>
      </c>
    </row>
    <row r="2" spans="1:20" x14ac:dyDescent="0.25">
      <c r="A2" s="5" t="s">
        <v>312</v>
      </c>
      <c r="B2" s="36" t="s">
        <v>77</v>
      </c>
      <c r="C2" s="36" t="s">
        <v>154</v>
      </c>
      <c r="D2" s="36" t="s">
        <v>155</v>
      </c>
      <c r="E2" s="36" t="s">
        <v>156</v>
      </c>
      <c r="F2" s="36" t="s">
        <v>154</v>
      </c>
      <c r="O2" s="219" t="s">
        <v>473</v>
      </c>
      <c r="P2" s="225">
        <v>0.10299999999999999</v>
      </c>
      <c r="Q2" s="192">
        <v>18</v>
      </c>
      <c r="R2" s="192"/>
      <c r="S2" s="184" t="s">
        <v>377</v>
      </c>
      <c r="T2" s="40">
        <v>0.85</v>
      </c>
    </row>
    <row r="3" spans="1:20" x14ac:dyDescent="0.25">
      <c r="A3" s="5" t="s">
        <v>313</v>
      </c>
      <c r="B3" s="36" t="s">
        <v>77</v>
      </c>
      <c r="C3" s="36" t="s">
        <v>154</v>
      </c>
      <c r="D3" s="36" t="s">
        <v>155</v>
      </c>
      <c r="E3" s="36" t="s">
        <v>314</v>
      </c>
      <c r="F3" s="36" t="s">
        <v>154</v>
      </c>
      <c r="O3" s="226" t="s">
        <v>474</v>
      </c>
      <c r="P3" s="225">
        <v>0.11700000000000001</v>
      </c>
      <c r="Q3" s="217">
        <v>18.100000000000001</v>
      </c>
      <c r="R3" s="217"/>
      <c r="S3" s="217" t="s">
        <v>378</v>
      </c>
      <c r="T3" s="217">
        <v>0.88</v>
      </c>
    </row>
    <row r="4" spans="1:20" x14ac:dyDescent="0.25">
      <c r="A4" s="5" t="s">
        <v>315</v>
      </c>
      <c r="B4" s="190" t="s">
        <v>77</v>
      </c>
      <c r="C4" s="190" t="s">
        <v>154</v>
      </c>
      <c r="D4" s="190" t="s">
        <v>155</v>
      </c>
      <c r="E4" s="190" t="s">
        <v>316</v>
      </c>
      <c r="F4" s="36" t="s">
        <v>156</v>
      </c>
      <c r="O4" s="196" t="s">
        <v>351</v>
      </c>
      <c r="P4" s="225">
        <v>0.126</v>
      </c>
      <c r="Q4" s="217">
        <v>18.2</v>
      </c>
      <c r="R4" s="217"/>
      <c r="S4" s="217" t="s">
        <v>379</v>
      </c>
      <c r="T4" s="217">
        <v>0.89</v>
      </c>
    </row>
    <row r="5" spans="1:20" x14ac:dyDescent="0.25">
      <c r="O5" s="196" t="s">
        <v>381</v>
      </c>
      <c r="P5" s="225">
        <v>0.11799999999999999</v>
      </c>
      <c r="Q5" s="192">
        <v>18.399999999999999</v>
      </c>
      <c r="R5" s="217"/>
      <c r="S5" s="217" t="s">
        <v>380</v>
      </c>
      <c r="T5" s="217">
        <v>0.89</v>
      </c>
    </row>
    <row r="6" spans="1:20" x14ac:dyDescent="0.25">
      <c r="O6" s="219" t="s">
        <v>316</v>
      </c>
      <c r="P6" s="225">
        <v>0.28999999999999998</v>
      </c>
      <c r="Q6" s="192">
        <v>18.7</v>
      </c>
      <c r="R6" s="192"/>
      <c r="S6" s="217" t="s">
        <v>381</v>
      </c>
      <c r="T6" s="217">
        <v>0.89</v>
      </c>
    </row>
    <row r="7" spans="1:20" x14ac:dyDescent="0.25">
      <c r="O7" s="217" t="s">
        <v>475</v>
      </c>
      <c r="P7" s="225">
        <v>0.20899999999999999</v>
      </c>
      <c r="Q7" s="217">
        <v>28.8</v>
      </c>
      <c r="R7" s="217"/>
      <c r="S7" s="217" t="s">
        <v>382</v>
      </c>
      <c r="T7" s="217">
        <v>0.89</v>
      </c>
    </row>
    <row r="8" spans="1:20" x14ac:dyDescent="0.25">
      <c r="O8" s="217" t="s">
        <v>476</v>
      </c>
      <c r="P8" s="225">
        <v>0.33700000000000002</v>
      </c>
      <c r="Q8" s="192">
        <v>20.3</v>
      </c>
      <c r="R8" s="192"/>
      <c r="S8" s="217" t="s">
        <v>383</v>
      </c>
      <c r="T8" s="217">
        <v>0.87</v>
      </c>
    </row>
    <row r="9" spans="1:20" x14ac:dyDescent="0.25">
      <c r="B9" s="36" t="s">
        <v>77</v>
      </c>
      <c r="C9" s="36" t="s">
        <v>154</v>
      </c>
      <c r="D9" s="36" t="s">
        <v>155</v>
      </c>
      <c r="E9" s="36" t="s">
        <v>156</v>
      </c>
      <c r="F9" s="36" t="s">
        <v>154</v>
      </c>
      <c r="H9" s="36" t="s">
        <v>77</v>
      </c>
      <c r="I9" s="36" t="s">
        <v>154</v>
      </c>
      <c r="J9" s="36" t="s">
        <v>155</v>
      </c>
      <c r="K9" s="36" t="s">
        <v>314</v>
      </c>
      <c r="L9" s="36" t="s">
        <v>154</v>
      </c>
      <c r="O9" s="217" t="s">
        <v>477</v>
      </c>
      <c r="P9" s="225">
        <v>0.23899999999999999</v>
      </c>
      <c r="Q9" s="192">
        <v>18.3</v>
      </c>
      <c r="R9" s="217"/>
      <c r="S9" s="217" t="s">
        <v>384</v>
      </c>
      <c r="T9" s="217">
        <v>0.88</v>
      </c>
    </row>
    <row r="10" spans="1:20" x14ac:dyDescent="0.25">
      <c r="A10" s="217" t="s">
        <v>495</v>
      </c>
      <c r="B10" s="5">
        <v>3.7</v>
      </c>
      <c r="C10" s="5">
        <v>7.5</v>
      </c>
      <c r="D10" s="5">
        <v>7.5</v>
      </c>
      <c r="E10" s="5">
        <v>5.5</v>
      </c>
      <c r="F10" s="5">
        <v>7.5</v>
      </c>
      <c r="H10" s="5">
        <v>3.7</v>
      </c>
      <c r="I10" s="5">
        <v>7.5</v>
      </c>
      <c r="J10" s="5">
        <v>7.5</v>
      </c>
      <c r="K10" s="5">
        <v>4</v>
      </c>
      <c r="L10" s="5">
        <v>7.95</v>
      </c>
      <c r="M10" s="198"/>
      <c r="O10" s="217" t="s">
        <v>478</v>
      </c>
      <c r="P10" s="225">
        <v>0.11</v>
      </c>
      <c r="Q10" s="192">
        <v>19.5</v>
      </c>
      <c r="R10" s="192"/>
      <c r="S10" s="217" t="s">
        <v>385</v>
      </c>
      <c r="T10" s="217">
        <v>0.89</v>
      </c>
    </row>
    <row r="11" spans="1:20" x14ac:dyDescent="0.25">
      <c r="A11" s="217" t="s">
        <v>348</v>
      </c>
      <c r="B11" s="220">
        <v>0.85</v>
      </c>
      <c r="C11" s="193">
        <v>0.88</v>
      </c>
      <c r="D11" s="193">
        <v>0.89</v>
      </c>
      <c r="E11" s="193">
        <v>0.89</v>
      </c>
      <c r="F11" s="193">
        <v>0.89</v>
      </c>
      <c r="G11" s="193"/>
      <c r="H11" s="220">
        <v>0.85</v>
      </c>
      <c r="I11" s="193">
        <v>0.88</v>
      </c>
      <c r="J11" s="193">
        <v>0.89</v>
      </c>
      <c r="K11" s="193">
        <v>0.91</v>
      </c>
      <c r="L11" s="193">
        <v>0.89</v>
      </c>
      <c r="M11" s="203"/>
      <c r="O11" s="219" t="s">
        <v>479</v>
      </c>
      <c r="P11" s="225">
        <v>0.08</v>
      </c>
      <c r="Q11" s="95">
        <v>18.899999999999999</v>
      </c>
      <c r="R11" s="192"/>
      <c r="S11" s="217" t="s">
        <v>386</v>
      </c>
      <c r="T11" s="169">
        <v>0.9</v>
      </c>
    </row>
    <row r="12" spans="1:20" x14ac:dyDescent="0.25">
      <c r="A12" s="217" t="s">
        <v>496</v>
      </c>
      <c r="B12" s="5">
        <f>B10*B11</f>
        <v>3.145</v>
      </c>
      <c r="C12" s="5">
        <f>C10*C11</f>
        <v>6.6</v>
      </c>
      <c r="D12" s="5">
        <f>D10*D11</f>
        <v>6.6749999999999998</v>
      </c>
      <c r="E12" s="5">
        <f t="shared" ref="E12:F12" si="0">E10*E11</f>
        <v>4.8950000000000005</v>
      </c>
      <c r="F12" s="5">
        <f t="shared" si="0"/>
        <v>6.6749999999999998</v>
      </c>
      <c r="H12" s="5">
        <f>H10*H11</f>
        <v>3.145</v>
      </c>
      <c r="I12" s="5">
        <f>I10*I11</f>
        <v>6.6</v>
      </c>
      <c r="J12" s="5">
        <f t="shared" ref="J12" si="1">J10*J11</f>
        <v>6.6749999999999998</v>
      </c>
      <c r="K12" s="5">
        <f>K10*K11</f>
        <v>3.64</v>
      </c>
      <c r="L12" s="5">
        <f t="shared" ref="L12" si="2">L10*L11</f>
        <v>7.0754999999999999</v>
      </c>
      <c r="M12" s="203"/>
      <c r="O12" s="219" t="s">
        <v>480</v>
      </c>
      <c r="P12" s="225">
        <v>0.191</v>
      </c>
      <c r="Q12" s="217">
        <v>18.2</v>
      </c>
      <c r="R12" s="217"/>
      <c r="S12" s="217" t="s">
        <v>387</v>
      </c>
      <c r="T12" s="217">
        <v>0.89</v>
      </c>
    </row>
    <row r="13" spans="1:20" x14ac:dyDescent="0.25">
      <c r="A13" s="217" t="s">
        <v>471</v>
      </c>
      <c r="B13" s="193">
        <v>0.20899999999999999</v>
      </c>
      <c r="C13" s="193">
        <v>0.11799999999999999</v>
      </c>
      <c r="D13" s="193">
        <v>0.11</v>
      </c>
      <c r="E13" s="193">
        <v>0.11799999999999999</v>
      </c>
      <c r="F13" s="193">
        <v>0.11799999999999999</v>
      </c>
      <c r="G13" s="193"/>
      <c r="H13" s="193">
        <v>0.20899999999999999</v>
      </c>
      <c r="I13" s="193">
        <v>0.11799999999999999</v>
      </c>
      <c r="J13" s="193">
        <v>0.11</v>
      </c>
      <c r="K13" s="193">
        <v>0.23899999999999999</v>
      </c>
      <c r="L13" s="193">
        <v>0.11799999999999999</v>
      </c>
      <c r="M13" s="193"/>
      <c r="O13" s="200" t="s">
        <v>431</v>
      </c>
      <c r="P13" s="225">
        <v>0.39600000000000002</v>
      </c>
      <c r="Q13" s="192">
        <v>23.6</v>
      </c>
      <c r="R13" s="217"/>
      <c r="S13" s="217" t="s">
        <v>388</v>
      </c>
      <c r="T13" s="217">
        <v>0.91</v>
      </c>
    </row>
    <row r="14" spans="1:20" x14ac:dyDescent="0.25">
      <c r="A14" s="217" t="s">
        <v>497</v>
      </c>
      <c r="B14" s="199">
        <f>B12*B13</f>
        <v>0.65730500000000003</v>
      </c>
      <c r="C14" s="199">
        <f t="shared" ref="C14:F14" si="3">C12*C13</f>
        <v>0.77879999999999994</v>
      </c>
      <c r="D14" s="199">
        <f t="shared" si="3"/>
        <v>0.73424999999999996</v>
      </c>
      <c r="E14" s="199">
        <f t="shared" si="3"/>
        <v>0.57761000000000007</v>
      </c>
      <c r="F14" s="199">
        <f t="shared" si="3"/>
        <v>0.78764999999999996</v>
      </c>
      <c r="H14" s="199">
        <f>H12*H13</f>
        <v>0.65730500000000003</v>
      </c>
      <c r="I14" s="199">
        <f t="shared" ref="I14" si="4">I12*I13</f>
        <v>0.77879999999999994</v>
      </c>
      <c r="J14" s="199">
        <f t="shared" ref="J14" si="5">J12*J13</f>
        <v>0.73424999999999996</v>
      </c>
      <c r="K14" s="199">
        <f t="shared" ref="K14" si="6">K12*K13</f>
        <v>0.86995999999999996</v>
      </c>
      <c r="L14" s="199">
        <f t="shared" ref="L14" si="7">L12*L13</f>
        <v>0.8349089999999999</v>
      </c>
      <c r="O14" s="217" t="s">
        <v>481</v>
      </c>
      <c r="P14" s="225">
        <v>9.4E-2</v>
      </c>
      <c r="Q14" s="217">
        <v>18.7</v>
      </c>
      <c r="R14" s="192"/>
      <c r="S14" s="217" t="s">
        <v>389</v>
      </c>
      <c r="T14" s="217">
        <v>0.91</v>
      </c>
    </row>
    <row r="15" spans="1:20" x14ac:dyDescent="0.25">
      <c r="A15" s="217"/>
      <c r="M15" s="193"/>
      <c r="O15" s="200" t="s">
        <v>413</v>
      </c>
      <c r="P15" s="225">
        <v>0.16600000000000001</v>
      </c>
      <c r="Q15" s="217">
        <v>28.7</v>
      </c>
      <c r="R15" s="217"/>
      <c r="S15" s="217" t="s">
        <v>390</v>
      </c>
      <c r="T15" s="217">
        <v>0.22</v>
      </c>
    </row>
    <row r="16" spans="1:20" x14ac:dyDescent="0.25">
      <c r="A16" s="217" t="s">
        <v>498</v>
      </c>
      <c r="C16" s="221">
        <f>AVERAGE(B14:F14)*1000</f>
        <v>707.12299999999993</v>
      </c>
      <c r="D16" s="221"/>
      <c r="E16" s="221"/>
      <c r="F16" s="221"/>
      <c r="G16" s="221"/>
      <c r="H16" s="221"/>
      <c r="I16" s="221">
        <f>AVERAGE(H14:L14)*1000</f>
        <v>775.0447999999999</v>
      </c>
      <c r="O16" s="197" t="s">
        <v>482</v>
      </c>
      <c r="P16" s="225">
        <v>0.248</v>
      </c>
      <c r="Q16" s="217">
        <v>18.600000000000001</v>
      </c>
      <c r="R16" s="217"/>
      <c r="S16" s="217" t="s">
        <v>391</v>
      </c>
      <c r="T16" s="217">
        <v>0.94</v>
      </c>
    </row>
    <row r="17" spans="1:20" x14ac:dyDescent="0.25">
      <c r="A17" s="217"/>
      <c r="O17" s="217" t="s">
        <v>483</v>
      </c>
      <c r="P17" s="225">
        <v>0.17699999999999999</v>
      </c>
      <c r="Q17" s="217">
        <v>18.5</v>
      </c>
      <c r="R17" s="192"/>
      <c r="S17" s="217" t="s">
        <v>392</v>
      </c>
      <c r="T17" s="217">
        <v>0.9</v>
      </c>
    </row>
    <row r="18" spans="1:20" s="217" customFormat="1" x14ac:dyDescent="0.25">
      <c r="O18" s="217" t="s">
        <v>484</v>
      </c>
      <c r="P18" s="225">
        <v>7.8E-2</v>
      </c>
      <c r="Q18" s="217">
        <v>16.899999999999999</v>
      </c>
      <c r="S18" s="217" t="s">
        <v>393</v>
      </c>
      <c r="T18" s="217">
        <v>0.9</v>
      </c>
    </row>
    <row r="19" spans="1:20" s="217" customFormat="1" x14ac:dyDescent="0.25">
      <c r="A19" s="217" t="s">
        <v>472</v>
      </c>
      <c r="B19" s="192">
        <v>28.8</v>
      </c>
      <c r="C19" s="217">
        <v>18.399999999999999</v>
      </c>
      <c r="D19" s="192">
        <v>19.5</v>
      </c>
      <c r="E19" s="217">
        <v>18.399999999999999</v>
      </c>
      <c r="F19" s="217">
        <v>18.399999999999999</v>
      </c>
      <c r="H19" s="192">
        <v>28.8</v>
      </c>
      <c r="I19" s="217">
        <v>18.399999999999999</v>
      </c>
      <c r="J19" s="192">
        <v>19.5</v>
      </c>
      <c r="K19" s="217">
        <v>18.3</v>
      </c>
      <c r="L19" s="217">
        <v>18.399999999999999</v>
      </c>
      <c r="O19" s="217" t="s">
        <v>485</v>
      </c>
      <c r="P19" s="225">
        <v>0.189</v>
      </c>
      <c r="Q19" s="217">
        <v>18.899999999999999</v>
      </c>
      <c r="S19" s="217" t="s">
        <v>394</v>
      </c>
      <c r="T19" s="217">
        <v>0.9</v>
      </c>
    </row>
    <row r="20" spans="1:20" s="217" customFormat="1" x14ac:dyDescent="0.25">
      <c r="A20" s="217" t="s">
        <v>470</v>
      </c>
      <c r="B20" s="217">
        <f>B19*B12</f>
        <v>90.576000000000008</v>
      </c>
      <c r="C20" s="217">
        <f t="shared" ref="C20:F20" si="8">C19*C12</f>
        <v>121.43999999999998</v>
      </c>
      <c r="D20" s="217">
        <f t="shared" si="8"/>
        <v>130.16249999999999</v>
      </c>
      <c r="E20" s="217">
        <f t="shared" si="8"/>
        <v>90.067999999999998</v>
      </c>
      <c r="F20" s="217">
        <f t="shared" si="8"/>
        <v>122.82</v>
      </c>
      <c r="H20" s="217">
        <f>H19*H12</f>
        <v>90.576000000000008</v>
      </c>
      <c r="I20" s="217">
        <f t="shared" ref="I20" si="9">I19*I12</f>
        <v>121.43999999999998</v>
      </c>
      <c r="J20" s="217">
        <f t="shared" ref="J20" si="10">J19*J12</f>
        <v>130.16249999999999</v>
      </c>
      <c r="K20" s="217">
        <f t="shared" ref="K20" si="11">K19*K12</f>
        <v>66.612000000000009</v>
      </c>
      <c r="L20" s="217">
        <f t="shared" ref="L20" si="12">L19*L12</f>
        <v>130.1892</v>
      </c>
      <c r="O20" s="217" t="s">
        <v>486</v>
      </c>
      <c r="P20" s="225">
        <v>0.16200000000000001</v>
      </c>
      <c r="Q20" s="217">
        <v>18.7</v>
      </c>
      <c r="S20" s="217" t="s">
        <v>396</v>
      </c>
      <c r="T20" s="217">
        <v>0.9</v>
      </c>
    </row>
    <row r="21" spans="1:20" s="217" customFormat="1" x14ac:dyDescent="0.25">
      <c r="O21" s="217" t="s">
        <v>487</v>
      </c>
      <c r="P21" s="225">
        <v>0.10199999999999999</v>
      </c>
      <c r="Q21" s="217">
        <v>17.7</v>
      </c>
      <c r="S21" s="217" t="s">
        <v>395</v>
      </c>
      <c r="T21" s="217">
        <v>0.9</v>
      </c>
    </row>
    <row r="22" spans="1:20" s="217" customFormat="1" x14ac:dyDescent="0.25">
      <c r="A22" s="217" t="s">
        <v>499</v>
      </c>
      <c r="C22" s="169">
        <f>AVERAGE(B20:F20)</f>
        <v>111.01329999999999</v>
      </c>
      <c r="D22" s="169"/>
      <c r="E22" s="169"/>
      <c r="F22" s="169"/>
      <c r="G22" s="169"/>
      <c r="H22" s="169"/>
      <c r="I22" s="169">
        <f>AVERAGE(H20:L20)</f>
        <v>107.79594</v>
      </c>
      <c r="O22" s="217" t="s">
        <v>488</v>
      </c>
      <c r="P22" s="225">
        <v>0.14699999999999999</v>
      </c>
      <c r="Q22" s="95">
        <v>18.18</v>
      </c>
      <c r="S22" s="217" t="s">
        <v>397</v>
      </c>
      <c r="T22" s="217">
        <v>0.9</v>
      </c>
    </row>
    <row r="23" spans="1:20" x14ac:dyDescent="0.25">
      <c r="C23" s="169"/>
      <c r="D23" s="169"/>
      <c r="E23" s="169"/>
      <c r="F23" s="169"/>
      <c r="G23" s="169"/>
      <c r="H23" s="169"/>
      <c r="I23" s="169"/>
      <c r="O23" s="217" t="s">
        <v>489</v>
      </c>
      <c r="P23" s="225">
        <v>0.11</v>
      </c>
      <c r="Q23" s="217">
        <v>17.899999999999999</v>
      </c>
      <c r="R23" s="217"/>
      <c r="S23" s="217"/>
      <c r="T23" s="217"/>
    </row>
    <row r="24" spans="1:20" x14ac:dyDescent="0.25">
      <c r="O24" s="226" t="s">
        <v>490</v>
      </c>
      <c r="P24" s="225">
        <v>0.17280000000000001</v>
      </c>
      <c r="Q24" s="227">
        <v>18.78</v>
      </c>
      <c r="R24" s="217"/>
      <c r="S24" s="217" t="s">
        <v>491</v>
      </c>
      <c r="T24" s="217"/>
    </row>
    <row r="25" spans="1:20" x14ac:dyDescent="0.25">
      <c r="B25" s="190" t="s">
        <v>77</v>
      </c>
      <c r="C25" s="190" t="s">
        <v>154</v>
      </c>
      <c r="D25" s="190" t="s">
        <v>155</v>
      </c>
      <c r="E25" s="190" t="s">
        <v>316</v>
      </c>
      <c r="F25" s="36" t="s">
        <v>156</v>
      </c>
      <c r="O25" s="217"/>
      <c r="P25" s="217"/>
      <c r="Q25" s="217"/>
      <c r="R25" s="217"/>
      <c r="S25" s="217"/>
      <c r="T25" s="217"/>
    </row>
    <row r="26" spans="1:20" x14ac:dyDescent="0.25">
      <c r="A26" s="217" t="s">
        <v>495</v>
      </c>
      <c r="B26" s="5">
        <v>3.7</v>
      </c>
      <c r="C26" s="5">
        <v>7.5</v>
      </c>
      <c r="D26" s="5">
        <v>7.5</v>
      </c>
      <c r="E26" s="5">
        <v>5</v>
      </c>
      <c r="F26" s="5">
        <v>5.83</v>
      </c>
      <c r="O26" s="192" t="s">
        <v>492</v>
      </c>
      <c r="P26" s="217" t="s">
        <v>493</v>
      </c>
      <c r="Q26" s="217"/>
      <c r="R26" s="217"/>
      <c r="S26" s="217"/>
      <c r="T26" s="217"/>
    </row>
    <row r="27" spans="1:20" x14ac:dyDescent="0.25">
      <c r="A27" s="217" t="s">
        <v>348</v>
      </c>
      <c r="B27" s="220">
        <v>0.85</v>
      </c>
      <c r="C27" s="193">
        <v>0.88</v>
      </c>
      <c r="D27" s="193">
        <v>0.89</v>
      </c>
      <c r="E27" s="193">
        <v>0.91</v>
      </c>
      <c r="F27" s="193">
        <v>0.89</v>
      </c>
      <c r="O27" s="217"/>
      <c r="P27" s="217" t="s">
        <v>494</v>
      </c>
      <c r="Q27" s="217"/>
      <c r="R27" s="217"/>
      <c r="S27" s="217"/>
      <c r="T27" s="217"/>
    </row>
    <row r="28" spans="1:20" x14ac:dyDescent="0.25">
      <c r="A28" s="217" t="s">
        <v>496</v>
      </c>
      <c r="B28" s="5">
        <f>B26*B27</f>
        <v>3.145</v>
      </c>
      <c r="C28" s="5">
        <f t="shared" ref="C28" si="13">C26*C27</f>
        <v>6.6</v>
      </c>
      <c r="D28" s="5">
        <f t="shared" ref="D28" si="14">D26*D27</f>
        <v>6.6749999999999998</v>
      </c>
      <c r="E28" s="5">
        <f t="shared" ref="E28" si="15">E26*E27</f>
        <v>4.55</v>
      </c>
      <c r="F28" s="5">
        <f t="shared" ref="F28" si="16">F26*F27</f>
        <v>5.1886999999999999</v>
      </c>
    </row>
    <row r="29" spans="1:20" x14ac:dyDescent="0.25">
      <c r="A29" s="217" t="s">
        <v>471</v>
      </c>
      <c r="B29" s="193">
        <v>0.20899999999999999</v>
      </c>
      <c r="C29" s="193">
        <v>0.11799999999999999</v>
      </c>
      <c r="D29" s="193">
        <v>0.11</v>
      </c>
      <c r="E29" s="193">
        <v>0.28999999999999998</v>
      </c>
      <c r="F29" s="193">
        <v>0.11799999999999999</v>
      </c>
    </row>
    <row r="30" spans="1:20" x14ac:dyDescent="0.25">
      <c r="A30" s="217" t="s">
        <v>497</v>
      </c>
      <c r="B30" s="199">
        <f>B28*B29</f>
        <v>0.65730500000000003</v>
      </c>
      <c r="C30" s="199">
        <f t="shared" ref="C30" si="17">C28*C29</f>
        <v>0.77879999999999994</v>
      </c>
      <c r="D30" s="199">
        <f t="shared" ref="D30" si="18">D28*D29</f>
        <v>0.73424999999999996</v>
      </c>
      <c r="E30" s="199">
        <f t="shared" ref="E30" si="19">E28*E29</f>
        <v>1.3194999999999999</v>
      </c>
      <c r="F30" s="199">
        <f t="shared" ref="F30" si="20">F28*F29</f>
        <v>0.61226659999999999</v>
      </c>
    </row>
    <row r="31" spans="1:20" x14ac:dyDescent="0.25">
      <c r="A31" s="217"/>
    </row>
    <row r="32" spans="1:20" x14ac:dyDescent="0.25">
      <c r="A32" s="217" t="s">
        <v>498</v>
      </c>
      <c r="C32" s="221">
        <f>AVERAGE(B30:F30)*1000</f>
        <v>820.42431999999985</v>
      </c>
    </row>
    <row r="33" spans="1:6" x14ac:dyDescent="0.25">
      <c r="A33" s="217"/>
    </row>
    <row r="34" spans="1:6" x14ac:dyDescent="0.25">
      <c r="A34" s="217"/>
    </row>
    <row r="35" spans="1:6" x14ac:dyDescent="0.25">
      <c r="A35" s="217" t="s">
        <v>472</v>
      </c>
      <c r="B35" s="192">
        <v>28.8</v>
      </c>
      <c r="C35" s="217">
        <v>18.399999999999999</v>
      </c>
      <c r="D35" s="192">
        <v>19.5</v>
      </c>
      <c r="E35" s="217">
        <v>18.7</v>
      </c>
      <c r="F35" s="217">
        <v>18.399999999999999</v>
      </c>
    </row>
    <row r="36" spans="1:6" x14ac:dyDescent="0.25">
      <c r="A36" s="217" t="s">
        <v>470</v>
      </c>
      <c r="B36" s="217">
        <f>B35*B28</f>
        <v>90.576000000000008</v>
      </c>
      <c r="C36" s="217">
        <f t="shared" ref="C36" si="21">C35*C28</f>
        <v>121.43999999999998</v>
      </c>
      <c r="D36" s="217">
        <f t="shared" ref="D36" si="22">D35*D28</f>
        <v>130.16249999999999</v>
      </c>
      <c r="E36" s="217">
        <f t="shared" ref="E36" si="23">E35*E28</f>
        <v>85.084999999999994</v>
      </c>
      <c r="F36" s="217">
        <f t="shared" ref="F36" si="24">F35*F28</f>
        <v>95.472079999999991</v>
      </c>
    </row>
    <row r="37" spans="1:6" x14ac:dyDescent="0.25">
      <c r="A37" s="217"/>
      <c r="B37" s="217"/>
      <c r="C37" s="217"/>
      <c r="D37" s="217"/>
      <c r="E37" s="217"/>
      <c r="F37" s="217"/>
    </row>
    <row r="38" spans="1:6" x14ac:dyDescent="0.25">
      <c r="A38" s="217" t="s">
        <v>499</v>
      </c>
      <c r="B38" s="217"/>
      <c r="C38" s="169">
        <f>AVERAGE(B36:F36)</f>
        <v>104.54711599999999</v>
      </c>
      <c r="D38" s="217"/>
      <c r="E38" s="217"/>
      <c r="F38" s="217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30" sqref="K30"/>
    </sheetView>
  </sheetViews>
  <sheetFormatPr baseColWidth="10" defaultColWidth="11.42578125" defaultRowHeight="15" x14ac:dyDescent="0.25"/>
  <cols>
    <col min="1" max="16384" width="11.42578125" style="5"/>
  </cols>
  <sheetData>
    <row r="1" spans="1:7" x14ac:dyDescent="0.25"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</row>
    <row r="2" spans="1:7" x14ac:dyDescent="0.25">
      <c r="A2" s="5" t="s">
        <v>312</v>
      </c>
      <c r="C2" s="36" t="s">
        <v>77</v>
      </c>
      <c r="D2" s="36" t="s">
        <v>154</v>
      </c>
      <c r="E2" s="36" t="s">
        <v>155</v>
      </c>
      <c r="F2" s="36" t="s">
        <v>156</v>
      </c>
      <c r="G2" s="36" t="s">
        <v>154</v>
      </c>
    </row>
    <row r="3" spans="1:7" x14ac:dyDescent="0.25">
      <c r="A3" s="5" t="s">
        <v>313</v>
      </c>
      <c r="C3" s="36" t="s">
        <v>77</v>
      </c>
      <c r="D3" s="36" t="s">
        <v>154</v>
      </c>
      <c r="E3" s="36" t="s">
        <v>155</v>
      </c>
      <c r="F3" s="36" t="s">
        <v>314</v>
      </c>
      <c r="G3" s="36" t="s">
        <v>154</v>
      </c>
    </row>
    <row r="4" spans="1:7" x14ac:dyDescent="0.25">
      <c r="A4" s="5" t="s">
        <v>315</v>
      </c>
      <c r="C4" s="190" t="s">
        <v>77</v>
      </c>
      <c r="D4" s="190" t="s">
        <v>154</v>
      </c>
      <c r="E4" s="190" t="s">
        <v>155</v>
      </c>
      <c r="F4" s="190" t="s">
        <v>316</v>
      </c>
      <c r="G4" s="36" t="s">
        <v>156</v>
      </c>
    </row>
    <row r="7" spans="1:7" ht="18" x14ac:dyDescent="0.35">
      <c r="A7" s="5" t="s">
        <v>328</v>
      </c>
      <c r="C7" s="5" t="s">
        <v>329</v>
      </c>
      <c r="E7" s="5" t="s">
        <v>330</v>
      </c>
      <c r="F7" s="5">
        <f>LN(3)</f>
        <v>1.0986122886681098</v>
      </c>
    </row>
    <row r="11" spans="1:7" ht="18" x14ac:dyDescent="0.35">
      <c r="A11" s="5" t="s">
        <v>331</v>
      </c>
      <c r="B11" s="5" t="s">
        <v>332</v>
      </c>
      <c r="C11" s="5" t="s">
        <v>333</v>
      </c>
      <c r="D11" s="5" t="s">
        <v>334</v>
      </c>
      <c r="E11" s="5" t="s">
        <v>335</v>
      </c>
    </row>
    <row r="12" spans="1:7" x14ac:dyDescent="0.25">
      <c r="A12" s="5" t="s">
        <v>319</v>
      </c>
    </row>
    <row r="13" spans="1:7" x14ac:dyDescent="0.25">
      <c r="A13" s="5" t="s">
        <v>336</v>
      </c>
      <c r="B13" s="191">
        <f>4/5</f>
        <v>0.8</v>
      </c>
      <c r="C13" s="5">
        <v>0.8</v>
      </c>
      <c r="D13" s="5">
        <f>LN(C13)</f>
        <v>-0.22314355131420971</v>
      </c>
      <c r="E13" s="5">
        <f>C13*D13</f>
        <v>-0.17851484105136778</v>
      </c>
    </row>
    <row r="14" spans="1:7" x14ac:dyDescent="0.25">
      <c r="A14" s="5" t="s">
        <v>337</v>
      </c>
      <c r="B14" s="193">
        <f>1/5</f>
        <v>0.2</v>
      </c>
      <c r="C14" s="5">
        <v>0.2</v>
      </c>
      <c r="D14" s="5">
        <f>LN(C14)</f>
        <v>-1.6094379124341003</v>
      </c>
      <c r="E14" s="5">
        <f>C14*D14</f>
        <v>-0.32188758248682009</v>
      </c>
    </row>
    <row r="15" spans="1:7" x14ac:dyDescent="0.25">
      <c r="A15" s="5" t="s">
        <v>338</v>
      </c>
      <c r="B15" s="191"/>
    </row>
    <row r="16" spans="1:7" x14ac:dyDescent="0.25">
      <c r="E16" s="5">
        <f>-(E13+E14+E15)</f>
        <v>0.50040242353818787</v>
      </c>
    </row>
    <row r="18" spans="1:5" x14ac:dyDescent="0.25">
      <c r="A18" s="5" t="s">
        <v>322</v>
      </c>
    </row>
    <row r="19" spans="1:5" x14ac:dyDescent="0.25">
      <c r="A19" s="5" t="s">
        <v>336</v>
      </c>
      <c r="B19" s="191">
        <f>3/5</f>
        <v>0.6</v>
      </c>
      <c r="C19" s="5">
        <v>0.6</v>
      </c>
      <c r="D19" s="5">
        <f>LN(C19)</f>
        <v>-0.51082562376599072</v>
      </c>
      <c r="E19" s="5">
        <f>C19*D19</f>
        <v>-0.30649537425959444</v>
      </c>
    </row>
    <row r="20" spans="1:5" x14ac:dyDescent="0.25">
      <c r="A20" s="5" t="s">
        <v>337</v>
      </c>
      <c r="B20" s="193">
        <f>1/5</f>
        <v>0.2</v>
      </c>
      <c r="C20" s="5">
        <v>0.2</v>
      </c>
      <c r="D20" s="5">
        <f>LN(C20)</f>
        <v>-1.6094379124341003</v>
      </c>
      <c r="E20" s="5">
        <f>C20*D20</f>
        <v>-0.32188758248682009</v>
      </c>
    </row>
    <row r="21" spans="1:5" x14ac:dyDescent="0.25">
      <c r="A21" s="5" t="s">
        <v>338</v>
      </c>
      <c r="B21" s="193">
        <f>1/5</f>
        <v>0.2</v>
      </c>
      <c r="C21" s="5">
        <v>0.2</v>
      </c>
      <c r="D21" s="5">
        <f>LN(C21)</f>
        <v>-1.6094379124341003</v>
      </c>
      <c r="E21" s="5">
        <f>C21*D21</f>
        <v>-0.32188758248682009</v>
      </c>
    </row>
    <row r="22" spans="1:5" x14ac:dyDescent="0.25">
      <c r="E22" s="5">
        <f>-(E19+E20+E21)</f>
        <v>0.95027053923323468</v>
      </c>
    </row>
    <row r="25" spans="1:5" x14ac:dyDescent="0.25">
      <c r="A25" s="5" t="s">
        <v>349</v>
      </c>
    </row>
    <row r="26" spans="1:5" x14ac:dyDescent="0.25">
      <c r="A26" s="5" t="s">
        <v>336</v>
      </c>
      <c r="B26" s="191">
        <f>3/5</f>
        <v>0.6</v>
      </c>
      <c r="C26" s="5">
        <v>0.6</v>
      </c>
      <c r="D26" s="5">
        <f>LN(C26)</f>
        <v>-0.51082562376599072</v>
      </c>
      <c r="E26" s="5">
        <f>C26*D26</f>
        <v>-0.30649537425959444</v>
      </c>
    </row>
    <row r="27" spans="1:5" x14ac:dyDescent="0.25">
      <c r="A27" s="5" t="s">
        <v>337</v>
      </c>
      <c r="B27" s="193">
        <f>1/5</f>
        <v>0.2</v>
      </c>
      <c r="C27" s="5">
        <v>0.2</v>
      </c>
      <c r="D27" s="5">
        <f>LN(C27)</f>
        <v>-1.6094379124341003</v>
      </c>
      <c r="E27" s="5">
        <f>C27*D27</f>
        <v>-0.32188758248682009</v>
      </c>
    </row>
    <row r="28" spans="1:5" x14ac:dyDescent="0.25">
      <c r="A28" s="5" t="s">
        <v>338</v>
      </c>
      <c r="B28" s="193">
        <f>1/5</f>
        <v>0.2</v>
      </c>
      <c r="C28" s="5">
        <v>0.2</v>
      </c>
      <c r="D28" s="5">
        <f>LN(C28)</f>
        <v>-1.6094379124341003</v>
      </c>
      <c r="E28" s="5">
        <f>C28*D28</f>
        <v>-0.32188758248682009</v>
      </c>
    </row>
    <row r="29" spans="1:5" x14ac:dyDescent="0.25">
      <c r="E29" s="5">
        <f>-(E26+E27+E28)</f>
        <v>0.95027053923323468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A13" sqref="A13:XFD13"/>
    </sheetView>
  </sheetViews>
  <sheetFormatPr baseColWidth="10" defaultColWidth="10.85546875" defaultRowHeight="15" x14ac:dyDescent="0.25"/>
  <cols>
    <col min="1" max="1" width="21.42578125" bestFit="1" customWidth="1"/>
    <col min="3" max="3" width="17.5703125" bestFit="1" customWidth="1"/>
    <col min="4" max="4" width="18.28515625" bestFit="1" customWidth="1"/>
    <col min="5" max="5" width="14.42578125" bestFit="1" customWidth="1"/>
    <col min="6" max="6" width="22.85546875" bestFit="1" customWidth="1"/>
    <col min="7" max="7" width="12.5703125" bestFit="1" customWidth="1"/>
    <col min="8" max="8" width="16.28515625" bestFit="1" customWidth="1"/>
    <col min="10" max="10" width="19" bestFit="1" customWidth="1"/>
    <col min="11" max="11" width="17.28515625" bestFit="1" customWidth="1"/>
  </cols>
  <sheetData>
    <row r="1" spans="1:20" x14ac:dyDescent="0.25">
      <c r="B1" s="222" t="s">
        <v>461</v>
      </c>
      <c r="C1" s="222" t="s">
        <v>462</v>
      </c>
      <c r="D1" s="222" t="s">
        <v>463</v>
      </c>
      <c r="E1" s="222" t="s">
        <v>464</v>
      </c>
      <c r="F1" s="222" t="s">
        <v>465</v>
      </c>
      <c r="G1" s="222" t="s">
        <v>466</v>
      </c>
      <c r="H1" s="222" t="s">
        <v>467</v>
      </c>
      <c r="I1" s="222" t="s">
        <v>522</v>
      </c>
      <c r="J1" s="222" t="s">
        <v>469</v>
      </c>
      <c r="K1" s="222" t="s">
        <v>468</v>
      </c>
    </row>
    <row r="2" spans="1:20" x14ac:dyDescent="0.25">
      <c r="A2" s="6" t="s">
        <v>319</v>
      </c>
    </row>
    <row r="3" spans="1:20" x14ac:dyDescent="0.25">
      <c r="A3" s="36" t="s">
        <v>77</v>
      </c>
      <c r="B3" s="217">
        <v>3.7</v>
      </c>
      <c r="C3" s="224">
        <v>230.25046399999999</v>
      </c>
      <c r="D3" s="221">
        <v>0</v>
      </c>
      <c r="E3" s="224">
        <v>230.15</v>
      </c>
      <c r="F3" s="224">
        <v>69.698571428571398</v>
      </c>
      <c r="G3" s="224">
        <v>170.26919000000001</v>
      </c>
      <c r="H3" s="224">
        <v>129.579381428571</v>
      </c>
      <c r="I3" s="230">
        <v>0</v>
      </c>
      <c r="J3" s="223">
        <v>1</v>
      </c>
      <c r="K3" s="224">
        <v>72.749567002040806</v>
      </c>
    </row>
    <row r="4" spans="1:20" x14ac:dyDescent="0.25">
      <c r="A4" s="36" t="s">
        <v>154</v>
      </c>
      <c r="B4" s="217">
        <v>7.5</v>
      </c>
      <c r="C4" s="224">
        <v>163.88</v>
      </c>
      <c r="D4" s="221">
        <v>0</v>
      </c>
      <c r="E4" s="224">
        <v>165.85112000000001</v>
      </c>
      <c r="F4" s="224">
        <v>75.506785714285698</v>
      </c>
      <c r="G4" s="224">
        <v>149.44499999999999</v>
      </c>
      <c r="H4" s="224">
        <v>47.061785714285698</v>
      </c>
      <c r="I4" s="230">
        <v>0</v>
      </c>
      <c r="J4" s="223">
        <v>1</v>
      </c>
      <c r="K4" s="224">
        <v>26.421831122448999</v>
      </c>
    </row>
    <row r="5" spans="1:20" x14ac:dyDescent="0.25">
      <c r="A5" s="36" t="s">
        <v>155</v>
      </c>
      <c r="B5" s="217">
        <v>7.5</v>
      </c>
      <c r="C5" s="224">
        <v>120.75</v>
      </c>
      <c r="D5" s="221">
        <v>0</v>
      </c>
      <c r="E5" s="224">
        <v>122.23694</v>
      </c>
      <c r="F5" s="224">
        <v>58.082142857142898</v>
      </c>
      <c r="G5" s="224">
        <v>126.93600000000001</v>
      </c>
      <c r="H5" s="224">
        <v>51.896142857142799</v>
      </c>
      <c r="I5" s="230">
        <v>0</v>
      </c>
      <c r="J5" s="223">
        <v>1</v>
      </c>
      <c r="K5" s="224">
        <v>29.135977346938802</v>
      </c>
    </row>
    <row r="6" spans="1:20" x14ac:dyDescent="0.25">
      <c r="A6" s="36" t="s">
        <v>156</v>
      </c>
      <c r="B6" s="217">
        <v>5.5</v>
      </c>
      <c r="C6" s="224">
        <v>129.38</v>
      </c>
      <c r="D6" s="221">
        <v>60</v>
      </c>
      <c r="E6" s="224">
        <v>191.52655999999999</v>
      </c>
      <c r="F6" s="224">
        <v>58.082142857142898</v>
      </c>
      <c r="G6" s="224">
        <v>112.816</v>
      </c>
      <c r="H6" s="224">
        <v>92.646142857142905</v>
      </c>
      <c r="I6" s="230">
        <v>0</v>
      </c>
      <c r="J6" s="223">
        <v>1</v>
      </c>
      <c r="K6" s="224">
        <v>52.014191632653102</v>
      </c>
      <c r="L6" s="36"/>
    </row>
    <row r="7" spans="1:20" x14ac:dyDescent="0.25">
      <c r="A7" s="36" t="s">
        <v>154</v>
      </c>
      <c r="B7" s="217">
        <v>7.5</v>
      </c>
      <c r="C7" s="224">
        <v>163.88</v>
      </c>
      <c r="D7" s="221">
        <v>0</v>
      </c>
      <c r="E7" s="224">
        <v>165.85112000000001</v>
      </c>
      <c r="F7" s="224">
        <v>58.082142857142898</v>
      </c>
      <c r="G7" s="224">
        <v>149.44499999999999</v>
      </c>
      <c r="H7" s="224">
        <v>72.5171428571429</v>
      </c>
      <c r="I7" s="230">
        <v>0</v>
      </c>
      <c r="J7" s="223">
        <v>1</v>
      </c>
      <c r="K7" s="224">
        <v>40.713195918367298</v>
      </c>
      <c r="L7" s="217"/>
      <c r="M7" s="217"/>
      <c r="N7" s="217"/>
      <c r="O7" s="217"/>
      <c r="P7" s="217"/>
      <c r="Q7" s="217"/>
      <c r="R7" s="217"/>
      <c r="S7" s="217"/>
      <c r="T7" s="217"/>
    </row>
    <row r="8" spans="1:20" x14ac:dyDescent="0.25">
      <c r="C8" s="221"/>
      <c r="D8" s="221"/>
      <c r="E8" s="221"/>
      <c r="F8" s="221"/>
      <c r="G8" s="221"/>
      <c r="H8" s="221"/>
      <c r="I8" s="190"/>
      <c r="J8" s="190"/>
      <c r="K8" s="221">
        <f>AVERAGE(K3:K7)</f>
        <v>44.2069526044898</v>
      </c>
      <c r="L8" s="36"/>
    </row>
    <row r="9" spans="1:20" x14ac:dyDescent="0.25">
      <c r="A9" s="6" t="s">
        <v>322</v>
      </c>
      <c r="C9" s="221"/>
      <c r="D9" s="221"/>
      <c r="E9" s="221"/>
      <c r="F9" s="221"/>
      <c r="G9" s="221"/>
      <c r="H9" s="221"/>
      <c r="K9" s="221"/>
    </row>
    <row r="10" spans="1:20" x14ac:dyDescent="0.25">
      <c r="A10" s="36" t="s">
        <v>77</v>
      </c>
      <c r="B10" s="217">
        <v>3.7</v>
      </c>
      <c r="C10" s="224">
        <v>230.25046399999999</v>
      </c>
      <c r="D10" s="221">
        <v>0</v>
      </c>
      <c r="E10" s="224">
        <v>230.15</v>
      </c>
      <c r="F10" s="224">
        <v>69.698571428571398</v>
      </c>
      <c r="G10" s="224">
        <v>170.26919000000001</v>
      </c>
      <c r="H10" s="224">
        <v>129.579381428571</v>
      </c>
      <c r="I10" s="231">
        <v>0</v>
      </c>
      <c r="J10" s="223">
        <v>1</v>
      </c>
      <c r="K10" s="224">
        <v>72.749567002040806</v>
      </c>
    </row>
    <row r="11" spans="1:20" x14ac:dyDescent="0.25">
      <c r="A11" s="36" t="s">
        <v>154</v>
      </c>
      <c r="B11" s="217">
        <v>7.5</v>
      </c>
      <c r="C11" s="224">
        <v>163.88</v>
      </c>
      <c r="D11" s="221">
        <v>0</v>
      </c>
      <c r="E11" s="224">
        <v>165.85112000000001</v>
      </c>
      <c r="F11" s="224">
        <v>75.506785714285698</v>
      </c>
      <c r="G11" s="224">
        <v>149.44499999999999</v>
      </c>
      <c r="H11" s="224">
        <v>47.061785714285698</v>
      </c>
      <c r="I11" s="231">
        <v>0</v>
      </c>
      <c r="J11" s="223">
        <v>1</v>
      </c>
      <c r="K11" s="224">
        <v>26.421831122448999</v>
      </c>
    </row>
    <row r="12" spans="1:20" x14ac:dyDescent="0.25">
      <c r="A12" s="36" t="s">
        <v>155</v>
      </c>
      <c r="B12" s="217">
        <v>7.5</v>
      </c>
      <c r="C12" s="224">
        <v>120.75</v>
      </c>
      <c r="D12" s="221">
        <v>0</v>
      </c>
      <c r="E12" s="224">
        <v>122.23694</v>
      </c>
      <c r="F12" s="224">
        <v>58.082142857142898</v>
      </c>
      <c r="G12" s="224">
        <v>126.93600000000001</v>
      </c>
      <c r="H12" s="224">
        <v>51.896142857142799</v>
      </c>
      <c r="I12" s="231">
        <v>0</v>
      </c>
      <c r="J12" s="223">
        <v>1</v>
      </c>
      <c r="K12" s="224">
        <v>29.135977346938802</v>
      </c>
    </row>
    <row r="13" spans="1:20" x14ac:dyDescent="0.25">
      <c r="A13" s="36" t="s">
        <v>314</v>
      </c>
      <c r="B13" s="217">
        <v>4</v>
      </c>
      <c r="C13" s="224">
        <v>20.759999999999998</v>
      </c>
      <c r="D13" s="221">
        <v>0</v>
      </c>
      <c r="E13" s="224">
        <v>210.88666388019499</v>
      </c>
      <c r="F13" s="224">
        <v>63.890357142857098</v>
      </c>
      <c r="G13" s="224">
        <v>53.337168663086501</v>
      </c>
      <c r="H13" s="224">
        <v>31.313188479770599</v>
      </c>
      <c r="I13" s="224">
        <v>182.91986388019501</v>
      </c>
      <c r="J13" s="223">
        <v>1</v>
      </c>
      <c r="K13" s="224">
        <v>17.580118675071201</v>
      </c>
    </row>
    <row r="14" spans="1:20" x14ac:dyDescent="0.25">
      <c r="A14" s="36" t="s">
        <v>154</v>
      </c>
      <c r="B14" s="217">
        <v>7.95</v>
      </c>
      <c r="C14" s="224">
        <v>69</v>
      </c>
      <c r="D14" s="221">
        <v>0</v>
      </c>
      <c r="E14" s="224">
        <v>70.971119999999999</v>
      </c>
      <c r="F14" s="224">
        <v>75.506785714285698</v>
      </c>
      <c r="G14" s="224">
        <v>158.4117</v>
      </c>
      <c r="H14" s="224">
        <v>38.095085714285702</v>
      </c>
      <c r="I14" s="231">
        <v>0</v>
      </c>
      <c r="J14" s="223">
        <v>1</v>
      </c>
      <c r="K14" s="224">
        <v>21.387669551020402</v>
      </c>
    </row>
    <row r="15" spans="1:20" x14ac:dyDescent="0.25">
      <c r="C15" s="221"/>
      <c r="D15" s="221"/>
      <c r="E15" s="221"/>
      <c r="F15" s="221"/>
      <c r="G15" s="221"/>
      <c r="H15" s="221"/>
      <c r="K15" s="221">
        <f>AVERAGE(K10:K14)</f>
        <v>33.455032739504034</v>
      </c>
    </row>
    <row r="16" spans="1:20" x14ac:dyDescent="0.25">
      <c r="A16" s="6" t="s">
        <v>349</v>
      </c>
      <c r="C16" s="221"/>
      <c r="D16" s="221"/>
      <c r="E16" s="221"/>
      <c r="F16" s="221"/>
      <c r="G16" s="221"/>
      <c r="H16" s="221"/>
      <c r="K16" s="221"/>
    </row>
    <row r="17" spans="1:11" x14ac:dyDescent="0.25">
      <c r="A17" s="190" t="s">
        <v>77</v>
      </c>
      <c r="B17" s="217">
        <v>3.7</v>
      </c>
      <c r="C17" s="224">
        <v>230.25046399999999</v>
      </c>
      <c r="D17" s="221">
        <v>0</v>
      </c>
      <c r="E17" s="224">
        <v>230.15</v>
      </c>
      <c r="F17" s="224">
        <v>69.698571428571398</v>
      </c>
      <c r="G17" s="224">
        <v>170.26919000000001</v>
      </c>
      <c r="H17" s="224">
        <v>129.579381428571</v>
      </c>
      <c r="I17" s="231">
        <v>0</v>
      </c>
      <c r="J17" s="223">
        <v>1</v>
      </c>
      <c r="K17" s="224">
        <v>72.749567002040806</v>
      </c>
    </row>
    <row r="18" spans="1:11" x14ac:dyDescent="0.25">
      <c r="A18" s="190" t="s">
        <v>154</v>
      </c>
      <c r="B18" s="217">
        <v>7.5</v>
      </c>
      <c r="C18" s="224">
        <v>163.88</v>
      </c>
      <c r="D18" s="221">
        <v>0</v>
      </c>
      <c r="E18" s="224">
        <v>165.85112000000001</v>
      </c>
      <c r="F18" s="224">
        <v>75.506785714285698</v>
      </c>
      <c r="G18" s="224">
        <v>149.44499999999999</v>
      </c>
      <c r="H18" s="224">
        <v>47.061785714285698</v>
      </c>
      <c r="I18" s="231">
        <v>0</v>
      </c>
      <c r="J18" s="223">
        <v>1</v>
      </c>
      <c r="K18" s="224">
        <v>26.421831122448999</v>
      </c>
    </row>
    <row r="19" spans="1:11" x14ac:dyDescent="0.25">
      <c r="A19" s="190" t="s">
        <v>155</v>
      </c>
      <c r="B19" s="217">
        <v>7.5</v>
      </c>
      <c r="C19" s="224">
        <v>120.75</v>
      </c>
      <c r="D19" s="221">
        <v>0</v>
      </c>
      <c r="E19" s="224">
        <v>122.23694</v>
      </c>
      <c r="F19" s="224">
        <v>58.082142857142898</v>
      </c>
      <c r="G19" s="224">
        <v>126.93600000000001</v>
      </c>
      <c r="H19" s="224">
        <v>51.896142857142799</v>
      </c>
      <c r="I19" s="231">
        <v>0</v>
      </c>
      <c r="J19" s="223">
        <v>1</v>
      </c>
      <c r="K19" s="224">
        <v>29.135977346938802</v>
      </c>
    </row>
    <row r="20" spans="1:11" x14ac:dyDescent="0.25">
      <c r="A20" s="190" t="s">
        <v>316</v>
      </c>
      <c r="B20" s="217">
        <v>5</v>
      </c>
      <c r="C20" s="224">
        <v>0</v>
      </c>
      <c r="D20" s="221">
        <v>0</v>
      </c>
      <c r="E20" s="224">
        <v>281.81363616321403</v>
      </c>
      <c r="F20" s="224">
        <v>63.890357142857098</v>
      </c>
      <c r="G20" s="224">
        <v>47.703432791873503</v>
      </c>
      <c r="H20" s="224">
        <v>16.186924350983599</v>
      </c>
      <c r="I20" s="224">
        <v>263.273427756606</v>
      </c>
      <c r="J20" s="223">
        <v>1</v>
      </c>
      <c r="K20" s="224">
        <v>9.0878018141950907</v>
      </c>
    </row>
    <row r="21" spans="1:11" x14ac:dyDescent="0.25">
      <c r="A21" s="36" t="s">
        <v>156</v>
      </c>
      <c r="B21" s="217">
        <v>5.83</v>
      </c>
      <c r="C21" s="224">
        <v>65.5</v>
      </c>
      <c r="D21" s="221">
        <v>60</v>
      </c>
      <c r="E21" s="224">
        <v>127.64655999999999</v>
      </c>
      <c r="F21" s="224">
        <v>75.506785714285698</v>
      </c>
      <c r="G21" s="224">
        <v>119.58496</v>
      </c>
      <c r="H21" s="224">
        <v>39.421825714285703</v>
      </c>
      <c r="I21" s="224">
        <v>0</v>
      </c>
      <c r="J21" s="223">
        <v>1</v>
      </c>
      <c r="K21" s="224">
        <v>22.132539293877599</v>
      </c>
    </row>
    <row r="22" spans="1:11" x14ac:dyDescent="0.25">
      <c r="C22" s="221"/>
      <c r="D22" s="221"/>
      <c r="E22" s="221"/>
      <c r="F22" s="221"/>
      <c r="G22" s="221"/>
      <c r="H22" s="221"/>
      <c r="I22" s="229"/>
      <c r="K22" s="221">
        <f>AVERAGE(K17:K21)</f>
        <v>31.905543315900264</v>
      </c>
    </row>
    <row r="23" spans="1:11" x14ac:dyDescent="0.25">
      <c r="C23" s="221"/>
      <c r="D23" s="221"/>
      <c r="E23" s="221"/>
      <c r="F23" s="221"/>
      <c r="G23" s="221"/>
      <c r="H23" s="221"/>
      <c r="K23" s="221"/>
    </row>
    <row r="24" spans="1:11" x14ac:dyDescent="0.25">
      <c r="C24" s="221"/>
      <c r="D24" s="221"/>
      <c r="E24" s="221"/>
      <c r="F24" s="221"/>
      <c r="G24" s="221"/>
      <c r="H24" s="221"/>
      <c r="K24" s="221"/>
    </row>
    <row r="25" spans="1:11" x14ac:dyDescent="0.25">
      <c r="A25" s="6" t="s">
        <v>524</v>
      </c>
      <c r="B25" s="217"/>
      <c r="C25" s="217"/>
      <c r="D25" s="217"/>
      <c r="E25" s="217"/>
      <c r="F25" s="217"/>
      <c r="G25" s="217"/>
      <c r="H25" s="217"/>
      <c r="K25" s="221"/>
    </row>
    <row r="26" spans="1:11" x14ac:dyDescent="0.25">
      <c r="A26" s="217"/>
      <c r="B26" s="217"/>
      <c r="C26" s="217"/>
      <c r="D26" s="217"/>
      <c r="E26" s="217"/>
      <c r="F26" s="217"/>
      <c r="G26" s="217"/>
      <c r="H26" s="217"/>
    </row>
    <row r="27" spans="1:11" x14ac:dyDescent="0.25">
      <c r="A27" s="217" t="s">
        <v>525</v>
      </c>
      <c r="B27" s="217"/>
      <c r="C27" s="217"/>
      <c r="D27" s="217"/>
      <c r="E27" s="217"/>
      <c r="F27" s="217"/>
      <c r="G27" s="217"/>
      <c r="H27" s="217"/>
    </row>
    <row r="28" spans="1:11" x14ac:dyDescent="0.25">
      <c r="A28" s="217"/>
      <c r="B28" s="217"/>
      <c r="C28" s="217"/>
      <c r="D28" s="217"/>
      <c r="E28" s="217"/>
      <c r="F28" s="217"/>
      <c r="G28" s="217"/>
      <c r="H28" s="217"/>
    </row>
    <row r="29" spans="1:11" x14ac:dyDescent="0.25">
      <c r="A29" s="217" t="s">
        <v>526</v>
      </c>
      <c r="B29" s="217"/>
      <c r="C29" s="217"/>
      <c r="D29" s="26" t="s">
        <v>527</v>
      </c>
      <c r="E29" s="217"/>
      <c r="F29" s="217"/>
      <c r="G29" s="217"/>
      <c r="H29" s="217"/>
    </row>
    <row r="30" spans="1:11" x14ac:dyDescent="0.25">
      <c r="A30" s="217"/>
      <c r="B30" s="217"/>
      <c r="C30" s="217"/>
      <c r="D30" s="217"/>
      <c r="E30" s="217"/>
      <c r="F30" s="217"/>
      <c r="G30" s="217"/>
      <c r="H30" s="217"/>
    </row>
    <row r="31" spans="1:11" x14ac:dyDescent="0.25">
      <c r="A31" s="217" t="s">
        <v>528</v>
      </c>
      <c r="B31" s="217"/>
      <c r="C31" s="217"/>
      <c r="D31" s="26" t="s">
        <v>529</v>
      </c>
      <c r="E31" s="217"/>
      <c r="F31" s="217"/>
      <c r="G31" s="217"/>
      <c r="H31" s="217"/>
    </row>
    <row r="32" spans="1:11" x14ac:dyDescent="0.25">
      <c r="A32" s="217"/>
      <c r="B32" s="217"/>
      <c r="C32" s="217"/>
      <c r="D32" s="217"/>
      <c r="E32" s="217"/>
      <c r="F32" s="217"/>
      <c r="G32" s="217"/>
      <c r="H32" s="217"/>
    </row>
    <row r="33" spans="1:8" x14ac:dyDescent="0.25">
      <c r="A33" s="217" t="s">
        <v>530</v>
      </c>
      <c r="B33" s="217"/>
      <c r="C33" s="217"/>
      <c r="D33" s="217"/>
      <c r="E33" s="217"/>
      <c r="F33" s="217"/>
      <c r="G33" s="217"/>
      <c r="H33" s="217"/>
    </row>
    <row r="34" spans="1:8" x14ac:dyDescent="0.25">
      <c r="A34" s="217" t="s">
        <v>534</v>
      </c>
      <c r="B34" s="217"/>
      <c r="C34" s="217"/>
      <c r="D34" s="26" t="s">
        <v>531</v>
      </c>
      <c r="E34" s="217"/>
      <c r="F34" s="217"/>
      <c r="G34" s="217"/>
      <c r="H34" s="217"/>
    </row>
    <row r="35" spans="1:8" x14ac:dyDescent="0.25">
      <c r="A35" s="232"/>
      <c r="B35" s="233"/>
      <c r="C35" s="233"/>
      <c r="D35" s="233"/>
      <c r="E35" s="233"/>
      <c r="F35" s="217"/>
      <c r="G35" s="217"/>
      <c r="H35" s="217"/>
    </row>
    <row r="36" spans="1:8" x14ac:dyDescent="0.25">
      <c r="A36" s="217" t="s">
        <v>532</v>
      </c>
      <c r="B36" s="217"/>
      <c r="C36" s="217"/>
      <c r="D36" s="217"/>
      <c r="E36" s="217"/>
      <c r="F36" s="217"/>
      <c r="G36" s="217"/>
      <c r="H36" s="217"/>
    </row>
    <row r="37" spans="1:8" x14ac:dyDescent="0.25">
      <c r="A37" s="217"/>
      <c r="B37" s="217"/>
      <c r="C37" s="217"/>
      <c r="D37" s="217"/>
      <c r="E37" s="217"/>
      <c r="F37" s="217"/>
      <c r="G37" s="217"/>
      <c r="H37" s="217"/>
    </row>
    <row r="38" spans="1:8" x14ac:dyDescent="0.25">
      <c r="A38" s="217"/>
      <c r="B38" s="217"/>
      <c r="C38" s="217"/>
      <c r="D38" s="217"/>
      <c r="E38" s="217"/>
      <c r="F38" s="217"/>
      <c r="G38" s="217"/>
      <c r="H38" s="217"/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5" workbookViewId="0">
      <selection activeCell="W33" sqref="W33"/>
    </sheetView>
  </sheetViews>
  <sheetFormatPr baseColWidth="10" defaultColWidth="9.140625" defaultRowHeight="15" x14ac:dyDescent="0.25"/>
  <sheetData>
    <row r="1" spans="1:20" x14ac:dyDescent="0.25">
      <c r="A1" s="5">
        <f>'N fertilizer'!A1</f>
        <v>0</v>
      </c>
      <c r="B1" s="5" t="str">
        <f>'N fertilizer'!B1</f>
        <v>Crop 1</v>
      </c>
      <c r="C1" s="5" t="str">
        <f>'N fertilizer'!C1</f>
        <v>Crop 2</v>
      </c>
      <c r="D1" s="5" t="str">
        <f>'N fertilizer'!D1</f>
        <v>Crop 3</v>
      </c>
      <c r="E1" s="5" t="str">
        <f>'N fertilizer'!E1</f>
        <v>Crop 4</v>
      </c>
      <c r="F1" s="5" t="str">
        <f>'N fertilizer'!F1</f>
        <v>Crop 5</v>
      </c>
    </row>
    <row r="2" spans="1:20" x14ac:dyDescent="0.25">
      <c r="A2" s="5" t="str">
        <f>'N fertilizer'!A2</f>
        <v xml:space="preserve">Without legumes: </v>
      </c>
      <c r="B2" s="5" t="str">
        <f>'N fertilizer'!B2</f>
        <v>Winter rape</v>
      </c>
      <c r="C2" s="5" t="str">
        <f>'N fertilizer'!C2</f>
        <v>Winter barley</v>
      </c>
      <c r="D2" s="5" t="str">
        <f>'N fertilizer'!D2</f>
        <v>Winter oat</v>
      </c>
      <c r="E2" s="5" t="str">
        <f>'N fertilizer'!E2</f>
        <v>Spring barley</v>
      </c>
      <c r="F2" s="5" t="str">
        <f>'N fertilizer'!F2</f>
        <v>Winter barley</v>
      </c>
    </row>
    <row r="3" spans="1:20" x14ac:dyDescent="0.25">
      <c r="A3" s="5" t="str">
        <f>'N fertilizer'!A3</f>
        <v xml:space="preserve">With legumes option 1: </v>
      </c>
      <c r="B3" s="5" t="str">
        <f>'N fertilizer'!B3</f>
        <v>Winter rape</v>
      </c>
      <c r="C3" s="5" t="str">
        <f>'N fertilizer'!C3</f>
        <v>Winter barley</v>
      </c>
      <c r="D3" s="5" t="str">
        <f>'N fertilizer'!D3</f>
        <v>Winter oat</v>
      </c>
      <c r="E3" s="5" t="str">
        <f>'N fertilizer'!E3</f>
        <v>Field pea</v>
      </c>
      <c r="F3" s="5" t="str">
        <f>'N fertilizer'!F3</f>
        <v>Winter barley</v>
      </c>
    </row>
    <row r="4" spans="1:20" x14ac:dyDescent="0.25">
      <c r="A4" s="5" t="str">
        <f>'N fertilizer'!A4</f>
        <v xml:space="preserve">With legumes option 2: </v>
      </c>
      <c r="B4" s="5" t="str">
        <f>'N fertilizer'!B4</f>
        <v>Winter rape</v>
      </c>
      <c r="C4" s="5" t="str">
        <f>'N fertilizer'!C4</f>
        <v>Winter barley</v>
      </c>
      <c r="D4" s="5" t="str">
        <f>'N fertilizer'!D4</f>
        <v>Winter oat</v>
      </c>
      <c r="E4" s="5" t="str">
        <f>'N fertilizer'!E4</f>
        <v>Faba bean</v>
      </c>
      <c r="F4" s="5" t="str">
        <f>'N fertilizer'!F4</f>
        <v>Spring barley</v>
      </c>
    </row>
    <row r="6" spans="1:20" x14ac:dyDescent="0.25">
      <c r="A6" s="210" t="s">
        <v>356</v>
      </c>
      <c r="B6" t="s">
        <v>357</v>
      </c>
    </row>
    <row r="7" spans="1:20" s="5" customFormat="1" x14ac:dyDescent="0.25">
      <c r="B7" s="36" t="str">
        <f>'N fertilizer'!B7</f>
        <v>Winter rape</v>
      </c>
      <c r="C7" s="36" t="str">
        <f>'N fertilizer'!C7</f>
        <v>Winter barley</v>
      </c>
      <c r="D7" s="36" t="str">
        <f>'N fertilizer'!D7</f>
        <v>Winter oat</v>
      </c>
      <c r="E7" s="36" t="str">
        <f>'N fertilizer'!E7</f>
        <v>Spring barley</v>
      </c>
      <c r="F7" s="36" t="str">
        <f>'N fertilizer'!F7</f>
        <v>Winter barley</v>
      </c>
      <c r="G7" s="36"/>
      <c r="I7" s="36" t="str">
        <f>'N fertilizer'!I7</f>
        <v>Winter rape</v>
      </c>
      <c r="J7" s="36" t="str">
        <f>'N fertilizer'!J7</f>
        <v>Winter barley</v>
      </c>
      <c r="K7" s="36" t="str">
        <f>'N fertilizer'!K7</f>
        <v>Winter oat</v>
      </c>
      <c r="L7" s="36" t="str">
        <f>'N fertilizer'!L7</f>
        <v>Field pea</v>
      </c>
      <c r="M7" s="36" t="str">
        <f>'N fertilizer'!M7</f>
        <v>Winter barley</v>
      </c>
      <c r="N7" s="36"/>
      <c r="P7" s="36" t="str">
        <f>'N fertilizer'!P7</f>
        <v>Winter rape</v>
      </c>
      <c r="Q7" s="36" t="str">
        <f>'N fertilizer'!Q7</f>
        <v>Winter barley</v>
      </c>
      <c r="R7" s="36" t="str">
        <f>'N fertilizer'!R7</f>
        <v>Winter oat</v>
      </c>
      <c r="S7" s="36" t="str">
        <f>'N fertilizer'!S7</f>
        <v>Faba bean</v>
      </c>
      <c r="T7" s="36" t="str">
        <f>'N fertilizer'!T7</f>
        <v>Spring barley</v>
      </c>
    </row>
    <row r="8" spans="1:20" s="5" customFormat="1" x14ac:dyDescent="0.25">
      <c r="A8" s="36"/>
      <c r="B8" s="204">
        <f>VLOOKUP(B7,'Mapping crops'!$A:$B,2,FALSE)</f>
        <v>1</v>
      </c>
      <c r="C8" s="204">
        <f>VLOOKUP(C7,'Mapping crops'!$A:$B,2,FALSE)</f>
        <v>5</v>
      </c>
      <c r="D8" s="204">
        <f>VLOOKUP(D7,'Mapping crops'!$A:$B,2,FALSE)</f>
        <v>6</v>
      </c>
      <c r="E8" s="204">
        <f>VLOOKUP(E7,'Mapping crops'!$A:$B,2,FALSE)</f>
        <v>5</v>
      </c>
      <c r="F8" s="204">
        <f>VLOOKUP(F7,'Mapping crops'!$A:$B,2,FALSE)</f>
        <v>5</v>
      </c>
      <c r="G8" s="6"/>
      <c r="H8" s="204"/>
      <c r="I8" s="204">
        <f>VLOOKUP(I7,'Mapping crops'!$A:$B,2,FALSE)</f>
        <v>1</v>
      </c>
      <c r="J8" s="204">
        <f>VLOOKUP(J7,'Mapping crops'!$A:$B,2,FALSE)</f>
        <v>5</v>
      </c>
      <c r="K8" s="204">
        <f>VLOOKUP(K7,'Mapping crops'!$A:$B,2,FALSE)</f>
        <v>6</v>
      </c>
      <c r="L8" s="204">
        <f>VLOOKUP(L7,'Mapping crops'!$A:$B,2,FALSE)</f>
        <v>12</v>
      </c>
      <c r="M8" s="204">
        <f>VLOOKUP(M7,'Mapping crops'!$A:$B,2,FALSE)</f>
        <v>5</v>
      </c>
      <c r="N8" s="204"/>
      <c r="O8" s="204"/>
      <c r="P8" s="204">
        <f>VLOOKUP(P7,'Mapping crops'!$A:$B,2,FALSE)</f>
        <v>1</v>
      </c>
      <c r="Q8" s="204">
        <f>VLOOKUP(Q7,'Mapping crops'!$A:$B,2,FALSE)</f>
        <v>5</v>
      </c>
      <c r="R8" s="204">
        <f>VLOOKUP(R7,'Mapping crops'!$A:$B,2,FALSE)</f>
        <v>6</v>
      </c>
      <c r="S8" s="204">
        <f>VLOOKUP(S7,'Mapping crops'!$A:$B,2,FALSE)</f>
        <v>12</v>
      </c>
      <c r="T8" s="204">
        <f>VLOOKUP(T7,'Mapping crops'!$A:$B,2,FALSE)</f>
        <v>5</v>
      </c>
    </row>
    <row r="9" spans="1:20" x14ac:dyDescent="0.25">
      <c r="A9" s="192" t="s">
        <v>362</v>
      </c>
      <c r="B9" s="5">
        <f>IF(ISBLANK('N fertilizer'!B10),0,VLOOKUP('N fertilizer'!B10,'N2O default values'!$I:$J,2,FALSE)*'N fertilizer'!B13)</f>
        <v>11.505749999999999</v>
      </c>
      <c r="C9" s="5">
        <f>IF(ISBLANK('N fertilizer'!C10),0,VLOOKUP('N fertilizer'!C10,'N2O default values'!$I:$J,2,FALSE)*'N fertilizer'!C13)</f>
        <v>8.1937499999999996</v>
      </c>
      <c r="D9" s="5">
        <f>IF(ISBLANK('N fertilizer'!D10),0,VLOOKUP('N fertilizer'!D10,'N2O default values'!$I:$J,2,FALSE)*'N fertilizer'!D13)</f>
        <v>6.0374999999999996</v>
      </c>
      <c r="E9" s="5">
        <f>IF(ISBLANK('N fertilizer'!E10),0,VLOOKUP('N fertilizer'!E10,'N2O default values'!$I:$J,2,FALSE)*'N fertilizer'!E13)</f>
        <v>6.46875</v>
      </c>
      <c r="F9" s="5">
        <f>IF(ISBLANK('N fertilizer'!F10),0,VLOOKUP('N fertilizer'!F10,'N2O default values'!$I:$J,2,FALSE)*'N fertilizer'!F13)</f>
        <v>8.1937499999999996</v>
      </c>
      <c r="H9" s="5"/>
      <c r="I9" s="5">
        <f>IF(ISBLANK('N fertilizer'!I10),0,VLOOKUP('N fertilizer'!I10,'N2O default values'!$I:$J,2,FALSE)*'N fertilizer'!I13)</f>
        <v>11.505749999999999</v>
      </c>
      <c r="J9" s="5">
        <f>IF(ISBLANK('N fertilizer'!J10),0,VLOOKUP('N fertilizer'!J10,'N2O default values'!$I:$J,2,FALSE)*'N fertilizer'!J13)</f>
        <v>8.1937499999999996</v>
      </c>
      <c r="K9" s="5">
        <f>IF(ISBLANK('N fertilizer'!K10),0,VLOOKUP('N fertilizer'!K10,'N2O default values'!$I:$J,2,FALSE)*'N fertilizer'!K13)</f>
        <v>6.0374999999999996</v>
      </c>
      <c r="L9" s="5">
        <f>IF(ISBLANK('N fertilizer'!L10),0,VLOOKUP('N fertilizer'!L10,'N2O default values'!$I:$J,2,FALSE)*'N fertilizer'!L13)</f>
        <v>1.038</v>
      </c>
      <c r="M9" s="5">
        <f>IF(ISBLANK('N fertilizer'!M10),0,VLOOKUP('N fertilizer'!M10,'N2O default values'!$I:$J,2,FALSE)*'N fertilizer'!M13)</f>
        <v>3.45</v>
      </c>
      <c r="N9" s="5"/>
      <c r="O9" s="5"/>
      <c r="P9" s="5">
        <f>IF(ISBLANK('N fertilizer'!P10),0,VLOOKUP('N fertilizer'!P10,'N2O default values'!$I:$J,2,FALSE)*'N fertilizer'!P13)</f>
        <v>11.505749999999999</v>
      </c>
      <c r="Q9" s="5">
        <f>IF(ISBLANK('N fertilizer'!Q10),0,VLOOKUP('N fertilizer'!Q10,'N2O default values'!$I:$J,2,FALSE)*'N fertilizer'!Q13)</f>
        <v>8.1937499999999996</v>
      </c>
      <c r="R9" s="5">
        <f>IF(ISBLANK('N fertilizer'!R10),0,VLOOKUP('N fertilizer'!R10,'N2O default values'!$I:$J,2,FALSE)*'N fertilizer'!R13)</f>
        <v>6.0374999999999996</v>
      </c>
      <c r="S9" s="5">
        <f>IF(ISBLANK('N fertilizer'!S10),0,VLOOKUP('N fertilizer'!S10,'N2O default values'!$I:$J,2,FALSE)*'N fertilizer'!S13)</f>
        <v>0</v>
      </c>
      <c r="T9" s="5">
        <f>IF(ISBLANK('N fertilizer'!T10),0,VLOOKUP('N fertilizer'!T10,'N2O default values'!$I:$J,2,FALSE)*'N fertilizer'!T13)</f>
        <v>3.2774999999999999</v>
      </c>
    </row>
    <row r="10" spans="1:20" x14ac:dyDescent="0.25">
      <c r="A10" s="192" t="s">
        <v>362</v>
      </c>
      <c r="B10" s="5">
        <f>IF(ISBLANK('N fertilizer'!B15),0,VLOOKUP('N fertilizer'!B15,'N2O default values'!$I:$J,2,FALSE)*'N fertilizer'!B18)</f>
        <v>1.8000000000000004E-3</v>
      </c>
      <c r="C10" s="5">
        <f>IF(ISBLANK('N fertilizer'!C15),0,VLOOKUP('N fertilizer'!C15,'N2O default values'!$I:$J,2,FALSE)*'N fertilizer'!C18)</f>
        <v>0</v>
      </c>
      <c r="D10" s="5">
        <f>IF(ISBLANK('N fertilizer'!D15),0,VLOOKUP('N fertilizer'!D15,'N2O default values'!$I:$J,2,FALSE)*'N fertilizer'!D18)</f>
        <v>0</v>
      </c>
      <c r="E10" s="5">
        <f>IF(ISBLANK('N fertilizer'!E15),0,VLOOKUP('N fertilizer'!E15,'N2O default values'!$I:$J,2,FALSE)*'N fertilizer'!E18)</f>
        <v>0</v>
      </c>
      <c r="F10" s="5">
        <f>IF(ISBLANK('N fertilizer'!F15),0,VLOOKUP('N fertilizer'!F15,'N2O default values'!$I:$J,2,FALSE)*'N fertilizer'!F18)</f>
        <v>0</v>
      </c>
      <c r="G10" s="5"/>
      <c r="H10" s="5"/>
      <c r="I10" s="5">
        <f>IF(ISBLANK('N fertilizer'!I15),0,VLOOKUP('N fertilizer'!I15,'N2O default values'!$I:$J,2,FALSE)*'N fertilizer'!I18)</f>
        <v>1.8000000000000004E-3</v>
      </c>
      <c r="J10" s="5">
        <f>IF(ISBLANK('N fertilizer'!J15),0,VLOOKUP('N fertilizer'!J15,'N2O default values'!$I:$J,2,FALSE)*'N fertilizer'!J18)</f>
        <v>0</v>
      </c>
      <c r="K10" s="5">
        <f>IF(ISBLANK('N fertilizer'!K15),0,VLOOKUP('N fertilizer'!K15,'N2O default values'!$I:$J,2,FALSE)*'N fertilizer'!K18)</f>
        <v>0</v>
      </c>
      <c r="L10" s="5">
        <f>IF(ISBLANK('N fertilizer'!L15),0,VLOOKUP('N fertilizer'!L15,'N2O default values'!$I:$J,2,FALSE)*'N fertilizer'!L18)</f>
        <v>0</v>
      </c>
      <c r="M10" s="5">
        <f>IF(ISBLANK('N fertilizer'!M15),0,VLOOKUP('N fertilizer'!M15,'N2O default values'!$I:$J,2,FALSE)*'N fertilizer'!M18)</f>
        <v>0</v>
      </c>
      <c r="N10" s="5"/>
      <c r="O10" s="5"/>
      <c r="P10" s="5">
        <f>IF(ISBLANK('N fertilizer'!P15),0,VLOOKUP('N fertilizer'!P15,'N2O default values'!$I:$J,2,FALSE)*'N fertilizer'!P18)</f>
        <v>1.8000000000000004E-3</v>
      </c>
      <c r="Q10" s="5">
        <f>IF(ISBLANK('N fertilizer'!Q15),0,VLOOKUP('N fertilizer'!Q15,'N2O default values'!$I:$J,2,FALSE)*'N fertilizer'!Q18)</f>
        <v>0</v>
      </c>
      <c r="R10" s="5">
        <f>IF(ISBLANK('N fertilizer'!R15),0,VLOOKUP('N fertilizer'!R15,'N2O default values'!$I:$J,2,FALSE)*'N fertilizer'!R18)</f>
        <v>0</v>
      </c>
      <c r="S10" s="5">
        <f>IF(ISBLANK('N fertilizer'!S15),0,VLOOKUP('N fertilizer'!S15,'N2O default values'!$I:$J,2,FALSE)*'N fertilizer'!S18)</f>
        <v>0</v>
      </c>
      <c r="T10" s="5">
        <f>IF(ISBLANK('N fertilizer'!T15),0,VLOOKUP('N fertilizer'!T15,'N2O default values'!$I:$J,2,FALSE)*'N fertilizer'!T18)</f>
        <v>0</v>
      </c>
    </row>
    <row r="11" spans="1:20" x14ac:dyDescent="0.25">
      <c r="A11" s="192" t="s">
        <v>362</v>
      </c>
      <c r="B11" s="5">
        <f>IF(ISBLANK('N fertilizer'!B20),0,VLOOKUP('N fertilizer'!B20,'N2O default values'!$I:$J,2,FALSE)*'N fertilizer'!B23)</f>
        <v>0</v>
      </c>
      <c r="C11" s="5">
        <f>IF(ISBLANK('N fertilizer'!C20),0,VLOOKUP('N fertilizer'!C20,'N2O default values'!$I:$J,2,FALSE)*'N fertilizer'!C23)</f>
        <v>0</v>
      </c>
      <c r="D11" s="5">
        <f>IF(ISBLANK('N fertilizer'!D20),0,VLOOKUP('N fertilizer'!D20,'N2O default values'!$I:$J,2,FALSE)*'N fertilizer'!D23)</f>
        <v>0</v>
      </c>
      <c r="E11" s="5">
        <f>IF(ISBLANK('N fertilizer'!E20),0,VLOOKUP('N fertilizer'!E20,'N2O default values'!$I:$J,2,FALSE)*'N fertilizer'!E23)</f>
        <v>12.6</v>
      </c>
      <c r="F11" s="5">
        <f>IF(ISBLANK('N fertilizer'!F20),0,VLOOKUP('N fertilizer'!F20,'N2O default values'!$I:$J,2,FALSE)*'N fertilizer'!F23)</f>
        <v>0</v>
      </c>
      <c r="H11" s="5"/>
      <c r="I11" s="5">
        <f>IF(ISBLANK('N fertilizer'!I20),0,VLOOKUP('N fertilizer'!I20,'N2O default values'!$I:$J,2,FALSE)*'N fertilizer'!I23)</f>
        <v>0</v>
      </c>
      <c r="J11" s="5">
        <f>IF(ISBLANK('N fertilizer'!J20),0,VLOOKUP('N fertilizer'!J20,'N2O default values'!$I:$J,2,FALSE)*'N fertilizer'!J23)</f>
        <v>0</v>
      </c>
      <c r="K11" s="5">
        <f>IF(ISBLANK('N fertilizer'!K20),0,VLOOKUP('N fertilizer'!K20,'N2O default values'!$I:$J,2,FALSE)*'N fertilizer'!K23)</f>
        <v>0</v>
      </c>
      <c r="L11" s="5">
        <f>IF(ISBLANK('N fertilizer'!L20),0,VLOOKUP('N fertilizer'!L20,'N2O default values'!$I:$J,2,FALSE)*'N fertilizer'!L23)</f>
        <v>0</v>
      </c>
      <c r="M11" s="5">
        <f>IF(ISBLANK('N fertilizer'!M20),0,VLOOKUP('N fertilizer'!M20,'N2O default values'!$I:$J,2,FALSE)*'N fertilizer'!M23)</f>
        <v>0</v>
      </c>
      <c r="N11" s="5"/>
      <c r="O11" s="5"/>
      <c r="P11" s="5">
        <f>IF(ISBLANK('N fertilizer'!P20),0,VLOOKUP('N fertilizer'!P20,'N2O default values'!$I:$J,2,FALSE)*'N fertilizer'!P23)</f>
        <v>0</v>
      </c>
      <c r="Q11" s="5">
        <f>IF(ISBLANK('N fertilizer'!Q20),0,VLOOKUP('N fertilizer'!Q20,'N2O default values'!$I:$J,2,FALSE)*'N fertilizer'!Q23)</f>
        <v>0</v>
      </c>
      <c r="R11" s="5">
        <f>IF(ISBLANK('N fertilizer'!R20),0,VLOOKUP('N fertilizer'!R20,'N2O default values'!$I:$J,2,FALSE)*'N fertilizer'!R23)</f>
        <v>0</v>
      </c>
      <c r="S11" s="5">
        <f>IF(ISBLANK('N fertilizer'!S20),0,VLOOKUP('N fertilizer'!S20,'N2O default values'!$I:$J,2,FALSE)*'N fertilizer'!S23)</f>
        <v>0</v>
      </c>
      <c r="T11" s="5">
        <f>IF(ISBLANK('N fertilizer'!T20),0,VLOOKUP('N fertilizer'!T20,'N2O default values'!$I:$J,2,FALSE)*'N fertilizer'!T23)</f>
        <v>12.6</v>
      </c>
    </row>
    <row r="12" spans="1:20" x14ac:dyDescent="0.25">
      <c r="A12" s="192" t="s">
        <v>370</v>
      </c>
      <c r="B12" s="224">
        <v>72.749567002040806</v>
      </c>
      <c r="C12" s="224">
        <v>26.421831122448999</v>
      </c>
      <c r="D12" s="224">
        <v>29.135977346938802</v>
      </c>
      <c r="E12" s="224">
        <v>52.014191632653102</v>
      </c>
      <c r="F12" s="224">
        <v>40.713195918367298</v>
      </c>
      <c r="H12" s="5"/>
      <c r="I12" s="224">
        <v>72.749567002040806</v>
      </c>
      <c r="J12" s="224">
        <v>26.421831122448999</v>
      </c>
      <c r="K12" s="224">
        <v>29.135977346938802</v>
      </c>
      <c r="L12" s="224">
        <v>26.263594076778599</v>
      </c>
      <c r="M12" s="224">
        <v>21.387669551020402</v>
      </c>
      <c r="N12" s="5"/>
      <c r="O12" s="5"/>
      <c r="P12" s="224">
        <v>72.749567002040806</v>
      </c>
      <c r="Q12" s="224">
        <v>26.421831122448999</v>
      </c>
      <c r="R12" s="224">
        <v>29.135977346938802</v>
      </c>
      <c r="S12" s="224">
        <v>9.0878018141950907</v>
      </c>
      <c r="T12" s="224">
        <v>0.742110722449</v>
      </c>
    </row>
    <row r="13" spans="1:20" x14ac:dyDescent="0.25">
      <c r="A13" s="192" t="s">
        <v>371</v>
      </c>
      <c r="C13" s="5"/>
      <c r="D13" s="5"/>
      <c r="E13" s="5"/>
      <c r="F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s="5" customFormat="1" x14ac:dyDescent="0.25">
      <c r="A14" s="192" t="s">
        <v>325</v>
      </c>
      <c r="B14" s="5">
        <f>GM!B$8*VLOOKUP(B8,'N2O default values'!$M:$U,7)</f>
        <v>3.145</v>
      </c>
      <c r="C14" s="5">
        <f>GM!C$8*VLOOKUP(C8,'N2O default values'!$M:$U,7)</f>
        <v>6.6749999999999998</v>
      </c>
      <c r="D14" s="5">
        <f>GM!D$8*VLOOKUP(D8,'N2O default values'!$M:$U,7)</f>
        <v>6.6749999999999998</v>
      </c>
      <c r="E14" s="5">
        <f>GM!E$8*VLOOKUP(E8,'N2O default values'!$M:$U,7)</f>
        <v>4.8950000000000005</v>
      </c>
      <c r="F14" s="5">
        <f>GM!F$8*VLOOKUP(F8,'N2O default values'!$M:$U,7)</f>
        <v>6.6749999999999998</v>
      </c>
      <c r="I14" s="5">
        <f>GM!I$8*VLOOKUP(I8,'N2O default values'!$M:$U,7)</f>
        <v>3.145</v>
      </c>
      <c r="J14" s="5">
        <f>GM!J$8*VLOOKUP(J8,'N2O default values'!$M:$U,7)</f>
        <v>6.6749999999999998</v>
      </c>
      <c r="K14" s="5">
        <f>GM!K$8*VLOOKUP(K8,'N2O default values'!$M:$U,7)</f>
        <v>6.6749999999999998</v>
      </c>
      <c r="L14" s="5">
        <f>GM!L$8*VLOOKUP(L8,'N2O default values'!$M:$U,7)</f>
        <v>3.64</v>
      </c>
      <c r="M14" s="5">
        <f>GM!M$8*VLOOKUP(M8,'N2O default values'!$M:$U,7)</f>
        <v>7.0754999999999999</v>
      </c>
      <c r="P14" s="5">
        <f>GM!P$8*VLOOKUP(P8,'N2O default values'!$M:$U,7)</f>
        <v>3.145</v>
      </c>
      <c r="Q14" s="5">
        <f>GM!Q$8*VLOOKUP(Q8,'N2O default values'!$M:$U,7)</f>
        <v>6.6749999999999998</v>
      </c>
      <c r="R14" s="5">
        <f>GM!R$8*VLOOKUP(R8,'N2O default values'!$M:$U,7)</f>
        <v>6.6749999999999998</v>
      </c>
      <c r="S14" s="5">
        <f>GM!S$8*VLOOKUP(S8,'N2O default values'!$M:$U,7)</f>
        <v>4.55</v>
      </c>
      <c r="T14" s="5">
        <f>GM!T$8*VLOOKUP(T8,'N2O default values'!$M:$U,7)</f>
        <v>5.1886999999999999</v>
      </c>
    </row>
    <row r="15" spans="1:20" s="5" customFormat="1" x14ac:dyDescent="0.25">
      <c r="A15" s="192" t="s">
        <v>403</v>
      </c>
      <c r="B15" s="5">
        <f>B14*VLOOKUP(B$8,'N2O default values'!$M:$U,5)*VLOOKUP(B$8,'N2O default values'!$M:$U,8)</f>
        <v>3.145</v>
      </c>
      <c r="C15" s="5">
        <f>C14*VLOOKUP(C$8,'N2O default values'!$M:$U,5)*VLOOKUP(C$8,'N2O default values'!$M:$U,8)</f>
        <v>8.01</v>
      </c>
      <c r="D15" s="5">
        <f>D14*VLOOKUP(D$8,'N2O default values'!$M:$U,5)*VLOOKUP(D$8,'N2O default values'!$M:$U,8)</f>
        <v>8.6775000000000002</v>
      </c>
      <c r="E15" s="5">
        <f>E14*VLOOKUP(E$8,'N2O default values'!$M:$U,5)*VLOOKUP(E$8,'N2O default values'!$M:$U,8)</f>
        <v>5.8740000000000006</v>
      </c>
      <c r="F15" s="5">
        <f>F14*VLOOKUP(F$8,'N2O default values'!$M:$U,5)*VLOOKUP(F$8,'N2O default values'!$M:$U,8)</f>
        <v>8.01</v>
      </c>
      <c r="I15" s="5">
        <f>I14*VLOOKUP(I$8,'N2O default values'!$M:$U,5)*VLOOKUP(I$8,'N2O default values'!$M:$U,8)</f>
        <v>3.145</v>
      </c>
      <c r="J15" s="5">
        <f>J14*VLOOKUP(J$8,'N2O default values'!$M:$U,5)*VLOOKUP(J$8,'N2O default values'!$M:$U,8)</f>
        <v>8.01</v>
      </c>
      <c r="K15" s="5">
        <f>K14*VLOOKUP(K$8,'N2O default values'!$M:$U,5)*VLOOKUP(K$8,'N2O default values'!$M:$U,8)</f>
        <v>8.6775000000000002</v>
      </c>
      <c r="L15" s="5">
        <f>L14*VLOOKUP(L$8,'N2O default values'!$M:$U,5)*VLOOKUP(L$8,'N2O default values'!$M:$U,8)</f>
        <v>7.644000000000001</v>
      </c>
      <c r="M15" s="5">
        <f>M14*VLOOKUP(M$8,'N2O default values'!$M:$U,5)*VLOOKUP(M$8,'N2O default values'!$M:$U,8)</f>
        <v>8.4905999999999988</v>
      </c>
      <c r="P15" s="5">
        <f>P14*VLOOKUP(P$8,'N2O default values'!$M:$U,5)*VLOOKUP(P$8,'N2O default values'!$M:$U,8)</f>
        <v>3.145</v>
      </c>
      <c r="Q15" s="5">
        <f>Q14*VLOOKUP(Q$8,'N2O default values'!$M:$U,5)*VLOOKUP(Q$8,'N2O default values'!$M:$U,8)</f>
        <v>8.01</v>
      </c>
      <c r="R15" s="5">
        <f>R14*VLOOKUP(R$8,'N2O default values'!$M:$U,5)*VLOOKUP(R$8,'N2O default values'!$M:$U,8)</f>
        <v>8.6775000000000002</v>
      </c>
      <c r="S15" s="5">
        <f>S14*VLOOKUP(S$8,'N2O default values'!$M:$U,5)*VLOOKUP(S$8,'N2O default values'!$M:$U,8)</f>
        <v>9.5549999999999997</v>
      </c>
      <c r="T15" s="5">
        <f>T14*VLOOKUP(T$8,'N2O default values'!$M:$U,5)*VLOOKUP(T$8,'N2O default values'!$M:$U,8)</f>
        <v>6.2264399999999993</v>
      </c>
    </row>
    <row r="16" spans="1:20" s="5" customFormat="1" x14ac:dyDescent="0.25">
      <c r="A16" s="192" t="s">
        <v>404</v>
      </c>
      <c r="B16" s="5">
        <f>SUM(B14:B15)*VLOOKUP(B$8,'N2O default values'!$M:$U,6)</f>
        <v>1.3837999999999999</v>
      </c>
      <c r="C16" s="5">
        <f>SUM(C14:C15)*VLOOKUP(C$8,'N2O default values'!$M:$U,6)</f>
        <v>3.2306999999999997</v>
      </c>
      <c r="D16" s="5">
        <f>SUM(D14:D15)*VLOOKUP(D$8,'N2O default values'!$M:$U,6)</f>
        <v>3.8381249999999998</v>
      </c>
      <c r="E16" s="5">
        <f>SUM(E14:E15)*VLOOKUP(E$8,'N2O default values'!$M:$U,6)</f>
        <v>2.3691800000000005</v>
      </c>
      <c r="F16" s="5">
        <f>SUM(F14:F15)*VLOOKUP(F$8,'N2O default values'!$M:$U,6)</f>
        <v>3.2306999999999997</v>
      </c>
      <c r="I16" s="5">
        <f>SUM(I14:I15)*VLOOKUP(I$8,'N2O default values'!$M:$U,6)</f>
        <v>1.3837999999999999</v>
      </c>
      <c r="J16" s="5">
        <f>SUM(J14:J15)*VLOOKUP(J$8,'N2O default values'!$M:$U,6)</f>
        <v>3.2306999999999997</v>
      </c>
      <c r="K16" s="5">
        <f>SUM(K14:K15)*VLOOKUP(K$8,'N2O default values'!$M:$U,6)</f>
        <v>3.8381249999999998</v>
      </c>
      <c r="L16" s="5">
        <f>SUM(L14:L15)*VLOOKUP(L$8,'N2O default values'!$M:$U,6)</f>
        <v>2.1439600000000003</v>
      </c>
      <c r="M16" s="5">
        <f>SUM(M14:M15)*VLOOKUP(M$8,'N2O default values'!$M:$U,6)</f>
        <v>3.4245419999999998</v>
      </c>
      <c r="P16" s="5">
        <f>SUM(P14:P15)*VLOOKUP(P$8,'N2O default values'!$M:$U,6)</f>
        <v>1.3837999999999999</v>
      </c>
      <c r="Q16" s="5">
        <f>SUM(Q14:Q15)*VLOOKUP(Q$8,'N2O default values'!$M:$U,6)</f>
        <v>3.2306999999999997</v>
      </c>
      <c r="R16" s="5">
        <f>SUM(R14:R15)*VLOOKUP(R$8,'N2O default values'!$M:$U,6)</f>
        <v>3.8381249999999998</v>
      </c>
      <c r="S16" s="5">
        <f>SUM(S14:S15)*VLOOKUP(S$8,'N2O default values'!$M:$U,6)</f>
        <v>2.6799500000000003</v>
      </c>
      <c r="T16" s="5">
        <f>SUM(T14:T15)*VLOOKUP(T$8,'N2O default values'!$M:$U,6)</f>
        <v>2.5113307999999996</v>
      </c>
    </row>
    <row r="17" spans="1:20" s="5" customFormat="1" x14ac:dyDescent="0.25">
      <c r="A17" s="192" t="s">
        <v>406</v>
      </c>
      <c r="B17" s="5">
        <f>(B15-GM!B11*VLOOKUP('N2O calculations'!B$8,'N2O default values'!$M:$U,9))*VLOOKUP('N2O calculations'!B$8,'N2O default values'!$M:$U,3)*1000</f>
        <v>25.16</v>
      </c>
      <c r="C17" s="5">
        <f>(C15-GM!C11*VLOOKUP('N2O calculations'!C$8,'N2O default values'!$M:$U,9))*VLOOKUP('N2O calculations'!C$8,'N2O default values'!$M:$U,3)*1000</f>
        <v>30.527000000000005</v>
      </c>
      <c r="D17" s="5">
        <f>(D15-GM!D11*VLOOKUP('N2O calculations'!D$8,'N2O default values'!$M:$U,9))*VLOOKUP('N2O calculations'!D$8,'N2O default values'!$M:$U,3)*1000</f>
        <v>31.461500000000004</v>
      </c>
      <c r="E17" s="5">
        <f>(E15-GM!E11*VLOOKUP('N2O calculations'!E$8,'N2O default values'!$M:$U,9))*VLOOKUP('N2O calculations'!E$8,'N2O default values'!$M:$U,3)*1000</f>
        <v>23.051000000000005</v>
      </c>
      <c r="F17" s="5">
        <f>(F15-GM!F11*VLOOKUP('N2O calculations'!F$8,'N2O default values'!$M:$U,9))*VLOOKUP('N2O calculations'!F$8,'N2O default values'!$M:$U,3)*1000</f>
        <v>30.527000000000005</v>
      </c>
      <c r="I17" s="5">
        <f>(I15-GM!I11*VLOOKUP('N2O calculations'!I$8,'N2O default values'!$M:$U,9))*VLOOKUP('N2O calculations'!I$8,'N2O default values'!$M:$U,3)*1000</f>
        <v>25.16</v>
      </c>
      <c r="J17" s="5">
        <f>(J15-GM!J11*VLOOKUP('N2O calculations'!J$8,'N2O default values'!$M:$U,9))*VLOOKUP('N2O calculations'!J$8,'N2O default values'!$M:$U,3)*1000</f>
        <v>30.527000000000005</v>
      </c>
      <c r="K17" s="5">
        <f>(K15-GM!K11*VLOOKUP('N2O calculations'!K$8,'N2O default values'!$M:$U,9))*VLOOKUP('N2O calculations'!K$8,'N2O default values'!$M:$U,3)*1000</f>
        <v>31.461500000000004</v>
      </c>
      <c r="L17" s="5">
        <f>(L15-GM!L11*VLOOKUP('N2O calculations'!L$8,'N2O default values'!$M:$U,9))*VLOOKUP('N2O calculations'!L$8,'N2O default values'!$M:$U,3)*1000</f>
        <v>61.152000000000015</v>
      </c>
      <c r="M17" s="5">
        <f>(M15-GM!M11*VLOOKUP('N2O calculations'!M$8,'N2O default values'!$M:$U,9))*VLOOKUP('N2O calculations'!M$8,'N2O default values'!$M:$U,3)*1000</f>
        <v>32.3337</v>
      </c>
      <c r="P17" s="5">
        <f>(P15-GM!P11*VLOOKUP('N2O calculations'!P$8,'N2O default values'!$M:$U,9))*VLOOKUP('N2O calculations'!P$8,'N2O default values'!$M:$U,3)*1000</f>
        <v>25.16</v>
      </c>
      <c r="Q17" s="5">
        <f>(Q15-GM!Q11*VLOOKUP('N2O calculations'!Q$8,'N2O default values'!$M:$U,9))*VLOOKUP('N2O calculations'!Q$8,'N2O default values'!$M:$U,3)*1000</f>
        <v>30.527000000000005</v>
      </c>
      <c r="R17" s="5">
        <f>(R15-GM!R11*VLOOKUP('N2O calculations'!R$8,'N2O default values'!$M:$U,9))*VLOOKUP('N2O calculations'!R$8,'N2O default values'!$M:$U,3)*1000</f>
        <v>31.461500000000004</v>
      </c>
      <c r="S17" s="5">
        <f>(S15-GM!S11*VLOOKUP('N2O calculations'!S$8,'N2O default values'!$M:$U,9))*VLOOKUP('N2O calculations'!S$8,'N2O default values'!$M:$U,3)*1000</f>
        <v>76.44</v>
      </c>
      <c r="T17" s="5">
        <f>(T15-GM!T11*VLOOKUP('N2O calculations'!T$8,'N2O default values'!$M:$U,9))*VLOOKUP('N2O calculations'!T$8,'N2O default values'!$M:$U,3)*1000</f>
        <v>24.272079999999995</v>
      </c>
    </row>
    <row r="18" spans="1:20" s="5" customFormat="1" x14ac:dyDescent="0.25">
      <c r="A18" s="192" t="s">
        <v>407</v>
      </c>
      <c r="B18" s="5">
        <f>B16*VLOOKUP(B$8,'N2O default values'!$M:$U,4)*1000</f>
        <v>12.454199999999998</v>
      </c>
      <c r="C18" s="5">
        <f>C16*VLOOKUP(C$8,'N2O default values'!$M:$U,4)*1000</f>
        <v>45.22979999999999</v>
      </c>
      <c r="D18" s="5">
        <f>D16*VLOOKUP(D$8,'N2O default values'!$M:$U,4)*1000</f>
        <v>30.704999999999998</v>
      </c>
      <c r="E18" s="5">
        <f>E16*VLOOKUP(E$8,'N2O default values'!$M:$U,4)*1000</f>
        <v>33.168520000000008</v>
      </c>
      <c r="F18" s="5">
        <f>F16*VLOOKUP(F$8,'N2O default values'!$M:$U,4)*1000</f>
        <v>45.22979999999999</v>
      </c>
      <c r="I18" s="5">
        <f>I16*VLOOKUP(I$8,'N2O default values'!$M:$U,4)*1000</f>
        <v>12.454199999999998</v>
      </c>
      <c r="J18" s="5">
        <f>J16*VLOOKUP(J$8,'N2O default values'!$M:$U,4)*1000</f>
        <v>45.22979999999999</v>
      </c>
      <c r="K18" s="5">
        <f>K16*VLOOKUP(K$8,'N2O default values'!$M:$U,4)*1000</f>
        <v>30.704999999999998</v>
      </c>
      <c r="L18" s="5">
        <f>L16*VLOOKUP(L$8,'N2O default values'!$M:$U,4)*1000</f>
        <v>17.151680000000002</v>
      </c>
      <c r="M18" s="5">
        <f>M16*VLOOKUP(M$8,'N2O default values'!$M:$U,4)*1000</f>
        <v>47.943587999999998</v>
      </c>
      <c r="P18" s="5">
        <f>P16*VLOOKUP(P$8,'N2O default values'!$M:$U,4)*1000</f>
        <v>12.454199999999998</v>
      </c>
      <c r="Q18" s="5">
        <f>Q16*VLOOKUP(Q$8,'N2O default values'!$M:$U,4)*1000</f>
        <v>45.22979999999999</v>
      </c>
      <c r="R18" s="5">
        <f>R16*VLOOKUP(R$8,'N2O default values'!$M:$U,4)*1000</f>
        <v>30.704999999999998</v>
      </c>
      <c r="S18" s="5">
        <f>S16*VLOOKUP(S$8,'N2O default values'!$M:$U,4)*1000</f>
        <v>21.439600000000002</v>
      </c>
      <c r="T18" s="5">
        <f>T16*VLOOKUP(T$8,'N2O default values'!$M:$U,4)*1000</f>
        <v>35.158631199999995</v>
      </c>
    </row>
    <row r="19" spans="1:20" s="5" customFormat="1" x14ac:dyDescent="0.25">
      <c r="A19" s="192" t="s">
        <v>408</v>
      </c>
      <c r="B19" s="5">
        <f>SUM(B17:B18)</f>
        <v>37.614199999999997</v>
      </c>
      <c r="C19" s="217">
        <f>SUM(C17:C18)</f>
        <v>75.756799999999998</v>
      </c>
      <c r="D19" s="5">
        <f t="shared" ref="D19:F19" si="0">SUM(D17:D18)</f>
        <v>62.166499999999999</v>
      </c>
      <c r="E19" s="5">
        <f t="shared" si="0"/>
        <v>56.219520000000017</v>
      </c>
      <c r="F19" s="5">
        <f t="shared" si="0"/>
        <v>75.756799999999998</v>
      </c>
      <c r="I19" s="5">
        <f>SUM(I17:I18)</f>
        <v>37.614199999999997</v>
      </c>
      <c r="J19" s="5">
        <f t="shared" ref="J19" si="1">SUM(J17:J18)</f>
        <v>75.756799999999998</v>
      </c>
      <c r="K19" s="5">
        <f t="shared" ref="K19" si="2">SUM(K17:K18)</f>
        <v>62.166499999999999</v>
      </c>
      <c r="L19" s="5">
        <f t="shared" ref="L19" si="3">SUM(L17:L18)</f>
        <v>78.303680000000014</v>
      </c>
      <c r="M19" s="5">
        <f t="shared" ref="M19" si="4">SUM(M17:M18)</f>
        <v>80.277287999999999</v>
      </c>
      <c r="P19" s="5">
        <f>SUM(P17:P18)</f>
        <v>37.614199999999997</v>
      </c>
      <c r="Q19" s="5">
        <f t="shared" ref="Q19" si="5">SUM(Q17:Q18)</f>
        <v>75.756799999999998</v>
      </c>
      <c r="R19" s="5">
        <f t="shared" ref="R19" si="6">SUM(R17:R18)</f>
        <v>62.166499999999999</v>
      </c>
      <c r="S19" s="5">
        <f t="shared" ref="S19" si="7">SUM(S17:S18)</f>
        <v>97.879599999999996</v>
      </c>
      <c r="T19" s="5">
        <f t="shared" ref="T19" si="8">SUM(T17:T18)</f>
        <v>59.43071119999999</v>
      </c>
    </row>
    <row r="20" spans="1:20" s="5" customFormat="1" x14ac:dyDescent="0.25">
      <c r="A20" s="192"/>
    </row>
    <row r="21" spans="1:20" s="217" customFormat="1" x14ac:dyDescent="0.25">
      <c r="A21" s="192"/>
    </row>
    <row r="23" spans="1:20" x14ac:dyDescent="0.25">
      <c r="A23" t="s">
        <v>411</v>
      </c>
    </row>
    <row r="24" spans="1:20" s="5" customFormat="1" x14ac:dyDescent="0.25">
      <c r="B24" s="36" t="str">
        <f>B7</f>
        <v>Winter rape</v>
      </c>
      <c r="C24" s="36" t="str">
        <f t="shared" ref="C24:F24" si="9">C7</f>
        <v>Winter barley</v>
      </c>
      <c r="D24" s="36" t="str">
        <f t="shared" si="9"/>
        <v>Winter oat</v>
      </c>
      <c r="E24" s="36" t="str">
        <f t="shared" si="9"/>
        <v>Spring barley</v>
      </c>
      <c r="F24" s="36" t="str">
        <f t="shared" si="9"/>
        <v>Winter barley</v>
      </c>
      <c r="G24" s="36"/>
      <c r="I24" s="36" t="str">
        <f>I7</f>
        <v>Winter rape</v>
      </c>
      <c r="J24" s="36" t="str">
        <f t="shared" ref="J24:M24" si="10">J7</f>
        <v>Winter barley</v>
      </c>
      <c r="K24" s="36" t="str">
        <f t="shared" si="10"/>
        <v>Winter oat</v>
      </c>
      <c r="L24" s="36" t="str">
        <f t="shared" si="10"/>
        <v>Field pea</v>
      </c>
      <c r="M24" s="36" t="str">
        <f t="shared" si="10"/>
        <v>Winter barley</v>
      </c>
      <c r="N24" s="36"/>
      <c r="P24" s="36" t="str">
        <f>P7</f>
        <v>Winter rape</v>
      </c>
      <c r="Q24" s="36" t="str">
        <f t="shared" ref="Q24:T24" si="11">Q7</f>
        <v>Winter barley</v>
      </c>
      <c r="R24" s="36" t="str">
        <f t="shared" si="11"/>
        <v>Winter oat</v>
      </c>
      <c r="S24" s="36" t="str">
        <f t="shared" si="11"/>
        <v>Faba bean</v>
      </c>
      <c r="T24" s="36" t="str">
        <f t="shared" si="11"/>
        <v>Spring barley</v>
      </c>
    </row>
    <row r="25" spans="1:20" x14ac:dyDescent="0.25">
      <c r="A25" s="192" t="s">
        <v>361</v>
      </c>
      <c r="B25" s="5">
        <f>IF('N fertilizer'!B10 &lt;&gt;'N2O default values'!$I$7, 'N fertilizer'!B13*'N2O default values'!$E$2, 'N fertilizer'!B13* 'N2O default values'!$E$3)+IF('N fertilizer'!B15 &lt;&gt;'N2O default values'!$I$7, 'N fertilizer'!B18*'N2O default values'!$E$2, 'N fertilizer'!B18* 'N2O default values'!$E$3)+IF('N fertilizer'!B20 &lt;&gt;'N2O default values'!$I$7, 'N fertilizer'!B23*'N2O default values'!$E$2, 'N fertilizer'!B23* 'N2O default values'!$E$3)</f>
        <v>3.6824159999999999</v>
      </c>
      <c r="C25" s="217">
        <f>IF('N fertilizer'!C10 &lt;&gt;'N2O default values'!$I$7, 'N fertilizer'!C13*'N2O default values'!$E$2, 'N fertilizer'!C13* 'N2O default values'!$E$3)+IF('N fertilizer'!C15 &lt;&gt;'N2O default values'!$I$7, 'N fertilizer'!C18*'N2O default values'!$E$2, 'N fertilizer'!C18* 'N2O default values'!$E$3)+IF('N fertilizer'!C20 &lt;&gt;'N2O default values'!$I$7, 'N fertilizer'!C23*'N2O default values'!$E$2, 'N fertilizer'!C23* 'N2O default values'!$E$3)</f>
        <v>2.6219999999999999</v>
      </c>
      <c r="D25" s="217">
        <f>IF('N fertilizer'!D10 &lt;&gt;'N2O default values'!$I$7, 'N fertilizer'!D13*'N2O default values'!$E$2, 'N fertilizer'!D13* 'N2O default values'!$E$3)+IF('N fertilizer'!D15 &lt;&gt;'N2O default values'!$I$7, 'N fertilizer'!D18*'N2O default values'!$E$2, 'N fertilizer'!D18* 'N2O default values'!$E$3)+IF('N fertilizer'!D20 &lt;&gt;'N2O default values'!$I$7, 'N fertilizer'!D23*'N2O default values'!$E$2, 'N fertilizer'!D23* 'N2O default values'!$E$3)</f>
        <v>1.9319999999999997</v>
      </c>
      <c r="E25" s="217">
        <f>IF('N fertilizer'!E10 &lt;&gt;'N2O default values'!$I$7, 'N fertilizer'!E13*'N2O default values'!$E$2, 'N fertilizer'!E13* 'N2O default values'!$E$3)+IF('N fertilizer'!E15 &lt;&gt;'N2O default values'!$I$7, 'N fertilizer'!E18*'N2O default values'!$E$2, 'N fertilizer'!E18* 'N2O default values'!$E$3)+IF('N fertilizer'!E20 &lt;&gt;'N2O default values'!$I$7, 'N fertilizer'!E23*'N2O default values'!$E$2, 'N fertilizer'!E23* 'N2O default values'!$E$3)</f>
        <v>2.4299999999999997</v>
      </c>
      <c r="F25" s="217">
        <f>IF('N fertilizer'!F10 &lt;&gt;'N2O default values'!$I$7, 'N fertilizer'!F13*'N2O default values'!$E$2, 'N fertilizer'!F13* 'N2O default values'!$E$3)+IF('N fertilizer'!F15 &lt;&gt;'N2O default values'!$I$7, 'N fertilizer'!F18*'N2O default values'!$E$2, 'N fertilizer'!F18* 'N2O default values'!$E$3)+IF('N fertilizer'!F20 &lt;&gt;'N2O default values'!$I$7, 'N fertilizer'!F23*'N2O default values'!$E$2, 'N fertilizer'!F23* 'N2O default values'!$E$3)</f>
        <v>2.6219999999999999</v>
      </c>
      <c r="H25" s="5"/>
      <c r="I25" s="217">
        <f>IF('N fertilizer'!I10 &lt;&gt;'N2O default values'!$I$7, 'N fertilizer'!I13*'N2O default values'!$E$2, 'N fertilizer'!I13* 'N2O default values'!$E$3)+IF('N fertilizer'!I15 &lt;&gt;'N2O default values'!$I$7, 'N fertilizer'!I18*'N2O default values'!$E$2, 'N fertilizer'!I18* 'N2O default values'!$E$3)+IF('N fertilizer'!I20 &lt;&gt;'N2O default values'!$I$7, 'N fertilizer'!I23*'N2O default values'!$E$2, 'N fertilizer'!I23* 'N2O default values'!$E$3)</f>
        <v>3.6824159999999999</v>
      </c>
      <c r="J25" s="217">
        <f>IF('N fertilizer'!J10 &lt;&gt;'N2O default values'!$I$7, 'N fertilizer'!J13*'N2O default values'!$E$2, 'N fertilizer'!J13* 'N2O default values'!$E$3)+IF('N fertilizer'!J15 &lt;&gt;'N2O default values'!$I$7, 'N fertilizer'!J18*'N2O default values'!$E$2, 'N fertilizer'!J18* 'N2O default values'!$E$3)+IF('N fertilizer'!J20 &lt;&gt;'N2O default values'!$I$7, 'N fertilizer'!J23*'N2O default values'!$E$2, 'N fertilizer'!J23* 'N2O default values'!$E$3)</f>
        <v>2.6219999999999999</v>
      </c>
      <c r="K25" s="217">
        <f>IF('N fertilizer'!K10 &lt;&gt;'N2O default values'!$I$7, 'N fertilizer'!K13*'N2O default values'!$E$2, 'N fertilizer'!K13* 'N2O default values'!$E$3)+IF('N fertilizer'!K15 &lt;&gt;'N2O default values'!$I$7, 'N fertilizer'!K18*'N2O default values'!$E$2, 'N fertilizer'!K18* 'N2O default values'!$E$3)+IF('N fertilizer'!K20 &lt;&gt;'N2O default values'!$I$7, 'N fertilizer'!K23*'N2O default values'!$E$2, 'N fertilizer'!K23* 'N2O default values'!$E$3)</f>
        <v>1.9319999999999997</v>
      </c>
      <c r="L25" s="217">
        <f>IF('N fertilizer'!L10 &lt;&gt;'N2O default values'!$I$7, 'N fertilizer'!L13*'N2O default values'!$E$2, 'N fertilizer'!L13* 'N2O default values'!$E$3)+IF('N fertilizer'!L15 &lt;&gt;'N2O default values'!$I$7, 'N fertilizer'!L18*'N2O default values'!$E$2, 'N fertilizer'!L18* 'N2O default values'!$E$3)+IF('N fertilizer'!L20 &lt;&gt;'N2O default values'!$I$7, 'N fertilizer'!L23*'N2O default values'!$E$2, 'N fertilizer'!L23* 'N2O default values'!$E$3)</f>
        <v>0.33215999999999996</v>
      </c>
      <c r="M25" s="217">
        <f>IF('N fertilizer'!M10 &lt;&gt;'N2O default values'!$I$7, 'N fertilizer'!M13*'N2O default values'!$E$2, 'N fertilizer'!M13* 'N2O default values'!$E$3)+IF('N fertilizer'!M15 &lt;&gt;'N2O default values'!$I$7, 'N fertilizer'!M18*'N2O default values'!$E$2, 'N fertilizer'!M18* 'N2O default values'!$E$3)+IF('N fertilizer'!M20 &lt;&gt;'N2O default values'!$I$7, 'N fertilizer'!M23*'N2O default values'!$E$2, 'N fertilizer'!M23* 'N2O default values'!$E$3)</f>
        <v>1.1040000000000001</v>
      </c>
      <c r="N25" s="5"/>
      <c r="O25" s="5"/>
      <c r="P25" s="217">
        <f>IF('N fertilizer'!P10 &lt;&gt;'N2O default values'!$I$7, 'N fertilizer'!P13*'N2O default values'!$E$2, 'N fertilizer'!P13* 'N2O default values'!$E$3)+IF('N fertilizer'!P15 &lt;&gt;'N2O default values'!$I$7, 'N fertilizer'!P18*'N2O default values'!$E$2, 'N fertilizer'!P18* 'N2O default values'!$E$3)+IF('N fertilizer'!P20 &lt;&gt;'N2O default values'!$I$7, 'N fertilizer'!P23*'N2O default values'!$E$2, 'N fertilizer'!P23* 'N2O default values'!$E$3)</f>
        <v>3.6824159999999999</v>
      </c>
      <c r="Q25" s="217">
        <f>IF('N fertilizer'!Q10 &lt;&gt;'N2O default values'!$I$7, 'N fertilizer'!Q13*'N2O default values'!$E$2, 'N fertilizer'!Q13* 'N2O default values'!$E$3)+IF('N fertilizer'!Q15 &lt;&gt;'N2O default values'!$I$7, 'N fertilizer'!Q18*'N2O default values'!$E$2, 'N fertilizer'!Q18* 'N2O default values'!$E$3)+IF('N fertilizer'!Q20 &lt;&gt;'N2O default values'!$I$7, 'N fertilizer'!Q23*'N2O default values'!$E$2, 'N fertilizer'!Q23* 'N2O default values'!$E$3)</f>
        <v>2.6219999999999999</v>
      </c>
      <c r="R25" s="217">
        <f>IF('N fertilizer'!R10 &lt;&gt;'N2O default values'!$I$7, 'N fertilizer'!R13*'N2O default values'!$E$2, 'N fertilizer'!R13* 'N2O default values'!$E$3)+IF('N fertilizer'!R15 &lt;&gt;'N2O default values'!$I$7, 'N fertilizer'!R18*'N2O default values'!$E$2, 'N fertilizer'!R18* 'N2O default values'!$E$3)+IF('N fertilizer'!R20 &lt;&gt;'N2O default values'!$I$7, 'N fertilizer'!R23*'N2O default values'!$E$2, 'N fertilizer'!R23* 'N2O default values'!$E$3)</f>
        <v>1.9319999999999997</v>
      </c>
      <c r="S25" s="217">
        <f>IF('N fertilizer'!S10 &lt;&gt;'N2O default values'!$I$7, 'N fertilizer'!S13*'N2O default values'!$E$2, 'N fertilizer'!S13* 'N2O default values'!$E$3)+IF('N fertilizer'!S15 &lt;&gt;'N2O default values'!$I$7, 'N fertilizer'!S18*'N2O default values'!$E$2, 'N fertilizer'!S18* 'N2O default values'!$E$3)+IF('N fertilizer'!S20 &lt;&gt;'N2O default values'!$I$7, 'N fertilizer'!S23*'N2O default values'!$E$2, 'N fertilizer'!S23* 'N2O default values'!$E$3)</f>
        <v>0</v>
      </c>
      <c r="T25" s="217">
        <f>IF('N fertilizer'!T10 &lt;&gt;'N2O default values'!$I$7, 'N fertilizer'!T13*'N2O default values'!$E$2, 'N fertilizer'!T13* 'N2O default values'!$E$3)+IF('N fertilizer'!T15 &lt;&gt;'N2O default values'!$I$7, 'N fertilizer'!T18*'N2O default values'!$E$2, 'N fertilizer'!T18* 'N2O default values'!$E$3)+IF('N fertilizer'!T20 &lt;&gt;'N2O default values'!$I$7, 'N fertilizer'!T23*'N2O default values'!$E$2, 'N fertilizer'!T23* 'N2O default values'!$E$3)</f>
        <v>1.4087999999999998</v>
      </c>
    </row>
    <row r="26" spans="1:20" x14ac:dyDescent="0.25">
      <c r="A26" t="s">
        <v>368</v>
      </c>
      <c r="B26">
        <f>(SUM(B9:B11)*'N2O default values'!$E$4)</f>
        <v>0.16110569999999999</v>
      </c>
      <c r="C26" s="5">
        <f>(SUM(C9:C11)*'N2O default values'!$E$4)</f>
        <v>0.1147125</v>
      </c>
      <c r="D26" s="5">
        <f>(SUM(D9:D11)*'N2O default values'!$E$4)</f>
        <v>8.4525000000000003E-2</v>
      </c>
      <c r="E26" s="5">
        <f>(SUM(E9:E11)*'N2O default values'!$E$4)</f>
        <v>0.26696250000000005</v>
      </c>
      <c r="F26" s="5">
        <f>(SUM(F9:F11)*'N2O default values'!$E$4)</f>
        <v>0.1147125</v>
      </c>
      <c r="H26" s="5"/>
      <c r="I26" s="5">
        <f>(SUM(I9:I11)*'N2O default values'!$E$4)</f>
        <v>0.16110569999999999</v>
      </c>
      <c r="J26" s="5">
        <f>(SUM(J9:J11)*'N2O default values'!$E$4)</f>
        <v>0.1147125</v>
      </c>
      <c r="K26" s="5">
        <f>(SUM(K9:K11)*'N2O default values'!$E$4)</f>
        <v>8.4525000000000003E-2</v>
      </c>
      <c r="L26" s="5">
        <f>(SUM(L9:L11)*'N2O default values'!$E$4)</f>
        <v>1.4532000000000002E-2</v>
      </c>
      <c r="M26" s="5">
        <f>(SUM(M9:M11)*'N2O default values'!$E$4)</f>
        <v>4.8300000000000003E-2</v>
      </c>
      <c r="N26" s="5"/>
      <c r="O26" s="5"/>
      <c r="P26" s="5">
        <f>(SUM(P9:P11)*'N2O default values'!$E$4)</f>
        <v>0.16110569999999999</v>
      </c>
      <c r="Q26" s="5">
        <f>(SUM(Q9:Q11)*'N2O default values'!$E$4)</f>
        <v>0.1147125</v>
      </c>
      <c r="R26" s="5">
        <f>(SUM(R9:R11)*'N2O default values'!$E$4)</f>
        <v>8.4525000000000003E-2</v>
      </c>
      <c r="S26" s="5">
        <f>(SUM(S9:S11)*'N2O default values'!$E$4)</f>
        <v>0</v>
      </c>
      <c r="T26" s="5">
        <f>(SUM(T9:T11)*'N2O default values'!$E$4)</f>
        <v>0.22228500000000001</v>
      </c>
    </row>
    <row r="27" spans="1:20" x14ac:dyDescent="0.25">
      <c r="A27" t="s">
        <v>370</v>
      </c>
      <c r="B27">
        <f>B12*'N2O default values'!$E$5</f>
        <v>0.80024523702244876</v>
      </c>
      <c r="C27" s="5">
        <f>C12*'N2O default values'!$E$5</f>
        <v>0.29064014234693897</v>
      </c>
      <c r="D27" s="5">
        <f>D12*'N2O default values'!$E$5</f>
        <v>0.32049575081632681</v>
      </c>
      <c r="E27" s="5">
        <f>E12*'N2O default values'!$E$5</f>
        <v>0.57215610795918403</v>
      </c>
      <c r="F27" s="5">
        <f>F12*'N2O default values'!$E$5</f>
        <v>0.44784515510204026</v>
      </c>
      <c r="H27" s="5"/>
      <c r="I27" s="5">
        <f>I12*'N2O default values'!$E$5</f>
        <v>0.80024523702244876</v>
      </c>
      <c r="J27" s="5">
        <f>J12*'N2O default values'!$E$5</f>
        <v>0.29064014234693897</v>
      </c>
      <c r="K27" s="5">
        <f>K12*'N2O default values'!$E$5</f>
        <v>0.32049575081632681</v>
      </c>
      <c r="L27" s="5">
        <f>L12*'N2O default values'!$E$5</f>
        <v>0.2888995348445646</v>
      </c>
      <c r="M27" s="5">
        <f>M12*'N2O default values'!$E$5</f>
        <v>0.23526436506122439</v>
      </c>
      <c r="N27" s="5"/>
      <c r="O27" s="5"/>
      <c r="P27" s="5">
        <f>P12*'N2O default values'!$E$5</f>
        <v>0.80024523702244876</v>
      </c>
      <c r="Q27" s="5">
        <f>Q12*'N2O default values'!$E$5</f>
        <v>0.29064014234693897</v>
      </c>
      <c r="R27" s="5">
        <f>R12*'N2O default values'!$E$5</f>
        <v>0.32049575081632681</v>
      </c>
      <c r="S27" s="5">
        <f>S12*'N2O default values'!$E$5</f>
        <v>9.9965819956145993E-2</v>
      </c>
      <c r="T27" s="5">
        <f>T12*'N2O default values'!$E$5</f>
        <v>8.1632179469389998E-3</v>
      </c>
    </row>
    <row r="28" spans="1:20" x14ac:dyDescent="0.25">
      <c r="A28" t="s">
        <v>409</v>
      </c>
      <c r="B28" s="5">
        <f>B19*'N2O default values'!$E$3</f>
        <v>0.22568519999999997</v>
      </c>
      <c r="C28" s="217">
        <f>C19*'N2O default values'!$E$3</f>
        <v>0.45454080000000002</v>
      </c>
      <c r="D28" s="217">
        <f>D19*'N2O default values'!$E$3</f>
        <v>0.37299900000000002</v>
      </c>
      <c r="E28" s="217">
        <f>E19*'N2O default values'!$E$3</f>
        <v>0.33731712000000014</v>
      </c>
      <c r="F28" s="217">
        <f>F19*'N2O default values'!$E$3</f>
        <v>0.45454080000000002</v>
      </c>
      <c r="H28" s="5"/>
      <c r="I28" s="217">
        <f>I19*'N2O default values'!$E$3</f>
        <v>0.22568519999999997</v>
      </c>
      <c r="J28" s="217">
        <f>J19*'N2O default values'!$E$3</f>
        <v>0.45454080000000002</v>
      </c>
      <c r="K28" s="217">
        <f>K19*'N2O default values'!$E$3</f>
        <v>0.37299900000000002</v>
      </c>
      <c r="L28" s="217">
        <f>L19*'N2O default values'!$E$3</f>
        <v>0.46982208000000009</v>
      </c>
      <c r="M28" s="217">
        <f>M19*'N2O default values'!$E$3</f>
        <v>0.48166372800000001</v>
      </c>
      <c r="N28" s="5"/>
      <c r="O28" s="5"/>
      <c r="P28" s="217">
        <f>P19*'N2O default values'!$E$3</f>
        <v>0.22568519999999997</v>
      </c>
      <c r="Q28" s="217">
        <f>Q19*'N2O default values'!$E$3</f>
        <v>0.45454080000000002</v>
      </c>
      <c r="R28" s="217">
        <f>R19*'N2O default values'!$E$3</f>
        <v>0.37299900000000002</v>
      </c>
      <c r="S28" s="217">
        <f>S19*'N2O default values'!$E$3</f>
        <v>0.58727759999999996</v>
      </c>
      <c r="T28" s="217">
        <f>T19*'N2O default values'!$E$3</f>
        <v>0.35658426719999997</v>
      </c>
    </row>
    <row r="29" spans="1:20" x14ac:dyDescent="0.25">
      <c r="M29" s="5"/>
      <c r="S29" s="5"/>
      <c r="T29" s="5"/>
    </row>
    <row r="30" spans="1:20" x14ac:dyDescent="0.25">
      <c r="A30" t="s">
        <v>367</v>
      </c>
      <c r="M30" s="5"/>
      <c r="S30" s="5"/>
      <c r="T30" s="5"/>
    </row>
    <row r="31" spans="1:20" x14ac:dyDescent="0.25">
      <c r="A31">
        <f>SUM(B31:F31)</f>
        <v>28.767984949388048</v>
      </c>
      <c r="B31">
        <f>SUM(B25:B28)*'N2O default values'!$G$2</f>
        <v>7.6519962153209899</v>
      </c>
      <c r="C31" s="5">
        <f>SUM(C25:C28)*'N2O default values'!$G$2</f>
        <v>5.4715468379737615</v>
      </c>
      <c r="D31" s="5">
        <f>SUM(D25:D28)*'N2O default values'!$G$2</f>
        <v>4.2586024655685124</v>
      </c>
      <c r="E31" s="5">
        <f>SUM(E25:E28)*'N2O default values'!$G$2</f>
        <v>5.6672561439358606</v>
      </c>
      <c r="F31" s="5">
        <f>SUM(F25:F28)*'N2O default values'!$G$2</f>
        <v>5.7185832865889203</v>
      </c>
      <c r="H31" s="5">
        <f>SUM(I31:M31)</f>
        <v>22.056582488429505</v>
      </c>
      <c r="I31" s="5">
        <f>SUM(I25:I28)*'N2O default values'!$G$2</f>
        <v>7.6519962153209899</v>
      </c>
      <c r="J31" s="5">
        <f>SUM(J25:J28)*'N2O default values'!$G$2</f>
        <v>5.4715468379737615</v>
      </c>
      <c r="K31" s="5">
        <f>SUM(K25:K28)*'N2O default values'!$G$2</f>
        <v>4.2586024655685124</v>
      </c>
      <c r="L31" s="5">
        <f>SUM(L25:L28)*'N2O default values'!$G$2</f>
        <v>1.7370785376128872</v>
      </c>
      <c r="M31" s="5">
        <f>SUM(M25:M28)*'N2O default values'!$G$2</f>
        <v>2.9373584319533528</v>
      </c>
      <c r="N31" s="5"/>
      <c r="O31" s="5">
        <f>SUM(P31:T31)</f>
        <v>21.598407655453826</v>
      </c>
      <c r="P31" s="5">
        <f>SUM(P25:P28)*'N2O default values'!$G$2</f>
        <v>7.6519962153209899</v>
      </c>
      <c r="Q31" s="5">
        <f>SUM(Q25:Q28)*'N2O default values'!$G$2</f>
        <v>5.4715468379737615</v>
      </c>
      <c r="R31" s="5">
        <f>SUM(R25:R28)*'N2O default values'!$G$2</f>
        <v>4.2586024655685124</v>
      </c>
      <c r="S31" s="5">
        <f>SUM(S25:S28)*'N2O default values'!$G$2</f>
        <v>1.0799539456453722</v>
      </c>
      <c r="T31" s="5">
        <f>SUM(T25:T28)*'N2O default values'!$G$2</f>
        <v>3.1363081909451895</v>
      </c>
    </row>
    <row r="34" spans="9:10" x14ac:dyDescent="0.25">
      <c r="I34" s="217"/>
      <c r="J34" s="217"/>
    </row>
    <row r="35" spans="9:10" x14ac:dyDescent="0.25">
      <c r="I35" s="217"/>
      <c r="J35" s="217"/>
    </row>
    <row r="36" spans="9:10" x14ac:dyDescent="0.25">
      <c r="I36" s="217"/>
      <c r="J36" s="217"/>
    </row>
    <row r="37" spans="9:10" x14ac:dyDescent="0.25">
      <c r="I37" s="217"/>
      <c r="J37" s="21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K16" sqref="K16"/>
    </sheetView>
  </sheetViews>
  <sheetFormatPr baseColWidth="10" defaultColWidth="9.140625" defaultRowHeight="15" x14ac:dyDescent="0.25"/>
  <cols>
    <col min="1" max="1" width="9.140625" style="5"/>
    <col min="2" max="2" width="17.7109375" style="5" bestFit="1" customWidth="1"/>
    <col min="3" max="10" width="9.140625" style="5"/>
    <col min="11" max="11" width="41.7109375" style="5" customWidth="1"/>
    <col min="12" max="12" width="7" style="5" customWidth="1"/>
    <col min="13" max="13" width="14.140625" style="5" bestFit="1" customWidth="1"/>
    <col min="14" max="14" width="41.85546875" style="5" customWidth="1"/>
    <col min="15" max="19" width="30.7109375" style="5" customWidth="1"/>
    <col min="20" max="16384" width="9.140625" style="5"/>
  </cols>
  <sheetData>
    <row r="1" spans="1:21" ht="45" x14ac:dyDescent="0.25">
      <c r="A1" s="5">
        <v>1</v>
      </c>
      <c r="C1" s="5" t="s">
        <v>357</v>
      </c>
      <c r="D1" s="5" t="s">
        <v>358</v>
      </c>
      <c r="G1" s="5" t="s">
        <v>410</v>
      </c>
      <c r="I1" s="5" t="s">
        <v>366</v>
      </c>
      <c r="K1" s="6"/>
      <c r="M1" s="5" t="s">
        <v>399</v>
      </c>
      <c r="N1" s="5" t="s">
        <v>398</v>
      </c>
      <c r="O1" s="40" t="s">
        <v>372</v>
      </c>
      <c r="P1" s="40" t="s">
        <v>373</v>
      </c>
      <c r="Q1" s="40" t="s">
        <v>374</v>
      </c>
      <c r="R1" s="40" t="s">
        <v>375</v>
      </c>
      <c r="S1" s="40" t="s">
        <v>376</v>
      </c>
      <c r="T1" s="40" t="s">
        <v>401</v>
      </c>
      <c r="U1" s="40" t="s">
        <v>405</v>
      </c>
    </row>
    <row r="2" spans="1:21" x14ac:dyDescent="0.25">
      <c r="A2" s="5">
        <v>2</v>
      </c>
      <c r="B2" s="5" t="s">
        <v>359</v>
      </c>
      <c r="C2" s="5">
        <v>1.6E-2</v>
      </c>
      <c r="D2" s="5">
        <v>5.0000000000000001E-3</v>
      </c>
      <c r="E2" s="5">
        <f>HLOOKUP('N2O calculations'!$B$6,$B$1:$D$10,A2)</f>
        <v>1.6E-2</v>
      </c>
      <c r="G2" s="5">
        <f>44/28</f>
        <v>1.5714285714285714</v>
      </c>
      <c r="I2" s="5" t="s">
        <v>363</v>
      </c>
      <c r="J2" s="5">
        <v>0.15</v>
      </c>
      <c r="K2" s="213" t="s">
        <v>415</v>
      </c>
      <c r="L2" s="214">
        <v>0.15</v>
      </c>
      <c r="M2" s="5">
        <v>1</v>
      </c>
      <c r="N2" s="40" t="s">
        <v>377</v>
      </c>
      <c r="O2" s="40">
        <v>8.0000000000000002E-3</v>
      </c>
      <c r="P2" s="40">
        <v>8.9999999999999993E-3</v>
      </c>
      <c r="Q2" s="40">
        <v>1</v>
      </c>
      <c r="R2" s="40">
        <v>0.22</v>
      </c>
      <c r="S2" s="40">
        <v>0.85</v>
      </c>
      <c r="T2" s="40">
        <v>1</v>
      </c>
      <c r="U2" s="5">
        <f>S2</f>
        <v>0.85</v>
      </c>
    </row>
    <row r="3" spans="1:21" x14ac:dyDescent="0.25">
      <c r="A3" s="5">
        <v>3</v>
      </c>
      <c r="B3" s="5" t="s">
        <v>360</v>
      </c>
      <c r="C3" s="5">
        <v>6.0000000000000001E-3</v>
      </c>
      <c r="D3" s="5">
        <v>5.0000000000000001E-3</v>
      </c>
      <c r="E3" s="5">
        <f>HLOOKUP('N2O calculations'!$B$6,$B$1:$D$10,A3)</f>
        <v>6.0000000000000001E-3</v>
      </c>
      <c r="I3" s="5" t="s">
        <v>365</v>
      </c>
      <c r="J3" s="5">
        <v>0.08</v>
      </c>
      <c r="K3" s="215" t="s">
        <v>416</v>
      </c>
      <c r="L3" s="214">
        <v>0.08</v>
      </c>
      <c r="M3" s="5">
        <v>2</v>
      </c>
      <c r="N3" s="5" t="s">
        <v>378</v>
      </c>
      <c r="O3" s="5">
        <v>6.0000000000000001E-3</v>
      </c>
      <c r="P3" s="5">
        <v>8.9999999999999993E-3</v>
      </c>
      <c r="Q3" s="5">
        <v>1.3</v>
      </c>
      <c r="R3" s="5">
        <v>0.22</v>
      </c>
      <c r="S3" s="5">
        <v>0.88</v>
      </c>
      <c r="T3" s="40">
        <v>1</v>
      </c>
      <c r="U3" s="5">
        <f t="shared" ref="U3:U22" si="0">S3</f>
        <v>0.88</v>
      </c>
    </row>
    <row r="4" spans="1:21" x14ac:dyDescent="0.25">
      <c r="A4" s="5">
        <v>4</v>
      </c>
      <c r="B4" s="5" t="s">
        <v>369</v>
      </c>
      <c r="C4" s="5">
        <v>1.4E-2</v>
      </c>
      <c r="D4" s="5">
        <v>5.0000000000000001E-3</v>
      </c>
      <c r="E4" s="5">
        <f>HLOOKUP('N2O calculations'!$B$6,$B$1:$D$10,A4)</f>
        <v>1.4E-2</v>
      </c>
      <c r="I4" s="5" t="s">
        <v>364</v>
      </c>
      <c r="J4" s="5">
        <v>0.01</v>
      </c>
      <c r="K4" s="215" t="s">
        <v>417</v>
      </c>
      <c r="L4" s="214">
        <v>0.01</v>
      </c>
      <c r="M4" s="5">
        <v>3</v>
      </c>
      <c r="N4" s="5" t="s">
        <v>379</v>
      </c>
      <c r="O4" s="5">
        <v>6.0000000000000001E-3</v>
      </c>
      <c r="P4" s="5">
        <v>8.9999999999999993E-3</v>
      </c>
      <c r="Q4" s="5">
        <v>1.3</v>
      </c>
      <c r="R4" s="5">
        <v>0.23</v>
      </c>
      <c r="S4" s="5">
        <v>0.89</v>
      </c>
      <c r="T4" s="40">
        <v>1</v>
      </c>
      <c r="U4" s="5">
        <f t="shared" si="0"/>
        <v>0.89</v>
      </c>
    </row>
    <row r="5" spans="1:21" x14ac:dyDescent="0.25">
      <c r="A5" s="5">
        <v>5</v>
      </c>
      <c r="B5" s="5" t="s">
        <v>370</v>
      </c>
      <c r="E5" s="5">
        <v>1.0999999999999999E-2</v>
      </c>
      <c r="I5" s="228" t="s">
        <v>168</v>
      </c>
      <c r="J5" s="228">
        <v>0.05</v>
      </c>
      <c r="K5" s="216" t="s">
        <v>418</v>
      </c>
      <c r="L5" s="216">
        <v>0.05</v>
      </c>
      <c r="M5" s="5">
        <v>4</v>
      </c>
      <c r="N5" s="5" t="s">
        <v>380</v>
      </c>
      <c r="O5" s="5">
        <v>6.0000000000000001E-3</v>
      </c>
      <c r="P5" s="5">
        <v>8.9999999999999993E-3</v>
      </c>
      <c r="Q5" s="5">
        <v>1.3</v>
      </c>
      <c r="R5" s="5">
        <v>0.28000000000000003</v>
      </c>
      <c r="S5" s="5">
        <v>0.89</v>
      </c>
      <c r="T5" s="40">
        <v>1</v>
      </c>
      <c r="U5" s="5">
        <f t="shared" si="0"/>
        <v>0.89</v>
      </c>
    </row>
    <row r="6" spans="1:21" x14ac:dyDescent="0.25">
      <c r="A6" s="5">
        <v>6</v>
      </c>
      <c r="I6" s="228" t="s">
        <v>112</v>
      </c>
      <c r="J6" s="228">
        <v>0.05</v>
      </c>
      <c r="K6" s="216" t="s">
        <v>419</v>
      </c>
      <c r="L6" s="216">
        <v>0.11</v>
      </c>
      <c r="M6" s="5">
        <v>5</v>
      </c>
      <c r="N6" s="5" t="s">
        <v>381</v>
      </c>
      <c r="O6" s="5">
        <v>7.0000000000000001E-3</v>
      </c>
      <c r="P6" s="5">
        <v>1.4E-2</v>
      </c>
      <c r="Q6" s="5">
        <v>1.2</v>
      </c>
      <c r="R6" s="5">
        <v>0.22</v>
      </c>
      <c r="S6" s="5">
        <v>0.89</v>
      </c>
      <c r="T6" s="40">
        <v>1</v>
      </c>
      <c r="U6" s="5">
        <f t="shared" si="0"/>
        <v>0.89</v>
      </c>
    </row>
    <row r="7" spans="1:21" x14ac:dyDescent="0.25">
      <c r="A7" s="5">
        <v>7</v>
      </c>
      <c r="I7" s="228" t="s">
        <v>198</v>
      </c>
      <c r="J7" s="228">
        <v>0.21</v>
      </c>
      <c r="K7" s="217" t="s">
        <v>533</v>
      </c>
      <c r="M7" s="5">
        <v>6</v>
      </c>
      <c r="N7" s="5" t="s">
        <v>382</v>
      </c>
      <c r="O7" s="5">
        <v>7.0000000000000001E-3</v>
      </c>
      <c r="P7" s="5">
        <v>8.0000000000000002E-3</v>
      </c>
      <c r="Q7" s="5">
        <v>1.3</v>
      </c>
      <c r="R7" s="5">
        <v>0.25</v>
      </c>
      <c r="S7" s="5">
        <v>0.89</v>
      </c>
      <c r="T7" s="40">
        <v>1</v>
      </c>
      <c r="U7" s="5">
        <f t="shared" si="0"/>
        <v>0.89</v>
      </c>
    </row>
    <row r="8" spans="1:21" x14ac:dyDescent="0.25">
      <c r="A8" s="5">
        <v>8</v>
      </c>
      <c r="I8" s="228" t="s">
        <v>179</v>
      </c>
      <c r="J8" s="228">
        <v>0.05</v>
      </c>
      <c r="M8" s="5">
        <v>7</v>
      </c>
      <c r="N8" s="5" t="s">
        <v>383</v>
      </c>
      <c r="O8" s="5">
        <v>6.0000000000000001E-3</v>
      </c>
      <c r="P8" s="5">
        <v>7.0000000000000001E-3</v>
      </c>
      <c r="Q8" s="5">
        <v>1</v>
      </c>
      <c r="R8" s="5">
        <v>0.22</v>
      </c>
      <c r="S8" s="5">
        <v>0.87</v>
      </c>
      <c r="T8" s="40">
        <v>1</v>
      </c>
      <c r="U8" s="5">
        <f t="shared" si="0"/>
        <v>0.87</v>
      </c>
    </row>
    <row r="9" spans="1:21" x14ac:dyDescent="0.25">
      <c r="A9" s="5">
        <v>9</v>
      </c>
      <c r="I9" s="5" t="s">
        <v>420</v>
      </c>
      <c r="J9" s="5">
        <v>0.05</v>
      </c>
      <c r="M9" s="5">
        <v>8</v>
      </c>
      <c r="N9" s="5" t="s">
        <v>384</v>
      </c>
      <c r="O9" s="5">
        <v>5.0000000000000001E-3</v>
      </c>
      <c r="P9" s="5">
        <v>1.0999999999999999E-2</v>
      </c>
      <c r="Q9" s="5">
        <v>1.6</v>
      </c>
      <c r="R9" s="211">
        <f>R2</f>
        <v>0.22</v>
      </c>
      <c r="S9" s="5">
        <v>0.88</v>
      </c>
      <c r="T9" s="40">
        <v>1</v>
      </c>
      <c r="U9" s="5">
        <f t="shared" si="0"/>
        <v>0.88</v>
      </c>
    </row>
    <row r="10" spans="1:21" x14ac:dyDescent="0.25">
      <c r="A10" s="5">
        <v>10</v>
      </c>
      <c r="I10" s="5" t="s">
        <v>421</v>
      </c>
      <c r="J10" s="5">
        <v>0.05</v>
      </c>
      <c r="M10" s="5">
        <v>9</v>
      </c>
      <c r="N10" s="5" t="s">
        <v>385</v>
      </c>
      <c r="O10" s="5">
        <v>7.0000000000000001E-3</v>
      </c>
      <c r="P10" s="211">
        <f>P2</f>
        <v>8.9999999999999993E-3</v>
      </c>
      <c r="Q10" s="5">
        <v>1.4</v>
      </c>
      <c r="R10" s="5">
        <v>0.16</v>
      </c>
      <c r="S10" s="5">
        <v>0.89</v>
      </c>
      <c r="T10" s="40">
        <v>1</v>
      </c>
      <c r="U10" s="5">
        <f t="shared" si="0"/>
        <v>0.89</v>
      </c>
    </row>
    <row r="11" spans="1:21" x14ac:dyDescent="0.25">
      <c r="I11" s="5" t="s">
        <v>422</v>
      </c>
      <c r="J11" s="192">
        <v>0.11</v>
      </c>
      <c r="M11" s="5">
        <v>10</v>
      </c>
      <c r="N11" s="5" t="s">
        <v>386</v>
      </c>
      <c r="O11" s="5">
        <v>7.0000000000000001E-3</v>
      </c>
      <c r="P11" s="211">
        <f>P2</f>
        <v>8.9999999999999993E-3</v>
      </c>
      <c r="Q11" s="5">
        <v>1.4</v>
      </c>
      <c r="R11" s="211">
        <f>R2</f>
        <v>0.22</v>
      </c>
      <c r="S11" s="169">
        <v>0.9</v>
      </c>
      <c r="T11" s="40">
        <v>1</v>
      </c>
      <c r="U11" s="5">
        <f t="shared" si="0"/>
        <v>0.9</v>
      </c>
    </row>
    <row r="12" spans="1:21" x14ac:dyDescent="0.25">
      <c r="I12" s="5" t="s">
        <v>423</v>
      </c>
      <c r="J12" s="192">
        <v>0.08</v>
      </c>
      <c r="M12" s="5">
        <v>11</v>
      </c>
      <c r="N12" s="5" t="s">
        <v>387</v>
      </c>
      <c r="O12" s="5">
        <v>7.0000000000000001E-3</v>
      </c>
      <c r="P12" s="5">
        <v>6.0000000000000001E-3</v>
      </c>
      <c r="Q12" s="5">
        <v>1.4</v>
      </c>
      <c r="R12" s="211">
        <f>R2</f>
        <v>0.22</v>
      </c>
      <c r="S12" s="5">
        <v>0.89</v>
      </c>
      <c r="T12" s="40">
        <v>1</v>
      </c>
      <c r="U12" s="5">
        <f t="shared" si="0"/>
        <v>0.89</v>
      </c>
    </row>
    <row r="13" spans="1:21" x14ac:dyDescent="0.25">
      <c r="I13" s="5" t="s">
        <v>424</v>
      </c>
      <c r="J13" s="5">
        <v>0.11</v>
      </c>
      <c r="M13" s="5">
        <v>12</v>
      </c>
      <c r="N13" s="5" t="s">
        <v>388</v>
      </c>
      <c r="O13" s="5">
        <v>8.0000000000000002E-3</v>
      </c>
      <c r="P13" s="5">
        <v>8.0000000000000002E-3</v>
      </c>
      <c r="Q13" s="5">
        <v>2.1</v>
      </c>
      <c r="R13" s="5">
        <v>0.19</v>
      </c>
      <c r="S13" s="5">
        <v>0.91</v>
      </c>
      <c r="T13" s="40">
        <v>1</v>
      </c>
      <c r="U13" s="5">
        <f t="shared" si="0"/>
        <v>0.91</v>
      </c>
    </row>
    <row r="14" spans="1:21" x14ac:dyDescent="0.25">
      <c r="I14" s="5" t="s">
        <v>425</v>
      </c>
      <c r="J14" s="5">
        <v>0.05</v>
      </c>
      <c r="M14" s="5">
        <v>13</v>
      </c>
      <c r="N14" s="5" t="s">
        <v>389</v>
      </c>
      <c r="O14" s="5">
        <v>8.0000000000000002E-3</v>
      </c>
      <c r="P14" s="5">
        <v>8.0000000000000002E-3</v>
      </c>
      <c r="Q14" s="5">
        <v>2.1</v>
      </c>
      <c r="R14" s="5">
        <v>0.19</v>
      </c>
      <c r="S14" s="5">
        <v>0.91</v>
      </c>
      <c r="T14" s="40">
        <v>1</v>
      </c>
      <c r="U14" s="5">
        <f t="shared" si="0"/>
        <v>0.91</v>
      </c>
    </row>
    <row r="15" spans="1:21" x14ac:dyDescent="0.25">
      <c r="I15" s="5" t="s">
        <v>427</v>
      </c>
      <c r="J15" s="5">
        <v>0.15</v>
      </c>
      <c r="M15" s="5">
        <v>14</v>
      </c>
      <c r="N15" s="5" t="s">
        <v>390</v>
      </c>
      <c r="O15" s="5">
        <v>1.9E-2</v>
      </c>
      <c r="P15" s="5">
        <v>1.4E-2</v>
      </c>
      <c r="Q15" s="5">
        <v>0.4</v>
      </c>
      <c r="R15" s="5">
        <v>0.2</v>
      </c>
      <c r="S15" s="5">
        <v>0.22</v>
      </c>
      <c r="T15" s="40">
        <v>1</v>
      </c>
      <c r="U15" s="5">
        <f t="shared" si="0"/>
        <v>0.22</v>
      </c>
    </row>
    <row r="16" spans="1:21" x14ac:dyDescent="0.25">
      <c r="I16" s="5" t="s">
        <v>428</v>
      </c>
      <c r="J16" s="5">
        <v>0.11</v>
      </c>
      <c r="M16" s="5">
        <v>15</v>
      </c>
      <c r="N16" s="5" t="s">
        <v>391</v>
      </c>
      <c r="O16" s="5">
        <v>1.6E-2</v>
      </c>
      <c r="P16" s="211">
        <f>P2</f>
        <v>8.9999999999999993E-3</v>
      </c>
      <c r="Q16" s="5">
        <v>1</v>
      </c>
      <c r="R16" s="211">
        <f>R2</f>
        <v>0.22</v>
      </c>
      <c r="S16" s="5">
        <v>0.94</v>
      </c>
      <c r="T16" s="40">
        <v>1</v>
      </c>
      <c r="U16" s="5">
        <f t="shared" si="0"/>
        <v>0.94</v>
      </c>
    </row>
    <row r="17" spans="9:21" x14ac:dyDescent="0.25">
      <c r="I17" s="5" t="s">
        <v>429</v>
      </c>
      <c r="J17" s="5">
        <v>0.08</v>
      </c>
      <c r="M17" s="5">
        <v>16</v>
      </c>
      <c r="N17" s="5" t="s">
        <v>392</v>
      </c>
      <c r="O17" s="5">
        <v>2.7E-2</v>
      </c>
      <c r="P17" s="5">
        <v>1.9E-2</v>
      </c>
      <c r="Q17" s="211">
        <f>Q$2</f>
        <v>1</v>
      </c>
      <c r="R17" s="5">
        <v>0.4</v>
      </c>
      <c r="S17" s="5">
        <v>0.9</v>
      </c>
      <c r="T17" s="40">
        <v>1</v>
      </c>
      <c r="U17" s="5">
        <f t="shared" si="0"/>
        <v>0.9</v>
      </c>
    </row>
    <row r="18" spans="9:21" x14ac:dyDescent="0.25">
      <c r="I18" s="5" t="s">
        <v>430</v>
      </c>
      <c r="J18" s="5">
        <v>0.11</v>
      </c>
      <c r="M18" s="5">
        <v>17</v>
      </c>
      <c r="N18" s="5" t="s">
        <v>393</v>
      </c>
      <c r="O18" s="5">
        <v>1.4999999999999999E-2</v>
      </c>
      <c r="P18" s="5">
        <v>1.2E-2</v>
      </c>
      <c r="Q18" s="211">
        <f>Q$2</f>
        <v>1</v>
      </c>
      <c r="R18" s="5">
        <v>0.54</v>
      </c>
      <c r="S18" s="5">
        <v>0.9</v>
      </c>
      <c r="T18" s="40"/>
      <c r="U18" s="5">
        <f t="shared" si="0"/>
        <v>0.9</v>
      </c>
    </row>
    <row r="19" spans="9:21" x14ac:dyDescent="0.25">
      <c r="I19" s="5" t="s">
        <v>433</v>
      </c>
      <c r="J19" s="5">
        <v>0.05</v>
      </c>
      <c r="M19" s="5">
        <v>18</v>
      </c>
      <c r="N19" s="5" t="s">
        <v>394</v>
      </c>
      <c r="O19" s="5">
        <v>2.7E-2</v>
      </c>
      <c r="P19" s="5">
        <v>2.1999999999999999E-2</v>
      </c>
      <c r="Q19" s="5">
        <v>0.3</v>
      </c>
      <c r="R19" s="5">
        <v>0.4</v>
      </c>
      <c r="S19" s="5">
        <v>0.9</v>
      </c>
      <c r="T19" s="40"/>
      <c r="U19" s="5">
        <f t="shared" si="0"/>
        <v>0.9</v>
      </c>
    </row>
    <row r="20" spans="9:21" x14ac:dyDescent="0.25">
      <c r="I20" s="5" t="s">
        <v>434</v>
      </c>
      <c r="J20" s="5">
        <v>0.08</v>
      </c>
      <c r="M20" s="5">
        <v>19</v>
      </c>
      <c r="N20" s="5" t="s">
        <v>396</v>
      </c>
      <c r="O20" s="5">
        <v>1.4999999999999999E-2</v>
      </c>
      <c r="P20" s="5">
        <v>1.2E-2</v>
      </c>
      <c r="Q20" s="5">
        <v>0.3</v>
      </c>
      <c r="R20" s="5">
        <v>0.54</v>
      </c>
      <c r="S20" s="5">
        <v>0.9</v>
      </c>
      <c r="T20" s="40"/>
      <c r="U20" s="5">
        <f t="shared" si="0"/>
        <v>0.9</v>
      </c>
    </row>
    <row r="21" spans="9:21" x14ac:dyDescent="0.25">
      <c r="I21" s="5" t="s">
        <v>435</v>
      </c>
      <c r="J21" s="5">
        <v>0.05</v>
      </c>
      <c r="M21" s="5">
        <v>20</v>
      </c>
      <c r="N21" s="5" t="s">
        <v>395</v>
      </c>
      <c r="O21" s="5">
        <v>1.4999999999999999E-2</v>
      </c>
      <c r="P21" s="5">
        <v>1.2E-2</v>
      </c>
      <c r="Q21" s="5">
        <v>0.3</v>
      </c>
      <c r="R21" s="5">
        <v>0.8</v>
      </c>
      <c r="S21" s="5">
        <v>0.9</v>
      </c>
      <c r="T21" s="40"/>
      <c r="U21" s="5">
        <f t="shared" si="0"/>
        <v>0.9</v>
      </c>
    </row>
    <row r="22" spans="9:21" x14ac:dyDescent="0.25">
      <c r="I22" s="5" t="s">
        <v>436</v>
      </c>
      <c r="J22" s="5">
        <v>0.11</v>
      </c>
      <c r="M22" s="5">
        <v>21</v>
      </c>
      <c r="N22" s="5" t="s">
        <v>397</v>
      </c>
      <c r="O22" s="5">
        <v>2.5000000000000001E-2</v>
      </c>
      <c r="P22" s="5">
        <v>1.6E-2</v>
      </c>
      <c r="Q22" s="5">
        <v>0.3</v>
      </c>
      <c r="R22" s="5">
        <v>0.8</v>
      </c>
      <c r="S22" s="5">
        <v>0.9</v>
      </c>
      <c r="T22" s="40"/>
      <c r="U22" s="5">
        <f t="shared" si="0"/>
        <v>0.9</v>
      </c>
    </row>
    <row r="23" spans="9:21" x14ac:dyDescent="0.25">
      <c r="I23" s="5" t="s">
        <v>437</v>
      </c>
      <c r="J23" s="5">
        <v>0.08</v>
      </c>
    </row>
    <row r="24" spans="9:21" x14ac:dyDescent="0.25">
      <c r="I24" s="5" t="s">
        <v>438</v>
      </c>
      <c r="J24" s="5">
        <v>0.01</v>
      </c>
    </row>
    <row r="25" spans="9:21" x14ac:dyDescent="0.25">
      <c r="I25" s="5" t="s">
        <v>439</v>
      </c>
      <c r="J25" s="5">
        <v>0.15</v>
      </c>
    </row>
    <row r="26" spans="9:21" x14ac:dyDescent="0.25">
      <c r="I26" s="5" t="s">
        <v>440</v>
      </c>
      <c r="J26" s="5">
        <v>0.05</v>
      </c>
    </row>
    <row r="27" spans="9:21" x14ac:dyDescent="0.25">
      <c r="I27" s="5" t="s">
        <v>441</v>
      </c>
      <c r="J27" s="5">
        <v>0.05</v>
      </c>
    </row>
    <row r="28" spans="9:21" x14ac:dyDescent="0.25">
      <c r="I28" s="5" t="s">
        <v>442</v>
      </c>
      <c r="J28" s="5">
        <v>0.08</v>
      </c>
    </row>
    <row r="29" spans="9:21" x14ac:dyDescent="0.25">
      <c r="I29" s="5" t="s">
        <v>443</v>
      </c>
      <c r="J29" s="5">
        <v>0.11</v>
      </c>
    </row>
    <row r="30" spans="9:21" x14ac:dyDescent="0.25">
      <c r="I30" s="5" t="s">
        <v>19</v>
      </c>
      <c r="J30" s="5">
        <v>0.21</v>
      </c>
    </row>
    <row r="31" spans="9:21" x14ac:dyDescent="0.25">
      <c r="I31" s="217" t="s">
        <v>444</v>
      </c>
      <c r="J31" s="217">
        <v>0.08</v>
      </c>
    </row>
    <row r="32" spans="9:21" x14ac:dyDescent="0.25">
      <c r="I32" s="217" t="s">
        <v>445</v>
      </c>
      <c r="J32" s="217">
        <v>0.05</v>
      </c>
    </row>
    <row r="33" spans="9:10" x14ac:dyDescent="0.25">
      <c r="I33" s="217" t="s">
        <v>446</v>
      </c>
      <c r="J33" s="217">
        <v>0.08</v>
      </c>
    </row>
    <row r="34" spans="9:10" x14ac:dyDescent="0.25">
      <c r="I34" s="217" t="s">
        <v>447</v>
      </c>
      <c r="J34" s="217">
        <v>0.15</v>
      </c>
    </row>
    <row r="35" spans="9:10" x14ac:dyDescent="0.25">
      <c r="I35" s="217" t="s">
        <v>448</v>
      </c>
      <c r="J35" s="217">
        <v>0.21</v>
      </c>
    </row>
    <row r="36" spans="9:10" x14ac:dyDescent="0.25">
      <c r="I36" s="217" t="s">
        <v>449</v>
      </c>
      <c r="J36" s="217">
        <v>0.11</v>
      </c>
    </row>
    <row r="37" spans="9:10" x14ac:dyDescent="0.25">
      <c r="I37" s="217" t="s">
        <v>450</v>
      </c>
      <c r="J37" s="217">
        <v>0.11</v>
      </c>
    </row>
    <row r="38" spans="9:10" x14ac:dyDescent="0.25">
      <c r="I38" s="217" t="s">
        <v>453</v>
      </c>
      <c r="J38" s="217">
        <v>0.11</v>
      </c>
    </row>
    <row r="39" spans="9:10" x14ac:dyDescent="0.25">
      <c r="I39" s="217" t="s">
        <v>455</v>
      </c>
      <c r="J39" s="5">
        <v>0.05</v>
      </c>
    </row>
    <row r="40" spans="9:10" x14ac:dyDescent="0.25">
      <c r="I40" s="217" t="s">
        <v>456</v>
      </c>
      <c r="J40" s="5">
        <v>0.05</v>
      </c>
    </row>
    <row r="41" spans="9:10" x14ac:dyDescent="0.25">
      <c r="I41" s="5" t="s">
        <v>458</v>
      </c>
      <c r="J41" s="5">
        <v>0.08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B26" sqref="B26"/>
    </sheetView>
  </sheetViews>
  <sheetFormatPr baseColWidth="10" defaultColWidth="9.140625" defaultRowHeight="15" x14ac:dyDescent="0.25"/>
  <cols>
    <col min="1" max="1" width="18" customWidth="1"/>
  </cols>
  <sheetData>
    <row r="1" spans="1:6" s="5" customFormat="1" x14ac:dyDescent="0.25">
      <c r="A1" s="217" t="s">
        <v>398</v>
      </c>
      <c r="B1" s="217" t="s">
        <v>400</v>
      </c>
      <c r="E1" s="6"/>
    </row>
    <row r="2" spans="1:6" x14ac:dyDescent="0.25">
      <c r="A2" s="205" t="s">
        <v>316</v>
      </c>
      <c r="B2" s="217">
        <v>12</v>
      </c>
      <c r="C2" s="193"/>
      <c r="D2" s="40"/>
      <c r="E2" s="193"/>
      <c r="F2" s="5"/>
    </row>
    <row r="3" spans="1:6" x14ac:dyDescent="0.25">
      <c r="A3" s="204" t="s">
        <v>314</v>
      </c>
      <c r="B3" s="217">
        <v>12</v>
      </c>
      <c r="C3" s="193"/>
      <c r="D3" s="5"/>
      <c r="E3" s="193"/>
      <c r="F3" s="5"/>
    </row>
    <row r="4" spans="1:6" x14ac:dyDescent="0.25">
      <c r="A4" s="204" t="s">
        <v>156</v>
      </c>
      <c r="B4" s="217">
        <v>5</v>
      </c>
      <c r="C4" s="5"/>
      <c r="D4" s="5"/>
      <c r="E4" s="193"/>
      <c r="F4" s="5"/>
    </row>
    <row r="5" spans="1:6" x14ac:dyDescent="0.25">
      <c r="A5" s="204" t="s">
        <v>154</v>
      </c>
      <c r="B5" s="217">
        <v>5</v>
      </c>
      <c r="C5" s="5"/>
      <c r="D5" s="5"/>
      <c r="E5" s="191"/>
      <c r="F5" s="5"/>
    </row>
    <row r="6" spans="1:6" x14ac:dyDescent="0.25">
      <c r="A6" s="204" t="s">
        <v>155</v>
      </c>
      <c r="B6" s="217">
        <v>6</v>
      </c>
      <c r="C6" s="5"/>
      <c r="D6" s="5"/>
      <c r="E6" s="193"/>
      <c r="F6" s="5"/>
    </row>
    <row r="7" spans="1:6" x14ac:dyDescent="0.25">
      <c r="A7" s="204" t="s">
        <v>77</v>
      </c>
      <c r="B7" s="217">
        <v>1</v>
      </c>
      <c r="C7" s="5"/>
      <c r="D7" s="5"/>
      <c r="E7" s="193"/>
      <c r="F7" s="197"/>
    </row>
    <row r="8" spans="1:6" s="5" customFormat="1" x14ac:dyDescent="0.25">
      <c r="A8" s="204" t="s">
        <v>412</v>
      </c>
      <c r="B8" s="217">
        <v>3</v>
      </c>
      <c r="E8" s="193"/>
      <c r="F8" s="197"/>
    </row>
    <row r="9" spans="1:6" x14ac:dyDescent="0.25">
      <c r="A9" s="212" t="s">
        <v>402</v>
      </c>
      <c r="B9" s="217">
        <v>13</v>
      </c>
      <c r="C9" s="193"/>
      <c r="D9" s="5"/>
      <c r="E9" s="193"/>
      <c r="F9" s="5"/>
    </row>
    <row r="10" spans="1:6" x14ac:dyDescent="0.25">
      <c r="A10" s="6" t="s">
        <v>383</v>
      </c>
      <c r="B10" s="217">
        <v>7</v>
      </c>
      <c r="C10" s="193"/>
      <c r="D10" s="5"/>
      <c r="E10" s="193"/>
      <c r="F10" s="5"/>
    </row>
    <row r="11" spans="1:6" x14ac:dyDescent="0.25">
      <c r="A11" s="204" t="s">
        <v>413</v>
      </c>
      <c r="B11" s="217">
        <v>1</v>
      </c>
      <c r="C11" s="5"/>
      <c r="D11" s="5"/>
      <c r="E11" s="193"/>
      <c r="F11" s="5"/>
    </row>
    <row r="12" spans="1:6" x14ac:dyDescent="0.25">
      <c r="A12" s="36" t="s">
        <v>414</v>
      </c>
      <c r="B12" s="217">
        <v>12</v>
      </c>
      <c r="C12" s="5"/>
      <c r="D12" s="5"/>
      <c r="E12" s="193"/>
      <c r="F12" s="5"/>
    </row>
    <row r="13" spans="1:6" x14ac:dyDescent="0.25">
      <c r="A13" s="204" t="s">
        <v>426</v>
      </c>
      <c r="B13" s="217">
        <v>12</v>
      </c>
      <c r="C13" s="5"/>
      <c r="D13" s="5"/>
      <c r="E13" s="193"/>
      <c r="F13" s="5"/>
    </row>
    <row r="14" spans="1:6" x14ac:dyDescent="0.25">
      <c r="A14" s="40" t="s">
        <v>431</v>
      </c>
      <c r="B14" s="217">
        <v>13</v>
      </c>
      <c r="C14" s="5"/>
      <c r="D14" s="5"/>
      <c r="E14" s="193"/>
      <c r="F14" s="5"/>
    </row>
    <row r="15" spans="1:6" x14ac:dyDescent="0.25">
      <c r="A15" s="40" t="s">
        <v>432</v>
      </c>
      <c r="B15" s="217">
        <v>7</v>
      </c>
      <c r="C15" s="5"/>
      <c r="D15" s="5"/>
      <c r="E15" s="193"/>
      <c r="F15" s="5"/>
    </row>
    <row r="16" spans="1:6" x14ac:dyDescent="0.25">
      <c r="A16" s="217" t="s">
        <v>218</v>
      </c>
      <c r="B16" s="217">
        <v>12</v>
      </c>
      <c r="C16" s="5"/>
      <c r="D16" s="5"/>
      <c r="E16" s="193"/>
      <c r="F16" s="5"/>
    </row>
    <row r="17" spans="1:20" x14ac:dyDescent="0.25">
      <c r="A17" s="217" t="s">
        <v>327</v>
      </c>
      <c r="B17" s="217">
        <v>2</v>
      </c>
      <c r="C17" s="5"/>
      <c r="D17" s="5"/>
      <c r="E17" s="193"/>
      <c r="F17" s="5"/>
    </row>
    <row r="18" spans="1:20" x14ac:dyDescent="0.25">
      <c r="A18" s="217" t="s">
        <v>381</v>
      </c>
      <c r="B18" s="217">
        <v>5</v>
      </c>
      <c r="C18" s="5"/>
      <c r="D18" s="5"/>
      <c r="I18" s="5"/>
      <c r="J18" s="5"/>
    </row>
    <row r="19" spans="1:20" x14ac:dyDescent="0.25">
      <c r="A19" s="217" t="s">
        <v>351</v>
      </c>
      <c r="B19" s="217">
        <v>3</v>
      </c>
      <c r="C19" s="5"/>
      <c r="D19" s="5"/>
    </row>
    <row r="20" spans="1:20" x14ac:dyDescent="0.25">
      <c r="A20" s="217" t="s">
        <v>451</v>
      </c>
      <c r="B20" s="217">
        <v>14</v>
      </c>
      <c r="C20" s="5"/>
      <c r="D20" s="5"/>
    </row>
    <row r="21" spans="1:20" x14ac:dyDescent="0.25">
      <c r="A21" t="s">
        <v>452</v>
      </c>
      <c r="B21">
        <v>1</v>
      </c>
      <c r="C21" s="5"/>
      <c r="D21" s="5"/>
      <c r="E21" s="5"/>
      <c r="F21" s="5"/>
    </row>
    <row r="22" spans="1:20" x14ac:dyDescent="0.25">
      <c r="A22" s="217" t="s">
        <v>320</v>
      </c>
      <c r="B22" s="217">
        <v>3</v>
      </c>
      <c r="C22" s="5"/>
      <c r="D22" s="5"/>
    </row>
    <row r="23" spans="1:20" x14ac:dyDescent="0.25">
      <c r="A23" s="217" t="s">
        <v>324</v>
      </c>
      <c r="B23" s="217">
        <v>1</v>
      </c>
      <c r="C23" s="5"/>
      <c r="D23" s="5"/>
    </row>
    <row r="24" spans="1:20" x14ac:dyDescent="0.25">
      <c r="A24" s="217" t="s">
        <v>323</v>
      </c>
      <c r="B24" s="217">
        <v>5</v>
      </c>
      <c r="C24" s="5"/>
      <c r="D24" s="5"/>
      <c r="E24" s="5"/>
      <c r="F24" s="5"/>
      <c r="I24" s="5"/>
      <c r="J24" s="5"/>
      <c r="K24" s="5"/>
      <c r="L24" s="5"/>
      <c r="M24" s="5"/>
      <c r="P24" s="5"/>
      <c r="Q24" s="5"/>
      <c r="R24" s="5"/>
      <c r="S24" s="5"/>
      <c r="T24" s="5"/>
    </row>
    <row r="25" spans="1:20" x14ac:dyDescent="0.25">
      <c r="A25" s="217" t="s">
        <v>321</v>
      </c>
      <c r="B25" s="217">
        <v>2</v>
      </c>
    </row>
    <row r="26" spans="1:20" x14ac:dyDescent="0.25">
      <c r="A26" s="217" t="s">
        <v>326</v>
      </c>
      <c r="B26" s="217">
        <v>12</v>
      </c>
    </row>
    <row r="27" spans="1:20" x14ac:dyDescent="0.25">
      <c r="A27" s="36" t="s">
        <v>454</v>
      </c>
      <c r="B27">
        <v>6</v>
      </c>
    </row>
    <row r="28" spans="1:20" x14ac:dyDescent="0.25">
      <c r="A28" s="36" t="s">
        <v>457</v>
      </c>
      <c r="B28">
        <v>5</v>
      </c>
    </row>
    <row r="34" spans="9:10" x14ac:dyDescent="0.25">
      <c r="I34" s="217"/>
      <c r="J34" s="217"/>
    </row>
    <row r="35" spans="9:10" x14ac:dyDescent="0.25">
      <c r="I35" s="217"/>
      <c r="J35" s="217"/>
    </row>
    <row r="36" spans="9:10" x14ac:dyDescent="0.25">
      <c r="I36" s="217"/>
      <c r="J36" s="217"/>
    </row>
    <row r="37" spans="9:10" x14ac:dyDescent="0.25">
      <c r="I37" s="217"/>
      <c r="J37" s="217"/>
    </row>
  </sheetData>
  <sortState ref="A1:A22">
    <sortCondition ref="A1:A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M22" sqref="M22"/>
    </sheetView>
  </sheetViews>
  <sheetFormatPr baseColWidth="10" defaultColWidth="11.42578125" defaultRowHeight="15" x14ac:dyDescent="0.25"/>
  <sheetData>
    <row r="1" spans="1:7" x14ac:dyDescent="0.25">
      <c r="A1" s="183" t="s">
        <v>291</v>
      </c>
      <c r="B1" s="6"/>
      <c r="C1" s="6"/>
      <c r="D1" s="6"/>
      <c r="E1" s="6"/>
      <c r="F1" s="6"/>
      <c r="G1" s="6"/>
    </row>
    <row r="2" spans="1:7" x14ac:dyDescent="0.25">
      <c r="A2" s="5" t="s">
        <v>299</v>
      </c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183" t="s">
        <v>292</v>
      </c>
      <c r="B4" s="6"/>
      <c r="C4" s="6"/>
      <c r="D4" s="6"/>
      <c r="E4" s="6"/>
      <c r="F4" s="6"/>
      <c r="G4" s="6"/>
    </row>
    <row r="5" spans="1:7" x14ac:dyDescent="0.25">
      <c r="A5" s="184" t="s">
        <v>302</v>
      </c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6" t="s">
        <v>293</v>
      </c>
      <c r="B7" s="6"/>
      <c r="C7" s="6"/>
      <c r="D7" s="6"/>
      <c r="E7" s="6"/>
      <c r="F7" s="6"/>
      <c r="G7" s="6"/>
    </row>
    <row r="8" spans="1:7" x14ac:dyDescent="0.25">
      <c r="A8" s="5" t="s">
        <v>294</v>
      </c>
      <c r="B8" s="5"/>
      <c r="C8" s="5"/>
      <c r="D8" s="5"/>
      <c r="E8" s="5"/>
      <c r="F8" s="5"/>
      <c r="G8" s="5"/>
    </row>
    <row r="9" spans="1:7" x14ac:dyDescent="0.25">
      <c r="A9" s="5" t="s">
        <v>192</v>
      </c>
      <c r="B9" s="185" t="s">
        <v>305</v>
      </c>
      <c r="C9" s="5"/>
      <c r="D9" s="5"/>
      <c r="E9" s="5"/>
      <c r="F9" s="5"/>
      <c r="G9" s="5"/>
    </row>
    <row r="10" spans="1:7" x14ac:dyDescent="0.25">
      <c r="A10" s="5"/>
      <c r="B10" s="188" t="s">
        <v>303</v>
      </c>
      <c r="C10" s="5"/>
      <c r="D10" s="5"/>
      <c r="E10" s="5"/>
      <c r="F10" s="5"/>
      <c r="G10" s="5"/>
    </row>
    <row r="11" spans="1:7" x14ac:dyDescent="0.25">
      <c r="A11" s="5"/>
      <c r="B11" s="5"/>
      <c r="C11" s="5"/>
      <c r="D11" s="5"/>
      <c r="E11" s="5"/>
      <c r="F11" s="5"/>
      <c r="G11" s="5"/>
    </row>
    <row r="12" spans="1:7" x14ac:dyDescent="0.25">
      <c r="A12" s="5" t="s">
        <v>295</v>
      </c>
      <c r="B12" s="5"/>
      <c r="C12" s="5"/>
      <c r="D12" s="5"/>
      <c r="E12" s="5"/>
      <c r="F12" s="5"/>
      <c r="G12" s="5"/>
    </row>
    <row r="13" spans="1:7" x14ac:dyDescent="0.25">
      <c r="A13" s="188" t="s">
        <v>192</v>
      </c>
      <c r="B13" s="185" t="s">
        <v>301</v>
      </c>
      <c r="C13" s="5"/>
      <c r="D13" s="5"/>
      <c r="E13" s="5"/>
      <c r="F13" s="5"/>
      <c r="G13" s="5"/>
    </row>
    <row r="14" spans="1:7" s="5" customFormat="1" x14ac:dyDescent="0.25">
      <c r="B14" s="5" t="s">
        <v>306</v>
      </c>
    </row>
    <row r="15" spans="1:7" x14ac:dyDescent="0.25">
      <c r="A15" s="5"/>
      <c r="B15" s="5"/>
      <c r="C15" s="5"/>
      <c r="D15" s="5"/>
      <c r="E15" s="5"/>
      <c r="F15" s="5"/>
      <c r="G15" s="5"/>
    </row>
    <row r="16" spans="1:7" x14ac:dyDescent="0.25">
      <c r="A16" s="185" t="s">
        <v>296</v>
      </c>
      <c r="B16" s="5"/>
      <c r="C16" s="5"/>
      <c r="D16" s="5"/>
      <c r="E16" s="5"/>
      <c r="F16" s="5"/>
      <c r="G16" s="5"/>
    </row>
    <row r="17" spans="1:7" x14ac:dyDescent="0.25">
      <c r="A17" s="185"/>
      <c r="B17" s="185" t="s">
        <v>304</v>
      </c>
      <c r="C17" s="5"/>
      <c r="D17" s="5"/>
      <c r="E17" s="5"/>
      <c r="F17" s="5"/>
      <c r="G17" s="5"/>
    </row>
    <row r="18" spans="1:7" x14ac:dyDescent="0.25">
      <c r="A18" s="185"/>
      <c r="B18" s="185" t="s">
        <v>297</v>
      </c>
      <c r="C18" s="5"/>
      <c r="D18" s="5"/>
      <c r="E18" s="5"/>
      <c r="F18" s="5"/>
      <c r="G18" s="5"/>
    </row>
    <row r="19" spans="1:7" x14ac:dyDescent="0.25">
      <c r="A19" s="185"/>
      <c r="B19" s="185"/>
      <c r="C19" s="5"/>
      <c r="D19" s="5"/>
      <c r="E19" s="5"/>
      <c r="F19" s="5"/>
      <c r="G19" s="5"/>
    </row>
    <row r="20" spans="1:7" x14ac:dyDescent="0.25">
      <c r="A20" s="6" t="s">
        <v>298</v>
      </c>
      <c r="B20" s="6"/>
      <c r="C20" s="6"/>
      <c r="D20" s="6"/>
      <c r="E20" s="6"/>
      <c r="F20" s="6"/>
      <c r="G20" s="6"/>
    </row>
    <row r="21" spans="1:7" x14ac:dyDescent="0.25">
      <c r="A21" s="5" t="s">
        <v>192</v>
      </c>
      <c r="B21" s="5" t="s">
        <v>300</v>
      </c>
      <c r="C21" s="5"/>
      <c r="D21" s="5"/>
      <c r="E21" s="5"/>
      <c r="F21" s="5"/>
      <c r="G21" s="5"/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39"/>
  <sheetViews>
    <sheetView zoomScale="90" zoomScaleNormal="90" workbookViewId="0">
      <selection activeCell="J26" sqref="J26"/>
    </sheetView>
  </sheetViews>
  <sheetFormatPr baseColWidth="10" defaultColWidth="11.42578125" defaultRowHeight="15" x14ac:dyDescent="0.25"/>
  <cols>
    <col min="1" max="1" width="21" customWidth="1"/>
    <col min="2" max="2" width="61.85546875" customWidth="1"/>
    <col min="3" max="3" width="14.7109375" bestFit="1" customWidth="1"/>
    <col min="4" max="4" width="15.85546875" customWidth="1"/>
    <col min="11" max="11" width="12.28515625" bestFit="1" customWidth="1"/>
  </cols>
  <sheetData>
    <row r="4" spans="1:9" s="5" customFormat="1" x14ac:dyDescent="0.25"/>
    <row r="5" spans="1:9" ht="15" customHeight="1" x14ac:dyDescent="0.25">
      <c r="A5" s="242" t="s">
        <v>61</v>
      </c>
      <c r="B5" s="237" t="s">
        <v>60</v>
      </c>
      <c r="C5" s="241" t="s">
        <v>248</v>
      </c>
      <c r="D5" s="239"/>
      <c r="I5" s="26"/>
    </row>
    <row r="6" spans="1:9" s="5" customFormat="1" ht="18.75" customHeight="1" x14ac:dyDescent="0.25">
      <c r="A6" s="242"/>
      <c r="B6" s="237"/>
      <c r="C6" s="241"/>
      <c r="D6" s="239"/>
      <c r="E6" s="24"/>
      <c r="F6" s="24"/>
    </row>
    <row r="7" spans="1:9" s="5" customFormat="1" ht="18.75" customHeight="1" x14ac:dyDescent="0.25">
      <c r="A7" s="242"/>
      <c r="B7" s="237"/>
      <c r="C7" s="25"/>
      <c r="D7" s="24"/>
      <c r="E7" s="24"/>
      <c r="F7" s="24"/>
    </row>
    <row r="8" spans="1:9" s="5" customFormat="1" ht="18.75" customHeight="1" x14ac:dyDescent="0.25">
      <c r="A8" s="32"/>
      <c r="B8" s="31"/>
      <c r="C8" s="25"/>
      <c r="D8" s="24"/>
      <c r="E8" s="24"/>
      <c r="F8" s="24"/>
    </row>
    <row r="9" spans="1:9" s="5" customFormat="1" ht="18.75" customHeight="1" x14ac:dyDescent="0.25">
      <c r="A9" s="32" t="s">
        <v>62</v>
      </c>
      <c r="B9" s="243" t="s">
        <v>63</v>
      </c>
      <c r="C9" s="25"/>
      <c r="D9" s="24"/>
      <c r="E9" s="24"/>
      <c r="F9" s="24"/>
    </row>
    <row r="10" spans="1:9" x14ac:dyDescent="0.25">
      <c r="A10" s="5"/>
      <c r="B10" s="243"/>
    </row>
    <row r="11" spans="1:9" s="5" customFormat="1" ht="15" customHeight="1" x14ac:dyDescent="0.25">
      <c r="A11" s="238" t="s">
        <v>0</v>
      </c>
      <c r="B11" s="237" t="s">
        <v>64</v>
      </c>
      <c r="C11" s="239" t="s">
        <v>249</v>
      </c>
    </row>
    <row r="12" spans="1:9" x14ac:dyDescent="0.25">
      <c r="A12" s="238"/>
      <c r="B12" s="237"/>
      <c r="C12" s="239"/>
    </row>
    <row r="13" spans="1:9" s="5" customFormat="1" x14ac:dyDescent="0.25">
      <c r="A13" s="6"/>
    </row>
    <row r="14" spans="1:9" x14ac:dyDescent="0.25">
      <c r="A14" s="7" t="s">
        <v>1</v>
      </c>
      <c r="B14" s="29" t="s">
        <v>86</v>
      </c>
    </row>
    <row r="15" spans="1:9" x14ac:dyDescent="0.25">
      <c r="A15" s="6"/>
      <c r="B15" s="5"/>
    </row>
    <row r="16" spans="1:9" s="5" customFormat="1" x14ac:dyDescent="0.25">
      <c r="A16" s="39" t="s">
        <v>75</v>
      </c>
      <c r="B16" s="5" t="s">
        <v>76</v>
      </c>
    </row>
    <row r="17" spans="1:16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6" x14ac:dyDescent="0.25">
      <c r="A18" s="33" t="s">
        <v>65</v>
      </c>
      <c r="B18" s="33"/>
      <c r="C18" s="5"/>
      <c r="D18" s="3"/>
      <c r="E18" s="3"/>
      <c r="F18" s="3"/>
      <c r="G18" s="3"/>
      <c r="I18" s="3"/>
      <c r="J18" s="3"/>
      <c r="L18" s="3"/>
      <c r="M18" s="3"/>
      <c r="N18" s="3"/>
    </row>
    <row r="19" spans="1:16" s="5" customFormat="1" x14ac:dyDescent="0.25">
      <c r="A19" s="240" t="s">
        <v>68</v>
      </c>
    </row>
    <row r="20" spans="1:16" ht="15" customHeight="1" x14ac:dyDescent="0.25">
      <c r="A20" s="240"/>
      <c r="B20" s="30" t="s">
        <v>66</v>
      </c>
    </row>
    <row r="21" spans="1:16" x14ac:dyDescent="0.25">
      <c r="A21" s="240"/>
      <c r="B21" s="5"/>
    </row>
    <row r="23" spans="1:16" ht="30" x14ac:dyDescent="0.25">
      <c r="A23" s="27" t="s">
        <v>53</v>
      </c>
      <c r="B23" s="30" t="s">
        <v>87</v>
      </c>
      <c r="C23" s="41"/>
    </row>
    <row r="24" spans="1:16" x14ac:dyDescent="0.25">
      <c r="A24" s="6"/>
      <c r="B24" s="5"/>
    </row>
    <row r="25" spans="1:16" ht="15" customHeight="1" x14ac:dyDescent="0.25">
      <c r="A25" s="236" t="s">
        <v>4</v>
      </c>
      <c r="B25" s="234" t="s">
        <v>67</v>
      </c>
      <c r="C25" s="235"/>
    </row>
    <row r="26" spans="1:16" s="5" customFormat="1" x14ac:dyDescent="0.25">
      <c r="A26" s="236"/>
      <c r="B26" s="234"/>
      <c r="C26" s="235"/>
    </row>
    <row r="27" spans="1:16" x14ac:dyDescent="0.25">
      <c r="A27" s="236"/>
      <c r="B27" s="234"/>
      <c r="C27" s="23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s="5" customFormat="1" x14ac:dyDescent="0.25">
      <c r="A28" s="6"/>
      <c r="B28" s="28"/>
      <c r="C28" s="4"/>
    </row>
    <row r="29" spans="1:16" ht="30" x14ac:dyDescent="0.25">
      <c r="A29" s="27" t="s">
        <v>54</v>
      </c>
      <c r="B29" s="5" t="s">
        <v>88</v>
      </c>
    </row>
    <row r="30" spans="1:16" x14ac:dyDescent="0.25">
      <c r="A30" s="6"/>
      <c r="B30" s="5"/>
    </row>
    <row r="31" spans="1:16" x14ac:dyDescent="0.25">
      <c r="A31" s="7" t="s">
        <v>55</v>
      </c>
      <c r="B31" s="5" t="s">
        <v>89</v>
      </c>
    </row>
    <row r="32" spans="1:16" x14ac:dyDescent="0.25">
      <c r="A32" s="6"/>
      <c r="B32" s="5"/>
    </row>
    <row r="33" spans="1:3" ht="30" x14ac:dyDescent="0.25">
      <c r="A33" s="27" t="s">
        <v>56</v>
      </c>
      <c r="B33" s="5" t="s">
        <v>90</v>
      </c>
    </row>
    <row r="34" spans="1:3" x14ac:dyDescent="0.25">
      <c r="A34" s="27"/>
      <c r="B34" s="5"/>
    </row>
    <row r="35" spans="1:3" ht="45" x14ac:dyDescent="0.25">
      <c r="A35" s="27" t="s">
        <v>57</v>
      </c>
      <c r="B35" s="3" t="s">
        <v>91</v>
      </c>
    </row>
    <row r="36" spans="1:3" x14ac:dyDescent="0.25">
      <c r="A36" s="27"/>
      <c r="B36" s="5"/>
    </row>
    <row r="37" spans="1:3" ht="30" x14ac:dyDescent="0.25">
      <c r="A37" s="27" t="s">
        <v>59</v>
      </c>
      <c r="B37" s="5" t="s">
        <v>92</v>
      </c>
      <c r="C37">
        <v>753</v>
      </c>
    </row>
    <row r="38" spans="1:3" x14ac:dyDescent="0.25">
      <c r="A38" s="27"/>
      <c r="B38" s="5"/>
    </row>
    <row r="39" spans="1:3" ht="30" x14ac:dyDescent="0.25">
      <c r="A39" s="27" t="s">
        <v>58</v>
      </c>
      <c r="B39" s="40" t="s">
        <v>93</v>
      </c>
      <c r="C39">
        <v>393</v>
      </c>
    </row>
  </sheetData>
  <mergeCells count="12">
    <mergeCell ref="C5:C6"/>
    <mergeCell ref="D5:D6"/>
    <mergeCell ref="B5:B7"/>
    <mergeCell ref="A5:A7"/>
    <mergeCell ref="B9:B10"/>
    <mergeCell ref="B25:B27"/>
    <mergeCell ref="C25:C27"/>
    <mergeCell ref="A25:A27"/>
    <mergeCell ref="B11:B12"/>
    <mergeCell ref="A11:A12"/>
    <mergeCell ref="C11:C12"/>
    <mergeCell ref="A19:A21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L60"/>
  <sheetViews>
    <sheetView topLeftCell="A7" zoomScale="60" zoomScaleNormal="60" workbookViewId="0">
      <pane xSplit="3" topLeftCell="I1" activePane="topRight" state="frozen"/>
      <selection pane="topRight" activeCell="AB49" sqref="AB49:AD49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51.5703125" style="5" bestFit="1" customWidth="1"/>
    <col min="4" max="4" width="13.42578125" style="5" customWidth="1"/>
    <col min="5" max="5" width="50.42578125" style="5" customWidth="1"/>
    <col min="6" max="6" width="21.7109375" style="5" customWidth="1"/>
    <col min="7" max="7" width="16" style="5" customWidth="1"/>
    <col min="8" max="9" width="28.140625" style="5" bestFit="1" customWidth="1"/>
    <col min="10" max="10" width="1.7109375" style="8" customWidth="1"/>
    <col min="11" max="11" width="11.140625" style="5" bestFit="1" customWidth="1"/>
    <col min="12" max="12" width="35" style="5" bestFit="1" customWidth="1"/>
    <col min="13" max="14" width="9.28515625" style="5" customWidth="1"/>
    <col min="15" max="15" width="25.85546875" style="5" bestFit="1" customWidth="1"/>
    <col min="16" max="16" width="28.140625" style="5" bestFit="1" customWidth="1"/>
    <col min="17" max="17" width="1.7109375" style="22" customWidth="1"/>
    <col min="18" max="18" width="23.28515625" style="5" bestFit="1" customWidth="1"/>
    <col min="19" max="19" width="11.42578125" style="5"/>
    <col min="20" max="20" width="34.28515625" style="5" bestFit="1" customWidth="1"/>
    <col min="21" max="21" width="11.42578125" style="5"/>
    <col min="22" max="22" width="25.85546875" style="5" bestFit="1" customWidth="1"/>
    <col min="23" max="23" width="28.140625" style="5" bestFit="1" customWidth="1"/>
    <col min="24" max="24" width="1.7109375" style="8" customWidth="1"/>
    <col min="25" max="25" width="23.140625" style="5" customWidth="1"/>
    <col min="26" max="26" width="34.28515625" style="5" bestFit="1" customWidth="1"/>
    <col min="27" max="27" width="34.28515625" style="5" customWidth="1"/>
    <col min="28" max="28" width="11.42578125" style="5"/>
    <col min="29" max="29" width="25.85546875" style="5" bestFit="1" customWidth="1"/>
    <col min="30" max="30" width="28.140625" style="5" bestFit="1" customWidth="1"/>
    <col min="31" max="31" width="1.7109375" style="8" customWidth="1"/>
    <col min="32" max="32" width="11.42578125" style="5"/>
    <col min="33" max="33" width="37.7109375" style="5" bestFit="1" customWidth="1"/>
    <col min="34" max="34" width="34.28515625" style="5" bestFit="1" customWidth="1"/>
    <col min="35" max="35" width="11.42578125" style="5"/>
    <col min="36" max="36" width="25.85546875" style="5" bestFit="1" customWidth="1"/>
    <col min="37" max="37" width="28.140625" style="5" bestFit="1" customWidth="1"/>
    <col min="38" max="38" width="1.7109375" style="8" customWidth="1"/>
    <col min="39" max="16384" width="11.42578125" style="5"/>
  </cols>
  <sheetData>
    <row r="6" spans="1:38" ht="15.75" thickBot="1" x14ac:dyDescent="0.3">
      <c r="A6" s="10"/>
      <c r="B6" s="10"/>
      <c r="C6" s="10"/>
      <c r="D6" s="245"/>
      <c r="E6" s="245"/>
      <c r="F6" s="245"/>
      <c r="G6" s="245"/>
      <c r="H6" s="245"/>
      <c r="I6" s="245"/>
      <c r="J6" s="9"/>
    </row>
    <row r="7" spans="1:38" ht="15.75" thickBot="1" x14ac:dyDescent="0.3">
      <c r="A7" s="20"/>
      <c r="B7" s="21" t="s">
        <v>40</v>
      </c>
      <c r="C7" s="21" t="s">
        <v>41</v>
      </c>
      <c r="D7" s="285" t="s">
        <v>48</v>
      </c>
      <c r="E7" s="286"/>
      <c r="F7" s="286"/>
      <c r="G7" s="286"/>
      <c r="H7" s="286"/>
      <c r="I7" s="286"/>
      <c r="J7" s="9"/>
      <c r="K7" s="285" t="s">
        <v>49</v>
      </c>
      <c r="L7" s="286"/>
      <c r="M7" s="286"/>
      <c r="N7" s="286"/>
      <c r="O7" s="286"/>
      <c r="P7" s="286"/>
      <c r="Q7" s="79"/>
      <c r="R7" s="285" t="s">
        <v>50</v>
      </c>
      <c r="S7" s="286"/>
      <c r="T7" s="286"/>
      <c r="U7" s="286"/>
      <c r="V7" s="286"/>
      <c r="W7" s="286"/>
      <c r="X7" s="80"/>
      <c r="Y7" s="285" t="s">
        <v>51</v>
      </c>
      <c r="Z7" s="286"/>
      <c r="AA7" s="286"/>
      <c r="AB7" s="286"/>
      <c r="AC7" s="286"/>
      <c r="AD7" s="286"/>
      <c r="AE7" s="80"/>
      <c r="AF7" s="285" t="s">
        <v>52</v>
      </c>
      <c r="AG7" s="286"/>
      <c r="AH7" s="286"/>
      <c r="AI7" s="286"/>
      <c r="AJ7" s="286"/>
      <c r="AK7" s="286"/>
      <c r="AL7" s="80"/>
    </row>
    <row r="8" spans="1:38" ht="15" customHeight="1" x14ac:dyDescent="0.25">
      <c r="A8" s="314" t="s">
        <v>39</v>
      </c>
      <c r="B8" s="317" t="s">
        <v>38</v>
      </c>
      <c r="C8" s="42" t="s">
        <v>2</v>
      </c>
      <c r="D8" s="290" t="s">
        <v>77</v>
      </c>
      <c r="E8" s="291"/>
      <c r="F8" s="291"/>
      <c r="G8" s="291"/>
      <c r="H8" s="291"/>
      <c r="I8" s="291"/>
      <c r="J8" s="9"/>
      <c r="K8" s="290" t="s">
        <v>154</v>
      </c>
      <c r="L8" s="291"/>
      <c r="M8" s="291"/>
      <c r="N8" s="291"/>
      <c r="O8" s="291"/>
      <c r="P8" s="291"/>
      <c r="Q8" s="23"/>
      <c r="R8" s="290" t="s">
        <v>155</v>
      </c>
      <c r="S8" s="291"/>
      <c r="T8" s="291"/>
      <c r="U8" s="291"/>
      <c r="V8" s="291"/>
      <c r="W8" s="291"/>
      <c r="Y8" s="292" t="s">
        <v>156</v>
      </c>
      <c r="Z8" s="293"/>
      <c r="AA8" s="293"/>
      <c r="AB8" s="293"/>
      <c r="AC8" s="293"/>
      <c r="AD8" s="294"/>
      <c r="AF8" s="290" t="s">
        <v>154</v>
      </c>
      <c r="AG8" s="291"/>
      <c r="AH8" s="291"/>
      <c r="AI8" s="291"/>
      <c r="AJ8" s="291"/>
      <c r="AK8" s="291"/>
    </row>
    <row r="9" spans="1:38" x14ac:dyDescent="0.25">
      <c r="A9" s="315"/>
      <c r="B9" s="318"/>
      <c r="C9" s="82" t="s">
        <v>3</v>
      </c>
      <c r="D9" s="313" t="s">
        <v>78</v>
      </c>
      <c r="E9" s="313"/>
      <c r="F9" s="313"/>
      <c r="G9" s="313"/>
      <c r="H9" s="313"/>
      <c r="I9" s="313"/>
      <c r="J9" s="9"/>
      <c r="K9" s="303" t="s">
        <v>78</v>
      </c>
      <c r="L9" s="304"/>
      <c r="M9" s="304"/>
      <c r="N9" s="304"/>
      <c r="O9" s="304"/>
      <c r="P9" s="304"/>
      <c r="Q9" s="23"/>
      <c r="R9" s="303" t="s">
        <v>237</v>
      </c>
      <c r="S9" s="304"/>
      <c r="T9" s="304"/>
      <c r="U9" s="304"/>
      <c r="V9" s="304"/>
      <c r="W9" s="304"/>
      <c r="Y9" s="305" t="s">
        <v>78</v>
      </c>
      <c r="Z9" s="306"/>
      <c r="AA9" s="306"/>
      <c r="AB9" s="306"/>
      <c r="AC9" s="306"/>
      <c r="AD9" s="307"/>
      <c r="AF9" s="303" t="s">
        <v>78</v>
      </c>
      <c r="AG9" s="304"/>
      <c r="AH9" s="304"/>
      <c r="AI9" s="304"/>
      <c r="AJ9" s="304"/>
      <c r="AK9" s="304"/>
    </row>
    <row r="10" spans="1:38" x14ac:dyDescent="0.25">
      <c r="A10" s="315"/>
      <c r="B10" s="318"/>
      <c r="C10" s="82" t="s">
        <v>140</v>
      </c>
      <c r="D10" s="279" t="s">
        <v>139</v>
      </c>
      <c r="E10" s="279"/>
      <c r="F10" s="279"/>
      <c r="G10" s="279"/>
      <c r="H10" s="279"/>
      <c r="I10" s="279"/>
      <c r="J10" s="9"/>
      <c r="K10" s="279" t="s">
        <v>139</v>
      </c>
      <c r="L10" s="279"/>
      <c r="M10" s="279"/>
      <c r="N10" s="279"/>
      <c r="O10" s="279"/>
      <c r="P10" s="279"/>
      <c r="Q10" s="84"/>
      <c r="R10" s="279" t="s">
        <v>231</v>
      </c>
      <c r="S10" s="279"/>
      <c r="T10" s="279"/>
      <c r="U10" s="279"/>
      <c r="V10" s="279"/>
      <c r="W10" s="279"/>
      <c r="X10" s="85"/>
      <c r="Y10" s="310" t="s">
        <v>139</v>
      </c>
      <c r="Z10" s="311"/>
      <c r="AA10" s="311"/>
      <c r="AB10" s="311"/>
      <c r="AC10" s="311"/>
      <c r="AD10" s="312"/>
      <c r="AE10" s="85"/>
      <c r="AF10" s="279" t="s">
        <v>139</v>
      </c>
      <c r="AG10" s="279"/>
      <c r="AH10" s="279"/>
      <c r="AI10" s="279"/>
      <c r="AJ10" s="279"/>
      <c r="AK10" s="279"/>
      <c r="AL10" s="85"/>
    </row>
    <row r="11" spans="1:38" ht="15.75" thickBot="1" x14ac:dyDescent="0.3">
      <c r="A11" s="316"/>
      <c r="B11" s="319"/>
      <c r="C11" s="83" t="s">
        <v>69</v>
      </c>
      <c r="D11" s="280" t="s">
        <v>84</v>
      </c>
      <c r="E11" s="280"/>
      <c r="F11" s="280"/>
      <c r="G11" s="280"/>
      <c r="H11" s="280"/>
      <c r="I11" s="280"/>
      <c r="J11" s="86"/>
      <c r="K11" s="295" t="s">
        <v>190</v>
      </c>
      <c r="L11" s="296"/>
      <c r="M11" s="296"/>
      <c r="N11" s="296"/>
      <c r="O11" s="296"/>
      <c r="P11" s="297"/>
      <c r="Q11" s="87"/>
      <c r="R11" s="295" t="s">
        <v>219</v>
      </c>
      <c r="S11" s="296"/>
      <c r="T11" s="296"/>
      <c r="U11" s="296"/>
      <c r="V11" s="296"/>
      <c r="W11" s="297"/>
      <c r="X11" s="88"/>
      <c r="Y11" s="295" t="s">
        <v>190</v>
      </c>
      <c r="Z11" s="296"/>
      <c r="AA11" s="296"/>
      <c r="AB11" s="296"/>
      <c r="AC11" s="296"/>
      <c r="AD11" s="297"/>
      <c r="AE11" s="88"/>
      <c r="AF11" s="295" t="s">
        <v>190</v>
      </c>
      <c r="AG11" s="296"/>
      <c r="AH11" s="296"/>
      <c r="AI11" s="296"/>
      <c r="AJ11" s="296"/>
      <c r="AK11" s="297"/>
      <c r="AL11" s="88"/>
    </row>
    <row r="12" spans="1:38" ht="15.75" thickBot="1" x14ac:dyDescent="0.3">
      <c r="A12" s="11"/>
      <c r="B12" s="13"/>
      <c r="C12" s="69"/>
      <c r="D12" s="244"/>
      <c r="E12" s="245"/>
      <c r="F12" s="245"/>
      <c r="G12" s="245"/>
      <c r="H12" s="245"/>
      <c r="I12" s="245"/>
      <c r="K12" s="244"/>
      <c r="L12" s="245"/>
      <c r="M12" s="245"/>
      <c r="N12" s="245"/>
      <c r="O12" s="245"/>
      <c r="P12" s="245"/>
      <c r="R12" s="244"/>
      <c r="S12" s="245"/>
      <c r="T12" s="245"/>
      <c r="U12" s="245"/>
      <c r="V12" s="245"/>
      <c r="W12" s="245"/>
      <c r="Y12" s="320"/>
      <c r="Z12" s="321"/>
      <c r="AA12" s="321"/>
      <c r="AB12" s="321"/>
      <c r="AC12" s="321"/>
      <c r="AD12" s="321"/>
      <c r="AF12" s="301"/>
      <c r="AG12" s="302"/>
      <c r="AH12" s="302"/>
      <c r="AI12" s="302"/>
      <c r="AJ12" s="302"/>
      <c r="AK12" s="302"/>
    </row>
    <row r="13" spans="1:38" ht="15" customHeight="1" thickBot="1" x14ac:dyDescent="0.3">
      <c r="A13" s="308" t="s">
        <v>37</v>
      </c>
      <c r="B13" s="309" t="s">
        <v>132</v>
      </c>
      <c r="C13" s="67" t="s">
        <v>5</v>
      </c>
      <c r="D13" s="269" t="s">
        <v>120</v>
      </c>
      <c r="E13" s="270"/>
      <c r="F13" s="270"/>
      <c r="G13" s="271"/>
      <c r="H13" s="287" t="s">
        <v>163</v>
      </c>
      <c r="I13" s="271"/>
      <c r="K13" s="269" t="s">
        <v>166</v>
      </c>
      <c r="L13" s="270"/>
      <c r="M13" s="270"/>
      <c r="N13" s="270"/>
      <c r="O13" s="271"/>
      <c r="P13" s="115" t="s">
        <v>163</v>
      </c>
      <c r="R13" s="269" t="s">
        <v>166</v>
      </c>
      <c r="S13" s="270"/>
      <c r="T13" s="270"/>
      <c r="U13" s="270"/>
      <c r="V13" s="271"/>
      <c r="W13" s="115" t="s">
        <v>163</v>
      </c>
      <c r="Y13" s="269" t="s">
        <v>166</v>
      </c>
      <c r="Z13" s="270"/>
      <c r="AA13" s="270"/>
      <c r="AB13" s="270"/>
      <c r="AC13" s="271"/>
      <c r="AD13" s="115" t="s">
        <v>191</v>
      </c>
      <c r="AF13" s="298" t="s">
        <v>166</v>
      </c>
      <c r="AG13" s="299"/>
      <c r="AH13" s="299"/>
      <c r="AI13" s="299"/>
      <c r="AJ13" s="300"/>
      <c r="AK13" s="187" t="s">
        <v>163</v>
      </c>
    </row>
    <row r="14" spans="1:38" ht="15.75" thickBot="1" x14ac:dyDescent="0.3">
      <c r="A14" s="308"/>
      <c r="B14" s="309"/>
      <c r="C14" s="14" t="s">
        <v>6</v>
      </c>
      <c r="D14" s="272" t="s">
        <v>121</v>
      </c>
      <c r="E14" s="273"/>
      <c r="F14" s="273"/>
      <c r="G14" s="274"/>
      <c r="H14" s="288" t="s">
        <v>163</v>
      </c>
      <c r="I14" s="273"/>
      <c r="K14" s="272" t="s">
        <v>192</v>
      </c>
      <c r="L14" s="273"/>
      <c r="M14" s="273"/>
      <c r="N14" s="273"/>
      <c r="O14" s="274"/>
      <c r="P14" s="115" t="s">
        <v>163</v>
      </c>
      <c r="R14" s="272" t="s">
        <v>240</v>
      </c>
      <c r="S14" s="273"/>
      <c r="T14" s="273"/>
      <c r="U14" s="273"/>
      <c r="V14" s="274"/>
      <c r="W14" s="115" t="s">
        <v>163</v>
      </c>
      <c r="Y14" s="272" t="s">
        <v>192</v>
      </c>
      <c r="Z14" s="273"/>
      <c r="AA14" s="273"/>
      <c r="AB14" s="273"/>
      <c r="AC14" s="274"/>
      <c r="AD14" s="115" t="s">
        <v>191</v>
      </c>
      <c r="AF14" s="272" t="s">
        <v>192</v>
      </c>
      <c r="AG14" s="273"/>
      <c r="AH14" s="273"/>
      <c r="AI14" s="273"/>
      <c r="AJ14" s="274"/>
      <c r="AK14" s="186" t="s">
        <v>163</v>
      </c>
    </row>
    <row r="15" spans="1:38" ht="15.75" thickBot="1" x14ac:dyDescent="0.3">
      <c r="A15" s="308"/>
      <c r="B15" s="309"/>
      <c r="C15" s="68" t="s">
        <v>7</v>
      </c>
      <c r="D15" s="275" t="s">
        <v>122</v>
      </c>
      <c r="E15" s="276"/>
      <c r="F15" s="276"/>
      <c r="G15" s="277"/>
      <c r="H15" s="289" t="s">
        <v>163</v>
      </c>
      <c r="I15" s="277"/>
      <c r="K15" s="275" t="s">
        <v>193</v>
      </c>
      <c r="L15" s="276"/>
      <c r="M15" s="276"/>
      <c r="N15" s="276"/>
      <c r="O15" s="277"/>
      <c r="P15" s="115" t="s">
        <v>163</v>
      </c>
      <c r="R15" s="275" t="s">
        <v>166</v>
      </c>
      <c r="S15" s="276"/>
      <c r="T15" s="276"/>
      <c r="U15" s="276"/>
      <c r="V15" s="277"/>
      <c r="W15" s="115" t="s">
        <v>163</v>
      </c>
      <c r="Y15" s="275" t="s">
        <v>193</v>
      </c>
      <c r="Z15" s="276"/>
      <c r="AA15" s="276"/>
      <c r="AB15" s="276"/>
      <c r="AC15" s="277"/>
      <c r="AD15" s="182" t="s">
        <v>191</v>
      </c>
      <c r="AF15" s="275" t="s">
        <v>193</v>
      </c>
      <c r="AG15" s="276"/>
      <c r="AH15" s="276"/>
      <c r="AI15" s="276"/>
      <c r="AJ15" s="277"/>
      <c r="AK15" s="182" t="s">
        <v>163</v>
      </c>
    </row>
    <row r="16" spans="1:38" ht="15.75" thickBot="1" x14ac:dyDescent="0.3">
      <c r="A16" s="12"/>
      <c r="B16" s="15"/>
      <c r="C16" s="15"/>
      <c r="D16" s="244"/>
      <c r="E16" s="245"/>
      <c r="F16" s="245"/>
      <c r="G16" s="245"/>
      <c r="H16" s="245"/>
      <c r="I16" s="245"/>
      <c r="K16" s="244"/>
      <c r="L16" s="245"/>
      <c r="M16" s="245"/>
      <c r="N16" s="245"/>
      <c r="O16" s="245"/>
      <c r="P16" s="245"/>
      <c r="R16" s="244"/>
      <c r="S16" s="245"/>
      <c r="T16" s="245"/>
      <c r="U16" s="245"/>
      <c r="V16" s="245"/>
      <c r="W16" s="245"/>
      <c r="Y16" s="244"/>
      <c r="Z16" s="245"/>
      <c r="AA16" s="245"/>
      <c r="AB16" s="245"/>
      <c r="AC16" s="245"/>
      <c r="AD16" s="245"/>
      <c r="AF16" s="244"/>
      <c r="AG16" s="245"/>
      <c r="AH16" s="245"/>
      <c r="AI16" s="245"/>
      <c r="AJ16" s="245"/>
      <c r="AK16" s="245"/>
    </row>
    <row r="17" spans="1:37" x14ac:dyDescent="0.25">
      <c r="A17" s="328" t="s">
        <v>8</v>
      </c>
      <c r="B17" s="331" t="s">
        <v>133</v>
      </c>
      <c r="C17" s="65" t="s">
        <v>70</v>
      </c>
      <c r="D17" s="281" t="s">
        <v>146</v>
      </c>
      <c r="E17" s="282"/>
      <c r="F17" s="282"/>
      <c r="G17" s="282"/>
      <c r="H17" s="282"/>
      <c r="I17" s="282"/>
      <c r="K17" s="281" t="s">
        <v>213</v>
      </c>
      <c r="L17" s="282"/>
      <c r="M17" s="282"/>
      <c r="N17" s="282"/>
      <c r="O17" s="282"/>
      <c r="P17" s="282"/>
      <c r="R17" s="281" t="s">
        <v>265</v>
      </c>
      <c r="S17" s="282"/>
      <c r="T17" s="282"/>
      <c r="U17" s="282"/>
      <c r="V17" s="282"/>
      <c r="W17" s="282"/>
      <c r="Y17" s="281" t="s">
        <v>194</v>
      </c>
      <c r="Z17" s="282"/>
      <c r="AA17" s="282"/>
      <c r="AB17" s="282"/>
      <c r="AC17" s="282"/>
      <c r="AD17" s="282"/>
      <c r="AF17" s="281" t="s">
        <v>213</v>
      </c>
      <c r="AG17" s="282"/>
      <c r="AH17" s="282"/>
      <c r="AI17" s="282"/>
      <c r="AJ17" s="282"/>
      <c r="AK17" s="282"/>
    </row>
    <row r="18" spans="1:37" x14ac:dyDescent="0.25">
      <c r="A18" s="329"/>
      <c r="B18" s="332"/>
      <c r="C18" s="16" t="s">
        <v>85</v>
      </c>
      <c r="D18" s="283">
        <v>4</v>
      </c>
      <c r="E18" s="284"/>
      <c r="F18" s="284"/>
      <c r="G18" s="284"/>
      <c r="H18" s="284"/>
      <c r="I18" s="284"/>
      <c r="K18" s="283">
        <v>145</v>
      </c>
      <c r="L18" s="284"/>
      <c r="M18" s="284"/>
      <c r="N18" s="284"/>
      <c r="O18" s="284"/>
      <c r="P18" s="284"/>
      <c r="R18" s="283">
        <v>190</v>
      </c>
      <c r="S18" s="284"/>
      <c r="T18" s="284"/>
      <c r="U18" s="284"/>
      <c r="V18" s="284"/>
      <c r="W18" s="284"/>
      <c r="Y18" s="283">
        <v>190</v>
      </c>
      <c r="Z18" s="284"/>
      <c r="AA18" s="284"/>
      <c r="AB18" s="284"/>
      <c r="AC18" s="284"/>
      <c r="AD18" s="284"/>
      <c r="AF18" s="283">
        <v>145</v>
      </c>
      <c r="AG18" s="284"/>
      <c r="AH18" s="284"/>
      <c r="AI18" s="284"/>
      <c r="AJ18" s="284"/>
      <c r="AK18" s="284"/>
    </row>
    <row r="19" spans="1:37" ht="15.75" thickBot="1" x14ac:dyDescent="0.3">
      <c r="A19" s="330"/>
      <c r="B19" s="333"/>
      <c r="C19" s="66" t="s">
        <v>10</v>
      </c>
      <c r="D19" s="278" t="s">
        <v>122</v>
      </c>
      <c r="E19" s="256"/>
      <c r="F19" s="256"/>
      <c r="G19" s="257"/>
      <c r="H19" s="255" t="s">
        <v>163</v>
      </c>
      <c r="I19" s="257"/>
      <c r="K19" s="278" t="s">
        <v>122</v>
      </c>
      <c r="L19" s="256"/>
      <c r="M19" s="256"/>
      <c r="N19" s="256"/>
      <c r="O19" s="257"/>
      <c r="P19" s="103" t="s">
        <v>165</v>
      </c>
      <c r="R19" s="278" t="s">
        <v>122</v>
      </c>
      <c r="S19" s="256"/>
      <c r="T19" s="256"/>
      <c r="U19" s="256"/>
      <c r="V19" s="257"/>
      <c r="W19" s="103" t="s">
        <v>165</v>
      </c>
      <c r="Y19" s="278" t="s">
        <v>195</v>
      </c>
      <c r="Z19" s="256"/>
      <c r="AA19" s="256"/>
      <c r="AB19" s="256"/>
      <c r="AC19" s="257"/>
      <c r="AD19" s="103" t="s">
        <v>178</v>
      </c>
      <c r="AF19" s="278" t="s">
        <v>122</v>
      </c>
      <c r="AG19" s="256"/>
      <c r="AH19" s="256"/>
      <c r="AI19" s="256"/>
      <c r="AJ19" s="257"/>
      <c r="AK19" s="103" t="s">
        <v>165</v>
      </c>
    </row>
    <row r="20" spans="1:37" ht="15.75" thickBot="1" x14ac:dyDescent="0.3">
      <c r="A20" s="12"/>
      <c r="B20" s="15"/>
      <c r="C20" s="15"/>
      <c r="D20" s="244"/>
      <c r="E20" s="245"/>
      <c r="F20" s="245"/>
      <c r="G20" s="245"/>
      <c r="H20" s="245"/>
      <c r="I20" s="245"/>
      <c r="K20" s="320"/>
      <c r="L20" s="321"/>
      <c r="M20" s="321"/>
      <c r="N20" s="321"/>
      <c r="O20" s="321"/>
      <c r="P20" s="321"/>
      <c r="R20" s="320"/>
      <c r="S20" s="321"/>
      <c r="T20" s="321"/>
      <c r="U20" s="321"/>
      <c r="V20" s="321"/>
      <c r="W20" s="321"/>
      <c r="Y20" s="320"/>
      <c r="Z20" s="321"/>
      <c r="AA20" s="321"/>
      <c r="AB20" s="321"/>
      <c r="AC20" s="321"/>
      <c r="AD20" s="321"/>
      <c r="AF20" s="320"/>
      <c r="AG20" s="321"/>
      <c r="AH20" s="321"/>
      <c r="AI20" s="321"/>
      <c r="AJ20" s="321"/>
      <c r="AK20" s="321"/>
    </row>
    <row r="21" spans="1:37" ht="15.75" thickBot="1" x14ac:dyDescent="0.3">
      <c r="A21" s="322" t="s">
        <v>11</v>
      </c>
      <c r="B21" s="325" t="s">
        <v>134</v>
      </c>
      <c r="C21" s="56" t="s">
        <v>100</v>
      </c>
      <c r="D21" s="60" t="s">
        <v>32</v>
      </c>
      <c r="E21" s="81" t="s">
        <v>144</v>
      </c>
      <c r="F21" s="59" t="s">
        <v>20</v>
      </c>
      <c r="G21" s="104" t="s">
        <v>152</v>
      </c>
      <c r="H21" s="58" t="s">
        <v>124</v>
      </c>
      <c r="I21" s="58" t="s">
        <v>23</v>
      </c>
      <c r="K21" s="116" t="s">
        <v>32</v>
      </c>
      <c r="L21" s="117" t="s">
        <v>74</v>
      </c>
      <c r="M21" s="117" t="s">
        <v>20</v>
      </c>
      <c r="N21" s="117" t="s">
        <v>152</v>
      </c>
      <c r="O21" s="118" t="s">
        <v>124</v>
      </c>
      <c r="P21" s="118" t="s">
        <v>23</v>
      </c>
      <c r="R21" s="116" t="s">
        <v>32</v>
      </c>
      <c r="S21" s="117" t="s">
        <v>74</v>
      </c>
      <c r="T21" s="117" t="s">
        <v>20</v>
      </c>
      <c r="U21" s="117" t="s">
        <v>152</v>
      </c>
      <c r="V21" s="118" t="s">
        <v>124</v>
      </c>
      <c r="W21" s="118" t="s">
        <v>23</v>
      </c>
      <c r="Y21" s="116" t="s">
        <v>32</v>
      </c>
      <c r="Z21" s="117" t="s">
        <v>74</v>
      </c>
      <c r="AA21" s="117" t="s">
        <v>20</v>
      </c>
      <c r="AB21" s="117" t="s">
        <v>152</v>
      </c>
      <c r="AC21" s="118" t="s">
        <v>124</v>
      </c>
      <c r="AD21" s="118" t="s">
        <v>23</v>
      </c>
      <c r="AF21" s="116" t="s">
        <v>32</v>
      </c>
      <c r="AG21" s="117" t="s">
        <v>74</v>
      </c>
      <c r="AH21" s="117" t="s">
        <v>20</v>
      </c>
      <c r="AI21" s="117" t="s">
        <v>152</v>
      </c>
      <c r="AJ21" s="118" t="s">
        <v>124</v>
      </c>
      <c r="AK21" s="118" t="s">
        <v>23</v>
      </c>
    </row>
    <row r="22" spans="1:37" ht="15" customHeight="1" x14ac:dyDescent="0.25">
      <c r="A22" s="323"/>
      <c r="B22" s="326"/>
      <c r="C22" s="48" t="s">
        <v>12</v>
      </c>
      <c r="D22" s="61" t="s">
        <v>168</v>
      </c>
      <c r="E22" s="94" t="s">
        <v>259</v>
      </c>
      <c r="F22" s="105" t="s">
        <v>148</v>
      </c>
      <c r="G22" s="105" t="s">
        <v>211</v>
      </c>
      <c r="H22" s="91" t="s">
        <v>258</v>
      </c>
      <c r="I22" s="51">
        <v>3</v>
      </c>
      <c r="K22" s="61" t="s">
        <v>168</v>
      </c>
      <c r="L22" s="50" t="s">
        <v>169</v>
      </c>
      <c r="M22" s="105"/>
      <c r="N22" s="105" t="s">
        <v>173</v>
      </c>
      <c r="O22" s="98" t="s">
        <v>170</v>
      </c>
      <c r="P22" s="98">
        <v>2</v>
      </c>
      <c r="R22" s="61" t="s">
        <v>168</v>
      </c>
      <c r="S22" s="50" t="s">
        <v>169</v>
      </c>
      <c r="T22" s="105"/>
      <c r="U22" s="105" t="s">
        <v>177</v>
      </c>
      <c r="V22" s="98" t="s">
        <v>176</v>
      </c>
      <c r="W22" s="98">
        <v>1</v>
      </c>
      <c r="Y22" s="61" t="s">
        <v>168</v>
      </c>
      <c r="Z22" s="50" t="s">
        <v>196</v>
      </c>
      <c r="AA22" s="105" t="s">
        <v>197</v>
      </c>
      <c r="AB22" s="105" t="s">
        <v>181</v>
      </c>
      <c r="AC22" s="98" t="s">
        <v>285</v>
      </c>
      <c r="AD22" s="98">
        <v>1</v>
      </c>
      <c r="AF22" s="61" t="s">
        <v>168</v>
      </c>
      <c r="AG22" s="50" t="s">
        <v>169</v>
      </c>
      <c r="AH22" s="105" t="s">
        <v>148</v>
      </c>
      <c r="AI22" s="105" t="s">
        <v>173</v>
      </c>
      <c r="AJ22" s="98" t="s">
        <v>170</v>
      </c>
      <c r="AK22" s="98">
        <v>2</v>
      </c>
    </row>
    <row r="23" spans="1:37" x14ac:dyDescent="0.25">
      <c r="A23" s="323"/>
      <c r="B23" s="326"/>
      <c r="C23" s="17" t="s">
        <v>13</v>
      </c>
      <c r="D23" s="62" t="s">
        <v>82</v>
      </c>
      <c r="E23" s="93" t="s">
        <v>83</v>
      </c>
      <c r="F23" s="106" t="s">
        <v>148</v>
      </c>
      <c r="G23" s="106" t="s">
        <v>210</v>
      </c>
      <c r="H23" s="90" t="s">
        <v>125</v>
      </c>
      <c r="I23" s="45">
        <v>1</v>
      </c>
      <c r="K23" s="62" t="s">
        <v>82</v>
      </c>
      <c r="L23" s="47" t="s">
        <v>158</v>
      </c>
      <c r="M23" s="106"/>
      <c r="N23" s="106" t="s">
        <v>167</v>
      </c>
      <c r="O23" s="158" t="s">
        <v>171</v>
      </c>
      <c r="P23" s="158">
        <v>1</v>
      </c>
      <c r="R23" s="62" t="s">
        <v>82</v>
      </c>
      <c r="S23" s="47" t="s">
        <v>158</v>
      </c>
      <c r="T23" s="106"/>
      <c r="U23" s="106" t="s">
        <v>167</v>
      </c>
      <c r="V23" s="150" t="s">
        <v>174</v>
      </c>
      <c r="W23" s="150">
        <v>1</v>
      </c>
      <c r="Y23" s="62" t="s">
        <v>82</v>
      </c>
      <c r="Z23" s="47" t="s">
        <v>158</v>
      </c>
      <c r="AA23" s="105" t="s">
        <v>197</v>
      </c>
      <c r="AB23" s="106" t="s">
        <v>177</v>
      </c>
      <c r="AC23" s="130" t="s">
        <v>286</v>
      </c>
      <c r="AD23" s="130">
        <v>1</v>
      </c>
      <c r="AF23" s="62" t="s">
        <v>82</v>
      </c>
      <c r="AG23" s="47" t="s">
        <v>158</v>
      </c>
      <c r="AH23" s="105" t="s">
        <v>148</v>
      </c>
      <c r="AI23" s="106" t="s">
        <v>167</v>
      </c>
      <c r="AJ23" s="158" t="s">
        <v>171</v>
      </c>
      <c r="AK23" s="158">
        <v>1</v>
      </c>
    </row>
    <row r="24" spans="1:37" x14ac:dyDescent="0.25">
      <c r="A24" s="323"/>
      <c r="B24" s="326"/>
      <c r="C24" s="17" t="s">
        <v>14</v>
      </c>
      <c r="D24" s="62" t="s">
        <v>81</v>
      </c>
      <c r="E24" s="89" t="s">
        <v>147</v>
      </c>
      <c r="F24" s="106" t="s">
        <v>148</v>
      </c>
      <c r="G24" s="106" t="s">
        <v>210</v>
      </c>
      <c r="H24" s="90" t="s">
        <v>126</v>
      </c>
      <c r="I24" s="45">
        <v>1</v>
      </c>
      <c r="K24" s="62" t="s">
        <v>159</v>
      </c>
      <c r="L24" s="158" t="s">
        <v>160</v>
      </c>
      <c r="M24" s="106"/>
      <c r="N24" s="106" t="s">
        <v>167</v>
      </c>
      <c r="O24" s="158" t="s">
        <v>172</v>
      </c>
      <c r="P24" s="158">
        <v>1</v>
      </c>
      <c r="R24" s="62" t="s">
        <v>159</v>
      </c>
      <c r="S24" s="150" t="s">
        <v>160</v>
      </c>
      <c r="T24" s="106"/>
      <c r="U24" s="106" t="s">
        <v>167</v>
      </c>
      <c r="V24" s="150" t="s">
        <v>175</v>
      </c>
      <c r="W24" s="150">
        <v>1</v>
      </c>
      <c r="Y24" s="62" t="s">
        <v>159</v>
      </c>
      <c r="Z24" s="130" t="s">
        <v>160</v>
      </c>
      <c r="AA24" s="105" t="s">
        <v>197</v>
      </c>
      <c r="AB24" s="106" t="s">
        <v>177</v>
      </c>
      <c r="AC24" s="130" t="s">
        <v>287</v>
      </c>
      <c r="AD24" s="130">
        <v>1</v>
      </c>
      <c r="AF24" s="62" t="s">
        <v>159</v>
      </c>
      <c r="AG24" s="158" t="s">
        <v>160</v>
      </c>
      <c r="AH24" s="105" t="s">
        <v>148</v>
      </c>
      <c r="AI24" s="106" t="s">
        <v>167</v>
      </c>
      <c r="AJ24" s="158" t="s">
        <v>172</v>
      </c>
      <c r="AK24" s="158">
        <v>1</v>
      </c>
    </row>
    <row r="25" spans="1:37" x14ac:dyDescent="0.25">
      <c r="A25" s="323"/>
      <c r="B25" s="326"/>
      <c r="C25" s="17" t="s">
        <v>15</v>
      </c>
      <c r="D25" s="62" t="s">
        <v>84</v>
      </c>
      <c r="E25" s="89" t="s">
        <v>84</v>
      </c>
      <c r="F25" s="106" t="s">
        <v>84</v>
      </c>
      <c r="G25" s="106"/>
      <c r="H25" s="90" t="s">
        <v>84</v>
      </c>
      <c r="I25" s="45" t="s">
        <v>84</v>
      </c>
      <c r="K25" s="62"/>
      <c r="L25" s="158"/>
      <c r="M25" s="106"/>
      <c r="N25" s="106"/>
      <c r="O25" s="158"/>
      <c r="P25" s="158"/>
      <c r="R25" s="62"/>
      <c r="S25" s="150"/>
      <c r="T25" s="106"/>
      <c r="U25" s="106"/>
      <c r="V25" s="150"/>
      <c r="W25" s="150"/>
      <c r="Y25" s="62"/>
      <c r="Z25" s="130"/>
      <c r="AA25" s="105"/>
      <c r="AB25" s="106"/>
      <c r="AC25" s="130"/>
      <c r="AD25" s="130"/>
      <c r="AF25" s="62"/>
      <c r="AG25" s="158"/>
      <c r="AH25" s="106"/>
      <c r="AI25" s="106"/>
      <c r="AJ25" s="158"/>
      <c r="AK25" s="158"/>
    </row>
    <row r="26" spans="1:37" x14ac:dyDescent="0.25">
      <c r="A26" s="323"/>
      <c r="B26" s="326"/>
      <c r="C26" s="17" t="s">
        <v>16</v>
      </c>
      <c r="D26" s="62" t="s">
        <v>79</v>
      </c>
      <c r="E26" s="89" t="s">
        <v>114</v>
      </c>
      <c r="F26" s="106" t="s">
        <v>148</v>
      </c>
      <c r="G26" s="106" t="s">
        <v>210</v>
      </c>
      <c r="H26" s="90" t="s">
        <v>127</v>
      </c>
      <c r="I26" s="45">
        <v>1</v>
      </c>
      <c r="K26" s="62"/>
      <c r="L26" s="158"/>
      <c r="M26" s="106"/>
      <c r="N26" s="106"/>
      <c r="O26" s="158"/>
      <c r="P26" s="158"/>
      <c r="R26" s="62"/>
      <c r="S26" s="150"/>
      <c r="T26" s="106"/>
      <c r="U26" s="106"/>
      <c r="V26" s="150"/>
      <c r="W26" s="150"/>
      <c r="Y26" s="62"/>
      <c r="Z26" s="130"/>
      <c r="AA26" s="106"/>
      <c r="AB26" s="106"/>
      <c r="AC26" s="130"/>
      <c r="AD26" s="130"/>
      <c r="AF26" s="62"/>
      <c r="AG26" s="158"/>
      <c r="AH26" s="106"/>
      <c r="AI26" s="106"/>
      <c r="AJ26" s="158"/>
      <c r="AK26" s="158"/>
    </row>
    <row r="27" spans="1:37" x14ac:dyDescent="0.25">
      <c r="A27" s="323"/>
      <c r="B27" s="326"/>
      <c r="C27" s="17" t="s">
        <v>17</v>
      </c>
      <c r="D27" s="62" t="s">
        <v>80</v>
      </c>
      <c r="E27" s="89" t="s">
        <v>145</v>
      </c>
      <c r="F27" s="106" t="s">
        <v>148</v>
      </c>
      <c r="G27" s="106" t="s">
        <v>212</v>
      </c>
      <c r="H27" s="90" t="s">
        <v>128</v>
      </c>
      <c r="I27" s="45">
        <v>1</v>
      </c>
      <c r="K27" s="62"/>
      <c r="L27" s="158"/>
      <c r="M27" s="106"/>
      <c r="N27" s="106"/>
      <c r="O27" s="158"/>
      <c r="P27" s="158"/>
      <c r="R27" s="62"/>
      <c r="S27" s="150"/>
      <c r="T27" s="106"/>
      <c r="U27" s="106"/>
      <c r="V27" s="150"/>
      <c r="W27" s="150"/>
      <c r="Y27" s="62"/>
      <c r="Z27" s="130"/>
      <c r="AA27" s="106"/>
      <c r="AB27" s="106"/>
      <c r="AC27" s="130"/>
      <c r="AD27" s="130"/>
      <c r="AF27" s="62"/>
      <c r="AG27" s="158"/>
      <c r="AH27" s="106"/>
      <c r="AI27" s="106"/>
      <c r="AJ27" s="158"/>
      <c r="AK27" s="158"/>
    </row>
    <row r="28" spans="1:37" ht="15.75" thickBot="1" x14ac:dyDescent="0.3">
      <c r="A28" s="323"/>
      <c r="B28" s="326"/>
      <c r="C28" s="35" t="s">
        <v>143</v>
      </c>
      <c r="D28" s="63" t="s">
        <v>112</v>
      </c>
      <c r="E28" s="55" t="s">
        <v>113</v>
      </c>
      <c r="F28" s="109" t="s">
        <v>103</v>
      </c>
      <c r="G28" s="107" t="s">
        <v>210</v>
      </c>
      <c r="H28" s="55" t="s">
        <v>119</v>
      </c>
      <c r="I28" s="55">
        <v>3</v>
      </c>
      <c r="K28" s="64"/>
      <c r="L28" s="54"/>
      <c r="M28" s="109"/>
      <c r="N28" s="109"/>
      <c r="O28" s="54"/>
      <c r="P28" s="54"/>
      <c r="R28" s="64"/>
      <c r="S28" s="54"/>
      <c r="T28" s="109"/>
      <c r="U28" s="109"/>
      <c r="V28" s="54"/>
      <c r="W28" s="54"/>
      <c r="Y28" s="64"/>
      <c r="Z28" s="54"/>
      <c r="AA28" s="109"/>
      <c r="AB28" s="109"/>
      <c r="AC28" s="54"/>
      <c r="AD28" s="54"/>
      <c r="AF28" s="64"/>
      <c r="AG28" s="54"/>
      <c r="AH28" s="109"/>
      <c r="AI28" s="109"/>
      <c r="AJ28" s="54"/>
      <c r="AK28" s="54"/>
    </row>
    <row r="29" spans="1:37" ht="18" thickBot="1" x14ac:dyDescent="0.3">
      <c r="A29" s="323"/>
      <c r="B29" s="326"/>
      <c r="C29" s="56" t="s">
        <v>98</v>
      </c>
      <c r="D29" s="60" t="s">
        <v>32</v>
      </c>
      <c r="E29" s="58" t="s">
        <v>99</v>
      </c>
      <c r="F29" s="59" t="s">
        <v>20</v>
      </c>
      <c r="G29" s="59" t="s">
        <v>152</v>
      </c>
      <c r="H29" s="58" t="s">
        <v>101</v>
      </c>
      <c r="I29" s="58" t="s">
        <v>23</v>
      </c>
      <c r="K29" s="116" t="s">
        <v>32</v>
      </c>
      <c r="L29" s="118" t="s">
        <v>99</v>
      </c>
      <c r="M29" s="117" t="s">
        <v>20</v>
      </c>
      <c r="N29" s="117" t="s">
        <v>152</v>
      </c>
      <c r="O29" s="118" t="s">
        <v>101</v>
      </c>
      <c r="P29" s="118" t="s">
        <v>23</v>
      </c>
      <c r="R29" s="116" t="s">
        <v>32</v>
      </c>
      <c r="S29" s="118" t="s">
        <v>99</v>
      </c>
      <c r="T29" s="117" t="s">
        <v>20</v>
      </c>
      <c r="U29" s="117" t="s">
        <v>152</v>
      </c>
      <c r="V29" s="118" t="s">
        <v>101</v>
      </c>
      <c r="W29" s="118" t="s">
        <v>23</v>
      </c>
      <c r="Y29" s="116" t="s">
        <v>32</v>
      </c>
      <c r="Z29" s="118" t="s">
        <v>99</v>
      </c>
      <c r="AA29" s="117" t="s">
        <v>20</v>
      </c>
      <c r="AB29" s="117" t="s">
        <v>152</v>
      </c>
      <c r="AC29" s="118" t="s">
        <v>101</v>
      </c>
      <c r="AD29" s="118" t="s">
        <v>23</v>
      </c>
      <c r="AF29" s="116" t="s">
        <v>32</v>
      </c>
      <c r="AG29" s="118" t="s">
        <v>99</v>
      </c>
      <c r="AH29" s="117" t="s">
        <v>20</v>
      </c>
      <c r="AI29" s="117" t="s">
        <v>152</v>
      </c>
      <c r="AJ29" s="118" t="s">
        <v>101</v>
      </c>
      <c r="AK29" s="118" t="s">
        <v>23</v>
      </c>
    </row>
    <row r="30" spans="1:37" x14ac:dyDescent="0.25">
      <c r="A30" s="323"/>
      <c r="B30" s="326"/>
      <c r="C30" s="48" t="s">
        <v>141</v>
      </c>
      <c r="D30" s="61" t="s">
        <v>19</v>
      </c>
      <c r="E30" s="92" t="s">
        <v>84</v>
      </c>
      <c r="F30" s="101" t="s">
        <v>84</v>
      </c>
      <c r="G30" s="135" t="s">
        <v>84</v>
      </c>
      <c r="H30" s="51" t="s">
        <v>84</v>
      </c>
      <c r="I30" s="51" t="s">
        <v>84</v>
      </c>
      <c r="K30" s="98" t="s">
        <v>84</v>
      </c>
      <c r="L30" s="98" t="s">
        <v>84</v>
      </c>
      <c r="M30" s="98" t="s">
        <v>84</v>
      </c>
      <c r="N30" s="98" t="s">
        <v>84</v>
      </c>
      <c r="O30" s="98" t="s">
        <v>84</v>
      </c>
      <c r="P30" s="98" t="s">
        <v>84</v>
      </c>
      <c r="R30" s="61"/>
      <c r="S30" s="98"/>
      <c r="T30" s="105"/>
      <c r="U30" s="105"/>
      <c r="V30" s="98"/>
      <c r="W30" s="98"/>
      <c r="Y30" s="61" t="s">
        <v>198</v>
      </c>
      <c r="Z30" s="98" t="s">
        <v>460</v>
      </c>
      <c r="AA30" s="105" t="s">
        <v>148</v>
      </c>
      <c r="AB30" s="105" t="s">
        <v>183</v>
      </c>
      <c r="AC30" s="98" t="s">
        <v>289</v>
      </c>
      <c r="AD30" s="98">
        <v>1</v>
      </c>
      <c r="AF30" s="98" t="s">
        <v>84</v>
      </c>
      <c r="AG30" s="98" t="s">
        <v>84</v>
      </c>
      <c r="AH30" s="98" t="s">
        <v>84</v>
      </c>
      <c r="AI30" s="98" t="s">
        <v>84</v>
      </c>
      <c r="AJ30" s="98" t="s">
        <v>84</v>
      </c>
      <c r="AK30" s="98" t="s">
        <v>84</v>
      </c>
    </row>
    <row r="31" spans="1:37" ht="15.75" thickBot="1" x14ac:dyDescent="0.3">
      <c r="A31" s="324"/>
      <c r="B31" s="327"/>
      <c r="C31" s="52" t="s">
        <v>142</v>
      </c>
      <c r="D31" s="64" t="s">
        <v>149</v>
      </c>
      <c r="E31" s="54" t="s">
        <v>84</v>
      </c>
      <c r="F31" s="54" t="s">
        <v>84</v>
      </c>
      <c r="G31" s="54" t="s">
        <v>84</v>
      </c>
      <c r="H31" s="54" t="s">
        <v>84</v>
      </c>
      <c r="I31" s="54" t="s">
        <v>84</v>
      </c>
      <c r="K31" s="54" t="s">
        <v>84</v>
      </c>
      <c r="L31" s="54" t="s">
        <v>84</v>
      </c>
      <c r="M31" s="54" t="s">
        <v>84</v>
      </c>
      <c r="N31" s="54" t="s">
        <v>84</v>
      </c>
      <c r="O31" s="54" t="s">
        <v>84</v>
      </c>
      <c r="P31" s="54" t="s">
        <v>84</v>
      </c>
      <c r="R31" s="64"/>
      <c r="S31" s="54"/>
      <c r="T31" s="106"/>
      <c r="U31" s="106"/>
      <c r="V31" s="54"/>
      <c r="W31" s="54"/>
      <c r="Y31" s="64"/>
      <c r="Z31" s="54"/>
      <c r="AA31" s="106"/>
      <c r="AB31" s="106"/>
      <c r="AC31" s="54"/>
      <c r="AD31" s="54"/>
      <c r="AF31" s="54" t="s">
        <v>84</v>
      </c>
      <c r="AG31" s="54" t="s">
        <v>84</v>
      </c>
      <c r="AH31" s="54" t="s">
        <v>84</v>
      </c>
      <c r="AI31" s="54" t="s">
        <v>84</v>
      </c>
      <c r="AJ31" s="54" t="s">
        <v>84</v>
      </c>
      <c r="AK31" s="54" t="s">
        <v>84</v>
      </c>
    </row>
    <row r="32" spans="1:37" ht="15.75" thickBot="1" x14ac:dyDescent="0.3">
      <c r="A32" s="18"/>
      <c r="B32" s="15"/>
      <c r="C32" s="15"/>
      <c r="D32" s="244"/>
      <c r="E32" s="245"/>
      <c r="F32" s="245"/>
      <c r="G32" s="245"/>
      <c r="H32" s="245"/>
      <c r="I32" s="245"/>
      <c r="K32" s="244"/>
      <c r="L32" s="245"/>
      <c r="M32" s="245"/>
      <c r="N32" s="245"/>
      <c r="O32" s="245"/>
      <c r="P32" s="245"/>
      <c r="R32" s="244"/>
      <c r="S32" s="245"/>
      <c r="T32" s="245"/>
      <c r="U32" s="245"/>
      <c r="V32" s="245"/>
      <c r="W32" s="245"/>
      <c r="Y32" s="244"/>
      <c r="Z32" s="245"/>
      <c r="AA32" s="245"/>
      <c r="AB32" s="245"/>
      <c r="AC32" s="245"/>
      <c r="AD32" s="245"/>
      <c r="AF32" s="244"/>
      <c r="AG32" s="245"/>
      <c r="AH32" s="245"/>
      <c r="AI32" s="245"/>
      <c r="AJ32" s="245"/>
      <c r="AK32" s="245"/>
    </row>
    <row r="33" spans="1:38" ht="60" customHeight="1" thickBot="1" x14ac:dyDescent="0.3">
      <c r="A33" s="334" t="s">
        <v>21</v>
      </c>
      <c r="B33" s="325" t="s">
        <v>135</v>
      </c>
      <c r="C33" s="56"/>
      <c r="D33" s="57" t="s">
        <v>32</v>
      </c>
      <c r="E33" s="58" t="s">
        <v>20</v>
      </c>
      <c r="F33" s="258" t="s">
        <v>136</v>
      </c>
      <c r="G33" s="259"/>
      <c r="H33" s="99" t="s">
        <v>23</v>
      </c>
      <c r="I33" s="99" t="s">
        <v>153</v>
      </c>
      <c r="K33" s="155" t="s">
        <v>32</v>
      </c>
      <c r="L33" s="100" t="s">
        <v>20</v>
      </c>
      <c r="M33" s="258" t="s">
        <v>104</v>
      </c>
      <c r="N33" s="259"/>
      <c r="O33" s="110" t="s">
        <v>23</v>
      </c>
      <c r="P33" s="99" t="s">
        <v>153</v>
      </c>
      <c r="R33" s="145" t="s">
        <v>32</v>
      </c>
      <c r="S33" s="100" t="s">
        <v>20</v>
      </c>
      <c r="T33" s="258" t="s">
        <v>104</v>
      </c>
      <c r="U33" s="259"/>
      <c r="V33" s="110" t="s">
        <v>23</v>
      </c>
      <c r="W33" s="99" t="s">
        <v>153</v>
      </c>
      <c r="Y33" s="127" t="s">
        <v>32</v>
      </c>
      <c r="Z33" s="100" t="s">
        <v>20</v>
      </c>
      <c r="AA33" s="258" t="s">
        <v>104</v>
      </c>
      <c r="AB33" s="259"/>
      <c r="AC33" s="110" t="s">
        <v>23</v>
      </c>
      <c r="AD33" s="99" t="s">
        <v>153</v>
      </c>
      <c r="AF33" s="155" t="s">
        <v>32</v>
      </c>
      <c r="AG33" s="100" t="s">
        <v>20</v>
      </c>
      <c r="AH33" s="258" t="s">
        <v>104</v>
      </c>
      <c r="AI33" s="259"/>
      <c r="AJ33" s="110" t="s">
        <v>23</v>
      </c>
      <c r="AK33" s="99" t="s">
        <v>153</v>
      </c>
    </row>
    <row r="34" spans="1:38" ht="17.25" customHeight="1" x14ac:dyDescent="0.25">
      <c r="A34" s="335"/>
      <c r="B34" s="326"/>
      <c r="C34" s="48" t="s">
        <v>24</v>
      </c>
      <c r="D34" s="49" t="s">
        <v>102</v>
      </c>
      <c r="E34" s="51" t="s">
        <v>103</v>
      </c>
      <c r="F34" s="260" t="s">
        <v>105</v>
      </c>
      <c r="G34" s="261"/>
      <c r="H34" s="98">
        <v>1</v>
      </c>
      <c r="I34" s="105" t="s">
        <v>162</v>
      </c>
      <c r="K34" s="156" t="s">
        <v>260</v>
      </c>
      <c r="L34" s="98" t="s">
        <v>103</v>
      </c>
      <c r="M34" s="260" t="s">
        <v>261</v>
      </c>
      <c r="N34" s="261"/>
      <c r="O34" s="105">
        <v>1</v>
      </c>
      <c r="P34" s="105" t="s">
        <v>262</v>
      </c>
      <c r="R34" s="181" t="s">
        <v>266</v>
      </c>
      <c r="S34" s="98" t="s">
        <v>199</v>
      </c>
      <c r="T34" s="260" t="s">
        <v>267</v>
      </c>
      <c r="U34" s="261"/>
      <c r="V34" s="105">
        <v>1</v>
      </c>
      <c r="W34" s="105" t="s">
        <v>162</v>
      </c>
      <c r="Y34" s="181" t="s">
        <v>256</v>
      </c>
      <c r="Z34" s="98" t="s">
        <v>199</v>
      </c>
      <c r="AA34" s="260" t="s">
        <v>200</v>
      </c>
      <c r="AB34" s="261"/>
      <c r="AC34" s="105">
        <v>1</v>
      </c>
      <c r="AD34" s="105" t="s">
        <v>180</v>
      </c>
      <c r="AF34" s="156" t="s">
        <v>260</v>
      </c>
      <c r="AG34" s="98" t="s">
        <v>103</v>
      </c>
      <c r="AH34" s="260" t="s">
        <v>278</v>
      </c>
      <c r="AI34" s="261"/>
      <c r="AJ34" s="105">
        <v>1</v>
      </c>
      <c r="AK34" s="105" t="s">
        <v>262</v>
      </c>
    </row>
    <row r="35" spans="1:38" ht="17.25" customHeight="1" x14ac:dyDescent="0.25">
      <c r="A35" s="335"/>
      <c r="B35" s="326"/>
      <c r="C35" s="17" t="s">
        <v>24</v>
      </c>
      <c r="D35" s="46" t="s">
        <v>108</v>
      </c>
      <c r="E35" s="45" t="s">
        <v>103</v>
      </c>
      <c r="F35" s="262" t="s">
        <v>109</v>
      </c>
      <c r="G35" s="263"/>
      <c r="H35" s="97">
        <v>1</v>
      </c>
      <c r="I35" s="112" t="s">
        <v>177</v>
      </c>
      <c r="K35" s="157"/>
      <c r="L35" s="158"/>
      <c r="M35" s="262"/>
      <c r="N35" s="263"/>
      <c r="O35" s="111"/>
      <c r="P35" s="106"/>
      <c r="R35" s="180" t="s">
        <v>269</v>
      </c>
      <c r="S35" s="150" t="s">
        <v>199</v>
      </c>
      <c r="T35" s="262" t="s">
        <v>261</v>
      </c>
      <c r="U35" s="263"/>
      <c r="V35" s="111">
        <v>1</v>
      </c>
      <c r="W35" s="106" t="s">
        <v>180</v>
      </c>
      <c r="Y35" s="129"/>
      <c r="Z35" s="130"/>
      <c r="AA35" s="262"/>
      <c r="AB35" s="263"/>
      <c r="AC35" s="111"/>
      <c r="AD35" s="106"/>
      <c r="AF35" s="157"/>
      <c r="AG35" s="158"/>
      <c r="AH35" s="262"/>
      <c r="AI35" s="263"/>
      <c r="AJ35" s="111"/>
      <c r="AK35" s="106"/>
    </row>
    <row r="36" spans="1:38" x14ac:dyDescent="0.25">
      <c r="A36" s="335"/>
      <c r="B36" s="326"/>
      <c r="C36" s="17" t="s">
        <v>25</v>
      </c>
      <c r="D36" s="46" t="s">
        <v>110</v>
      </c>
      <c r="E36" s="45" t="s">
        <v>103</v>
      </c>
      <c r="F36" s="262" t="s">
        <v>111</v>
      </c>
      <c r="G36" s="263"/>
      <c r="H36" s="97">
        <v>1</v>
      </c>
      <c r="I36" s="106" t="s">
        <v>180</v>
      </c>
      <c r="K36" s="157" t="s">
        <v>255</v>
      </c>
      <c r="L36" s="158" t="s">
        <v>103</v>
      </c>
      <c r="M36" s="262" t="s">
        <v>263</v>
      </c>
      <c r="N36" s="263"/>
      <c r="O36" s="106">
        <v>2</v>
      </c>
      <c r="P36" s="106" t="s">
        <v>264</v>
      </c>
      <c r="R36" s="180" t="s">
        <v>270</v>
      </c>
      <c r="S36" s="150" t="s">
        <v>199</v>
      </c>
      <c r="T36" s="262" t="s">
        <v>268</v>
      </c>
      <c r="U36" s="263"/>
      <c r="V36" s="106">
        <v>2</v>
      </c>
      <c r="W36" s="106" t="s">
        <v>247</v>
      </c>
      <c r="Y36" s="180" t="s">
        <v>255</v>
      </c>
      <c r="Z36" s="130" t="s">
        <v>199</v>
      </c>
      <c r="AA36" s="262" t="s">
        <v>202</v>
      </c>
      <c r="AB36" s="263"/>
      <c r="AC36" s="106">
        <v>2</v>
      </c>
      <c r="AD36" s="106" t="s">
        <v>203</v>
      </c>
      <c r="AF36" s="157" t="s">
        <v>255</v>
      </c>
      <c r="AG36" s="158" t="s">
        <v>103</v>
      </c>
      <c r="AH36" s="262" t="s">
        <v>279</v>
      </c>
      <c r="AI36" s="263"/>
      <c r="AJ36" s="106">
        <v>2</v>
      </c>
      <c r="AK36" s="106" t="s">
        <v>264</v>
      </c>
    </row>
    <row r="37" spans="1:38" x14ac:dyDescent="0.25">
      <c r="A37" s="335"/>
      <c r="B37" s="326"/>
      <c r="C37" s="17" t="s">
        <v>22</v>
      </c>
      <c r="D37" s="46" t="s">
        <v>106</v>
      </c>
      <c r="E37" s="45" t="s">
        <v>103</v>
      </c>
      <c r="F37" s="264" t="s">
        <v>107</v>
      </c>
      <c r="G37" s="264"/>
      <c r="H37" s="97">
        <v>1</v>
      </c>
      <c r="I37" s="106" t="s">
        <v>208</v>
      </c>
      <c r="K37" s="157"/>
      <c r="L37" s="158"/>
      <c r="M37" s="264"/>
      <c r="N37" s="264"/>
      <c r="O37" s="106"/>
      <c r="P37" s="106"/>
      <c r="R37" s="149"/>
      <c r="S37" s="150"/>
      <c r="T37" s="264"/>
      <c r="U37" s="264"/>
      <c r="V37" s="106"/>
      <c r="W37" s="106"/>
      <c r="Y37" s="129"/>
      <c r="Z37" s="130"/>
      <c r="AA37" s="264"/>
      <c r="AB37" s="264"/>
      <c r="AC37" s="106"/>
      <c r="AD37" s="106"/>
      <c r="AF37" s="157"/>
      <c r="AG37" s="158"/>
      <c r="AH37" s="264"/>
      <c r="AI37" s="264"/>
      <c r="AJ37" s="106"/>
      <c r="AK37" s="106"/>
    </row>
    <row r="38" spans="1:38" x14ac:dyDescent="0.25">
      <c r="A38" s="335"/>
      <c r="B38" s="326"/>
      <c r="C38" s="17" t="s">
        <v>22</v>
      </c>
      <c r="D38" s="46" t="s">
        <v>117</v>
      </c>
      <c r="E38" s="45" t="s">
        <v>103</v>
      </c>
      <c r="F38" s="262" t="s">
        <v>118</v>
      </c>
      <c r="G38" s="263"/>
      <c r="H38" s="97">
        <v>2</v>
      </c>
      <c r="I38" s="112" t="s">
        <v>209</v>
      </c>
      <c r="K38" s="157"/>
      <c r="L38" s="158"/>
      <c r="M38" s="262"/>
      <c r="N38" s="263"/>
      <c r="O38" s="106"/>
      <c r="P38" s="112"/>
      <c r="R38" s="149"/>
      <c r="S38" s="150"/>
      <c r="T38" s="262"/>
      <c r="U38" s="263"/>
      <c r="V38" s="106"/>
      <c r="W38" s="112"/>
      <c r="Y38" s="129"/>
      <c r="Z38" s="130"/>
      <c r="AA38" s="262"/>
      <c r="AB38" s="263"/>
      <c r="AC38" s="106"/>
      <c r="AD38" s="112"/>
      <c r="AF38" s="157"/>
      <c r="AG38" s="158"/>
      <c r="AH38" s="262"/>
      <c r="AI38" s="263"/>
      <c r="AJ38" s="106"/>
      <c r="AK38" s="112"/>
    </row>
    <row r="39" spans="1:38" ht="15.75" thickBot="1" x14ac:dyDescent="0.3">
      <c r="A39" s="335"/>
      <c r="B39" s="326"/>
      <c r="C39" s="52" t="s">
        <v>22</v>
      </c>
      <c r="D39" s="53" t="s">
        <v>115</v>
      </c>
      <c r="E39" s="54" t="s">
        <v>103</v>
      </c>
      <c r="F39" s="265" t="s">
        <v>116</v>
      </c>
      <c r="G39" s="266"/>
      <c r="H39" s="54">
        <v>1</v>
      </c>
      <c r="I39" s="108" t="s">
        <v>208</v>
      </c>
      <c r="K39" s="159"/>
      <c r="L39" s="54"/>
      <c r="M39" s="265"/>
      <c r="N39" s="266"/>
      <c r="O39" s="109"/>
      <c r="P39" s="108"/>
      <c r="R39" s="151"/>
      <c r="S39" s="54"/>
      <c r="T39" s="265"/>
      <c r="U39" s="266"/>
      <c r="V39" s="109"/>
      <c r="W39" s="108"/>
      <c r="Y39" s="131"/>
      <c r="Z39" s="54"/>
      <c r="AA39" s="265"/>
      <c r="AB39" s="266"/>
      <c r="AC39" s="109"/>
      <c r="AD39" s="108"/>
      <c r="AF39" s="159"/>
      <c r="AG39" s="54"/>
      <c r="AH39" s="265"/>
      <c r="AI39" s="266"/>
      <c r="AJ39" s="109"/>
      <c r="AK39" s="108"/>
    </row>
    <row r="40" spans="1:38" s="36" customFormat="1" ht="15.75" thickBot="1" x14ac:dyDescent="0.3">
      <c r="A40" s="336"/>
      <c r="B40" s="327"/>
      <c r="C40" s="56" t="s">
        <v>71</v>
      </c>
      <c r="D40" s="337" t="s">
        <v>84</v>
      </c>
      <c r="E40" s="338"/>
      <c r="F40" s="338"/>
      <c r="G40" s="259"/>
      <c r="H40" s="100" t="s">
        <v>84</v>
      </c>
      <c r="I40" s="59"/>
      <c r="J40" s="22"/>
      <c r="K40" s="338" t="s">
        <v>84</v>
      </c>
      <c r="L40" s="338"/>
      <c r="M40" s="338"/>
      <c r="N40" s="259"/>
      <c r="O40" s="100" t="s">
        <v>84</v>
      </c>
      <c r="P40" s="100" t="s">
        <v>84</v>
      </c>
      <c r="Q40" s="37"/>
      <c r="R40" s="338"/>
      <c r="S40" s="338"/>
      <c r="T40" s="338"/>
      <c r="U40" s="259"/>
      <c r="V40" s="117"/>
      <c r="W40" s="59"/>
      <c r="X40" s="37"/>
      <c r="Y40" s="338"/>
      <c r="Z40" s="338"/>
      <c r="AA40" s="338"/>
      <c r="AB40" s="259"/>
      <c r="AC40" s="117"/>
      <c r="AD40" s="59"/>
      <c r="AE40" s="37"/>
      <c r="AF40" s="338" t="s">
        <v>84</v>
      </c>
      <c r="AG40" s="338"/>
      <c r="AH40" s="338"/>
      <c r="AI40" s="259"/>
      <c r="AJ40" s="100" t="s">
        <v>84</v>
      </c>
      <c r="AK40" s="100" t="s">
        <v>84</v>
      </c>
      <c r="AL40" s="37"/>
    </row>
    <row r="41" spans="1:38" ht="15.75" thickBot="1" x14ac:dyDescent="0.3">
      <c r="A41" s="12"/>
      <c r="B41" s="15"/>
      <c r="C41" s="15"/>
      <c r="D41" s="244"/>
      <c r="E41" s="245"/>
      <c r="F41" s="245"/>
      <c r="G41" s="245"/>
      <c r="H41" s="245"/>
      <c r="I41" s="245"/>
      <c r="K41" s="244"/>
      <c r="L41" s="245"/>
      <c r="M41" s="245"/>
      <c r="N41" s="245"/>
      <c r="O41" s="245"/>
      <c r="P41" s="245"/>
      <c r="R41" s="244"/>
      <c r="S41" s="245"/>
      <c r="T41" s="245"/>
      <c r="U41" s="245"/>
      <c r="V41" s="245"/>
      <c r="W41" s="245"/>
      <c r="Y41" s="244"/>
      <c r="Z41" s="245"/>
      <c r="AA41" s="245"/>
      <c r="AB41" s="245"/>
      <c r="AC41" s="245"/>
      <c r="AD41" s="245"/>
      <c r="AF41" s="244"/>
      <c r="AG41" s="245"/>
      <c r="AH41" s="245"/>
      <c r="AI41" s="245"/>
      <c r="AJ41" s="245"/>
      <c r="AK41" s="245"/>
    </row>
    <row r="42" spans="1:38" ht="15.75" thickBot="1" x14ac:dyDescent="0.3">
      <c r="A42" s="339" t="s">
        <v>26</v>
      </c>
      <c r="B42" s="340" t="s">
        <v>137</v>
      </c>
      <c r="C42" s="65"/>
      <c r="D42" s="343" t="s">
        <v>9</v>
      </c>
      <c r="E42" s="248"/>
      <c r="F42" s="246" t="s">
        <v>10</v>
      </c>
      <c r="G42" s="247"/>
      <c r="H42" s="248"/>
      <c r="I42" s="96" t="s">
        <v>152</v>
      </c>
      <c r="J42" s="78"/>
      <c r="K42" s="247" t="s">
        <v>9</v>
      </c>
      <c r="L42" s="248"/>
      <c r="M42" s="246" t="s">
        <v>10</v>
      </c>
      <c r="N42" s="247"/>
      <c r="O42" s="248"/>
      <c r="P42" s="96" t="s">
        <v>152</v>
      </c>
      <c r="Q42" s="78"/>
      <c r="R42" s="247" t="s">
        <v>9</v>
      </c>
      <c r="S42" s="248"/>
      <c r="T42" s="246" t="s">
        <v>10</v>
      </c>
      <c r="U42" s="247"/>
      <c r="V42" s="248"/>
      <c r="W42" s="96" t="s">
        <v>152</v>
      </c>
      <c r="X42" s="78"/>
      <c r="Y42" s="247" t="s">
        <v>9</v>
      </c>
      <c r="Z42" s="248"/>
      <c r="AA42" s="246" t="s">
        <v>10</v>
      </c>
      <c r="AB42" s="247"/>
      <c r="AC42" s="248"/>
      <c r="AD42" s="96" t="s">
        <v>152</v>
      </c>
      <c r="AE42" s="78"/>
      <c r="AF42" s="247" t="s">
        <v>9</v>
      </c>
      <c r="AG42" s="248"/>
      <c r="AH42" s="246" t="s">
        <v>10</v>
      </c>
      <c r="AI42" s="247"/>
      <c r="AJ42" s="248"/>
      <c r="AK42" s="96" t="s">
        <v>152</v>
      </c>
      <c r="AL42" s="78"/>
    </row>
    <row r="43" spans="1:38" ht="15" customHeight="1" x14ac:dyDescent="0.25">
      <c r="A43" s="339"/>
      <c r="B43" s="341"/>
      <c r="C43" s="16" t="s">
        <v>27</v>
      </c>
      <c r="D43" s="267" t="s">
        <v>257</v>
      </c>
      <c r="E43" s="268"/>
      <c r="F43" s="249" t="s">
        <v>129</v>
      </c>
      <c r="G43" s="250"/>
      <c r="H43" s="251"/>
      <c r="I43" s="113" t="s">
        <v>162</v>
      </c>
      <c r="K43" s="267" t="s">
        <v>84</v>
      </c>
      <c r="L43" s="268"/>
      <c r="M43" s="249" t="s">
        <v>129</v>
      </c>
      <c r="N43" s="250"/>
      <c r="O43" s="251"/>
      <c r="P43" s="113" t="s">
        <v>162</v>
      </c>
      <c r="R43" s="267" t="s">
        <v>237</v>
      </c>
      <c r="S43" s="268"/>
      <c r="T43" s="249" t="s">
        <v>204</v>
      </c>
      <c r="U43" s="250"/>
      <c r="V43" s="251"/>
      <c r="W43" s="113" t="s">
        <v>167</v>
      </c>
      <c r="Y43" s="267" t="s">
        <v>84</v>
      </c>
      <c r="Z43" s="268"/>
      <c r="AA43" s="249" t="s">
        <v>204</v>
      </c>
      <c r="AB43" s="250"/>
      <c r="AC43" s="251"/>
      <c r="AD43" s="113" t="s">
        <v>162</v>
      </c>
      <c r="AF43" s="267" t="s">
        <v>84</v>
      </c>
      <c r="AG43" s="268"/>
      <c r="AH43" s="249" t="s">
        <v>129</v>
      </c>
      <c r="AI43" s="250"/>
      <c r="AJ43" s="251"/>
      <c r="AK43" s="113" t="s">
        <v>162</v>
      </c>
    </row>
    <row r="44" spans="1:38" x14ac:dyDescent="0.25">
      <c r="A44" s="339"/>
      <c r="B44" s="341"/>
      <c r="C44" s="16" t="s">
        <v>28</v>
      </c>
      <c r="D44" s="253" t="s">
        <v>130</v>
      </c>
      <c r="E44" s="254"/>
      <c r="F44" s="252" t="s">
        <v>84</v>
      </c>
      <c r="G44" s="253"/>
      <c r="H44" s="254"/>
      <c r="I44" s="113" t="s">
        <v>162</v>
      </c>
      <c r="K44" s="253" t="s">
        <v>214</v>
      </c>
      <c r="L44" s="254"/>
      <c r="M44" s="252" t="s">
        <v>215</v>
      </c>
      <c r="N44" s="253"/>
      <c r="O44" s="254"/>
      <c r="P44" s="113" t="s">
        <v>162</v>
      </c>
      <c r="R44" s="253" t="s">
        <v>84</v>
      </c>
      <c r="S44" s="254"/>
      <c r="T44" s="252" t="s">
        <v>84</v>
      </c>
      <c r="U44" s="253"/>
      <c r="V44" s="254"/>
      <c r="W44" s="152" t="s">
        <v>84</v>
      </c>
      <c r="Y44" s="253" t="s">
        <v>214</v>
      </c>
      <c r="Z44" s="254"/>
      <c r="AA44" s="252"/>
      <c r="AB44" s="253"/>
      <c r="AC44" s="254"/>
      <c r="AD44" s="114"/>
      <c r="AF44" s="253" t="s">
        <v>214</v>
      </c>
      <c r="AG44" s="254"/>
      <c r="AH44" s="252" t="s">
        <v>215</v>
      </c>
      <c r="AI44" s="253"/>
      <c r="AJ44" s="254"/>
      <c r="AK44" s="113" t="s">
        <v>162</v>
      </c>
    </row>
    <row r="45" spans="1:38" ht="15.75" thickBot="1" x14ac:dyDescent="0.3">
      <c r="A45" s="339"/>
      <c r="B45" s="342"/>
      <c r="C45" s="66" t="s">
        <v>29</v>
      </c>
      <c r="D45" s="256" t="s">
        <v>131</v>
      </c>
      <c r="E45" s="257"/>
      <c r="F45" s="255" t="s">
        <v>84</v>
      </c>
      <c r="G45" s="256"/>
      <c r="H45" s="257"/>
      <c r="I45" s="113" t="s">
        <v>162</v>
      </c>
      <c r="K45" s="256"/>
      <c r="L45" s="257"/>
      <c r="M45" s="255"/>
      <c r="N45" s="256"/>
      <c r="O45" s="257"/>
      <c r="P45" s="103"/>
      <c r="R45" s="256" t="s">
        <v>84</v>
      </c>
      <c r="S45" s="257"/>
      <c r="T45" s="255" t="s">
        <v>84</v>
      </c>
      <c r="U45" s="256"/>
      <c r="V45" s="257"/>
      <c r="W45" s="144" t="s">
        <v>84</v>
      </c>
      <c r="Y45" s="256"/>
      <c r="Z45" s="257"/>
      <c r="AA45" s="255"/>
      <c r="AB45" s="256"/>
      <c r="AC45" s="257"/>
      <c r="AD45" s="103"/>
      <c r="AF45" s="256"/>
      <c r="AG45" s="257"/>
      <c r="AH45" s="255"/>
      <c r="AI45" s="256"/>
      <c r="AJ45" s="257"/>
      <c r="AK45" s="103"/>
    </row>
    <row r="46" spans="1:38" ht="15.75" thickBot="1" x14ac:dyDescent="0.3">
      <c r="A46" s="12"/>
      <c r="B46" s="15"/>
      <c r="C46" s="15"/>
      <c r="D46" s="244"/>
      <c r="E46" s="245"/>
      <c r="F46" s="245"/>
      <c r="G46" s="245"/>
      <c r="H46" s="245"/>
      <c r="I46" s="245"/>
      <c r="K46" s="244"/>
      <c r="L46" s="245"/>
      <c r="M46" s="245"/>
      <c r="N46" s="245"/>
      <c r="O46" s="245"/>
      <c r="P46" s="245"/>
      <c r="R46" s="244"/>
      <c r="S46" s="245"/>
      <c r="T46" s="245"/>
      <c r="U46" s="245"/>
      <c r="V46" s="245"/>
      <c r="W46" s="245"/>
      <c r="Y46" s="244"/>
      <c r="Z46" s="245"/>
      <c r="AA46" s="245"/>
      <c r="AB46" s="245"/>
      <c r="AC46" s="245"/>
      <c r="AD46" s="245"/>
      <c r="AF46" s="244"/>
      <c r="AG46" s="245"/>
      <c r="AH46" s="245"/>
      <c r="AI46" s="245"/>
      <c r="AJ46" s="245"/>
      <c r="AK46" s="245"/>
    </row>
    <row r="47" spans="1:38" ht="15" customHeight="1" thickBot="1" x14ac:dyDescent="0.3">
      <c r="A47" s="350" t="s">
        <v>30</v>
      </c>
      <c r="B47" s="352" t="s">
        <v>138</v>
      </c>
      <c r="C47" s="76"/>
      <c r="D47" s="77" t="s">
        <v>9</v>
      </c>
      <c r="E47" s="347" t="s">
        <v>94</v>
      </c>
      <c r="F47" s="348"/>
      <c r="G47" s="344" t="s">
        <v>157</v>
      </c>
      <c r="H47" s="344"/>
      <c r="I47" s="344"/>
      <c r="K47" s="161" t="s">
        <v>9</v>
      </c>
      <c r="L47" s="347" t="s">
        <v>94</v>
      </c>
      <c r="M47" s="348"/>
      <c r="N47" s="344" t="s">
        <v>157</v>
      </c>
      <c r="O47" s="344"/>
      <c r="P47" s="344"/>
      <c r="R47" s="146" t="s">
        <v>9</v>
      </c>
      <c r="S47" s="347" t="s">
        <v>94</v>
      </c>
      <c r="T47" s="348"/>
      <c r="U47" s="344" t="s">
        <v>157</v>
      </c>
      <c r="V47" s="344"/>
      <c r="W47" s="344"/>
      <c r="Y47" s="133" t="s">
        <v>9</v>
      </c>
      <c r="Z47" s="347" t="s">
        <v>94</v>
      </c>
      <c r="AA47" s="348"/>
      <c r="AB47" s="344" t="s">
        <v>157</v>
      </c>
      <c r="AC47" s="344"/>
      <c r="AD47" s="344"/>
      <c r="AF47" s="161" t="s">
        <v>9</v>
      </c>
      <c r="AG47" s="347" t="s">
        <v>94</v>
      </c>
      <c r="AH47" s="348"/>
      <c r="AI47" s="344" t="s">
        <v>157</v>
      </c>
      <c r="AJ47" s="344"/>
      <c r="AK47" s="344"/>
    </row>
    <row r="48" spans="1:38" ht="15" customHeight="1" x14ac:dyDescent="0.25">
      <c r="A48" s="351"/>
      <c r="B48" s="353"/>
      <c r="C48" s="74" t="s">
        <v>35</v>
      </c>
      <c r="D48" s="75" t="s">
        <v>78</v>
      </c>
      <c r="E48" s="349">
        <v>3.7</v>
      </c>
      <c r="F48" s="300"/>
      <c r="G48" s="345">
        <v>355</v>
      </c>
      <c r="H48" s="345"/>
      <c r="I48" s="345"/>
      <c r="K48" s="162"/>
      <c r="L48" s="349">
        <v>7.5</v>
      </c>
      <c r="M48" s="300"/>
      <c r="N48" s="345" t="s">
        <v>217</v>
      </c>
      <c r="O48" s="345"/>
      <c r="P48" s="345"/>
      <c r="R48" s="147" t="s">
        <v>237</v>
      </c>
      <c r="S48" s="349">
        <v>7.5</v>
      </c>
      <c r="T48" s="300"/>
      <c r="U48" s="345">
        <v>171.39</v>
      </c>
      <c r="V48" s="345"/>
      <c r="W48" s="345"/>
      <c r="Y48" s="134"/>
      <c r="Z48" s="349" t="s">
        <v>205</v>
      </c>
      <c r="AA48" s="300"/>
      <c r="AB48" s="345" t="s">
        <v>500</v>
      </c>
      <c r="AC48" s="345"/>
      <c r="AD48" s="345"/>
      <c r="AF48" s="162"/>
      <c r="AG48" s="349">
        <v>7.5</v>
      </c>
      <c r="AH48" s="300"/>
      <c r="AI48" s="345" t="s">
        <v>217</v>
      </c>
      <c r="AJ48" s="345"/>
      <c r="AK48" s="345"/>
    </row>
    <row r="49" spans="1:38" ht="15.75" thickBot="1" x14ac:dyDescent="0.3">
      <c r="A49" s="351"/>
      <c r="B49" s="354"/>
      <c r="C49" s="72" t="s">
        <v>34</v>
      </c>
      <c r="D49" s="73" t="s">
        <v>123</v>
      </c>
      <c r="E49" s="355" t="s">
        <v>84</v>
      </c>
      <c r="F49" s="277"/>
      <c r="G49" s="346" t="s">
        <v>84</v>
      </c>
      <c r="H49" s="346"/>
      <c r="I49" s="346"/>
      <c r="K49" s="160" t="s">
        <v>216</v>
      </c>
      <c r="L49" s="355">
        <v>4.0999999999999996</v>
      </c>
      <c r="M49" s="277"/>
      <c r="N49" s="346">
        <v>62.89</v>
      </c>
      <c r="O49" s="346"/>
      <c r="P49" s="346"/>
      <c r="R49" s="148" t="s">
        <v>245</v>
      </c>
      <c r="S49" s="355">
        <v>4.7</v>
      </c>
      <c r="T49" s="277"/>
      <c r="U49" s="346">
        <v>57.13</v>
      </c>
      <c r="V49" s="346"/>
      <c r="W49" s="346"/>
      <c r="Y49" s="132" t="s">
        <v>206</v>
      </c>
      <c r="Z49" s="355" t="s">
        <v>207</v>
      </c>
      <c r="AA49" s="277"/>
      <c r="AB49" s="346"/>
      <c r="AC49" s="346"/>
      <c r="AD49" s="346"/>
      <c r="AF49" s="160" t="s">
        <v>216</v>
      </c>
      <c r="AG49" s="355">
        <v>4.0999999999999996</v>
      </c>
      <c r="AH49" s="277"/>
      <c r="AI49" s="346">
        <v>62.89</v>
      </c>
      <c r="AJ49" s="346"/>
      <c r="AK49" s="346"/>
    </row>
    <row r="50" spans="1:38" ht="15.75" thickBot="1" x14ac:dyDescent="0.3">
      <c r="A50" s="12"/>
      <c r="B50" s="15"/>
      <c r="C50" s="15"/>
      <c r="D50" s="244"/>
      <c r="E50" s="245"/>
      <c r="F50" s="245"/>
      <c r="G50" s="245"/>
      <c r="H50" s="245"/>
      <c r="I50" s="245"/>
      <c r="K50" s="244"/>
      <c r="L50" s="245"/>
      <c r="M50" s="245"/>
      <c r="N50" s="245"/>
      <c r="O50" s="245"/>
      <c r="P50" s="245"/>
      <c r="R50" s="244"/>
      <c r="S50" s="245"/>
      <c r="T50" s="245"/>
      <c r="U50" s="245"/>
      <c r="V50" s="245"/>
      <c r="W50" s="245"/>
      <c r="Y50" s="244"/>
      <c r="Z50" s="245"/>
      <c r="AA50" s="245"/>
      <c r="AB50" s="245"/>
      <c r="AC50" s="245"/>
      <c r="AD50" s="245"/>
      <c r="AF50" s="244"/>
      <c r="AG50" s="245"/>
      <c r="AH50" s="245"/>
      <c r="AI50" s="245"/>
      <c r="AJ50" s="245"/>
      <c r="AK50" s="245"/>
    </row>
    <row r="51" spans="1:38" ht="15" customHeight="1" x14ac:dyDescent="0.25">
      <c r="A51" s="334" t="s">
        <v>31</v>
      </c>
      <c r="B51" s="356" t="s">
        <v>151</v>
      </c>
      <c r="C51" s="71" t="s">
        <v>36</v>
      </c>
      <c r="D51" s="359">
        <v>63.01</v>
      </c>
      <c r="E51" s="360"/>
      <c r="F51" s="360"/>
      <c r="G51" s="360"/>
      <c r="H51" s="360"/>
      <c r="I51" s="360"/>
      <c r="K51" s="359">
        <v>99.47</v>
      </c>
      <c r="L51" s="360"/>
      <c r="M51" s="360"/>
      <c r="N51" s="360"/>
      <c r="O51" s="360"/>
      <c r="P51" s="360"/>
      <c r="R51" s="359">
        <v>91.41</v>
      </c>
      <c r="S51" s="360"/>
      <c r="T51" s="360"/>
      <c r="U51" s="360"/>
      <c r="V51" s="360"/>
      <c r="W51" s="360"/>
      <c r="Y51" s="359">
        <v>91</v>
      </c>
      <c r="Z51" s="360"/>
      <c r="AA51" s="360"/>
      <c r="AB51" s="360"/>
      <c r="AC51" s="360"/>
      <c r="AD51" s="360"/>
      <c r="AF51" s="359">
        <v>99.47</v>
      </c>
      <c r="AG51" s="360"/>
      <c r="AH51" s="360"/>
      <c r="AI51" s="360"/>
      <c r="AJ51" s="360"/>
      <c r="AK51" s="360"/>
    </row>
    <row r="52" spans="1:38" x14ac:dyDescent="0.25">
      <c r="A52" s="335"/>
      <c r="B52" s="357"/>
      <c r="C52" s="19" t="s">
        <v>72</v>
      </c>
      <c r="D52" s="263">
        <v>205</v>
      </c>
      <c r="E52" s="264"/>
      <c r="F52" s="264"/>
      <c r="G52" s="264"/>
      <c r="H52" s="264"/>
      <c r="I52" s="264"/>
      <c r="K52" s="263">
        <v>254.97</v>
      </c>
      <c r="L52" s="264"/>
      <c r="M52" s="264"/>
      <c r="N52" s="264"/>
      <c r="O52" s="264"/>
      <c r="P52" s="264"/>
      <c r="R52" s="263">
        <v>220.52</v>
      </c>
      <c r="S52" s="264"/>
      <c r="T52" s="264"/>
      <c r="U52" s="264"/>
      <c r="V52" s="264"/>
      <c r="W52" s="264"/>
      <c r="Y52" s="263">
        <v>194</v>
      </c>
      <c r="Z52" s="264"/>
      <c r="AA52" s="264"/>
      <c r="AB52" s="264"/>
      <c r="AC52" s="264"/>
      <c r="AD52" s="264"/>
      <c r="AF52" s="263">
        <v>254.97</v>
      </c>
      <c r="AG52" s="264"/>
      <c r="AH52" s="264"/>
      <c r="AI52" s="264"/>
      <c r="AJ52" s="264"/>
      <c r="AK52" s="264"/>
    </row>
    <row r="53" spans="1:38" x14ac:dyDescent="0.25">
      <c r="A53" s="335"/>
      <c r="B53" s="357"/>
      <c r="C53" s="19" t="s">
        <v>42</v>
      </c>
      <c r="D53" s="263">
        <v>133</v>
      </c>
      <c r="E53" s="264"/>
      <c r="F53" s="264"/>
      <c r="G53" s="264"/>
      <c r="H53" s="264"/>
      <c r="I53" s="264"/>
      <c r="K53" s="263">
        <v>125.77</v>
      </c>
      <c r="L53" s="264"/>
      <c r="M53" s="264"/>
      <c r="N53" s="264"/>
      <c r="O53" s="264"/>
      <c r="P53" s="264"/>
      <c r="R53" s="263">
        <v>89.12</v>
      </c>
      <c r="S53" s="264"/>
      <c r="T53" s="264"/>
      <c r="U53" s="264"/>
      <c r="V53" s="264"/>
      <c r="W53" s="264"/>
      <c r="Y53" s="263">
        <v>71</v>
      </c>
      <c r="Z53" s="264"/>
      <c r="AA53" s="264"/>
      <c r="AB53" s="264"/>
      <c r="AC53" s="264"/>
      <c r="AD53" s="264"/>
      <c r="AF53" s="263">
        <v>125.77</v>
      </c>
      <c r="AG53" s="264"/>
      <c r="AH53" s="264"/>
      <c r="AI53" s="264"/>
      <c r="AJ53" s="264"/>
      <c r="AK53" s="264"/>
    </row>
    <row r="54" spans="1:38" x14ac:dyDescent="0.25">
      <c r="A54" s="335"/>
      <c r="B54" s="357"/>
      <c r="C54" s="19" t="s">
        <v>43</v>
      </c>
      <c r="D54" s="263">
        <v>110.04</v>
      </c>
      <c r="E54" s="264"/>
      <c r="F54" s="264"/>
      <c r="G54" s="264"/>
      <c r="H54" s="264"/>
      <c r="I54" s="264"/>
      <c r="K54" s="263">
        <v>101</v>
      </c>
      <c r="L54" s="264"/>
      <c r="M54" s="264"/>
      <c r="N54" s="264"/>
      <c r="O54" s="264"/>
      <c r="P54" s="264"/>
      <c r="R54" s="263">
        <v>101</v>
      </c>
      <c r="S54" s="264"/>
      <c r="T54" s="264"/>
      <c r="U54" s="264"/>
      <c r="V54" s="264"/>
      <c r="W54" s="264"/>
      <c r="Y54" s="263">
        <v>101</v>
      </c>
      <c r="Z54" s="264"/>
      <c r="AA54" s="264"/>
      <c r="AB54" s="264"/>
      <c r="AC54" s="264"/>
      <c r="AD54" s="264"/>
      <c r="AF54" s="263">
        <v>101</v>
      </c>
      <c r="AG54" s="264"/>
      <c r="AH54" s="264"/>
      <c r="AI54" s="264"/>
      <c r="AJ54" s="264"/>
      <c r="AK54" s="264"/>
    </row>
    <row r="55" spans="1:38" x14ac:dyDescent="0.25">
      <c r="A55" s="335"/>
      <c r="B55" s="357"/>
      <c r="C55" s="17" t="s">
        <v>44</v>
      </c>
      <c r="D55" s="361" t="s">
        <v>84</v>
      </c>
      <c r="E55" s="362"/>
      <c r="F55" s="362"/>
      <c r="G55" s="362"/>
      <c r="H55" s="362"/>
      <c r="I55" s="362"/>
      <c r="K55" s="361" t="s">
        <v>84</v>
      </c>
      <c r="L55" s="362"/>
      <c r="M55" s="362"/>
      <c r="N55" s="362"/>
      <c r="O55" s="362"/>
      <c r="P55" s="362"/>
      <c r="R55" s="361" t="s">
        <v>193</v>
      </c>
      <c r="S55" s="362"/>
      <c r="T55" s="362"/>
      <c r="U55" s="362"/>
      <c r="V55" s="362"/>
      <c r="W55" s="362"/>
      <c r="Y55" s="361" t="s">
        <v>193</v>
      </c>
      <c r="Z55" s="362"/>
      <c r="AA55" s="362"/>
      <c r="AB55" s="362"/>
      <c r="AC55" s="362"/>
      <c r="AD55" s="362"/>
      <c r="AF55" s="361" t="s">
        <v>84</v>
      </c>
      <c r="AG55" s="362"/>
      <c r="AH55" s="362"/>
      <c r="AI55" s="362"/>
      <c r="AJ55" s="362"/>
      <c r="AK55" s="362"/>
    </row>
    <row r="56" spans="1:38" x14ac:dyDescent="0.25">
      <c r="A56" s="335"/>
      <c r="B56" s="357"/>
      <c r="C56" s="17" t="s">
        <v>45</v>
      </c>
      <c r="D56" s="361" t="s">
        <v>84</v>
      </c>
      <c r="E56" s="362"/>
      <c r="F56" s="362"/>
      <c r="G56" s="362"/>
      <c r="H56" s="362"/>
      <c r="I56" s="362"/>
      <c r="K56" s="361" t="s">
        <v>84</v>
      </c>
      <c r="L56" s="362"/>
      <c r="M56" s="362"/>
      <c r="N56" s="362"/>
      <c r="O56" s="362"/>
      <c r="P56" s="362"/>
      <c r="R56" s="361" t="s">
        <v>193</v>
      </c>
      <c r="S56" s="362"/>
      <c r="T56" s="362"/>
      <c r="U56" s="362"/>
      <c r="V56" s="362"/>
      <c r="W56" s="362"/>
      <c r="Y56" s="361" t="s">
        <v>193</v>
      </c>
      <c r="Z56" s="362"/>
      <c r="AA56" s="362"/>
      <c r="AB56" s="362"/>
      <c r="AC56" s="362"/>
      <c r="AD56" s="362"/>
      <c r="AF56" s="361" t="s">
        <v>84</v>
      </c>
      <c r="AG56" s="362"/>
      <c r="AH56" s="362"/>
      <c r="AI56" s="362"/>
      <c r="AJ56" s="362"/>
      <c r="AK56" s="362"/>
    </row>
    <row r="57" spans="1:38" x14ac:dyDescent="0.25">
      <c r="A57" s="335"/>
      <c r="B57" s="357"/>
      <c r="C57" s="19" t="s">
        <v>46</v>
      </c>
      <c r="D57" s="361" t="s">
        <v>84</v>
      </c>
      <c r="E57" s="362"/>
      <c r="F57" s="362"/>
      <c r="G57" s="362"/>
      <c r="H57" s="362"/>
      <c r="I57" s="362"/>
      <c r="K57" s="361" t="s">
        <v>84</v>
      </c>
      <c r="L57" s="362"/>
      <c r="M57" s="362"/>
      <c r="N57" s="362"/>
      <c r="O57" s="362"/>
      <c r="P57" s="362"/>
      <c r="R57" s="361" t="s">
        <v>193</v>
      </c>
      <c r="S57" s="362"/>
      <c r="T57" s="362"/>
      <c r="U57" s="362"/>
      <c r="V57" s="362"/>
      <c r="W57" s="362"/>
      <c r="Y57" s="361" t="s">
        <v>193</v>
      </c>
      <c r="Z57" s="362"/>
      <c r="AA57" s="362"/>
      <c r="AB57" s="362"/>
      <c r="AC57" s="362"/>
      <c r="AD57" s="362"/>
      <c r="AF57" s="361" t="s">
        <v>84</v>
      </c>
      <c r="AG57" s="362"/>
      <c r="AH57" s="362"/>
      <c r="AI57" s="362"/>
      <c r="AJ57" s="362"/>
      <c r="AK57" s="362"/>
    </row>
    <row r="58" spans="1:38" x14ac:dyDescent="0.25">
      <c r="A58" s="335"/>
      <c r="B58" s="357"/>
      <c r="C58" s="17" t="s">
        <v>47</v>
      </c>
      <c r="D58" s="263">
        <v>511.05</v>
      </c>
      <c r="E58" s="264"/>
      <c r="F58" s="264"/>
      <c r="G58" s="264"/>
      <c r="H58" s="264"/>
      <c r="I58" s="264"/>
      <c r="K58" s="263">
        <v>581.21</v>
      </c>
      <c r="L58" s="264"/>
      <c r="M58" s="264"/>
      <c r="N58" s="264"/>
      <c r="O58" s="264"/>
      <c r="P58" s="264"/>
      <c r="R58" s="367">
        <v>502.05</v>
      </c>
      <c r="S58" s="367"/>
      <c r="T58" s="367"/>
      <c r="U58" s="367"/>
      <c r="V58" s="367"/>
      <c r="W58" s="263"/>
      <c r="Y58" s="263">
        <v>457</v>
      </c>
      <c r="Z58" s="264"/>
      <c r="AA58" s="264"/>
      <c r="AB58" s="264"/>
      <c r="AC58" s="264"/>
      <c r="AD58" s="264"/>
      <c r="AF58" s="263">
        <v>581.21</v>
      </c>
      <c r="AG58" s="264"/>
      <c r="AH58" s="264"/>
      <c r="AI58" s="264"/>
      <c r="AJ58" s="264"/>
      <c r="AK58" s="264"/>
    </row>
    <row r="59" spans="1:38" ht="15" customHeight="1" x14ac:dyDescent="0.25">
      <c r="A59" s="335"/>
      <c r="B59" s="357"/>
      <c r="C59" s="363" t="s">
        <v>73</v>
      </c>
      <c r="D59" s="361" t="s">
        <v>193</v>
      </c>
      <c r="E59" s="362"/>
      <c r="F59" s="362"/>
      <c r="G59" s="362"/>
      <c r="H59" s="362"/>
      <c r="I59" s="362"/>
      <c r="J59" s="44"/>
      <c r="K59" s="361" t="s">
        <v>193</v>
      </c>
      <c r="L59" s="362"/>
      <c r="M59" s="362"/>
      <c r="N59" s="362"/>
      <c r="O59" s="362"/>
      <c r="P59" s="362"/>
      <c r="Q59" s="38"/>
      <c r="R59" s="361" t="s">
        <v>193</v>
      </c>
      <c r="S59" s="362"/>
      <c r="T59" s="362"/>
      <c r="U59" s="362"/>
      <c r="V59" s="362"/>
      <c r="W59" s="362"/>
      <c r="X59" s="38"/>
      <c r="Y59" s="361" t="s">
        <v>193</v>
      </c>
      <c r="Z59" s="362"/>
      <c r="AA59" s="362"/>
      <c r="AB59" s="362"/>
      <c r="AC59" s="362"/>
      <c r="AD59" s="362"/>
      <c r="AE59" s="38"/>
      <c r="AF59" s="361" t="s">
        <v>193</v>
      </c>
      <c r="AG59" s="362"/>
      <c r="AH59" s="362"/>
      <c r="AI59" s="362"/>
      <c r="AJ59" s="362"/>
      <c r="AK59" s="362"/>
      <c r="AL59" s="38"/>
    </row>
    <row r="60" spans="1:38" ht="15.75" thickBot="1" x14ac:dyDescent="0.3">
      <c r="A60" s="336"/>
      <c r="B60" s="358"/>
      <c r="C60" s="364"/>
      <c r="D60" s="365"/>
      <c r="E60" s="366"/>
      <c r="F60" s="366"/>
      <c r="G60" s="366"/>
      <c r="H60" s="366"/>
      <c r="I60" s="366"/>
      <c r="J60" s="44"/>
      <c r="K60" s="365"/>
      <c r="L60" s="366"/>
      <c r="M60" s="366"/>
      <c r="N60" s="366"/>
      <c r="O60" s="366"/>
      <c r="P60" s="366"/>
      <c r="Q60" s="38"/>
      <c r="R60" s="365"/>
      <c r="S60" s="366"/>
      <c r="T60" s="366"/>
      <c r="U60" s="366"/>
      <c r="V60" s="366"/>
      <c r="W60" s="366"/>
      <c r="X60" s="38"/>
      <c r="Y60" s="365"/>
      <c r="Z60" s="366"/>
      <c r="AA60" s="366"/>
      <c r="AB60" s="366"/>
      <c r="AC60" s="366"/>
      <c r="AD60" s="366"/>
      <c r="AE60" s="38"/>
      <c r="AF60" s="365"/>
      <c r="AG60" s="366"/>
      <c r="AH60" s="366"/>
      <c r="AI60" s="366"/>
      <c r="AJ60" s="366"/>
      <c r="AK60" s="366"/>
      <c r="AL60" s="38"/>
    </row>
  </sheetData>
  <mergeCells count="267">
    <mergeCell ref="AF50:AK50"/>
    <mergeCell ref="AF44:AG44"/>
    <mergeCell ref="AF40:AI40"/>
    <mergeCell ref="AF46:AK46"/>
    <mergeCell ref="AG47:AH47"/>
    <mergeCell ref="AI47:AK47"/>
    <mergeCell ref="AG48:AH48"/>
    <mergeCell ref="K40:N40"/>
    <mergeCell ref="AI49:AK49"/>
    <mergeCell ref="AI48:AK48"/>
    <mergeCell ref="AG49:AH49"/>
    <mergeCell ref="U47:W47"/>
    <mergeCell ref="S48:T48"/>
    <mergeCell ref="U48:W48"/>
    <mergeCell ref="S49:T49"/>
    <mergeCell ref="U49:W49"/>
    <mergeCell ref="R50:W50"/>
    <mergeCell ref="K41:P41"/>
    <mergeCell ref="K42:L42"/>
    <mergeCell ref="N47:P47"/>
    <mergeCell ref="M42:O42"/>
    <mergeCell ref="M43:O43"/>
    <mergeCell ref="M44:O44"/>
    <mergeCell ref="AB49:AD49"/>
    <mergeCell ref="Y50:AD50"/>
    <mergeCell ref="R42:S42"/>
    <mergeCell ref="R43:S43"/>
    <mergeCell ref="R44:S44"/>
    <mergeCell ref="R45:S45"/>
    <mergeCell ref="R46:W46"/>
    <mergeCell ref="S47:T47"/>
    <mergeCell ref="T42:V42"/>
    <mergeCell ref="T43:V43"/>
    <mergeCell ref="T44:V44"/>
    <mergeCell ref="AA42:AC42"/>
    <mergeCell ref="AA43:AC43"/>
    <mergeCell ref="AA44:AC44"/>
    <mergeCell ref="AA45:AC45"/>
    <mergeCell ref="Y44:Z44"/>
    <mergeCell ref="Y46:AD46"/>
    <mergeCell ref="Z47:AA47"/>
    <mergeCell ref="AB47:AD47"/>
    <mergeCell ref="Z48:AA48"/>
    <mergeCell ref="AB48:AD48"/>
    <mergeCell ref="AF52:AK52"/>
    <mergeCell ref="AF53:AK53"/>
    <mergeCell ref="AF51:AK51"/>
    <mergeCell ref="R56:W56"/>
    <mergeCell ref="K52:P52"/>
    <mergeCell ref="K53:P53"/>
    <mergeCell ref="K54:P54"/>
    <mergeCell ref="K55:P55"/>
    <mergeCell ref="K56:P56"/>
    <mergeCell ref="K51:P51"/>
    <mergeCell ref="AF58:AK58"/>
    <mergeCell ref="D59:I60"/>
    <mergeCell ref="D58:I58"/>
    <mergeCell ref="D57:I57"/>
    <mergeCell ref="D56:I56"/>
    <mergeCell ref="D55:I55"/>
    <mergeCell ref="D54:I54"/>
    <mergeCell ref="K59:P60"/>
    <mergeCell ref="AF55:AK55"/>
    <mergeCell ref="AF59:AK60"/>
    <mergeCell ref="K58:P58"/>
    <mergeCell ref="R54:W54"/>
    <mergeCell ref="Y54:AD54"/>
    <mergeCell ref="AF54:AK54"/>
    <mergeCell ref="R57:W57"/>
    <mergeCell ref="Y57:AD57"/>
    <mergeCell ref="AF57:AK57"/>
    <mergeCell ref="Y56:AD56"/>
    <mergeCell ref="AF56:AK56"/>
    <mergeCell ref="K57:P57"/>
    <mergeCell ref="A51:A60"/>
    <mergeCell ref="B51:B60"/>
    <mergeCell ref="R51:W51"/>
    <mergeCell ref="Y51:AD51"/>
    <mergeCell ref="R53:W53"/>
    <mergeCell ref="Y53:AD53"/>
    <mergeCell ref="R55:W55"/>
    <mergeCell ref="Y55:AD55"/>
    <mergeCell ref="C59:C60"/>
    <mergeCell ref="R59:W60"/>
    <mergeCell ref="Y59:AD60"/>
    <mergeCell ref="R58:W58"/>
    <mergeCell ref="Y58:AD58"/>
    <mergeCell ref="D53:I53"/>
    <mergeCell ref="D52:I52"/>
    <mergeCell ref="D51:I51"/>
    <mergeCell ref="R52:W52"/>
    <mergeCell ref="Y52:AD52"/>
    <mergeCell ref="A47:A49"/>
    <mergeCell ref="B47:B49"/>
    <mergeCell ref="E47:F47"/>
    <mergeCell ref="Y45:Z45"/>
    <mergeCell ref="E49:F49"/>
    <mergeCell ref="T45:V45"/>
    <mergeCell ref="L48:M48"/>
    <mergeCell ref="N48:P48"/>
    <mergeCell ref="L49:M49"/>
    <mergeCell ref="N49:P49"/>
    <mergeCell ref="Z49:AA49"/>
    <mergeCell ref="D50:I50"/>
    <mergeCell ref="D46:I46"/>
    <mergeCell ref="G47:I47"/>
    <mergeCell ref="G48:I48"/>
    <mergeCell ref="G49:I49"/>
    <mergeCell ref="K45:L45"/>
    <mergeCell ref="K46:P46"/>
    <mergeCell ref="L47:M47"/>
    <mergeCell ref="M45:O45"/>
    <mergeCell ref="E48:F48"/>
    <mergeCell ref="D45:E45"/>
    <mergeCell ref="K50:P50"/>
    <mergeCell ref="A33:A40"/>
    <mergeCell ref="B33:B40"/>
    <mergeCell ref="F34:G34"/>
    <mergeCell ref="F37:G37"/>
    <mergeCell ref="D40:G40"/>
    <mergeCell ref="K43:L43"/>
    <mergeCell ref="K44:L44"/>
    <mergeCell ref="Y42:Z42"/>
    <mergeCell ref="A42:A45"/>
    <mergeCell ref="B42:B45"/>
    <mergeCell ref="D42:E42"/>
    <mergeCell ref="Y43:Z43"/>
    <mergeCell ref="D43:E43"/>
    <mergeCell ref="R40:U40"/>
    <mergeCell ref="R41:W41"/>
    <mergeCell ref="Y41:AD41"/>
    <mergeCell ref="Y40:AB40"/>
    <mergeCell ref="AA33:AB33"/>
    <mergeCell ref="AA34:AB34"/>
    <mergeCell ref="AA35:AB35"/>
    <mergeCell ref="AA36:AB36"/>
    <mergeCell ref="AA37:AB37"/>
    <mergeCell ref="F45:H45"/>
    <mergeCell ref="D41:I41"/>
    <mergeCell ref="A21:A31"/>
    <mergeCell ref="B21:B31"/>
    <mergeCell ref="A17:A19"/>
    <mergeCell ref="B17:B19"/>
    <mergeCell ref="R17:W17"/>
    <mergeCell ref="Y17:AD17"/>
    <mergeCell ref="R18:W18"/>
    <mergeCell ref="Y18:AD18"/>
    <mergeCell ref="AF18:AK18"/>
    <mergeCell ref="AF17:AK17"/>
    <mergeCell ref="K17:P17"/>
    <mergeCell ref="K18:P18"/>
    <mergeCell ref="K20:P20"/>
    <mergeCell ref="K19:O19"/>
    <mergeCell ref="R19:V19"/>
    <mergeCell ref="R20:W20"/>
    <mergeCell ref="AF20:AK20"/>
    <mergeCell ref="AF19:AJ19"/>
    <mergeCell ref="Y20:AD20"/>
    <mergeCell ref="A13:A15"/>
    <mergeCell ref="B13:B15"/>
    <mergeCell ref="R10:W10"/>
    <mergeCell ref="Y10:AD10"/>
    <mergeCell ref="R12:W12"/>
    <mergeCell ref="D8:I8"/>
    <mergeCell ref="D9:I9"/>
    <mergeCell ref="K8:P8"/>
    <mergeCell ref="K9:P9"/>
    <mergeCell ref="K10:P10"/>
    <mergeCell ref="K12:P12"/>
    <mergeCell ref="A8:A11"/>
    <mergeCell ref="B8:B11"/>
    <mergeCell ref="K11:P11"/>
    <mergeCell ref="R11:W11"/>
    <mergeCell ref="Y11:AD11"/>
    <mergeCell ref="D12:I12"/>
    <mergeCell ref="K15:O15"/>
    <mergeCell ref="R13:V13"/>
    <mergeCell ref="R14:V14"/>
    <mergeCell ref="R15:V15"/>
    <mergeCell ref="Y12:AD12"/>
    <mergeCell ref="AF16:AK16"/>
    <mergeCell ref="K7:P7"/>
    <mergeCell ref="R8:W8"/>
    <mergeCell ref="Y8:AD8"/>
    <mergeCell ref="K16:P16"/>
    <mergeCell ref="AF11:AK11"/>
    <mergeCell ref="K13:O13"/>
    <mergeCell ref="K14:O14"/>
    <mergeCell ref="AF13:AJ13"/>
    <mergeCell ref="AF14:AJ14"/>
    <mergeCell ref="AF15:AJ15"/>
    <mergeCell ref="Y16:AD16"/>
    <mergeCell ref="AF10:AK10"/>
    <mergeCell ref="AF12:AK12"/>
    <mergeCell ref="R7:W7"/>
    <mergeCell ref="Y7:AD7"/>
    <mergeCell ref="AF7:AK7"/>
    <mergeCell ref="AF8:AK8"/>
    <mergeCell ref="R9:W9"/>
    <mergeCell ref="Y9:AD9"/>
    <mergeCell ref="AF9:AK9"/>
    <mergeCell ref="R16:W16"/>
    <mergeCell ref="D6:I6"/>
    <mergeCell ref="F35:G35"/>
    <mergeCell ref="D10:I10"/>
    <mergeCell ref="D16:I16"/>
    <mergeCell ref="F36:G36"/>
    <mergeCell ref="D44:E44"/>
    <mergeCell ref="D11:I11"/>
    <mergeCell ref="F33:G33"/>
    <mergeCell ref="D17:I17"/>
    <mergeCell ref="D18:I18"/>
    <mergeCell ref="D7:I7"/>
    <mergeCell ref="F39:G39"/>
    <mergeCell ref="F38:G38"/>
    <mergeCell ref="F42:H42"/>
    <mergeCell ref="F43:H43"/>
    <mergeCell ref="F44:H44"/>
    <mergeCell ref="H13:I13"/>
    <mergeCell ref="H14:I14"/>
    <mergeCell ref="H15:I15"/>
    <mergeCell ref="D13:G13"/>
    <mergeCell ref="D14:G14"/>
    <mergeCell ref="D15:G15"/>
    <mergeCell ref="H19:I19"/>
    <mergeCell ref="D19:G19"/>
    <mergeCell ref="D32:I32"/>
    <mergeCell ref="D20:I20"/>
    <mergeCell ref="M36:N36"/>
    <mergeCell ref="M37:N37"/>
    <mergeCell ref="M38:N38"/>
    <mergeCell ref="M39:N39"/>
    <mergeCell ref="Y13:AC13"/>
    <mergeCell ref="Y14:AC14"/>
    <mergeCell ref="Y15:AC15"/>
    <mergeCell ref="Y19:AC19"/>
    <mergeCell ref="R32:W32"/>
    <mergeCell ref="T33:U33"/>
    <mergeCell ref="T34:U34"/>
    <mergeCell ref="T35:U35"/>
    <mergeCell ref="T36:U36"/>
    <mergeCell ref="T37:U37"/>
    <mergeCell ref="T38:U38"/>
    <mergeCell ref="T39:U39"/>
    <mergeCell ref="AA38:AB38"/>
    <mergeCell ref="AA39:AB39"/>
    <mergeCell ref="K32:P32"/>
    <mergeCell ref="M33:N33"/>
    <mergeCell ref="M34:N34"/>
    <mergeCell ref="M35:N35"/>
    <mergeCell ref="Y32:AD32"/>
    <mergeCell ref="AH42:AJ42"/>
    <mergeCell ref="AH43:AJ43"/>
    <mergeCell ref="AH44:AJ44"/>
    <mergeCell ref="AH45:AJ45"/>
    <mergeCell ref="AF45:AG45"/>
    <mergeCell ref="AF32:AK32"/>
    <mergeCell ref="AH33:AI33"/>
    <mergeCell ref="AH34:AI34"/>
    <mergeCell ref="AH35:AI35"/>
    <mergeCell ref="AH36:AI36"/>
    <mergeCell ref="AH37:AI37"/>
    <mergeCell ref="AH38:AI38"/>
    <mergeCell ref="AH39:AI39"/>
    <mergeCell ref="AF41:AK41"/>
    <mergeCell ref="AF42:AG42"/>
    <mergeCell ref="AF43:AG43"/>
  </mergeCells>
  <phoneticPr fontId="4" type="noConversion"/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60" zoomScaleNormal="60" workbookViewId="0">
      <pane xSplit="3" topLeftCell="X1" activePane="topRight" state="frozen"/>
      <selection pane="topRight" activeCell="K53" sqref="K53:P53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51.5703125" style="5" bestFit="1" customWidth="1"/>
    <col min="4" max="4" width="11.42578125" style="5"/>
    <col min="5" max="5" width="35" style="5" bestFit="1" customWidth="1"/>
    <col min="6" max="7" width="11.42578125" style="5"/>
    <col min="8" max="8" width="25.85546875" style="5" bestFit="1" customWidth="1"/>
    <col min="9" max="9" width="28.140625" style="5" bestFit="1" customWidth="1"/>
    <col min="10" max="10" width="1.7109375" style="22" customWidth="1"/>
    <col min="11" max="11" width="8.5703125" style="5" bestFit="1" customWidth="1"/>
    <col min="12" max="12" width="35" style="5" bestFit="1" customWidth="1"/>
    <col min="13" max="14" width="9.28515625" style="5" customWidth="1"/>
    <col min="15" max="15" width="25.85546875" style="5" bestFit="1" customWidth="1"/>
    <col min="16" max="16" width="28.140625" style="5" bestFit="1" customWidth="1"/>
    <col min="17" max="17" width="1.7109375" style="22" customWidth="1"/>
    <col min="18" max="19" width="11.42578125" style="5"/>
    <col min="20" max="20" width="34.28515625" style="5" bestFit="1" customWidth="1"/>
    <col min="21" max="21" width="11.42578125" style="5"/>
    <col min="22" max="22" width="25.85546875" style="5" bestFit="1" customWidth="1"/>
    <col min="23" max="23" width="28.140625" style="5" bestFit="1" customWidth="1"/>
    <col min="24" max="24" width="1.7109375" style="8" customWidth="1"/>
    <col min="25" max="25" width="18.85546875" style="5" customWidth="1"/>
    <col min="26" max="26" width="34.28515625" style="5" bestFit="1" customWidth="1"/>
    <col min="27" max="27" width="34.28515625" style="5" customWidth="1"/>
    <col min="28" max="28" width="11.42578125" style="5"/>
    <col min="29" max="29" width="25.85546875" style="5" bestFit="1" customWidth="1"/>
    <col min="30" max="30" width="28.140625" style="5" bestFit="1" customWidth="1"/>
    <col min="31" max="31" width="1.7109375" style="8" customWidth="1"/>
    <col min="32" max="32" width="11.42578125" style="5"/>
    <col min="33" max="33" width="35" style="5" bestFit="1" customWidth="1"/>
    <col min="34" max="34" width="34.28515625" style="5" bestFit="1" customWidth="1"/>
    <col min="35" max="35" width="11.42578125" style="5"/>
    <col min="36" max="36" width="25.85546875" style="5" bestFit="1" customWidth="1"/>
    <col min="37" max="37" width="28.140625" style="5" bestFit="1" customWidth="1"/>
    <col min="38" max="38" width="1.7109375" style="8" customWidth="1"/>
    <col min="39" max="16384" width="11.42578125" style="5"/>
  </cols>
  <sheetData>
    <row r="1" spans="1:38" ht="15.75" thickBot="1" x14ac:dyDescent="0.3"/>
    <row r="2" spans="1:38" ht="15.75" thickBot="1" x14ac:dyDescent="0.3">
      <c r="A2" s="20"/>
      <c r="B2" s="21" t="s">
        <v>40</v>
      </c>
      <c r="C2" s="21" t="s">
        <v>41</v>
      </c>
      <c r="D2" s="368" t="s">
        <v>48</v>
      </c>
      <c r="E2" s="286"/>
      <c r="F2" s="286"/>
      <c r="G2" s="286"/>
      <c r="H2" s="286"/>
      <c r="I2" s="286"/>
      <c r="J2" s="79"/>
      <c r="K2" s="285" t="s">
        <v>49</v>
      </c>
      <c r="L2" s="286"/>
      <c r="M2" s="286"/>
      <c r="N2" s="286"/>
      <c r="O2" s="286"/>
      <c r="P2" s="286"/>
      <c r="Q2" s="79"/>
      <c r="R2" s="285" t="s">
        <v>50</v>
      </c>
      <c r="S2" s="286"/>
      <c r="T2" s="286"/>
      <c r="U2" s="286"/>
      <c r="V2" s="286"/>
      <c r="W2" s="286"/>
      <c r="X2" s="80"/>
      <c r="Y2" s="285" t="s">
        <v>51</v>
      </c>
      <c r="Z2" s="286"/>
      <c r="AA2" s="286"/>
      <c r="AB2" s="286"/>
      <c r="AC2" s="286"/>
      <c r="AD2" s="286"/>
      <c r="AE2" s="80"/>
      <c r="AF2" s="285" t="s">
        <v>52</v>
      </c>
      <c r="AG2" s="286"/>
      <c r="AH2" s="286"/>
      <c r="AI2" s="286"/>
      <c r="AJ2" s="286"/>
      <c r="AK2" s="286"/>
      <c r="AL2" s="80"/>
    </row>
    <row r="3" spans="1:38" ht="15" customHeight="1" x14ac:dyDescent="0.25">
      <c r="A3" s="314" t="s">
        <v>39</v>
      </c>
      <c r="B3" s="317" t="s">
        <v>38</v>
      </c>
      <c r="C3" s="42" t="s">
        <v>2</v>
      </c>
      <c r="D3" s="290" t="s">
        <v>77</v>
      </c>
      <c r="E3" s="291"/>
      <c r="F3" s="291"/>
      <c r="G3" s="291"/>
      <c r="H3" s="291"/>
      <c r="I3" s="291"/>
      <c r="J3" s="23"/>
      <c r="K3" s="290" t="s">
        <v>154</v>
      </c>
      <c r="L3" s="291"/>
      <c r="M3" s="291"/>
      <c r="N3" s="291"/>
      <c r="O3" s="291"/>
      <c r="P3" s="291"/>
      <c r="Q3" s="23"/>
      <c r="R3" s="290" t="s">
        <v>155</v>
      </c>
      <c r="S3" s="291"/>
      <c r="T3" s="291"/>
      <c r="U3" s="291"/>
      <c r="V3" s="291"/>
      <c r="W3" s="291"/>
      <c r="Y3" s="290" t="s">
        <v>218</v>
      </c>
      <c r="Z3" s="291"/>
      <c r="AA3" s="291"/>
      <c r="AB3" s="291"/>
      <c r="AC3" s="291"/>
      <c r="AD3" s="291"/>
      <c r="AF3" s="290" t="s">
        <v>154</v>
      </c>
      <c r="AG3" s="291"/>
      <c r="AH3" s="291"/>
      <c r="AI3" s="291"/>
      <c r="AJ3" s="291"/>
      <c r="AK3" s="291"/>
    </row>
    <row r="4" spans="1:38" x14ac:dyDescent="0.25">
      <c r="A4" s="315"/>
      <c r="B4" s="318"/>
      <c r="C4" s="43" t="s">
        <v>3</v>
      </c>
      <c r="D4" s="313" t="s">
        <v>78</v>
      </c>
      <c r="E4" s="313"/>
      <c r="F4" s="313"/>
      <c r="G4" s="313"/>
      <c r="H4" s="313"/>
      <c r="I4" s="313"/>
      <c r="J4" s="23"/>
      <c r="K4" s="303" t="s">
        <v>78</v>
      </c>
      <c r="L4" s="304"/>
      <c r="M4" s="304"/>
      <c r="N4" s="304"/>
      <c r="O4" s="304"/>
      <c r="P4" s="304"/>
      <c r="Q4" s="23"/>
      <c r="R4" s="303" t="s">
        <v>237</v>
      </c>
      <c r="S4" s="304"/>
      <c r="T4" s="304"/>
      <c r="U4" s="304"/>
      <c r="V4" s="304"/>
      <c r="W4" s="304"/>
      <c r="Y4" s="303" t="s">
        <v>227</v>
      </c>
      <c r="Z4" s="304"/>
      <c r="AA4" s="304"/>
      <c r="AB4" s="304"/>
      <c r="AC4" s="304"/>
      <c r="AD4" s="304"/>
      <c r="AF4" s="303" t="s">
        <v>78</v>
      </c>
      <c r="AG4" s="304"/>
      <c r="AH4" s="304"/>
      <c r="AI4" s="304"/>
      <c r="AJ4" s="304"/>
      <c r="AK4" s="304"/>
    </row>
    <row r="5" spans="1:38" x14ac:dyDescent="0.25">
      <c r="A5" s="315"/>
      <c r="B5" s="318"/>
      <c r="C5" s="82" t="s">
        <v>140</v>
      </c>
      <c r="D5" s="279" t="s">
        <v>139</v>
      </c>
      <c r="E5" s="279"/>
      <c r="F5" s="279"/>
      <c r="G5" s="279"/>
      <c r="H5" s="279"/>
      <c r="I5" s="279"/>
      <c r="J5" s="9"/>
      <c r="K5" s="279" t="s">
        <v>139</v>
      </c>
      <c r="L5" s="279"/>
      <c r="M5" s="279"/>
      <c r="N5" s="279"/>
      <c r="O5" s="279"/>
      <c r="P5" s="279"/>
      <c r="Q5" s="84"/>
      <c r="R5" s="279" t="s">
        <v>231</v>
      </c>
      <c r="S5" s="279"/>
      <c r="T5" s="279"/>
      <c r="U5" s="279"/>
      <c r="V5" s="279"/>
      <c r="W5" s="279"/>
      <c r="X5" s="84"/>
      <c r="Y5" s="279" t="s">
        <v>231</v>
      </c>
      <c r="Z5" s="279"/>
      <c r="AA5" s="279"/>
      <c r="AB5" s="279"/>
      <c r="AC5" s="279"/>
      <c r="AD5" s="279"/>
      <c r="AE5" s="85"/>
      <c r="AF5" s="279" t="s">
        <v>139</v>
      </c>
      <c r="AG5" s="279"/>
      <c r="AH5" s="279"/>
      <c r="AI5" s="279"/>
      <c r="AJ5" s="279"/>
      <c r="AK5" s="279"/>
      <c r="AL5" s="85"/>
    </row>
    <row r="6" spans="1:38" ht="15.75" thickBot="1" x14ac:dyDescent="0.3">
      <c r="A6" s="316"/>
      <c r="B6" s="319"/>
      <c r="C6" s="70" t="s">
        <v>69</v>
      </c>
      <c r="D6" s="280" t="s">
        <v>84</v>
      </c>
      <c r="E6" s="280"/>
      <c r="F6" s="280"/>
      <c r="G6" s="280"/>
      <c r="H6" s="280"/>
      <c r="I6" s="280"/>
      <c r="J6" s="23"/>
      <c r="K6" s="295" t="s">
        <v>190</v>
      </c>
      <c r="L6" s="296"/>
      <c r="M6" s="296"/>
      <c r="N6" s="296"/>
      <c r="O6" s="296"/>
      <c r="P6" s="297"/>
      <c r="Q6" s="23"/>
      <c r="R6" s="295" t="s">
        <v>219</v>
      </c>
      <c r="S6" s="296"/>
      <c r="T6" s="296"/>
      <c r="U6" s="296"/>
      <c r="V6" s="296"/>
      <c r="W6" s="297"/>
      <c r="X6" s="34"/>
      <c r="Y6" s="295" t="s">
        <v>219</v>
      </c>
      <c r="Z6" s="296"/>
      <c r="AA6" s="296"/>
      <c r="AB6" s="296"/>
      <c r="AC6" s="296"/>
      <c r="AD6" s="297"/>
      <c r="AE6" s="34"/>
      <c r="AF6" s="295" t="s">
        <v>190</v>
      </c>
      <c r="AG6" s="296"/>
      <c r="AH6" s="296"/>
      <c r="AI6" s="296"/>
      <c r="AJ6" s="296"/>
      <c r="AK6" s="297"/>
    </row>
    <row r="7" spans="1:38" ht="15.75" thickBot="1" x14ac:dyDescent="0.3">
      <c r="A7" s="11"/>
      <c r="B7" s="13"/>
      <c r="C7" s="69"/>
      <c r="D7" s="244"/>
      <c r="E7" s="245"/>
      <c r="F7" s="245"/>
      <c r="G7" s="245"/>
      <c r="H7" s="245"/>
      <c r="I7" s="245"/>
      <c r="K7" s="244"/>
      <c r="L7" s="245"/>
      <c r="M7" s="245"/>
      <c r="N7" s="245"/>
      <c r="O7" s="245"/>
      <c r="P7" s="245"/>
      <c r="R7" s="244"/>
      <c r="S7" s="245"/>
      <c r="T7" s="245"/>
      <c r="U7" s="245"/>
      <c r="V7" s="245"/>
      <c r="W7" s="245"/>
      <c r="Y7" s="244"/>
      <c r="Z7" s="245"/>
      <c r="AA7" s="245"/>
      <c r="AB7" s="245"/>
      <c r="AC7" s="245"/>
      <c r="AD7" s="245"/>
      <c r="AF7" s="244"/>
      <c r="AG7" s="245"/>
      <c r="AH7" s="245"/>
      <c r="AI7" s="245"/>
      <c r="AJ7" s="245"/>
      <c r="AK7" s="245"/>
    </row>
    <row r="8" spans="1:38" ht="15" customHeight="1" thickBot="1" x14ac:dyDescent="0.3">
      <c r="A8" s="308" t="s">
        <v>37</v>
      </c>
      <c r="B8" s="309" t="s">
        <v>132</v>
      </c>
      <c r="C8" s="67" t="s">
        <v>5</v>
      </c>
      <c r="D8" s="269" t="s">
        <v>120</v>
      </c>
      <c r="E8" s="270"/>
      <c r="F8" s="270"/>
      <c r="G8" s="271"/>
      <c r="H8" s="287" t="s">
        <v>163</v>
      </c>
      <c r="I8" s="271"/>
      <c r="K8" s="269" t="s">
        <v>166</v>
      </c>
      <c r="L8" s="270"/>
      <c r="M8" s="270"/>
      <c r="N8" s="270"/>
      <c r="O8" s="271"/>
      <c r="P8" s="115" t="s">
        <v>163</v>
      </c>
      <c r="R8" s="269" t="s">
        <v>166</v>
      </c>
      <c r="S8" s="270"/>
      <c r="T8" s="270"/>
      <c r="U8" s="270"/>
      <c r="V8" s="271"/>
      <c r="W8" s="115" t="s">
        <v>163</v>
      </c>
      <c r="Y8" s="269" t="s">
        <v>166</v>
      </c>
      <c r="Z8" s="270"/>
      <c r="AA8" s="270"/>
      <c r="AB8" s="270"/>
      <c r="AC8" s="271"/>
      <c r="AD8" s="115" t="s">
        <v>220</v>
      </c>
      <c r="AF8" s="269" t="s">
        <v>166</v>
      </c>
      <c r="AG8" s="270"/>
      <c r="AH8" s="270"/>
      <c r="AI8" s="270"/>
      <c r="AJ8" s="271"/>
      <c r="AK8" s="115" t="s">
        <v>163</v>
      </c>
    </row>
    <row r="9" spans="1:38" ht="15.75" thickBot="1" x14ac:dyDescent="0.3">
      <c r="A9" s="308"/>
      <c r="B9" s="309"/>
      <c r="C9" s="14" t="s">
        <v>6</v>
      </c>
      <c r="D9" s="272" t="s">
        <v>121</v>
      </c>
      <c r="E9" s="273"/>
      <c r="F9" s="273"/>
      <c r="G9" s="274"/>
      <c r="H9" s="288" t="s">
        <v>163</v>
      </c>
      <c r="I9" s="273"/>
      <c r="K9" s="272" t="s">
        <v>192</v>
      </c>
      <c r="L9" s="273"/>
      <c r="M9" s="273"/>
      <c r="N9" s="273"/>
      <c r="O9" s="274"/>
      <c r="P9" s="115" t="s">
        <v>163</v>
      </c>
      <c r="R9" s="272" t="s">
        <v>240</v>
      </c>
      <c r="S9" s="273"/>
      <c r="T9" s="273"/>
      <c r="U9" s="273"/>
      <c r="V9" s="274"/>
      <c r="W9" s="115" t="s">
        <v>163</v>
      </c>
      <c r="Y9" s="272" t="s">
        <v>206</v>
      </c>
      <c r="Z9" s="273"/>
      <c r="AA9" s="273"/>
      <c r="AB9" s="273"/>
      <c r="AC9" s="274"/>
      <c r="AD9" s="102" t="s">
        <v>182</v>
      </c>
      <c r="AF9" s="272" t="s">
        <v>192</v>
      </c>
      <c r="AG9" s="273"/>
      <c r="AH9" s="273"/>
      <c r="AI9" s="273"/>
      <c r="AJ9" s="274"/>
      <c r="AK9" s="115" t="s">
        <v>163</v>
      </c>
    </row>
    <row r="10" spans="1:38" ht="15.75" thickBot="1" x14ac:dyDescent="0.3">
      <c r="A10" s="308"/>
      <c r="B10" s="309"/>
      <c r="C10" s="68" t="s">
        <v>7</v>
      </c>
      <c r="D10" s="275" t="s">
        <v>122</v>
      </c>
      <c r="E10" s="276"/>
      <c r="F10" s="276"/>
      <c r="G10" s="277"/>
      <c r="H10" s="289" t="s">
        <v>163</v>
      </c>
      <c r="I10" s="277"/>
      <c r="K10" s="275" t="s">
        <v>193</v>
      </c>
      <c r="L10" s="276"/>
      <c r="M10" s="276"/>
      <c r="N10" s="276"/>
      <c r="O10" s="277"/>
      <c r="P10" s="115" t="s">
        <v>163</v>
      </c>
      <c r="R10" s="275" t="s">
        <v>166</v>
      </c>
      <c r="S10" s="276"/>
      <c r="T10" s="276"/>
      <c r="U10" s="276"/>
      <c r="V10" s="277"/>
      <c r="W10" s="115" t="s">
        <v>163</v>
      </c>
      <c r="Y10" s="275" t="s">
        <v>192</v>
      </c>
      <c r="Z10" s="276"/>
      <c r="AA10" s="276"/>
      <c r="AB10" s="276"/>
      <c r="AC10" s="277"/>
      <c r="AD10" s="102" t="s">
        <v>182</v>
      </c>
      <c r="AF10" s="275" t="s">
        <v>193</v>
      </c>
      <c r="AG10" s="276"/>
      <c r="AH10" s="276"/>
      <c r="AI10" s="276"/>
      <c r="AJ10" s="277"/>
      <c r="AK10" s="115" t="s">
        <v>163</v>
      </c>
    </row>
    <row r="11" spans="1:38" ht="15.75" thickBot="1" x14ac:dyDescent="0.3">
      <c r="A11" s="12"/>
      <c r="B11" s="15"/>
      <c r="C11" s="15"/>
      <c r="D11" s="244"/>
      <c r="E11" s="245"/>
      <c r="F11" s="245"/>
      <c r="G11" s="245"/>
      <c r="H11" s="245"/>
      <c r="I11" s="245"/>
      <c r="K11" s="244"/>
      <c r="L11" s="245"/>
      <c r="M11" s="245"/>
      <c r="N11" s="245"/>
      <c r="O11" s="245"/>
      <c r="P11" s="245"/>
      <c r="R11" s="244"/>
      <c r="S11" s="245"/>
      <c r="T11" s="245"/>
      <c r="U11" s="245"/>
      <c r="V11" s="245"/>
      <c r="W11" s="245"/>
      <c r="Y11" s="244"/>
      <c r="Z11" s="245"/>
      <c r="AA11" s="245"/>
      <c r="AB11" s="245"/>
      <c r="AC11" s="245"/>
      <c r="AD11" s="245"/>
      <c r="AF11" s="244"/>
      <c r="AG11" s="245"/>
      <c r="AH11" s="245"/>
      <c r="AI11" s="245"/>
      <c r="AJ11" s="245"/>
      <c r="AK11" s="245"/>
    </row>
    <row r="12" spans="1:38" ht="15" customHeight="1" x14ac:dyDescent="0.25">
      <c r="A12" s="328" t="s">
        <v>8</v>
      </c>
      <c r="B12" s="331" t="s">
        <v>133</v>
      </c>
      <c r="C12" s="65" t="s">
        <v>70</v>
      </c>
      <c r="D12" s="281" t="s">
        <v>146</v>
      </c>
      <c r="E12" s="282"/>
      <c r="F12" s="282"/>
      <c r="G12" s="282"/>
      <c r="H12" s="282"/>
      <c r="I12" s="282"/>
      <c r="K12" s="281" t="s">
        <v>213</v>
      </c>
      <c r="L12" s="282"/>
      <c r="M12" s="282"/>
      <c r="N12" s="282"/>
      <c r="O12" s="282"/>
      <c r="P12" s="282"/>
      <c r="R12" s="370" t="str">
        <f>'Without legumes'!R17</f>
        <v>Dalguise</v>
      </c>
      <c r="S12" s="250"/>
      <c r="T12" s="250"/>
      <c r="U12" s="250"/>
      <c r="V12" s="250"/>
      <c r="W12" s="251"/>
      <c r="Y12" s="281"/>
      <c r="Z12" s="282"/>
      <c r="AA12" s="282"/>
      <c r="AB12" s="282"/>
      <c r="AC12" s="282"/>
      <c r="AD12" s="282"/>
      <c r="AF12" s="281" t="s">
        <v>213</v>
      </c>
      <c r="AG12" s="282"/>
      <c r="AH12" s="282"/>
      <c r="AI12" s="282"/>
      <c r="AJ12" s="282"/>
      <c r="AK12" s="282"/>
    </row>
    <row r="13" spans="1:38" x14ac:dyDescent="0.25">
      <c r="A13" s="329"/>
      <c r="B13" s="332"/>
      <c r="C13" s="16" t="s">
        <v>85</v>
      </c>
      <c r="D13" s="283">
        <v>4</v>
      </c>
      <c r="E13" s="284"/>
      <c r="F13" s="284"/>
      <c r="G13" s="284"/>
      <c r="H13" s="284"/>
      <c r="I13" s="284"/>
      <c r="K13" s="283">
        <v>145</v>
      </c>
      <c r="L13" s="284"/>
      <c r="M13" s="284"/>
      <c r="N13" s="284"/>
      <c r="O13" s="284"/>
      <c r="P13" s="284"/>
      <c r="R13" s="369">
        <v>190</v>
      </c>
      <c r="S13" s="253"/>
      <c r="T13" s="253"/>
      <c r="U13" s="253"/>
      <c r="V13" s="253"/>
      <c r="W13" s="254"/>
      <c r="Y13" s="283">
        <v>125</v>
      </c>
      <c r="Z13" s="284"/>
      <c r="AA13" s="284"/>
      <c r="AB13" s="284"/>
      <c r="AC13" s="284"/>
      <c r="AD13" s="284"/>
      <c r="AF13" s="283">
        <v>145</v>
      </c>
      <c r="AG13" s="284"/>
      <c r="AH13" s="284"/>
      <c r="AI13" s="284"/>
      <c r="AJ13" s="284"/>
      <c r="AK13" s="284"/>
    </row>
    <row r="14" spans="1:38" ht="15.75" thickBot="1" x14ac:dyDescent="0.3">
      <c r="A14" s="330"/>
      <c r="B14" s="333"/>
      <c r="C14" s="66" t="s">
        <v>10</v>
      </c>
      <c r="D14" s="278" t="s">
        <v>122</v>
      </c>
      <c r="E14" s="256"/>
      <c r="F14" s="256"/>
      <c r="G14" s="257"/>
      <c r="H14" s="255" t="s">
        <v>163</v>
      </c>
      <c r="I14" s="257"/>
      <c r="K14" s="278" t="s">
        <v>122</v>
      </c>
      <c r="L14" s="256"/>
      <c r="M14" s="256"/>
      <c r="N14" s="256"/>
      <c r="O14" s="257"/>
      <c r="P14" s="103" t="s">
        <v>165</v>
      </c>
      <c r="R14" s="278" t="str">
        <f>'Without legumes'!$R$19</f>
        <v>Pneumatic seed drill</v>
      </c>
      <c r="S14" s="256"/>
      <c r="T14" s="256"/>
      <c r="U14" s="256"/>
      <c r="V14" s="257"/>
      <c r="W14" s="103" t="s">
        <v>165</v>
      </c>
      <c r="Y14" s="278" t="s">
        <v>221</v>
      </c>
      <c r="Z14" s="256"/>
      <c r="AA14" s="256"/>
      <c r="AB14" s="256"/>
      <c r="AC14" s="257"/>
      <c r="AD14" s="103" t="s">
        <v>178</v>
      </c>
      <c r="AF14" s="278" t="s">
        <v>122</v>
      </c>
      <c r="AG14" s="256"/>
      <c r="AH14" s="256"/>
      <c r="AI14" s="256"/>
      <c r="AJ14" s="257"/>
      <c r="AK14" s="103" t="s">
        <v>165</v>
      </c>
    </row>
    <row r="15" spans="1:38" ht="15.75" thickBot="1" x14ac:dyDescent="0.3">
      <c r="A15" s="12"/>
      <c r="B15" s="15"/>
      <c r="C15" s="15"/>
      <c r="D15" s="244"/>
      <c r="E15" s="245"/>
      <c r="F15" s="245"/>
      <c r="G15" s="245"/>
      <c r="H15" s="245"/>
      <c r="I15" s="245"/>
      <c r="K15" s="320"/>
      <c r="L15" s="321"/>
      <c r="M15" s="321"/>
      <c r="N15" s="321"/>
      <c r="O15" s="321"/>
      <c r="P15" s="321"/>
      <c r="R15" s="320"/>
      <c r="S15" s="321"/>
      <c r="T15" s="321"/>
      <c r="U15" s="321"/>
      <c r="V15" s="321"/>
      <c r="W15" s="321"/>
      <c r="Y15" s="320"/>
      <c r="Z15" s="321"/>
      <c r="AA15" s="321"/>
      <c r="AB15" s="321"/>
      <c r="AC15" s="321"/>
      <c r="AD15" s="321"/>
      <c r="AF15" s="320"/>
      <c r="AG15" s="321"/>
      <c r="AH15" s="321"/>
      <c r="AI15" s="321"/>
      <c r="AJ15" s="321"/>
      <c r="AK15" s="321"/>
    </row>
    <row r="16" spans="1:38" ht="15.75" customHeight="1" thickBot="1" x14ac:dyDescent="0.3">
      <c r="A16" s="322" t="s">
        <v>11</v>
      </c>
      <c r="B16" s="325" t="s">
        <v>134</v>
      </c>
      <c r="C16" s="56" t="s">
        <v>100</v>
      </c>
      <c r="D16" s="60" t="s">
        <v>32</v>
      </c>
      <c r="E16" s="100" t="s">
        <v>144</v>
      </c>
      <c r="F16" s="59" t="s">
        <v>20</v>
      </c>
      <c r="G16" s="104" t="s">
        <v>152</v>
      </c>
      <c r="H16" s="100" t="s">
        <v>124</v>
      </c>
      <c r="I16" s="100" t="s">
        <v>23</v>
      </c>
      <c r="K16" s="116" t="s">
        <v>32</v>
      </c>
      <c r="L16" s="117" t="s">
        <v>74</v>
      </c>
      <c r="M16" s="117" t="s">
        <v>20</v>
      </c>
      <c r="N16" s="117" t="s">
        <v>152</v>
      </c>
      <c r="O16" s="118" t="s">
        <v>124</v>
      </c>
      <c r="P16" s="118" t="s">
        <v>23</v>
      </c>
      <c r="R16" s="116" t="s">
        <v>32</v>
      </c>
      <c r="S16" s="117" t="s">
        <v>74</v>
      </c>
      <c r="T16" s="117" t="s">
        <v>20</v>
      </c>
      <c r="U16" s="117" t="s">
        <v>152</v>
      </c>
      <c r="V16" s="118" t="s">
        <v>124</v>
      </c>
      <c r="W16" s="118" t="s">
        <v>23</v>
      </c>
      <c r="Y16" s="116" t="s">
        <v>32</v>
      </c>
      <c r="Z16" s="117" t="s">
        <v>74</v>
      </c>
      <c r="AA16" s="117" t="s">
        <v>20</v>
      </c>
      <c r="AB16" s="117" t="s">
        <v>152</v>
      </c>
      <c r="AC16" s="118" t="s">
        <v>124</v>
      </c>
      <c r="AD16" s="118" t="s">
        <v>23</v>
      </c>
      <c r="AF16" s="116" t="s">
        <v>32</v>
      </c>
      <c r="AG16" s="117" t="s">
        <v>74</v>
      </c>
      <c r="AH16" s="117" t="s">
        <v>20</v>
      </c>
      <c r="AI16" s="117" t="s">
        <v>152</v>
      </c>
      <c r="AJ16" s="118" t="s">
        <v>124</v>
      </c>
      <c r="AK16" s="118" t="s">
        <v>23</v>
      </c>
    </row>
    <row r="17" spans="1:37" ht="15" customHeight="1" x14ac:dyDescent="0.25">
      <c r="A17" s="323"/>
      <c r="B17" s="326"/>
      <c r="C17" s="48" t="s">
        <v>12</v>
      </c>
      <c r="D17" s="61" t="s">
        <v>168</v>
      </c>
      <c r="E17" s="94" t="s">
        <v>259</v>
      </c>
      <c r="F17" s="105" t="s">
        <v>148</v>
      </c>
      <c r="G17" s="105" t="s">
        <v>211</v>
      </c>
      <c r="H17" s="165" t="s">
        <v>258</v>
      </c>
      <c r="I17" s="98">
        <v>3</v>
      </c>
      <c r="K17" s="61" t="s">
        <v>168</v>
      </c>
      <c r="L17" s="50" t="s">
        <v>169</v>
      </c>
      <c r="M17" s="105"/>
      <c r="N17" s="105" t="s">
        <v>173</v>
      </c>
      <c r="O17" s="98" t="s">
        <v>170</v>
      </c>
      <c r="P17" s="98">
        <v>2</v>
      </c>
      <c r="R17" s="61" t="s">
        <v>168</v>
      </c>
      <c r="S17" s="50" t="s">
        <v>169</v>
      </c>
      <c r="T17" s="105"/>
      <c r="U17" s="105" t="s">
        <v>177</v>
      </c>
      <c r="V17" s="98" t="s">
        <v>176</v>
      </c>
      <c r="W17" s="98">
        <v>1</v>
      </c>
      <c r="Y17" s="62" t="s">
        <v>179</v>
      </c>
      <c r="Z17" s="47" t="s">
        <v>222</v>
      </c>
      <c r="AA17" s="106" t="s">
        <v>197</v>
      </c>
      <c r="AB17" s="106" t="s">
        <v>180</v>
      </c>
      <c r="AC17" s="141" t="s">
        <v>223</v>
      </c>
      <c r="AD17" s="141">
        <v>1</v>
      </c>
      <c r="AF17" s="61" t="s">
        <v>168</v>
      </c>
      <c r="AG17" s="50" t="s">
        <v>169</v>
      </c>
      <c r="AH17" s="105"/>
      <c r="AI17" s="105" t="s">
        <v>173</v>
      </c>
      <c r="AJ17" s="98" t="s">
        <v>288</v>
      </c>
      <c r="AK17" s="98">
        <v>2</v>
      </c>
    </row>
    <row r="18" spans="1:37" x14ac:dyDescent="0.25">
      <c r="A18" s="323"/>
      <c r="B18" s="326"/>
      <c r="C18" s="17" t="s">
        <v>13</v>
      </c>
      <c r="D18" s="62" t="s">
        <v>82</v>
      </c>
      <c r="E18" s="93" t="s">
        <v>83</v>
      </c>
      <c r="F18" s="106" t="s">
        <v>148</v>
      </c>
      <c r="G18" s="106" t="s">
        <v>210</v>
      </c>
      <c r="H18" s="167" t="s">
        <v>125</v>
      </c>
      <c r="I18" s="168">
        <v>1</v>
      </c>
      <c r="K18" s="62" t="s">
        <v>82</v>
      </c>
      <c r="L18" s="47" t="s">
        <v>158</v>
      </c>
      <c r="M18" s="106"/>
      <c r="N18" s="106" t="s">
        <v>167</v>
      </c>
      <c r="O18" s="130" t="s">
        <v>171</v>
      </c>
      <c r="P18" s="130">
        <v>1</v>
      </c>
      <c r="R18" s="62" t="s">
        <v>82</v>
      </c>
      <c r="S18" s="47" t="s">
        <v>158</v>
      </c>
      <c r="T18" s="106"/>
      <c r="U18" s="106" t="s">
        <v>167</v>
      </c>
      <c r="V18" s="150" t="s">
        <v>174</v>
      </c>
      <c r="W18" s="150">
        <v>1</v>
      </c>
      <c r="Y18" s="62"/>
      <c r="Z18" s="47"/>
      <c r="AA18" s="106"/>
      <c r="AB18" s="106"/>
      <c r="AC18" s="141"/>
      <c r="AD18" s="141"/>
      <c r="AF18" s="62" t="s">
        <v>82</v>
      </c>
      <c r="AG18" s="47" t="s">
        <v>158</v>
      </c>
      <c r="AH18" s="106"/>
      <c r="AI18" s="106" t="s">
        <v>167</v>
      </c>
      <c r="AJ18" s="158" t="s">
        <v>171</v>
      </c>
      <c r="AK18" s="158">
        <v>1</v>
      </c>
    </row>
    <row r="19" spans="1:37" x14ac:dyDescent="0.25">
      <c r="A19" s="323"/>
      <c r="B19" s="326"/>
      <c r="C19" s="17" t="s">
        <v>14</v>
      </c>
      <c r="D19" s="62" t="s">
        <v>81</v>
      </c>
      <c r="E19" s="166" t="s">
        <v>147</v>
      </c>
      <c r="F19" s="106" t="s">
        <v>148</v>
      </c>
      <c r="G19" s="106" t="s">
        <v>210</v>
      </c>
      <c r="H19" s="167" t="s">
        <v>126</v>
      </c>
      <c r="I19" s="168">
        <v>1</v>
      </c>
      <c r="K19" s="62" t="s">
        <v>159</v>
      </c>
      <c r="L19" s="130" t="s">
        <v>160</v>
      </c>
      <c r="M19" s="106"/>
      <c r="N19" s="106" t="s">
        <v>167</v>
      </c>
      <c r="O19" s="130" t="s">
        <v>172</v>
      </c>
      <c r="P19" s="130">
        <v>1</v>
      </c>
      <c r="R19" s="62" t="s">
        <v>159</v>
      </c>
      <c r="S19" s="150" t="s">
        <v>160</v>
      </c>
      <c r="T19" s="106"/>
      <c r="U19" s="106" t="s">
        <v>167</v>
      </c>
      <c r="V19" s="150" t="s">
        <v>175</v>
      </c>
      <c r="W19" s="150">
        <v>1</v>
      </c>
      <c r="Y19" s="62"/>
      <c r="Z19" s="141"/>
      <c r="AA19" s="106"/>
      <c r="AB19" s="106"/>
      <c r="AC19" s="141"/>
      <c r="AD19" s="141"/>
      <c r="AF19" s="62" t="s">
        <v>159</v>
      </c>
      <c r="AG19" s="158" t="s">
        <v>160</v>
      </c>
      <c r="AH19" s="106"/>
      <c r="AI19" s="106" t="s">
        <v>167</v>
      </c>
      <c r="AJ19" s="158" t="s">
        <v>172</v>
      </c>
      <c r="AK19" s="158">
        <v>1</v>
      </c>
    </row>
    <row r="20" spans="1:37" x14ac:dyDescent="0.25">
      <c r="A20" s="323"/>
      <c r="B20" s="326"/>
      <c r="C20" s="17" t="s">
        <v>15</v>
      </c>
      <c r="D20" s="62" t="s">
        <v>84</v>
      </c>
      <c r="E20" s="166" t="s">
        <v>84</v>
      </c>
      <c r="F20" s="106" t="s">
        <v>84</v>
      </c>
      <c r="G20" s="106"/>
      <c r="H20" s="167" t="s">
        <v>84</v>
      </c>
      <c r="I20" s="168" t="s">
        <v>84</v>
      </c>
      <c r="K20" s="62"/>
      <c r="L20" s="130"/>
      <c r="M20" s="106"/>
      <c r="N20" s="106"/>
      <c r="O20" s="130"/>
      <c r="P20" s="130"/>
      <c r="R20" s="62"/>
      <c r="S20" s="150"/>
      <c r="T20" s="106"/>
      <c r="U20" s="106"/>
      <c r="V20" s="150"/>
      <c r="W20" s="150"/>
      <c r="Y20" s="62"/>
      <c r="Z20" s="141"/>
      <c r="AA20" s="106"/>
      <c r="AB20" s="106"/>
      <c r="AC20" s="141"/>
      <c r="AD20" s="141"/>
      <c r="AF20" s="62"/>
      <c r="AG20" s="158"/>
      <c r="AH20" s="106"/>
      <c r="AI20" s="106"/>
      <c r="AJ20" s="158"/>
      <c r="AK20" s="158"/>
    </row>
    <row r="21" spans="1:37" x14ac:dyDescent="0.25">
      <c r="A21" s="323"/>
      <c r="B21" s="326"/>
      <c r="C21" s="17" t="s">
        <v>16</v>
      </c>
      <c r="D21" s="62" t="s">
        <v>79</v>
      </c>
      <c r="E21" s="166" t="s">
        <v>114</v>
      </c>
      <c r="F21" s="106" t="s">
        <v>148</v>
      </c>
      <c r="G21" s="106" t="s">
        <v>210</v>
      </c>
      <c r="H21" s="167" t="s">
        <v>127</v>
      </c>
      <c r="I21" s="168">
        <v>1</v>
      </c>
      <c r="K21" s="62"/>
      <c r="L21" s="130"/>
      <c r="M21" s="106"/>
      <c r="N21" s="106"/>
      <c r="O21" s="130"/>
      <c r="P21" s="130"/>
      <c r="R21" s="62"/>
      <c r="S21" s="150"/>
      <c r="T21" s="106"/>
      <c r="U21" s="106"/>
      <c r="V21" s="150"/>
      <c r="W21" s="150"/>
      <c r="Y21" s="62"/>
      <c r="Z21" s="141"/>
      <c r="AA21" s="106"/>
      <c r="AB21" s="106"/>
      <c r="AC21" s="141"/>
      <c r="AD21" s="141"/>
      <c r="AF21" s="62"/>
      <c r="AG21" s="158"/>
      <c r="AH21" s="106"/>
      <c r="AI21" s="106"/>
      <c r="AJ21" s="158"/>
      <c r="AK21" s="158"/>
    </row>
    <row r="22" spans="1:37" x14ac:dyDescent="0.25">
      <c r="A22" s="323"/>
      <c r="B22" s="326"/>
      <c r="C22" s="17" t="s">
        <v>17</v>
      </c>
      <c r="D22" s="62" t="s">
        <v>80</v>
      </c>
      <c r="E22" s="166" t="s">
        <v>145</v>
      </c>
      <c r="F22" s="106" t="s">
        <v>148</v>
      </c>
      <c r="G22" s="106" t="s">
        <v>212</v>
      </c>
      <c r="H22" s="167" t="s">
        <v>128</v>
      </c>
      <c r="I22" s="168">
        <v>1</v>
      </c>
      <c r="K22" s="62"/>
      <c r="L22" s="130"/>
      <c r="M22" s="106"/>
      <c r="N22" s="106"/>
      <c r="O22" s="130"/>
      <c r="P22" s="130"/>
      <c r="R22" s="62"/>
      <c r="S22" s="150"/>
      <c r="T22" s="106"/>
      <c r="U22" s="106"/>
      <c r="V22" s="150"/>
      <c r="W22" s="150"/>
      <c r="Y22" s="62"/>
      <c r="Z22" s="141"/>
      <c r="AA22" s="106"/>
      <c r="AB22" s="106"/>
      <c r="AC22" s="141"/>
      <c r="AD22" s="141"/>
      <c r="AF22" s="62"/>
      <c r="AG22" s="158"/>
      <c r="AH22" s="106"/>
      <c r="AI22" s="106"/>
      <c r="AJ22" s="158"/>
      <c r="AK22" s="158"/>
    </row>
    <row r="23" spans="1:37" ht="15.75" thickBot="1" x14ac:dyDescent="0.3">
      <c r="A23" s="323"/>
      <c r="B23" s="326"/>
      <c r="C23" s="35" t="s">
        <v>33</v>
      </c>
      <c r="D23" s="63" t="s">
        <v>112</v>
      </c>
      <c r="E23" s="55" t="s">
        <v>113</v>
      </c>
      <c r="F23" s="109" t="s">
        <v>103</v>
      </c>
      <c r="G23" s="107" t="s">
        <v>210</v>
      </c>
      <c r="H23" s="55" t="s">
        <v>119</v>
      </c>
      <c r="I23" s="55">
        <v>3</v>
      </c>
      <c r="K23" s="64"/>
      <c r="L23" s="54"/>
      <c r="M23" s="109"/>
      <c r="N23" s="109"/>
      <c r="O23" s="54"/>
      <c r="P23" s="54"/>
      <c r="R23" s="64"/>
      <c r="S23" s="54"/>
      <c r="T23" s="109"/>
      <c r="U23" s="109"/>
      <c r="V23" s="54"/>
      <c r="W23" s="54"/>
      <c r="Y23" s="64"/>
      <c r="Z23" s="54"/>
      <c r="AA23" s="109"/>
      <c r="AB23" s="109"/>
      <c r="AC23" s="54"/>
      <c r="AD23" s="54"/>
      <c r="AF23" s="64"/>
      <c r="AG23" s="54"/>
      <c r="AH23" s="109"/>
      <c r="AI23" s="109"/>
      <c r="AJ23" s="54"/>
      <c r="AK23" s="54"/>
    </row>
    <row r="24" spans="1:37" ht="18" thickBot="1" x14ac:dyDescent="0.3">
      <c r="A24" s="323"/>
      <c r="B24" s="326"/>
      <c r="C24" s="56" t="s">
        <v>98</v>
      </c>
      <c r="D24" s="60" t="s">
        <v>32</v>
      </c>
      <c r="E24" s="100" t="s">
        <v>99</v>
      </c>
      <c r="F24" s="59" t="s">
        <v>20</v>
      </c>
      <c r="G24" s="59" t="s">
        <v>152</v>
      </c>
      <c r="H24" s="100" t="s">
        <v>101</v>
      </c>
      <c r="I24" s="100" t="s">
        <v>23</v>
      </c>
      <c r="K24" s="116" t="s">
        <v>32</v>
      </c>
      <c r="L24" s="118" t="s">
        <v>99</v>
      </c>
      <c r="M24" s="117" t="s">
        <v>20</v>
      </c>
      <c r="N24" s="117" t="s">
        <v>152</v>
      </c>
      <c r="O24" s="118" t="s">
        <v>101</v>
      </c>
      <c r="P24" s="118" t="s">
        <v>23</v>
      </c>
      <c r="R24" s="116" t="s">
        <v>32</v>
      </c>
      <c r="S24" s="118" t="s">
        <v>99</v>
      </c>
      <c r="T24" s="117" t="s">
        <v>20</v>
      </c>
      <c r="U24" s="117" t="s">
        <v>152</v>
      </c>
      <c r="V24" s="118" t="s">
        <v>101</v>
      </c>
      <c r="W24" s="118" t="s">
        <v>23</v>
      </c>
      <c r="Y24" s="116" t="s">
        <v>32</v>
      </c>
      <c r="Z24" s="118" t="s">
        <v>99</v>
      </c>
      <c r="AA24" s="117" t="s">
        <v>20</v>
      </c>
      <c r="AB24" s="117" t="s">
        <v>152</v>
      </c>
      <c r="AC24" s="118" t="s">
        <v>101</v>
      </c>
      <c r="AD24" s="118" t="s">
        <v>23</v>
      </c>
      <c r="AF24" s="116" t="s">
        <v>32</v>
      </c>
      <c r="AG24" s="118" t="s">
        <v>99</v>
      </c>
      <c r="AH24" s="117" t="s">
        <v>20</v>
      </c>
      <c r="AI24" s="117" t="s">
        <v>152</v>
      </c>
      <c r="AJ24" s="118" t="s">
        <v>101</v>
      </c>
      <c r="AK24" s="118" t="s">
        <v>23</v>
      </c>
    </row>
    <row r="25" spans="1:37" x14ac:dyDescent="0.25">
      <c r="A25" s="323"/>
      <c r="B25" s="326"/>
      <c r="C25" s="48" t="s">
        <v>19</v>
      </c>
      <c r="D25" s="61" t="s">
        <v>19</v>
      </c>
      <c r="E25" s="92" t="s">
        <v>84</v>
      </c>
      <c r="F25" s="135" t="s">
        <v>84</v>
      </c>
      <c r="G25" s="135" t="s">
        <v>84</v>
      </c>
      <c r="H25" s="98" t="s">
        <v>84</v>
      </c>
      <c r="I25" s="98" t="s">
        <v>84</v>
      </c>
      <c r="K25" s="98" t="s">
        <v>84</v>
      </c>
      <c r="L25" s="98" t="s">
        <v>84</v>
      </c>
      <c r="M25" s="98" t="s">
        <v>84</v>
      </c>
      <c r="N25" s="98" t="s">
        <v>84</v>
      </c>
      <c r="O25" s="98" t="s">
        <v>84</v>
      </c>
      <c r="P25" s="98" t="s">
        <v>84</v>
      </c>
      <c r="R25" s="61"/>
      <c r="S25" s="98"/>
      <c r="T25" s="105"/>
      <c r="U25" s="105"/>
      <c r="V25" s="98"/>
      <c r="W25" s="98"/>
      <c r="Y25" s="61"/>
      <c r="Z25" s="98"/>
      <c r="AA25" s="105"/>
      <c r="AB25" s="105"/>
      <c r="AC25" s="98"/>
      <c r="AD25" s="98"/>
      <c r="AF25" s="98" t="s">
        <v>84</v>
      </c>
      <c r="AG25" s="98" t="s">
        <v>84</v>
      </c>
      <c r="AH25" s="98" t="s">
        <v>84</v>
      </c>
      <c r="AI25" s="98" t="s">
        <v>84</v>
      </c>
      <c r="AJ25" s="98" t="s">
        <v>84</v>
      </c>
      <c r="AK25" s="98" t="s">
        <v>84</v>
      </c>
    </row>
    <row r="26" spans="1:37" ht="15.75" thickBot="1" x14ac:dyDescent="0.3">
      <c r="A26" s="324"/>
      <c r="B26" s="327"/>
      <c r="C26" s="52" t="s">
        <v>18</v>
      </c>
      <c r="D26" s="64" t="s">
        <v>149</v>
      </c>
      <c r="E26" s="54" t="s">
        <v>84</v>
      </c>
      <c r="F26" s="54" t="s">
        <v>84</v>
      </c>
      <c r="G26" s="54" t="s">
        <v>84</v>
      </c>
      <c r="H26" s="54" t="s">
        <v>84</v>
      </c>
      <c r="I26" s="54" t="s">
        <v>84</v>
      </c>
      <c r="K26" s="54" t="s">
        <v>84</v>
      </c>
      <c r="L26" s="54" t="s">
        <v>84</v>
      </c>
      <c r="M26" s="54" t="s">
        <v>84</v>
      </c>
      <c r="N26" s="54" t="s">
        <v>84</v>
      </c>
      <c r="O26" s="54" t="s">
        <v>84</v>
      </c>
      <c r="P26" s="54" t="s">
        <v>84</v>
      </c>
      <c r="R26" s="64"/>
      <c r="S26" s="54"/>
      <c r="T26" s="106"/>
      <c r="U26" s="106"/>
      <c r="V26" s="54"/>
      <c r="W26" s="54"/>
      <c r="Y26" s="64"/>
      <c r="Z26" s="54"/>
      <c r="AA26" s="106"/>
      <c r="AB26" s="106"/>
      <c r="AC26" s="54"/>
      <c r="AD26" s="54"/>
      <c r="AF26" s="54" t="s">
        <v>84</v>
      </c>
      <c r="AG26" s="54" t="s">
        <v>84</v>
      </c>
      <c r="AH26" s="54" t="s">
        <v>84</v>
      </c>
      <c r="AI26" s="54" t="s">
        <v>84</v>
      </c>
      <c r="AJ26" s="54" t="s">
        <v>84</v>
      </c>
      <c r="AK26" s="54" t="s">
        <v>84</v>
      </c>
    </row>
    <row r="27" spans="1:37" ht="15.75" thickBot="1" x14ac:dyDescent="0.3">
      <c r="A27" s="18"/>
      <c r="B27" s="15"/>
      <c r="C27" s="15"/>
      <c r="D27" s="244"/>
      <c r="E27" s="245"/>
      <c r="F27" s="245"/>
      <c r="G27" s="245"/>
      <c r="H27" s="245"/>
      <c r="I27" s="245"/>
      <c r="K27" s="244"/>
      <c r="L27" s="245"/>
      <c r="M27" s="245"/>
      <c r="N27" s="245"/>
      <c r="O27" s="245"/>
      <c r="P27" s="245"/>
      <c r="R27" s="244"/>
      <c r="S27" s="245"/>
      <c r="T27" s="245"/>
      <c r="U27" s="245"/>
      <c r="V27" s="245"/>
      <c r="W27" s="245"/>
      <c r="Y27" s="244"/>
      <c r="Z27" s="245"/>
      <c r="AA27" s="245"/>
      <c r="AB27" s="245"/>
      <c r="AC27" s="245"/>
      <c r="AD27" s="245"/>
      <c r="AF27" s="244"/>
      <c r="AG27" s="245"/>
      <c r="AH27" s="245"/>
      <c r="AI27" s="245"/>
      <c r="AJ27" s="245"/>
      <c r="AK27" s="245"/>
    </row>
    <row r="28" spans="1:37" ht="60" customHeight="1" thickBot="1" x14ac:dyDescent="0.3">
      <c r="A28" s="334" t="s">
        <v>21</v>
      </c>
      <c r="B28" s="325" t="s">
        <v>135</v>
      </c>
      <c r="C28" s="56"/>
      <c r="D28" s="127" t="s">
        <v>32</v>
      </c>
      <c r="E28" s="100" t="s">
        <v>20</v>
      </c>
      <c r="F28" s="258" t="s">
        <v>136</v>
      </c>
      <c r="G28" s="259"/>
      <c r="H28" s="99" t="s">
        <v>23</v>
      </c>
      <c r="I28" s="99" t="s">
        <v>153</v>
      </c>
      <c r="K28" s="127" t="s">
        <v>32</v>
      </c>
      <c r="L28" s="100" t="s">
        <v>20</v>
      </c>
      <c r="M28" s="258" t="s">
        <v>104</v>
      </c>
      <c r="N28" s="259"/>
      <c r="O28" s="110" t="s">
        <v>23</v>
      </c>
      <c r="P28" s="99" t="s">
        <v>153</v>
      </c>
      <c r="R28" s="145" t="s">
        <v>32</v>
      </c>
      <c r="S28" s="100" t="s">
        <v>20</v>
      </c>
      <c r="T28" s="258" t="s">
        <v>104</v>
      </c>
      <c r="U28" s="259"/>
      <c r="V28" s="110" t="s">
        <v>23</v>
      </c>
      <c r="W28" s="99" t="s">
        <v>153</v>
      </c>
      <c r="Y28" s="136" t="s">
        <v>32</v>
      </c>
      <c r="Z28" s="100" t="s">
        <v>20</v>
      </c>
      <c r="AA28" s="258" t="s">
        <v>104</v>
      </c>
      <c r="AB28" s="259"/>
      <c r="AC28" s="110" t="s">
        <v>23</v>
      </c>
      <c r="AD28" s="99" t="s">
        <v>153</v>
      </c>
      <c r="AF28" s="155" t="s">
        <v>32</v>
      </c>
      <c r="AG28" s="100" t="s">
        <v>20</v>
      </c>
      <c r="AH28" s="258" t="s">
        <v>104</v>
      </c>
      <c r="AI28" s="259"/>
      <c r="AJ28" s="110" t="s">
        <v>23</v>
      </c>
      <c r="AK28" s="99" t="s">
        <v>153</v>
      </c>
    </row>
    <row r="29" spans="1:37" ht="17.25" customHeight="1" x14ac:dyDescent="0.25">
      <c r="A29" s="335"/>
      <c r="B29" s="326"/>
      <c r="C29" s="48" t="s">
        <v>24</v>
      </c>
      <c r="D29" s="128" t="s">
        <v>102</v>
      </c>
      <c r="E29" s="98" t="s">
        <v>103</v>
      </c>
      <c r="F29" s="260" t="s">
        <v>271</v>
      </c>
      <c r="G29" s="261"/>
      <c r="H29" s="98">
        <v>1</v>
      </c>
      <c r="I29" s="105" t="s">
        <v>162</v>
      </c>
      <c r="K29" s="128" t="s">
        <v>260</v>
      </c>
      <c r="L29" s="98" t="s">
        <v>103</v>
      </c>
      <c r="M29" s="260" t="s">
        <v>278</v>
      </c>
      <c r="N29" s="261"/>
      <c r="O29" s="105">
        <v>1</v>
      </c>
      <c r="P29" s="105" t="s">
        <v>262</v>
      </c>
      <c r="R29" s="163" t="s">
        <v>266</v>
      </c>
      <c r="S29" s="98" t="s">
        <v>199</v>
      </c>
      <c r="T29" s="260" t="s">
        <v>281</v>
      </c>
      <c r="U29" s="261"/>
      <c r="V29" s="105">
        <v>1</v>
      </c>
      <c r="W29" s="105" t="s">
        <v>162</v>
      </c>
      <c r="Y29" s="153" t="s">
        <v>282</v>
      </c>
      <c r="Z29" s="98" t="s">
        <v>199</v>
      </c>
      <c r="AA29" s="260" t="s">
        <v>228</v>
      </c>
      <c r="AB29" s="261"/>
      <c r="AC29" s="105">
        <v>1</v>
      </c>
      <c r="AD29" s="105" t="s">
        <v>180</v>
      </c>
      <c r="AF29" s="156" t="s">
        <v>260</v>
      </c>
      <c r="AG29" s="98" t="s">
        <v>103</v>
      </c>
      <c r="AH29" s="260" t="s">
        <v>278</v>
      </c>
      <c r="AI29" s="261"/>
      <c r="AJ29" s="105">
        <v>1</v>
      </c>
      <c r="AK29" s="105" t="s">
        <v>262</v>
      </c>
    </row>
    <row r="30" spans="1:37" ht="17.25" customHeight="1" x14ac:dyDescent="0.25">
      <c r="A30" s="335"/>
      <c r="B30" s="326"/>
      <c r="C30" s="17" t="s">
        <v>24</v>
      </c>
      <c r="D30" s="129" t="s">
        <v>108</v>
      </c>
      <c r="E30" s="130" t="s">
        <v>103</v>
      </c>
      <c r="F30" s="262" t="s">
        <v>272</v>
      </c>
      <c r="G30" s="263"/>
      <c r="H30" s="130">
        <v>1</v>
      </c>
      <c r="I30" s="112" t="s">
        <v>177</v>
      </c>
      <c r="K30" s="129"/>
      <c r="L30" s="130"/>
      <c r="M30" s="262"/>
      <c r="N30" s="263"/>
      <c r="O30" s="111"/>
      <c r="P30" s="106"/>
      <c r="R30" s="164" t="s">
        <v>269</v>
      </c>
      <c r="S30" s="150" t="s">
        <v>199</v>
      </c>
      <c r="T30" s="262" t="s">
        <v>278</v>
      </c>
      <c r="U30" s="263"/>
      <c r="V30" s="111">
        <v>1</v>
      </c>
      <c r="W30" s="106" t="s">
        <v>180</v>
      </c>
      <c r="Y30" s="140"/>
      <c r="Z30" s="141"/>
      <c r="AA30" s="262"/>
      <c r="AB30" s="263"/>
      <c r="AC30" s="111"/>
      <c r="AD30" s="106"/>
      <c r="AF30" s="157"/>
      <c r="AG30" s="158"/>
      <c r="AH30" s="262"/>
      <c r="AI30" s="263"/>
      <c r="AJ30" s="111"/>
      <c r="AK30" s="106"/>
    </row>
    <row r="31" spans="1:37" x14ac:dyDescent="0.25">
      <c r="A31" s="335"/>
      <c r="B31" s="326"/>
      <c r="C31" s="17" t="s">
        <v>25</v>
      </c>
      <c r="D31" s="129" t="s">
        <v>110</v>
      </c>
      <c r="E31" s="130" t="s">
        <v>103</v>
      </c>
      <c r="F31" s="262" t="s">
        <v>273</v>
      </c>
      <c r="G31" s="263"/>
      <c r="H31" s="130">
        <v>1</v>
      </c>
      <c r="I31" s="106" t="s">
        <v>180</v>
      </c>
      <c r="K31" s="157" t="s">
        <v>277</v>
      </c>
      <c r="L31" s="130" t="s">
        <v>103</v>
      </c>
      <c r="M31" s="262" t="s">
        <v>279</v>
      </c>
      <c r="N31" s="263"/>
      <c r="O31" s="106">
        <v>2</v>
      </c>
      <c r="P31" s="106" t="s">
        <v>264</v>
      </c>
      <c r="R31" s="164" t="s">
        <v>270</v>
      </c>
      <c r="S31" s="150" t="s">
        <v>199</v>
      </c>
      <c r="T31" s="262" t="s">
        <v>280</v>
      </c>
      <c r="U31" s="263"/>
      <c r="V31" s="106">
        <v>2</v>
      </c>
      <c r="W31" s="106" t="s">
        <v>247</v>
      </c>
      <c r="Y31" s="153" t="s">
        <v>283</v>
      </c>
      <c r="Z31" s="141" t="s">
        <v>199</v>
      </c>
      <c r="AA31" s="262" t="s">
        <v>229</v>
      </c>
      <c r="AB31" s="263"/>
      <c r="AC31" s="106">
        <v>2</v>
      </c>
      <c r="AD31" s="106" t="s">
        <v>208</v>
      </c>
      <c r="AF31" s="157" t="s">
        <v>277</v>
      </c>
      <c r="AG31" s="158" t="s">
        <v>103</v>
      </c>
      <c r="AH31" s="262" t="s">
        <v>279</v>
      </c>
      <c r="AI31" s="263"/>
      <c r="AJ31" s="106">
        <v>2</v>
      </c>
      <c r="AK31" s="106" t="s">
        <v>264</v>
      </c>
    </row>
    <row r="32" spans="1:37" x14ac:dyDescent="0.25">
      <c r="A32" s="335"/>
      <c r="B32" s="326"/>
      <c r="C32" s="17" t="s">
        <v>22</v>
      </c>
      <c r="D32" s="129" t="s">
        <v>106</v>
      </c>
      <c r="E32" s="130" t="s">
        <v>103</v>
      </c>
      <c r="F32" s="264" t="s">
        <v>274</v>
      </c>
      <c r="G32" s="264"/>
      <c r="H32" s="130">
        <v>1</v>
      </c>
      <c r="I32" s="106" t="s">
        <v>208</v>
      </c>
      <c r="K32" s="129"/>
      <c r="L32" s="130"/>
      <c r="M32" s="264"/>
      <c r="N32" s="264"/>
      <c r="O32" s="106"/>
      <c r="P32" s="106"/>
      <c r="R32" s="149"/>
      <c r="S32" s="150"/>
      <c r="T32" s="264"/>
      <c r="U32" s="264"/>
      <c r="V32" s="106"/>
      <c r="W32" s="106"/>
      <c r="Y32" s="153" t="s">
        <v>284</v>
      </c>
      <c r="Z32" s="141" t="s">
        <v>199</v>
      </c>
      <c r="AA32" s="264" t="s">
        <v>230</v>
      </c>
      <c r="AB32" s="264"/>
      <c r="AC32" s="106">
        <v>1</v>
      </c>
      <c r="AD32" s="106" t="s">
        <v>181</v>
      </c>
      <c r="AF32" s="157"/>
      <c r="AG32" s="158"/>
      <c r="AH32" s="264"/>
      <c r="AI32" s="264"/>
      <c r="AJ32" s="106"/>
      <c r="AK32" s="106"/>
    </row>
    <row r="33" spans="1:38" x14ac:dyDescent="0.25">
      <c r="A33" s="335"/>
      <c r="B33" s="326"/>
      <c r="C33" s="17" t="s">
        <v>22</v>
      </c>
      <c r="D33" s="129" t="s">
        <v>117</v>
      </c>
      <c r="E33" s="130" t="s">
        <v>103</v>
      </c>
      <c r="F33" s="262" t="s">
        <v>275</v>
      </c>
      <c r="G33" s="263"/>
      <c r="H33" s="130">
        <v>2</v>
      </c>
      <c r="I33" s="112" t="s">
        <v>209</v>
      </c>
      <c r="K33" s="129"/>
      <c r="L33" s="130"/>
      <c r="M33" s="262"/>
      <c r="N33" s="263"/>
      <c r="O33" s="106"/>
      <c r="P33" s="112"/>
      <c r="R33" s="149"/>
      <c r="S33" s="150"/>
      <c r="T33" s="262"/>
      <c r="U33" s="263"/>
      <c r="V33" s="106"/>
      <c r="W33" s="112"/>
      <c r="Y33" s="153"/>
      <c r="Z33" s="141"/>
      <c r="AA33" s="262"/>
      <c r="AB33" s="263"/>
      <c r="AC33" s="106"/>
      <c r="AD33" s="112"/>
      <c r="AF33" s="157"/>
      <c r="AG33" s="158"/>
      <c r="AH33" s="262"/>
      <c r="AI33" s="263"/>
      <c r="AJ33" s="106"/>
      <c r="AK33" s="112"/>
    </row>
    <row r="34" spans="1:38" ht="15.75" thickBot="1" x14ac:dyDescent="0.3">
      <c r="A34" s="335"/>
      <c r="B34" s="326"/>
      <c r="C34" s="52" t="s">
        <v>22</v>
      </c>
      <c r="D34" s="131" t="s">
        <v>115</v>
      </c>
      <c r="E34" s="54" t="s">
        <v>103</v>
      </c>
      <c r="F34" s="265" t="s">
        <v>276</v>
      </c>
      <c r="G34" s="266"/>
      <c r="H34" s="54">
        <v>1</v>
      </c>
      <c r="I34" s="108" t="s">
        <v>208</v>
      </c>
      <c r="K34" s="131"/>
      <c r="L34" s="54"/>
      <c r="M34" s="265"/>
      <c r="N34" s="266"/>
      <c r="O34" s="109"/>
      <c r="P34" s="108"/>
      <c r="R34" s="151"/>
      <c r="S34" s="54"/>
      <c r="T34" s="265"/>
      <c r="U34" s="266"/>
      <c r="V34" s="109"/>
      <c r="W34" s="108"/>
      <c r="Y34" s="142"/>
      <c r="Z34" s="54"/>
      <c r="AA34" s="265"/>
      <c r="AB34" s="266"/>
      <c r="AC34" s="109"/>
      <c r="AD34" s="108"/>
      <c r="AF34" s="159"/>
      <c r="AG34" s="54"/>
      <c r="AH34" s="265"/>
      <c r="AI34" s="266"/>
      <c r="AJ34" s="109"/>
      <c r="AK34" s="108"/>
    </row>
    <row r="35" spans="1:38" s="36" customFormat="1" ht="15.75" thickBot="1" x14ac:dyDescent="0.3">
      <c r="A35" s="336"/>
      <c r="B35" s="327"/>
      <c r="C35" s="56" t="s">
        <v>71</v>
      </c>
      <c r="D35" s="337" t="s">
        <v>84</v>
      </c>
      <c r="E35" s="338"/>
      <c r="F35" s="338"/>
      <c r="G35" s="259"/>
      <c r="H35" s="100" t="s">
        <v>84</v>
      </c>
      <c r="I35" s="59"/>
      <c r="J35" s="37"/>
      <c r="K35" s="338" t="s">
        <v>84</v>
      </c>
      <c r="L35" s="338"/>
      <c r="M35" s="338"/>
      <c r="N35" s="259"/>
      <c r="O35" s="100" t="s">
        <v>84</v>
      </c>
      <c r="P35" s="100" t="s">
        <v>84</v>
      </c>
      <c r="Q35" s="37"/>
      <c r="R35" s="338"/>
      <c r="S35" s="338"/>
      <c r="T35" s="338"/>
      <c r="U35" s="259"/>
      <c r="V35" s="117"/>
      <c r="W35" s="59"/>
      <c r="X35" s="37"/>
      <c r="Y35" s="338"/>
      <c r="Z35" s="338"/>
      <c r="AA35" s="338"/>
      <c r="AB35" s="259"/>
      <c r="AC35" s="117"/>
      <c r="AD35" s="59"/>
      <c r="AE35" s="37"/>
      <c r="AF35" s="338" t="s">
        <v>84</v>
      </c>
      <c r="AG35" s="338"/>
      <c r="AH35" s="338"/>
      <c r="AI35" s="259"/>
      <c r="AJ35" s="100" t="s">
        <v>84</v>
      </c>
      <c r="AK35" s="100" t="s">
        <v>84</v>
      </c>
      <c r="AL35" s="37"/>
    </row>
    <row r="36" spans="1:38" ht="15.75" thickBot="1" x14ac:dyDescent="0.3">
      <c r="A36" s="12"/>
      <c r="B36" s="15"/>
      <c r="C36" s="15"/>
      <c r="D36" s="244"/>
      <c r="E36" s="245"/>
      <c r="F36" s="245"/>
      <c r="G36" s="245"/>
      <c r="H36" s="245"/>
      <c r="I36" s="245"/>
      <c r="K36" s="244"/>
      <c r="L36" s="245"/>
      <c r="M36" s="245"/>
      <c r="N36" s="245"/>
      <c r="O36" s="245"/>
      <c r="P36" s="245"/>
      <c r="R36" s="244"/>
      <c r="S36" s="245"/>
      <c r="T36" s="245"/>
      <c r="U36" s="245"/>
      <c r="V36" s="245"/>
      <c r="W36" s="245"/>
      <c r="Y36" s="244"/>
      <c r="Z36" s="245"/>
      <c r="AA36" s="245"/>
      <c r="AB36" s="245"/>
      <c r="AC36" s="245"/>
      <c r="AD36" s="245"/>
      <c r="AF36" s="244"/>
      <c r="AG36" s="245"/>
      <c r="AH36" s="245"/>
      <c r="AI36" s="245"/>
      <c r="AJ36" s="245"/>
      <c r="AK36" s="245"/>
    </row>
    <row r="37" spans="1:38" ht="15.75" customHeight="1" thickBot="1" x14ac:dyDescent="0.3">
      <c r="A37" s="339" t="s">
        <v>26</v>
      </c>
      <c r="B37" s="340" t="s">
        <v>137</v>
      </c>
      <c r="C37" s="65"/>
      <c r="D37" s="343" t="s">
        <v>9</v>
      </c>
      <c r="E37" s="248"/>
      <c r="F37" s="246" t="s">
        <v>10</v>
      </c>
      <c r="G37" s="247"/>
      <c r="H37" s="248"/>
      <c r="I37" s="96" t="s">
        <v>152</v>
      </c>
      <c r="J37" s="78" t="s">
        <v>9</v>
      </c>
      <c r="K37" s="247" t="s">
        <v>9</v>
      </c>
      <c r="L37" s="248"/>
      <c r="M37" s="246" t="s">
        <v>10</v>
      </c>
      <c r="N37" s="247"/>
      <c r="O37" s="248"/>
      <c r="P37" s="96" t="s">
        <v>152</v>
      </c>
      <c r="Q37" s="78"/>
      <c r="R37" s="247" t="s">
        <v>9</v>
      </c>
      <c r="S37" s="248"/>
      <c r="T37" s="246" t="s">
        <v>10</v>
      </c>
      <c r="U37" s="247"/>
      <c r="V37" s="248"/>
      <c r="W37" s="96" t="s">
        <v>152</v>
      </c>
      <c r="X37" s="78"/>
      <c r="Y37" s="247" t="s">
        <v>9</v>
      </c>
      <c r="Z37" s="248"/>
      <c r="AA37" s="246" t="s">
        <v>10</v>
      </c>
      <c r="AB37" s="247"/>
      <c r="AC37" s="248"/>
      <c r="AD37" s="96" t="s">
        <v>152</v>
      </c>
      <c r="AE37" s="78"/>
      <c r="AF37" s="247" t="s">
        <v>9</v>
      </c>
      <c r="AG37" s="248"/>
      <c r="AH37" s="246" t="s">
        <v>10</v>
      </c>
      <c r="AI37" s="247"/>
      <c r="AJ37" s="248"/>
      <c r="AK37" s="96" t="s">
        <v>152</v>
      </c>
      <c r="AL37" s="78"/>
    </row>
    <row r="38" spans="1:38" ht="15" customHeight="1" x14ac:dyDescent="0.25">
      <c r="A38" s="339"/>
      <c r="B38" s="341"/>
      <c r="C38" s="16" t="s">
        <v>27</v>
      </c>
      <c r="D38" s="267" t="s">
        <v>257</v>
      </c>
      <c r="E38" s="268"/>
      <c r="F38" s="249" t="s">
        <v>129</v>
      </c>
      <c r="G38" s="250"/>
      <c r="H38" s="251"/>
      <c r="I38" s="113" t="s">
        <v>162</v>
      </c>
      <c r="K38" s="267" t="s">
        <v>84</v>
      </c>
      <c r="L38" s="268"/>
      <c r="M38" s="249" t="s">
        <v>129</v>
      </c>
      <c r="N38" s="250"/>
      <c r="O38" s="251"/>
      <c r="P38" s="113" t="s">
        <v>162</v>
      </c>
      <c r="R38" s="267" t="s">
        <v>237</v>
      </c>
      <c r="S38" s="268"/>
      <c r="T38" s="249" t="s">
        <v>204</v>
      </c>
      <c r="U38" s="250"/>
      <c r="V38" s="251"/>
      <c r="W38" s="113" t="s">
        <v>167</v>
      </c>
      <c r="Y38" s="267" t="s">
        <v>224</v>
      </c>
      <c r="Z38" s="268"/>
      <c r="AA38" s="249" t="s">
        <v>225</v>
      </c>
      <c r="AB38" s="250"/>
      <c r="AC38" s="251"/>
      <c r="AD38" s="113" t="s">
        <v>226</v>
      </c>
      <c r="AF38" s="267" t="s">
        <v>84</v>
      </c>
      <c r="AG38" s="268"/>
      <c r="AH38" s="249" t="s">
        <v>129</v>
      </c>
      <c r="AI38" s="250"/>
      <c r="AJ38" s="251"/>
      <c r="AK38" s="113" t="s">
        <v>162</v>
      </c>
    </row>
    <row r="39" spans="1:38" x14ac:dyDescent="0.25">
      <c r="A39" s="339"/>
      <c r="B39" s="341"/>
      <c r="C39" s="16" t="s">
        <v>28</v>
      </c>
      <c r="D39" s="253" t="s">
        <v>130</v>
      </c>
      <c r="E39" s="254"/>
      <c r="F39" s="252" t="s">
        <v>84</v>
      </c>
      <c r="G39" s="253"/>
      <c r="H39" s="254"/>
      <c r="I39" s="113" t="s">
        <v>162</v>
      </c>
      <c r="K39" s="253" t="s">
        <v>214</v>
      </c>
      <c r="L39" s="254"/>
      <c r="M39" s="252" t="s">
        <v>215</v>
      </c>
      <c r="N39" s="253"/>
      <c r="O39" s="254"/>
      <c r="P39" s="113" t="s">
        <v>162</v>
      </c>
      <c r="R39" s="253" t="s">
        <v>84</v>
      </c>
      <c r="S39" s="254"/>
      <c r="T39" s="252" t="s">
        <v>84</v>
      </c>
      <c r="U39" s="253"/>
      <c r="V39" s="254"/>
      <c r="W39" s="152" t="s">
        <v>84</v>
      </c>
      <c r="Y39" s="253" t="s">
        <v>84</v>
      </c>
      <c r="Z39" s="254"/>
      <c r="AA39" s="252" t="s">
        <v>84</v>
      </c>
      <c r="AB39" s="253"/>
      <c r="AC39" s="254"/>
      <c r="AD39" s="143" t="s">
        <v>84</v>
      </c>
      <c r="AF39" s="253" t="s">
        <v>214</v>
      </c>
      <c r="AG39" s="254"/>
      <c r="AH39" s="252" t="s">
        <v>215</v>
      </c>
      <c r="AI39" s="253"/>
      <c r="AJ39" s="254"/>
      <c r="AK39" s="113" t="s">
        <v>162</v>
      </c>
    </row>
    <row r="40" spans="1:38" ht="15.75" thickBot="1" x14ac:dyDescent="0.3">
      <c r="A40" s="339"/>
      <c r="B40" s="342"/>
      <c r="C40" s="66" t="s">
        <v>29</v>
      </c>
      <c r="D40" s="256" t="s">
        <v>131</v>
      </c>
      <c r="E40" s="257"/>
      <c r="F40" s="255" t="s">
        <v>84</v>
      </c>
      <c r="G40" s="256"/>
      <c r="H40" s="257"/>
      <c r="I40" s="113" t="s">
        <v>162</v>
      </c>
      <c r="K40" s="256"/>
      <c r="L40" s="257"/>
      <c r="M40" s="255"/>
      <c r="N40" s="256"/>
      <c r="O40" s="257"/>
      <c r="P40" s="103"/>
      <c r="R40" s="256" t="s">
        <v>84</v>
      </c>
      <c r="S40" s="257"/>
      <c r="T40" s="255" t="s">
        <v>84</v>
      </c>
      <c r="U40" s="256"/>
      <c r="V40" s="257"/>
      <c r="W40" s="144" t="s">
        <v>84</v>
      </c>
      <c r="Y40" s="253" t="s">
        <v>84</v>
      </c>
      <c r="Z40" s="254"/>
      <c r="AA40" s="252" t="s">
        <v>84</v>
      </c>
      <c r="AB40" s="253"/>
      <c r="AC40" s="254"/>
      <c r="AD40" s="143" t="s">
        <v>84</v>
      </c>
      <c r="AF40" s="256"/>
      <c r="AG40" s="257"/>
      <c r="AH40" s="255"/>
      <c r="AI40" s="256"/>
      <c r="AJ40" s="257"/>
      <c r="AK40" s="103"/>
    </row>
    <row r="41" spans="1:38" ht="15.75" thickBot="1" x14ac:dyDescent="0.3">
      <c r="A41" s="12"/>
      <c r="B41" s="15"/>
      <c r="C41" s="15"/>
      <c r="D41" s="244"/>
      <c r="E41" s="245"/>
      <c r="F41" s="245"/>
      <c r="G41" s="245"/>
      <c r="H41" s="245"/>
      <c r="I41" s="245"/>
      <c r="K41" s="244"/>
      <c r="L41" s="245"/>
      <c r="M41" s="245"/>
      <c r="N41" s="245"/>
      <c r="O41" s="245"/>
      <c r="P41" s="245"/>
      <c r="R41" s="244"/>
      <c r="S41" s="245"/>
      <c r="T41" s="245"/>
      <c r="U41" s="245"/>
      <c r="V41" s="245"/>
      <c r="W41" s="245"/>
      <c r="Y41" s="244"/>
      <c r="Z41" s="245"/>
      <c r="AA41" s="245"/>
      <c r="AB41" s="245"/>
      <c r="AC41" s="245"/>
      <c r="AD41" s="245"/>
      <c r="AF41" s="244"/>
      <c r="AG41" s="245"/>
      <c r="AH41" s="245"/>
      <c r="AI41" s="245"/>
      <c r="AJ41" s="245"/>
      <c r="AK41" s="245"/>
    </row>
    <row r="42" spans="1:38" ht="15" customHeight="1" thickBot="1" x14ac:dyDescent="0.3">
      <c r="A42" s="350" t="s">
        <v>30</v>
      </c>
      <c r="B42" s="352" t="s">
        <v>138</v>
      </c>
      <c r="C42" s="76"/>
      <c r="D42" s="133" t="s">
        <v>9</v>
      </c>
      <c r="E42" s="347" t="s">
        <v>94</v>
      </c>
      <c r="F42" s="348"/>
      <c r="G42" s="344" t="s">
        <v>157</v>
      </c>
      <c r="H42" s="344"/>
      <c r="I42" s="344"/>
      <c r="K42" s="133" t="s">
        <v>9</v>
      </c>
      <c r="L42" s="347" t="s">
        <v>94</v>
      </c>
      <c r="M42" s="348"/>
      <c r="N42" s="344" t="s">
        <v>157</v>
      </c>
      <c r="O42" s="344"/>
      <c r="P42" s="344"/>
      <c r="R42" s="146" t="s">
        <v>9</v>
      </c>
      <c r="S42" s="347" t="s">
        <v>94</v>
      </c>
      <c r="T42" s="348"/>
      <c r="U42" s="344" t="s">
        <v>157</v>
      </c>
      <c r="V42" s="344"/>
      <c r="W42" s="344"/>
      <c r="Y42" s="137" t="s">
        <v>9</v>
      </c>
      <c r="Z42" s="347" t="s">
        <v>94</v>
      </c>
      <c r="AA42" s="348"/>
      <c r="AB42" s="344" t="s">
        <v>157</v>
      </c>
      <c r="AC42" s="344"/>
      <c r="AD42" s="344"/>
      <c r="AF42" s="161" t="s">
        <v>9</v>
      </c>
      <c r="AG42" s="347" t="s">
        <v>94</v>
      </c>
      <c r="AH42" s="348"/>
      <c r="AI42" s="344" t="s">
        <v>157</v>
      </c>
      <c r="AJ42" s="344"/>
      <c r="AK42" s="344"/>
    </row>
    <row r="43" spans="1:38" ht="15" customHeight="1" thickBot="1" x14ac:dyDescent="0.3">
      <c r="A43" s="351"/>
      <c r="B43" s="353"/>
      <c r="C43" s="74" t="s">
        <v>35</v>
      </c>
      <c r="D43" s="134" t="s">
        <v>78</v>
      </c>
      <c r="E43" s="349">
        <v>3.7</v>
      </c>
      <c r="F43" s="300"/>
      <c r="G43" s="345">
        <v>355</v>
      </c>
      <c r="H43" s="345"/>
      <c r="I43" s="345"/>
      <c r="K43" s="134"/>
      <c r="L43" s="349">
        <v>7.5</v>
      </c>
      <c r="M43" s="300"/>
      <c r="N43" s="345" t="s">
        <v>217</v>
      </c>
      <c r="O43" s="345"/>
      <c r="P43" s="345"/>
      <c r="R43" s="147" t="s">
        <v>237</v>
      </c>
      <c r="S43" s="349">
        <v>7.5</v>
      </c>
      <c r="T43" s="300"/>
      <c r="U43" s="345">
        <v>171.39</v>
      </c>
      <c r="V43" s="345"/>
      <c r="W43" s="345"/>
      <c r="Y43" s="138" t="s">
        <v>227</v>
      </c>
      <c r="Z43" s="349">
        <v>4</v>
      </c>
      <c r="AA43" s="300"/>
      <c r="AB43" s="345">
        <v>235</v>
      </c>
      <c r="AC43" s="345"/>
      <c r="AD43" s="345"/>
      <c r="AF43" s="162"/>
      <c r="AG43" s="347">
        <v>7.95</v>
      </c>
      <c r="AH43" s="348"/>
      <c r="AI43" s="345" t="s">
        <v>217</v>
      </c>
      <c r="AJ43" s="345"/>
      <c r="AK43" s="345"/>
    </row>
    <row r="44" spans="1:38" ht="15.75" thickBot="1" x14ac:dyDescent="0.3">
      <c r="A44" s="351"/>
      <c r="B44" s="354"/>
      <c r="C44" s="72" t="s">
        <v>34</v>
      </c>
      <c r="D44" s="132" t="s">
        <v>123</v>
      </c>
      <c r="E44" s="355" t="s">
        <v>84</v>
      </c>
      <c r="F44" s="277"/>
      <c r="G44" s="346" t="s">
        <v>84</v>
      </c>
      <c r="H44" s="346"/>
      <c r="I44" s="346"/>
      <c r="K44" s="132" t="s">
        <v>216</v>
      </c>
      <c r="L44" s="355">
        <v>4.0999999999999996</v>
      </c>
      <c r="M44" s="277"/>
      <c r="N44" s="346">
        <v>62.89</v>
      </c>
      <c r="O44" s="346"/>
      <c r="P44" s="346"/>
      <c r="R44" s="148" t="s">
        <v>245</v>
      </c>
      <c r="S44" s="355">
        <v>4.7</v>
      </c>
      <c r="T44" s="277"/>
      <c r="U44" s="346">
        <v>57.13</v>
      </c>
      <c r="V44" s="346"/>
      <c r="W44" s="346"/>
      <c r="Y44" s="139" t="s">
        <v>219</v>
      </c>
      <c r="Z44" s="355" t="s">
        <v>84</v>
      </c>
      <c r="AA44" s="277"/>
      <c r="AB44" s="346" t="s">
        <v>84</v>
      </c>
      <c r="AC44" s="346"/>
      <c r="AD44" s="346"/>
      <c r="AF44" s="160" t="s">
        <v>216</v>
      </c>
      <c r="AG44" s="347">
        <v>4.3499999999999996</v>
      </c>
      <c r="AH44" s="348"/>
      <c r="AI44" s="346">
        <v>62.89</v>
      </c>
      <c r="AJ44" s="346"/>
      <c r="AK44" s="346"/>
    </row>
    <row r="45" spans="1:38" ht="15.75" thickBot="1" x14ac:dyDescent="0.3">
      <c r="A45" s="12"/>
      <c r="B45" s="15"/>
      <c r="C45" s="15"/>
      <c r="D45" s="244"/>
      <c r="E45" s="245"/>
      <c r="F45" s="245"/>
      <c r="G45" s="245"/>
      <c r="H45" s="245"/>
      <c r="I45" s="245"/>
      <c r="K45" s="244"/>
      <c r="L45" s="245"/>
      <c r="M45" s="245"/>
      <c r="N45" s="245"/>
      <c r="O45" s="245"/>
      <c r="P45" s="245"/>
      <c r="R45" s="244"/>
      <c r="S45" s="245"/>
      <c r="T45" s="245"/>
      <c r="U45" s="245"/>
      <c r="V45" s="245"/>
      <c r="W45" s="245"/>
      <c r="Y45" s="244"/>
      <c r="Z45" s="245"/>
      <c r="AA45" s="245"/>
      <c r="AB45" s="245"/>
      <c r="AC45" s="245"/>
      <c r="AD45" s="245"/>
      <c r="AF45" s="244"/>
      <c r="AG45" s="245"/>
      <c r="AH45" s="245"/>
      <c r="AI45" s="245"/>
      <c r="AJ45" s="245"/>
      <c r="AK45" s="245"/>
    </row>
    <row r="46" spans="1:38" ht="15" customHeight="1" x14ac:dyDescent="0.25">
      <c r="A46" s="334" t="s">
        <v>31</v>
      </c>
      <c r="B46" s="356" t="s">
        <v>151</v>
      </c>
      <c r="C46" s="71" t="s">
        <v>36</v>
      </c>
      <c r="D46" s="359">
        <v>63.01</v>
      </c>
      <c r="E46" s="360"/>
      <c r="F46" s="360"/>
      <c r="G46" s="360"/>
      <c r="H46" s="360"/>
      <c r="I46" s="360"/>
      <c r="K46" s="359">
        <v>99.47</v>
      </c>
      <c r="L46" s="360"/>
      <c r="M46" s="360"/>
      <c r="N46" s="360"/>
      <c r="O46" s="360"/>
      <c r="P46" s="360"/>
      <c r="R46" s="359">
        <v>91.41</v>
      </c>
      <c r="S46" s="360"/>
      <c r="T46" s="360"/>
      <c r="U46" s="360"/>
      <c r="V46" s="360"/>
      <c r="W46" s="360"/>
      <c r="Y46" s="359">
        <v>151.96</v>
      </c>
      <c r="Z46" s="360"/>
      <c r="AA46" s="360"/>
      <c r="AB46" s="360"/>
      <c r="AC46" s="360"/>
      <c r="AD46" s="360"/>
      <c r="AF46" s="359">
        <v>99.47</v>
      </c>
      <c r="AG46" s="360"/>
      <c r="AH46" s="360"/>
      <c r="AI46" s="360"/>
      <c r="AJ46" s="360"/>
      <c r="AK46" s="360"/>
    </row>
    <row r="47" spans="1:38" x14ac:dyDescent="0.25">
      <c r="A47" s="335"/>
      <c r="B47" s="357"/>
      <c r="C47" s="19" t="s">
        <v>72</v>
      </c>
      <c r="D47" s="263">
        <v>205</v>
      </c>
      <c r="E47" s="264"/>
      <c r="F47" s="264"/>
      <c r="G47" s="264"/>
      <c r="H47" s="264"/>
      <c r="I47" s="264"/>
      <c r="K47" s="263">
        <v>254.97</v>
      </c>
      <c r="L47" s="264"/>
      <c r="M47" s="264"/>
      <c r="N47" s="264"/>
      <c r="O47" s="264"/>
      <c r="P47" s="264"/>
      <c r="R47" s="263">
        <v>220.52</v>
      </c>
      <c r="S47" s="264"/>
      <c r="T47" s="264"/>
      <c r="U47" s="264"/>
      <c r="V47" s="264"/>
      <c r="W47" s="264"/>
      <c r="Y47" s="263">
        <v>86</v>
      </c>
      <c r="Z47" s="264"/>
      <c r="AA47" s="264"/>
      <c r="AB47" s="264"/>
      <c r="AC47" s="264"/>
      <c r="AD47" s="264"/>
      <c r="AF47" s="263">
        <v>228.97</v>
      </c>
      <c r="AG47" s="264"/>
      <c r="AH47" s="264"/>
      <c r="AI47" s="264"/>
      <c r="AJ47" s="264"/>
      <c r="AK47" s="264"/>
    </row>
    <row r="48" spans="1:38" x14ac:dyDescent="0.25">
      <c r="A48" s="335"/>
      <c r="B48" s="357"/>
      <c r="C48" s="19" t="s">
        <v>42</v>
      </c>
      <c r="D48" s="263">
        <v>133</v>
      </c>
      <c r="E48" s="264"/>
      <c r="F48" s="264"/>
      <c r="G48" s="264"/>
      <c r="H48" s="264"/>
      <c r="I48" s="264"/>
      <c r="K48" s="263">
        <v>125.77</v>
      </c>
      <c r="L48" s="264"/>
      <c r="M48" s="264"/>
      <c r="N48" s="264"/>
      <c r="O48" s="264"/>
      <c r="P48" s="264"/>
      <c r="R48" s="263">
        <v>89.12</v>
      </c>
      <c r="S48" s="264"/>
      <c r="T48" s="264"/>
      <c r="U48" s="264"/>
      <c r="V48" s="264"/>
      <c r="W48" s="264"/>
      <c r="Y48" s="263">
        <v>128</v>
      </c>
      <c r="Z48" s="264"/>
      <c r="AA48" s="264"/>
      <c r="AB48" s="264"/>
      <c r="AC48" s="264"/>
      <c r="AD48" s="264"/>
      <c r="AF48" s="263">
        <v>125.77</v>
      </c>
      <c r="AG48" s="264"/>
      <c r="AH48" s="264"/>
      <c r="AI48" s="264"/>
      <c r="AJ48" s="264"/>
      <c r="AK48" s="264"/>
    </row>
    <row r="49" spans="1:38" x14ac:dyDescent="0.25">
      <c r="A49" s="335"/>
      <c r="B49" s="357"/>
      <c r="C49" s="19" t="s">
        <v>43</v>
      </c>
      <c r="D49" s="263">
        <v>110.04</v>
      </c>
      <c r="E49" s="264"/>
      <c r="F49" s="264"/>
      <c r="G49" s="264"/>
      <c r="H49" s="264"/>
      <c r="I49" s="264"/>
      <c r="K49" s="263">
        <v>101</v>
      </c>
      <c r="L49" s="264"/>
      <c r="M49" s="264"/>
      <c r="N49" s="264"/>
      <c r="O49" s="264"/>
      <c r="P49" s="264"/>
      <c r="R49" s="263">
        <v>101</v>
      </c>
      <c r="S49" s="264"/>
      <c r="T49" s="264"/>
      <c r="U49" s="264"/>
      <c r="V49" s="264"/>
      <c r="W49" s="264"/>
      <c r="Y49" s="263">
        <v>101</v>
      </c>
      <c r="Z49" s="264"/>
      <c r="AA49" s="264"/>
      <c r="AB49" s="264"/>
      <c r="AC49" s="264"/>
      <c r="AD49" s="264"/>
      <c r="AF49" s="263">
        <v>101</v>
      </c>
      <c r="AG49" s="264"/>
      <c r="AH49" s="264"/>
      <c r="AI49" s="264"/>
      <c r="AJ49" s="264"/>
      <c r="AK49" s="264"/>
    </row>
    <row r="50" spans="1:38" x14ac:dyDescent="0.25">
      <c r="A50" s="335"/>
      <c r="B50" s="357"/>
      <c r="C50" s="17" t="s">
        <v>44</v>
      </c>
      <c r="D50" s="361" t="s">
        <v>84</v>
      </c>
      <c r="E50" s="362"/>
      <c r="F50" s="362"/>
      <c r="G50" s="362"/>
      <c r="H50" s="362"/>
      <c r="I50" s="362"/>
      <c r="K50" s="361" t="s">
        <v>84</v>
      </c>
      <c r="L50" s="362"/>
      <c r="M50" s="362"/>
      <c r="N50" s="362"/>
      <c r="O50" s="362"/>
      <c r="P50" s="362"/>
      <c r="R50" s="361" t="s">
        <v>193</v>
      </c>
      <c r="S50" s="362"/>
      <c r="T50" s="362"/>
      <c r="U50" s="362"/>
      <c r="V50" s="362"/>
      <c r="W50" s="362"/>
      <c r="Y50" s="263" t="s">
        <v>193</v>
      </c>
      <c r="Z50" s="264"/>
      <c r="AA50" s="264"/>
      <c r="AB50" s="264"/>
      <c r="AC50" s="264"/>
      <c r="AD50" s="264"/>
      <c r="AF50" s="361" t="s">
        <v>84</v>
      </c>
      <c r="AG50" s="362"/>
      <c r="AH50" s="362"/>
      <c r="AI50" s="362"/>
      <c r="AJ50" s="362"/>
      <c r="AK50" s="362"/>
    </row>
    <row r="51" spans="1:38" x14ac:dyDescent="0.25">
      <c r="A51" s="335"/>
      <c r="B51" s="357"/>
      <c r="C51" s="17" t="s">
        <v>45</v>
      </c>
      <c r="D51" s="361" t="s">
        <v>84</v>
      </c>
      <c r="E51" s="362"/>
      <c r="F51" s="362"/>
      <c r="G51" s="362"/>
      <c r="H51" s="362"/>
      <c r="I51" s="362"/>
      <c r="K51" s="361" t="s">
        <v>84</v>
      </c>
      <c r="L51" s="362"/>
      <c r="M51" s="362"/>
      <c r="N51" s="362"/>
      <c r="O51" s="362"/>
      <c r="P51" s="362"/>
      <c r="R51" s="361" t="s">
        <v>193</v>
      </c>
      <c r="S51" s="362"/>
      <c r="T51" s="362"/>
      <c r="U51" s="362"/>
      <c r="V51" s="362"/>
      <c r="W51" s="362"/>
      <c r="Y51" s="263" t="s">
        <v>193</v>
      </c>
      <c r="Z51" s="264"/>
      <c r="AA51" s="264"/>
      <c r="AB51" s="264"/>
      <c r="AC51" s="264"/>
      <c r="AD51" s="264"/>
      <c r="AF51" s="361" t="s">
        <v>84</v>
      </c>
      <c r="AG51" s="362"/>
      <c r="AH51" s="362"/>
      <c r="AI51" s="362"/>
      <c r="AJ51" s="362"/>
      <c r="AK51" s="362"/>
    </row>
    <row r="52" spans="1:38" x14ac:dyDescent="0.25">
      <c r="A52" s="335"/>
      <c r="B52" s="357"/>
      <c r="C52" s="19" t="s">
        <v>46</v>
      </c>
      <c r="D52" s="361" t="s">
        <v>84</v>
      </c>
      <c r="E52" s="362"/>
      <c r="F52" s="362"/>
      <c r="G52" s="362"/>
      <c r="H52" s="362"/>
      <c r="I52" s="362"/>
      <c r="K52" s="361" t="s">
        <v>84</v>
      </c>
      <c r="L52" s="362"/>
      <c r="M52" s="362"/>
      <c r="N52" s="362"/>
      <c r="O52" s="362"/>
      <c r="P52" s="362"/>
      <c r="R52" s="361" t="s">
        <v>193</v>
      </c>
      <c r="S52" s="362"/>
      <c r="T52" s="362"/>
      <c r="U52" s="362"/>
      <c r="V52" s="362"/>
      <c r="W52" s="362"/>
      <c r="Y52" s="263" t="s">
        <v>193</v>
      </c>
      <c r="Z52" s="264"/>
      <c r="AA52" s="264"/>
      <c r="AB52" s="264"/>
      <c r="AC52" s="264"/>
      <c r="AD52" s="264"/>
      <c r="AF52" s="361" t="s">
        <v>84</v>
      </c>
      <c r="AG52" s="362"/>
      <c r="AH52" s="362"/>
      <c r="AI52" s="362"/>
      <c r="AJ52" s="362"/>
      <c r="AK52" s="362"/>
    </row>
    <row r="53" spans="1:38" x14ac:dyDescent="0.25">
      <c r="A53" s="335"/>
      <c r="B53" s="357"/>
      <c r="C53" s="17" t="s">
        <v>47</v>
      </c>
      <c r="D53" s="263">
        <v>511.05</v>
      </c>
      <c r="E53" s="264"/>
      <c r="F53" s="264"/>
      <c r="G53" s="264"/>
      <c r="H53" s="264"/>
      <c r="I53" s="264"/>
      <c r="K53" s="263">
        <v>581.21</v>
      </c>
      <c r="L53" s="264"/>
      <c r="M53" s="264"/>
      <c r="N53" s="264"/>
      <c r="O53" s="264"/>
      <c r="P53" s="264"/>
      <c r="R53" s="367">
        <v>502.05</v>
      </c>
      <c r="S53" s="367"/>
      <c r="T53" s="367"/>
      <c r="U53" s="367"/>
      <c r="V53" s="367"/>
      <c r="W53" s="263"/>
      <c r="Y53" s="263">
        <v>466.96</v>
      </c>
      <c r="Z53" s="264"/>
      <c r="AA53" s="264"/>
      <c r="AB53" s="264"/>
      <c r="AC53" s="264"/>
      <c r="AD53" s="264"/>
      <c r="AF53" s="263">
        <v>555.21</v>
      </c>
      <c r="AG53" s="264"/>
      <c r="AH53" s="264"/>
      <c r="AI53" s="264"/>
      <c r="AJ53" s="264"/>
      <c r="AK53" s="264"/>
    </row>
    <row r="54" spans="1:38" ht="15" customHeight="1" x14ac:dyDescent="0.25">
      <c r="A54" s="335"/>
      <c r="B54" s="357"/>
      <c r="C54" s="363" t="s">
        <v>73</v>
      </c>
      <c r="D54" s="361" t="s">
        <v>193</v>
      </c>
      <c r="E54" s="362"/>
      <c r="F54" s="362"/>
      <c r="G54" s="362"/>
      <c r="H54" s="362"/>
      <c r="I54" s="362"/>
      <c r="J54" s="38"/>
      <c r="K54" s="361" t="s">
        <v>193</v>
      </c>
      <c r="L54" s="362"/>
      <c r="M54" s="362"/>
      <c r="N54" s="362"/>
      <c r="O54" s="362"/>
      <c r="P54" s="362"/>
      <c r="Q54" s="38"/>
      <c r="R54" s="361" t="s">
        <v>193</v>
      </c>
      <c r="S54" s="362"/>
      <c r="T54" s="362"/>
      <c r="U54" s="362"/>
      <c r="V54" s="362"/>
      <c r="W54" s="362"/>
      <c r="X54" s="38"/>
      <c r="Y54" s="361" t="s">
        <v>193</v>
      </c>
      <c r="Z54" s="362"/>
      <c r="AA54" s="362"/>
      <c r="AB54" s="362"/>
      <c r="AC54" s="362"/>
      <c r="AD54" s="362"/>
      <c r="AE54" s="38"/>
      <c r="AF54" s="361" t="s">
        <v>193</v>
      </c>
      <c r="AG54" s="362"/>
      <c r="AH54" s="362"/>
      <c r="AI54" s="362"/>
      <c r="AJ54" s="362"/>
      <c r="AK54" s="362"/>
      <c r="AL54" s="38"/>
    </row>
    <row r="55" spans="1:38" ht="15.75" thickBot="1" x14ac:dyDescent="0.3">
      <c r="A55" s="336"/>
      <c r="B55" s="358"/>
      <c r="C55" s="364"/>
      <c r="D55" s="365"/>
      <c r="E55" s="366"/>
      <c r="F55" s="366"/>
      <c r="G55" s="366"/>
      <c r="H55" s="366"/>
      <c r="I55" s="366"/>
      <c r="J55" s="38"/>
      <c r="K55" s="365"/>
      <c r="L55" s="366"/>
      <c r="M55" s="366"/>
      <c r="N55" s="366"/>
      <c r="O55" s="366"/>
      <c r="P55" s="366"/>
      <c r="Q55" s="38"/>
      <c r="R55" s="365"/>
      <c r="S55" s="366"/>
      <c r="T55" s="366"/>
      <c r="U55" s="366"/>
      <c r="V55" s="366"/>
      <c r="W55" s="366"/>
      <c r="X55" s="38"/>
      <c r="Y55" s="365"/>
      <c r="Z55" s="366"/>
      <c r="AA55" s="366"/>
      <c r="AB55" s="366"/>
      <c r="AC55" s="366"/>
      <c r="AD55" s="366"/>
      <c r="AE55" s="38"/>
      <c r="AF55" s="365"/>
      <c r="AG55" s="366"/>
      <c r="AH55" s="366"/>
      <c r="AI55" s="366"/>
      <c r="AJ55" s="366"/>
      <c r="AK55" s="366"/>
      <c r="AL55" s="38"/>
    </row>
  </sheetData>
  <mergeCells count="266">
    <mergeCell ref="AF46:AK46"/>
    <mergeCell ref="D47:I47"/>
    <mergeCell ref="K47:P47"/>
    <mergeCell ref="R47:W47"/>
    <mergeCell ref="Y47:AD47"/>
    <mergeCell ref="AF47:AK47"/>
    <mergeCell ref="E44:F44"/>
    <mergeCell ref="G44:I44"/>
    <mergeCell ref="L44:M44"/>
    <mergeCell ref="N44:P44"/>
    <mergeCell ref="S44:T44"/>
    <mergeCell ref="U44:W44"/>
    <mergeCell ref="D45:I45"/>
    <mergeCell ref="K45:P45"/>
    <mergeCell ref="R45:W45"/>
    <mergeCell ref="R52:W52"/>
    <mergeCell ref="Y52:AD52"/>
    <mergeCell ref="C54:C55"/>
    <mergeCell ref="D49:I49"/>
    <mergeCell ref="K49:P49"/>
    <mergeCell ref="R49:W49"/>
    <mergeCell ref="AF52:AK52"/>
    <mergeCell ref="D51:I51"/>
    <mergeCell ref="K51:P51"/>
    <mergeCell ref="R51:W51"/>
    <mergeCell ref="Y51:AD51"/>
    <mergeCell ref="AF51:AK51"/>
    <mergeCell ref="D54:I55"/>
    <mergeCell ref="K54:P55"/>
    <mergeCell ref="R54:W55"/>
    <mergeCell ref="Y54:AD55"/>
    <mergeCell ref="AF54:AK55"/>
    <mergeCell ref="D53:I53"/>
    <mergeCell ref="K53:P53"/>
    <mergeCell ref="R53:W53"/>
    <mergeCell ref="Y53:AD53"/>
    <mergeCell ref="AF53:AK53"/>
    <mergeCell ref="Y49:AD49"/>
    <mergeCell ref="AF49:AK49"/>
    <mergeCell ref="AF50:AK50"/>
    <mergeCell ref="Y45:AD45"/>
    <mergeCell ref="AF45:AK45"/>
    <mergeCell ref="Z44:AA44"/>
    <mergeCell ref="AB44:AD44"/>
    <mergeCell ref="AG44:AH44"/>
    <mergeCell ref="AI44:AK44"/>
    <mergeCell ref="AF48:AK48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0:I50"/>
    <mergeCell ref="K50:P50"/>
    <mergeCell ref="R50:W50"/>
    <mergeCell ref="Y50:AD50"/>
    <mergeCell ref="D52:I52"/>
    <mergeCell ref="K52:P52"/>
    <mergeCell ref="A37:A40"/>
    <mergeCell ref="B37:B40"/>
    <mergeCell ref="K37:L37"/>
    <mergeCell ref="D40:E40"/>
    <mergeCell ref="K40:L40"/>
    <mergeCell ref="F40:H40"/>
    <mergeCell ref="M40:O40"/>
    <mergeCell ref="T40:V40"/>
    <mergeCell ref="N43:P43"/>
    <mergeCell ref="S43:T43"/>
    <mergeCell ref="U43:W43"/>
    <mergeCell ref="S42:T42"/>
    <mergeCell ref="U42:W42"/>
    <mergeCell ref="A42:A44"/>
    <mergeCell ref="B42:B44"/>
    <mergeCell ref="F39:H39"/>
    <mergeCell ref="M37:O37"/>
    <mergeCell ref="M38:O38"/>
    <mergeCell ref="M39:O39"/>
    <mergeCell ref="T37:V37"/>
    <mergeCell ref="T38:V38"/>
    <mergeCell ref="T39:V39"/>
    <mergeCell ref="Y41:AD41"/>
    <mergeCell ref="AF41:AK41"/>
    <mergeCell ref="R40:S40"/>
    <mergeCell ref="Y40:Z40"/>
    <mergeCell ref="E43:F43"/>
    <mergeCell ref="G43:I43"/>
    <mergeCell ref="L43:M43"/>
    <mergeCell ref="AI42:AK42"/>
    <mergeCell ref="AG43:AH43"/>
    <mergeCell ref="AI43:AK43"/>
    <mergeCell ref="Z43:AA43"/>
    <mergeCell ref="AB43:AD43"/>
    <mergeCell ref="Z42:AA42"/>
    <mergeCell ref="AB42:AD42"/>
    <mergeCell ref="AG42:AH42"/>
    <mergeCell ref="E42:F42"/>
    <mergeCell ref="G42:I42"/>
    <mergeCell ref="L42:M42"/>
    <mergeCell ref="N42:P42"/>
    <mergeCell ref="D41:I41"/>
    <mergeCell ref="K41:P41"/>
    <mergeCell ref="R41:W41"/>
    <mergeCell ref="AF40:AG40"/>
    <mergeCell ref="AA40:AC40"/>
    <mergeCell ref="F33:G33"/>
    <mergeCell ref="M33:N33"/>
    <mergeCell ref="T33:U33"/>
    <mergeCell ref="D36:I36"/>
    <mergeCell ref="K36:P36"/>
    <mergeCell ref="D39:E39"/>
    <mergeCell ref="K39:L39"/>
    <mergeCell ref="D38:E38"/>
    <mergeCell ref="K38:L38"/>
    <mergeCell ref="R38:S38"/>
    <mergeCell ref="R37:S37"/>
    <mergeCell ref="D37:E37"/>
    <mergeCell ref="F37:H37"/>
    <mergeCell ref="F38:H38"/>
    <mergeCell ref="D35:G35"/>
    <mergeCell ref="K35:N35"/>
    <mergeCell ref="R35:U35"/>
    <mergeCell ref="T34:U34"/>
    <mergeCell ref="AA33:AB33"/>
    <mergeCell ref="AH33:AI33"/>
    <mergeCell ref="AA34:AB34"/>
    <mergeCell ref="AH34:AI34"/>
    <mergeCell ref="R36:W36"/>
    <mergeCell ref="Y36:AD36"/>
    <mergeCell ref="AF36:AK36"/>
    <mergeCell ref="R39:S39"/>
    <mergeCell ref="Y39:Z39"/>
    <mergeCell ref="AF39:AG39"/>
    <mergeCell ref="AA39:AC39"/>
    <mergeCell ref="AF35:AI35"/>
    <mergeCell ref="AH37:AJ37"/>
    <mergeCell ref="AH38:AJ38"/>
    <mergeCell ref="Y38:Z38"/>
    <mergeCell ref="Y37:Z37"/>
    <mergeCell ref="AF37:AG37"/>
    <mergeCell ref="AA37:AC37"/>
    <mergeCell ref="AA38:AC38"/>
    <mergeCell ref="AF38:AG38"/>
    <mergeCell ref="Y35:AB35"/>
    <mergeCell ref="AH39:AJ39"/>
    <mergeCell ref="T32:U32"/>
    <mergeCell ref="AA32:AB32"/>
    <mergeCell ref="T31:U31"/>
    <mergeCell ref="AA31:AB31"/>
    <mergeCell ref="AH31:AI31"/>
    <mergeCell ref="T30:U30"/>
    <mergeCell ref="AA30:AB30"/>
    <mergeCell ref="AH32:AI32"/>
    <mergeCell ref="AH30:AI30"/>
    <mergeCell ref="A16:A26"/>
    <mergeCell ref="B16:B26"/>
    <mergeCell ref="D27:I27"/>
    <mergeCell ref="K27:P27"/>
    <mergeCell ref="R27:W27"/>
    <mergeCell ref="Y27:AD27"/>
    <mergeCell ref="AF27:AK27"/>
    <mergeCell ref="A28:A35"/>
    <mergeCell ref="B28:B35"/>
    <mergeCell ref="F28:G28"/>
    <mergeCell ref="M28:N28"/>
    <mergeCell ref="F31:G31"/>
    <mergeCell ref="M31:N31"/>
    <mergeCell ref="F30:G30"/>
    <mergeCell ref="M30:N30"/>
    <mergeCell ref="F34:G34"/>
    <mergeCell ref="M34:N34"/>
    <mergeCell ref="F29:G29"/>
    <mergeCell ref="M29:N29"/>
    <mergeCell ref="T29:U29"/>
    <mergeCell ref="AA29:AB29"/>
    <mergeCell ref="T28:U28"/>
    <mergeCell ref="F32:G32"/>
    <mergeCell ref="M32:N32"/>
    <mergeCell ref="R15:W15"/>
    <mergeCell ref="Y15:AD15"/>
    <mergeCell ref="AF15:AK15"/>
    <mergeCell ref="AF12:AK12"/>
    <mergeCell ref="D13:I13"/>
    <mergeCell ref="K13:P13"/>
    <mergeCell ref="R13:W13"/>
    <mergeCell ref="Y13:AD13"/>
    <mergeCell ref="AF13:AK13"/>
    <mergeCell ref="AF14:AJ14"/>
    <mergeCell ref="R12:W12"/>
    <mergeCell ref="Y12:AD12"/>
    <mergeCell ref="R14:V14"/>
    <mergeCell ref="Y14:AC14"/>
    <mergeCell ref="A8:A10"/>
    <mergeCell ref="B8:B10"/>
    <mergeCell ref="K8:O8"/>
    <mergeCell ref="K9:O9"/>
    <mergeCell ref="K10:O10"/>
    <mergeCell ref="D10:G10"/>
    <mergeCell ref="H10:I10"/>
    <mergeCell ref="D14:G14"/>
    <mergeCell ref="H14:I14"/>
    <mergeCell ref="A12:A14"/>
    <mergeCell ref="B12:B14"/>
    <mergeCell ref="D12:I12"/>
    <mergeCell ref="K12:P12"/>
    <mergeCell ref="K14:O14"/>
    <mergeCell ref="A3:A6"/>
    <mergeCell ref="B3:B6"/>
    <mergeCell ref="D3:I3"/>
    <mergeCell ref="K3:P3"/>
    <mergeCell ref="R3:W3"/>
    <mergeCell ref="Y3:AD3"/>
    <mergeCell ref="D6:I6"/>
    <mergeCell ref="K6:P6"/>
    <mergeCell ref="R6:W6"/>
    <mergeCell ref="Y6:AD6"/>
    <mergeCell ref="D4:I4"/>
    <mergeCell ref="K4:P4"/>
    <mergeCell ref="R4:W4"/>
    <mergeCell ref="Y4:AD4"/>
    <mergeCell ref="D5:I5"/>
    <mergeCell ref="K5:P5"/>
    <mergeCell ref="R5:W5"/>
    <mergeCell ref="Y5:AD5"/>
    <mergeCell ref="D2:I2"/>
    <mergeCell ref="K2:P2"/>
    <mergeCell ref="R2:W2"/>
    <mergeCell ref="Y2:AD2"/>
    <mergeCell ref="AF2:AK2"/>
    <mergeCell ref="AF6:AK6"/>
    <mergeCell ref="D7:I7"/>
    <mergeCell ref="K7:P7"/>
    <mergeCell ref="R7:W7"/>
    <mergeCell ref="Y7:AD7"/>
    <mergeCell ref="AF7:AK7"/>
    <mergeCell ref="AF3:AK3"/>
    <mergeCell ref="AF4:AK4"/>
    <mergeCell ref="AF5:AK5"/>
    <mergeCell ref="AH40:AJ40"/>
    <mergeCell ref="Y8:AC8"/>
    <mergeCell ref="Y9:AC9"/>
    <mergeCell ref="Y10:AC10"/>
    <mergeCell ref="AA28:AB28"/>
    <mergeCell ref="AH28:AI28"/>
    <mergeCell ref="AH29:AI29"/>
    <mergeCell ref="D11:I11"/>
    <mergeCell ref="K11:P11"/>
    <mergeCell ref="R8:V8"/>
    <mergeCell ref="R9:V9"/>
    <mergeCell ref="R10:V10"/>
    <mergeCell ref="D8:G8"/>
    <mergeCell ref="H8:I8"/>
    <mergeCell ref="D9:G9"/>
    <mergeCell ref="H9:I9"/>
    <mergeCell ref="R11:W11"/>
    <mergeCell ref="Y11:AD11"/>
    <mergeCell ref="AF11:AK11"/>
    <mergeCell ref="AF8:AJ8"/>
    <mergeCell ref="AF9:AJ9"/>
    <mergeCell ref="AF10:AJ10"/>
    <mergeCell ref="D15:I15"/>
    <mergeCell ref="K15:P15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60" zoomScaleNormal="60" workbookViewId="0">
      <pane xSplit="3" topLeftCell="X1" activePane="topRight" state="frozen"/>
      <selection pane="topRight" activeCell="AG25" sqref="AG25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51.5703125" style="5" bestFit="1" customWidth="1"/>
    <col min="4" max="4" width="11.42578125" style="5"/>
    <col min="5" max="5" width="35" style="5" bestFit="1" customWidth="1"/>
    <col min="6" max="7" width="11.42578125" style="5"/>
    <col min="8" max="8" width="25.85546875" style="5" bestFit="1" customWidth="1"/>
    <col min="9" max="9" width="28.140625" style="5" bestFit="1" customWidth="1"/>
    <col min="10" max="10" width="1.7109375" style="22" customWidth="1"/>
    <col min="11" max="11" width="8.5703125" style="5" bestFit="1" customWidth="1"/>
    <col min="12" max="12" width="35" style="5" bestFit="1" customWidth="1"/>
    <col min="13" max="14" width="9.28515625" style="5" customWidth="1"/>
    <col min="15" max="15" width="25.85546875" style="5" bestFit="1" customWidth="1"/>
    <col min="16" max="16" width="28.140625" style="5" bestFit="1" customWidth="1"/>
    <col min="17" max="17" width="1.7109375" style="22" customWidth="1"/>
    <col min="18" max="19" width="11.42578125" style="5"/>
    <col min="20" max="20" width="34.28515625" style="5" bestFit="1" customWidth="1"/>
    <col min="21" max="21" width="11.42578125" style="5"/>
    <col min="22" max="22" width="25.85546875" style="5" bestFit="1" customWidth="1"/>
    <col min="23" max="23" width="28.140625" style="5" bestFit="1" customWidth="1"/>
    <col min="24" max="24" width="1.7109375" style="8" customWidth="1"/>
    <col min="25" max="25" width="20.28515625" style="5" customWidth="1"/>
    <col min="26" max="26" width="34.28515625" style="5" bestFit="1" customWidth="1"/>
    <col min="27" max="27" width="34.28515625" style="5" customWidth="1"/>
    <col min="28" max="28" width="11.42578125" style="5"/>
    <col min="29" max="29" width="25.85546875" style="5" bestFit="1" customWidth="1"/>
    <col min="30" max="30" width="28.140625" style="5" bestFit="1" customWidth="1"/>
    <col min="31" max="31" width="1.7109375" style="8" customWidth="1"/>
    <col min="32" max="32" width="11.42578125" style="5"/>
    <col min="33" max="33" width="35" style="5" bestFit="1" customWidth="1"/>
    <col min="34" max="34" width="34.28515625" style="5" bestFit="1" customWidth="1"/>
    <col min="35" max="35" width="11.42578125" style="5"/>
    <col min="36" max="36" width="25.85546875" style="5" bestFit="1" customWidth="1"/>
    <col min="37" max="37" width="28.140625" style="5" bestFit="1" customWidth="1"/>
    <col min="38" max="38" width="1.7109375" style="8" customWidth="1"/>
    <col min="39" max="16384" width="11.42578125" style="5"/>
  </cols>
  <sheetData>
    <row r="1" spans="1:38" ht="15.75" thickBot="1" x14ac:dyDescent="0.3"/>
    <row r="2" spans="1:38" ht="15.75" thickBot="1" x14ac:dyDescent="0.3">
      <c r="A2" s="20"/>
      <c r="B2" s="21" t="s">
        <v>40</v>
      </c>
      <c r="C2" s="21" t="s">
        <v>41</v>
      </c>
      <c r="D2" s="368" t="s">
        <v>48</v>
      </c>
      <c r="E2" s="286"/>
      <c r="F2" s="286"/>
      <c r="G2" s="286"/>
      <c r="H2" s="286"/>
      <c r="I2" s="286"/>
      <c r="J2" s="79"/>
      <c r="K2" s="285" t="s">
        <v>49</v>
      </c>
      <c r="L2" s="286"/>
      <c r="M2" s="286"/>
      <c r="N2" s="286"/>
      <c r="O2" s="286"/>
      <c r="P2" s="286"/>
      <c r="Q2" s="79"/>
      <c r="R2" s="285" t="s">
        <v>50</v>
      </c>
      <c r="S2" s="286"/>
      <c r="T2" s="286"/>
      <c r="U2" s="286"/>
      <c r="V2" s="286"/>
      <c r="W2" s="286"/>
      <c r="X2" s="80"/>
      <c r="Y2" s="285" t="s">
        <v>51</v>
      </c>
      <c r="Z2" s="286"/>
      <c r="AA2" s="286"/>
      <c r="AB2" s="286"/>
      <c r="AC2" s="286"/>
      <c r="AD2" s="286"/>
      <c r="AE2" s="80"/>
      <c r="AF2" s="285" t="s">
        <v>52</v>
      </c>
      <c r="AG2" s="286"/>
      <c r="AH2" s="286"/>
      <c r="AI2" s="286"/>
      <c r="AJ2" s="286"/>
      <c r="AK2" s="286"/>
      <c r="AL2" s="80"/>
    </row>
    <row r="3" spans="1:38" ht="15" customHeight="1" x14ac:dyDescent="0.25">
      <c r="A3" s="314" t="s">
        <v>39</v>
      </c>
      <c r="B3" s="317" t="s">
        <v>38</v>
      </c>
      <c r="C3" s="42" t="s">
        <v>2</v>
      </c>
      <c r="D3" s="290" t="s">
        <v>77</v>
      </c>
      <c r="E3" s="291"/>
      <c r="F3" s="291"/>
      <c r="G3" s="291"/>
      <c r="H3" s="291"/>
      <c r="I3" s="291"/>
      <c r="J3" s="23"/>
      <c r="K3" s="290" t="s">
        <v>154</v>
      </c>
      <c r="L3" s="291"/>
      <c r="M3" s="291"/>
      <c r="N3" s="291"/>
      <c r="O3" s="291"/>
      <c r="P3" s="291"/>
      <c r="Q3" s="23"/>
      <c r="R3" s="290" t="s">
        <v>155</v>
      </c>
      <c r="S3" s="291"/>
      <c r="T3" s="291"/>
      <c r="U3" s="291"/>
      <c r="V3" s="291"/>
      <c r="W3" s="291"/>
      <c r="Y3" s="290" t="s">
        <v>232</v>
      </c>
      <c r="Z3" s="291"/>
      <c r="AA3" s="291"/>
      <c r="AB3" s="291"/>
      <c r="AC3" s="291"/>
      <c r="AD3" s="291"/>
      <c r="AF3" s="292" t="s">
        <v>156</v>
      </c>
      <c r="AG3" s="293"/>
      <c r="AH3" s="293"/>
      <c r="AI3" s="293"/>
      <c r="AJ3" s="293"/>
      <c r="AK3" s="294"/>
    </row>
    <row r="4" spans="1:38" x14ac:dyDescent="0.25">
      <c r="A4" s="315"/>
      <c r="B4" s="318"/>
      <c r="C4" s="43" t="s">
        <v>3</v>
      </c>
      <c r="D4" s="313" t="s">
        <v>78</v>
      </c>
      <c r="E4" s="313"/>
      <c r="F4" s="313"/>
      <c r="G4" s="313"/>
      <c r="H4" s="313"/>
      <c r="I4" s="313"/>
      <c r="J4" s="23"/>
      <c r="K4" s="303" t="s">
        <v>78</v>
      </c>
      <c r="L4" s="304"/>
      <c r="M4" s="304"/>
      <c r="N4" s="304"/>
      <c r="O4" s="304"/>
      <c r="P4" s="304"/>
      <c r="Q4" s="23"/>
      <c r="R4" s="303" t="s">
        <v>237</v>
      </c>
      <c r="S4" s="304"/>
      <c r="T4" s="304"/>
      <c r="U4" s="304"/>
      <c r="V4" s="304"/>
      <c r="W4" s="304"/>
      <c r="Y4" s="303" t="s">
        <v>227</v>
      </c>
      <c r="Z4" s="304"/>
      <c r="AA4" s="304"/>
      <c r="AB4" s="304"/>
      <c r="AC4" s="304"/>
      <c r="AD4" s="304"/>
      <c r="AF4" s="305" t="s">
        <v>237</v>
      </c>
      <c r="AG4" s="306"/>
      <c r="AH4" s="306"/>
      <c r="AI4" s="306"/>
      <c r="AJ4" s="306"/>
      <c r="AK4" s="307"/>
    </row>
    <row r="5" spans="1:38" x14ac:dyDescent="0.25">
      <c r="A5" s="315"/>
      <c r="B5" s="318"/>
      <c r="C5" s="82" t="s">
        <v>140</v>
      </c>
      <c r="D5" s="279" t="s">
        <v>139</v>
      </c>
      <c r="E5" s="279"/>
      <c r="F5" s="279"/>
      <c r="G5" s="279"/>
      <c r="H5" s="279"/>
      <c r="I5" s="279"/>
      <c r="J5" s="9"/>
      <c r="K5" s="279" t="s">
        <v>139</v>
      </c>
      <c r="L5" s="279"/>
      <c r="M5" s="279"/>
      <c r="N5" s="279"/>
      <c r="O5" s="279"/>
      <c r="P5" s="279"/>
      <c r="Q5" s="84"/>
      <c r="R5" s="279" t="s">
        <v>231</v>
      </c>
      <c r="S5" s="279"/>
      <c r="T5" s="279"/>
      <c r="U5" s="279"/>
      <c r="V5" s="279"/>
      <c r="W5" s="279"/>
      <c r="X5" s="84"/>
      <c r="Y5" s="279" t="s">
        <v>231</v>
      </c>
      <c r="Z5" s="279"/>
      <c r="AA5" s="279"/>
      <c r="AB5" s="279"/>
      <c r="AC5" s="279"/>
      <c r="AD5" s="279"/>
      <c r="AE5" s="85"/>
      <c r="AF5" s="310" t="s">
        <v>139</v>
      </c>
      <c r="AG5" s="311"/>
      <c r="AH5" s="311"/>
      <c r="AI5" s="311"/>
      <c r="AJ5" s="311"/>
      <c r="AK5" s="312"/>
      <c r="AL5" s="85"/>
    </row>
    <row r="6" spans="1:38" ht="15.75" thickBot="1" x14ac:dyDescent="0.3">
      <c r="A6" s="316"/>
      <c r="B6" s="319"/>
      <c r="C6" s="70" t="s">
        <v>69</v>
      </c>
      <c r="D6" s="280" t="s">
        <v>84</v>
      </c>
      <c r="E6" s="280"/>
      <c r="F6" s="280"/>
      <c r="G6" s="280"/>
      <c r="H6" s="280"/>
      <c r="I6" s="280"/>
      <c r="J6" s="23"/>
      <c r="K6" s="295" t="s">
        <v>190</v>
      </c>
      <c r="L6" s="296"/>
      <c r="M6" s="296"/>
      <c r="N6" s="296"/>
      <c r="O6" s="296"/>
      <c r="P6" s="297"/>
      <c r="Q6" s="23"/>
      <c r="R6" s="295" t="s">
        <v>219</v>
      </c>
      <c r="S6" s="296"/>
      <c r="T6" s="296"/>
      <c r="U6" s="296"/>
      <c r="V6" s="296"/>
      <c r="W6" s="297"/>
      <c r="X6" s="34"/>
      <c r="Y6" s="295" t="s">
        <v>219</v>
      </c>
      <c r="Z6" s="296"/>
      <c r="AA6" s="296"/>
      <c r="AB6" s="296"/>
      <c r="AC6" s="296"/>
      <c r="AD6" s="297"/>
      <c r="AE6" s="34"/>
      <c r="AF6" s="295" t="s">
        <v>190</v>
      </c>
      <c r="AG6" s="296"/>
      <c r="AH6" s="296"/>
      <c r="AI6" s="296"/>
      <c r="AJ6" s="296"/>
      <c r="AK6" s="297"/>
    </row>
    <row r="7" spans="1:38" ht="15.75" thickBot="1" x14ac:dyDescent="0.3">
      <c r="A7" s="11"/>
      <c r="B7" s="13"/>
      <c r="C7" s="69"/>
      <c r="D7" s="244"/>
      <c r="E7" s="245"/>
      <c r="F7" s="245"/>
      <c r="G7" s="245"/>
      <c r="H7" s="245"/>
      <c r="I7" s="245"/>
      <c r="K7" s="244"/>
      <c r="L7" s="245"/>
      <c r="M7" s="245"/>
      <c r="N7" s="245"/>
      <c r="O7" s="245"/>
      <c r="P7" s="245"/>
      <c r="R7" s="244"/>
      <c r="S7" s="245"/>
      <c r="T7" s="245"/>
      <c r="U7" s="245"/>
      <c r="V7" s="245"/>
      <c r="W7" s="245"/>
      <c r="Y7" s="244"/>
      <c r="Z7" s="245"/>
      <c r="AA7" s="245"/>
      <c r="AB7" s="245"/>
      <c r="AC7" s="245"/>
      <c r="AD7" s="245"/>
      <c r="AF7" s="320"/>
      <c r="AG7" s="321"/>
      <c r="AH7" s="321"/>
      <c r="AI7" s="321"/>
      <c r="AJ7" s="321"/>
      <c r="AK7" s="321"/>
    </row>
    <row r="8" spans="1:38" ht="15" customHeight="1" thickBot="1" x14ac:dyDescent="0.3">
      <c r="A8" s="308" t="s">
        <v>37</v>
      </c>
      <c r="B8" s="309" t="s">
        <v>132</v>
      </c>
      <c r="C8" s="67" t="s">
        <v>5</v>
      </c>
      <c r="D8" s="269" t="s">
        <v>120</v>
      </c>
      <c r="E8" s="270"/>
      <c r="F8" s="270"/>
      <c r="G8" s="271"/>
      <c r="H8" s="287" t="s">
        <v>163</v>
      </c>
      <c r="I8" s="271"/>
      <c r="K8" s="269" t="s">
        <v>166</v>
      </c>
      <c r="L8" s="270"/>
      <c r="M8" s="270"/>
      <c r="N8" s="270"/>
      <c r="O8" s="271"/>
      <c r="P8" s="115" t="s">
        <v>163</v>
      </c>
      <c r="R8" s="269" t="s">
        <v>166</v>
      </c>
      <c r="S8" s="270"/>
      <c r="T8" s="270"/>
      <c r="U8" s="270"/>
      <c r="V8" s="271"/>
      <c r="W8" s="115" t="s">
        <v>163</v>
      </c>
      <c r="Y8" s="269" t="s">
        <v>166</v>
      </c>
      <c r="Z8" s="270"/>
      <c r="AA8" s="270"/>
      <c r="AB8" s="270"/>
      <c r="AC8" s="271"/>
      <c r="AD8" s="115" t="s">
        <v>178</v>
      </c>
      <c r="AF8" s="269" t="s">
        <v>166</v>
      </c>
      <c r="AG8" s="270"/>
      <c r="AH8" s="270"/>
      <c r="AI8" s="270"/>
      <c r="AJ8" s="271"/>
      <c r="AK8" s="115" t="s">
        <v>191</v>
      </c>
    </row>
    <row r="9" spans="1:38" ht="15.75" thickBot="1" x14ac:dyDescent="0.3">
      <c r="A9" s="308"/>
      <c r="B9" s="309"/>
      <c r="C9" s="14" t="s">
        <v>6</v>
      </c>
      <c r="D9" s="272" t="s">
        <v>121</v>
      </c>
      <c r="E9" s="273"/>
      <c r="F9" s="273"/>
      <c r="G9" s="274"/>
      <c r="H9" s="288" t="s">
        <v>163</v>
      </c>
      <c r="I9" s="273"/>
      <c r="K9" s="272" t="s">
        <v>192</v>
      </c>
      <c r="L9" s="273"/>
      <c r="M9" s="273"/>
      <c r="N9" s="273"/>
      <c r="O9" s="274"/>
      <c r="P9" s="102" t="s">
        <v>163</v>
      </c>
      <c r="R9" s="272" t="s">
        <v>240</v>
      </c>
      <c r="S9" s="273"/>
      <c r="T9" s="273"/>
      <c r="U9" s="273"/>
      <c r="V9" s="274"/>
      <c r="W9" s="102" t="s">
        <v>163</v>
      </c>
      <c r="Y9" s="272" t="s">
        <v>206</v>
      </c>
      <c r="Z9" s="273"/>
      <c r="AA9" s="273"/>
      <c r="AB9" s="273"/>
      <c r="AC9" s="274"/>
      <c r="AD9" s="102" t="s">
        <v>178</v>
      </c>
      <c r="AF9" s="272" t="s">
        <v>192</v>
      </c>
      <c r="AG9" s="273"/>
      <c r="AH9" s="273"/>
      <c r="AI9" s="273"/>
      <c r="AJ9" s="274"/>
      <c r="AK9" s="115" t="s">
        <v>191</v>
      </c>
    </row>
    <row r="10" spans="1:38" ht="15.75" thickBot="1" x14ac:dyDescent="0.3">
      <c r="A10" s="308"/>
      <c r="B10" s="309"/>
      <c r="C10" s="68" t="s">
        <v>7</v>
      </c>
      <c r="D10" s="275" t="s">
        <v>122</v>
      </c>
      <c r="E10" s="276"/>
      <c r="F10" s="276"/>
      <c r="G10" s="277"/>
      <c r="H10" s="289" t="s">
        <v>163</v>
      </c>
      <c r="I10" s="277"/>
      <c r="K10" s="275" t="s">
        <v>193</v>
      </c>
      <c r="L10" s="276"/>
      <c r="M10" s="276"/>
      <c r="N10" s="276"/>
      <c r="O10" s="277"/>
      <c r="P10" s="182" t="s">
        <v>163</v>
      </c>
      <c r="R10" s="275" t="s">
        <v>166</v>
      </c>
      <c r="S10" s="276"/>
      <c r="T10" s="276"/>
      <c r="U10" s="276"/>
      <c r="V10" s="277"/>
      <c r="W10" s="182" t="s">
        <v>163</v>
      </c>
      <c r="Y10" s="275" t="s">
        <v>206</v>
      </c>
      <c r="Z10" s="276"/>
      <c r="AA10" s="276"/>
      <c r="AB10" s="276"/>
      <c r="AC10" s="277"/>
      <c r="AD10" s="182" t="s">
        <v>178</v>
      </c>
      <c r="AF10" s="275" t="s">
        <v>193</v>
      </c>
      <c r="AG10" s="276"/>
      <c r="AH10" s="276"/>
      <c r="AI10" s="276"/>
      <c r="AJ10" s="277"/>
      <c r="AK10" s="115" t="s">
        <v>191</v>
      </c>
    </row>
    <row r="11" spans="1:38" ht="15.75" thickBot="1" x14ac:dyDescent="0.3">
      <c r="A11" s="12"/>
      <c r="B11" s="15"/>
      <c r="C11" s="15"/>
      <c r="D11" s="244"/>
      <c r="E11" s="245"/>
      <c r="F11" s="245"/>
      <c r="G11" s="245"/>
      <c r="H11" s="245"/>
      <c r="I11" s="245"/>
      <c r="K11" s="244"/>
      <c r="L11" s="245"/>
      <c r="M11" s="245"/>
      <c r="N11" s="245"/>
      <c r="O11" s="245"/>
      <c r="P11" s="245"/>
      <c r="R11" s="244"/>
      <c r="S11" s="245"/>
      <c r="T11" s="245"/>
      <c r="U11" s="245"/>
      <c r="V11" s="245"/>
      <c r="W11" s="245"/>
      <c r="Y11" s="244"/>
      <c r="Z11" s="245"/>
      <c r="AA11" s="245"/>
      <c r="AB11" s="245"/>
      <c r="AC11" s="245"/>
      <c r="AD11" s="245"/>
      <c r="AF11" s="244"/>
      <c r="AG11" s="245"/>
      <c r="AH11" s="245"/>
      <c r="AI11" s="245"/>
      <c r="AJ11" s="245"/>
      <c r="AK11" s="245"/>
    </row>
    <row r="12" spans="1:38" ht="15" customHeight="1" x14ac:dyDescent="0.25">
      <c r="A12" s="328" t="s">
        <v>8</v>
      </c>
      <c r="B12" s="331" t="s">
        <v>133</v>
      </c>
      <c r="C12" s="65" t="s">
        <v>70</v>
      </c>
      <c r="D12" s="281" t="s">
        <v>146</v>
      </c>
      <c r="E12" s="282"/>
      <c r="F12" s="282"/>
      <c r="G12" s="282"/>
      <c r="H12" s="282"/>
      <c r="I12" s="282"/>
      <c r="K12" s="281" t="s">
        <v>213</v>
      </c>
      <c r="L12" s="282"/>
      <c r="M12" s="282"/>
      <c r="N12" s="282"/>
      <c r="O12" s="282"/>
      <c r="P12" s="282"/>
      <c r="R12" s="370" t="str">
        <f>'Without legumes'!R17</f>
        <v>Dalguise</v>
      </c>
      <c r="S12" s="250"/>
      <c r="T12" s="250"/>
      <c r="U12" s="250"/>
      <c r="V12" s="250"/>
      <c r="W12" s="251"/>
      <c r="Y12" s="281" t="s">
        <v>233</v>
      </c>
      <c r="Z12" s="282"/>
      <c r="AA12" s="282"/>
      <c r="AB12" s="282"/>
      <c r="AC12" s="282"/>
      <c r="AD12" s="282"/>
      <c r="AF12" s="281" t="s">
        <v>194</v>
      </c>
      <c r="AG12" s="282"/>
      <c r="AH12" s="282"/>
      <c r="AI12" s="282"/>
      <c r="AJ12" s="282"/>
      <c r="AK12" s="282"/>
    </row>
    <row r="13" spans="1:38" x14ac:dyDescent="0.25">
      <c r="A13" s="329"/>
      <c r="B13" s="332"/>
      <c r="C13" s="16" t="s">
        <v>85</v>
      </c>
      <c r="D13" s="283">
        <v>4</v>
      </c>
      <c r="E13" s="284"/>
      <c r="F13" s="284"/>
      <c r="G13" s="284"/>
      <c r="H13" s="284"/>
      <c r="I13" s="284"/>
      <c r="K13" s="283">
        <v>145</v>
      </c>
      <c r="L13" s="284"/>
      <c r="M13" s="284"/>
      <c r="N13" s="284"/>
      <c r="O13" s="284"/>
      <c r="P13" s="284"/>
      <c r="R13" s="369">
        <v>190</v>
      </c>
      <c r="S13" s="253"/>
      <c r="T13" s="253"/>
      <c r="U13" s="253"/>
      <c r="V13" s="253"/>
      <c r="W13" s="254"/>
      <c r="Y13" s="283">
        <v>250</v>
      </c>
      <c r="Z13" s="284"/>
      <c r="AA13" s="284"/>
      <c r="AB13" s="284"/>
      <c r="AC13" s="284"/>
      <c r="AD13" s="284"/>
      <c r="AF13" s="283">
        <v>190</v>
      </c>
      <c r="AG13" s="284"/>
      <c r="AH13" s="284"/>
      <c r="AI13" s="284"/>
      <c r="AJ13" s="284"/>
      <c r="AK13" s="284"/>
    </row>
    <row r="14" spans="1:38" ht="15.75" thickBot="1" x14ac:dyDescent="0.3">
      <c r="A14" s="330"/>
      <c r="B14" s="333"/>
      <c r="C14" s="66" t="s">
        <v>10</v>
      </c>
      <c r="D14" s="278" t="s">
        <v>122</v>
      </c>
      <c r="E14" s="256"/>
      <c r="F14" s="256"/>
      <c r="G14" s="257"/>
      <c r="H14" s="255" t="s">
        <v>163</v>
      </c>
      <c r="I14" s="257"/>
      <c r="K14" s="278" t="s">
        <v>122</v>
      </c>
      <c r="L14" s="256"/>
      <c r="M14" s="256"/>
      <c r="N14" s="256"/>
      <c r="O14" s="257"/>
      <c r="P14" s="103" t="s">
        <v>165</v>
      </c>
      <c r="R14" s="278" t="s">
        <v>122</v>
      </c>
      <c r="S14" s="256"/>
      <c r="T14" s="256"/>
      <c r="U14" s="256"/>
      <c r="V14" s="257"/>
      <c r="W14" s="103" t="s">
        <v>165</v>
      </c>
      <c r="Y14" s="278" t="s">
        <v>122</v>
      </c>
      <c r="Z14" s="256"/>
      <c r="AA14" s="256"/>
      <c r="AB14" s="256"/>
      <c r="AC14" s="257"/>
      <c r="AD14" s="103" t="s">
        <v>182</v>
      </c>
      <c r="AF14" s="278" t="s">
        <v>122</v>
      </c>
      <c r="AG14" s="256"/>
      <c r="AH14" s="256"/>
      <c r="AI14" s="256"/>
      <c r="AJ14" s="257"/>
      <c r="AK14" s="103" t="s">
        <v>178</v>
      </c>
    </row>
    <row r="15" spans="1:38" ht="15.75" thickBot="1" x14ac:dyDescent="0.3">
      <c r="A15" s="12"/>
      <c r="B15" s="15"/>
      <c r="C15" s="15"/>
      <c r="D15" s="244"/>
      <c r="E15" s="245"/>
      <c r="F15" s="245"/>
      <c r="G15" s="245"/>
      <c r="H15" s="245"/>
      <c r="I15" s="245"/>
      <c r="K15" s="320"/>
      <c r="L15" s="321"/>
      <c r="M15" s="321"/>
      <c r="N15" s="321"/>
      <c r="O15" s="321"/>
      <c r="P15" s="321"/>
      <c r="R15" s="320"/>
      <c r="S15" s="321"/>
      <c r="T15" s="321"/>
      <c r="U15" s="321"/>
      <c r="V15" s="321"/>
      <c r="W15" s="321"/>
      <c r="Y15" s="320"/>
      <c r="Z15" s="321"/>
      <c r="AA15" s="321"/>
      <c r="AB15" s="321"/>
      <c r="AC15" s="321"/>
      <c r="AD15" s="321"/>
      <c r="AF15" s="320"/>
      <c r="AG15" s="321"/>
      <c r="AH15" s="321"/>
      <c r="AI15" s="321"/>
      <c r="AJ15" s="321"/>
      <c r="AK15" s="321"/>
    </row>
    <row r="16" spans="1:38" ht="15.75" customHeight="1" thickBot="1" x14ac:dyDescent="0.3">
      <c r="A16" s="322" t="s">
        <v>11</v>
      </c>
      <c r="B16" s="325" t="s">
        <v>134</v>
      </c>
      <c r="C16" s="56" t="s">
        <v>100</v>
      </c>
      <c r="D16" s="60" t="s">
        <v>32</v>
      </c>
      <c r="E16" s="100" t="s">
        <v>144</v>
      </c>
      <c r="F16" s="59" t="s">
        <v>20</v>
      </c>
      <c r="G16" s="104" t="s">
        <v>152</v>
      </c>
      <c r="H16" s="100" t="s">
        <v>124</v>
      </c>
      <c r="I16" s="100" t="s">
        <v>23</v>
      </c>
      <c r="K16" s="116" t="s">
        <v>32</v>
      </c>
      <c r="L16" s="117" t="s">
        <v>74</v>
      </c>
      <c r="M16" s="117" t="s">
        <v>20</v>
      </c>
      <c r="N16" s="117" t="s">
        <v>152</v>
      </c>
      <c r="O16" s="118" t="s">
        <v>124</v>
      </c>
      <c r="P16" s="118" t="s">
        <v>23</v>
      </c>
      <c r="R16" s="116" t="s">
        <v>32</v>
      </c>
      <c r="S16" s="117" t="s">
        <v>74</v>
      </c>
      <c r="T16" s="117" t="s">
        <v>20</v>
      </c>
      <c r="U16" s="117" t="s">
        <v>152</v>
      </c>
      <c r="V16" s="118" t="s">
        <v>124</v>
      </c>
      <c r="W16" s="118" t="s">
        <v>23</v>
      </c>
      <c r="Y16" s="116" t="s">
        <v>32</v>
      </c>
      <c r="Z16" s="117" t="s">
        <v>74</v>
      </c>
      <c r="AA16" s="117" t="s">
        <v>20</v>
      </c>
      <c r="AB16" s="117" t="s">
        <v>152</v>
      </c>
      <c r="AC16" s="118" t="s">
        <v>124</v>
      </c>
      <c r="AD16" s="118" t="s">
        <v>23</v>
      </c>
      <c r="AF16" s="116" t="s">
        <v>32</v>
      </c>
      <c r="AG16" s="117" t="s">
        <v>74</v>
      </c>
      <c r="AH16" s="117" t="s">
        <v>20</v>
      </c>
      <c r="AI16" s="117" t="s">
        <v>152</v>
      </c>
      <c r="AJ16" s="118" t="s">
        <v>124</v>
      </c>
      <c r="AK16" s="118" t="s">
        <v>23</v>
      </c>
    </row>
    <row r="17" spans="1:37" ht="15" customHeight="1" x14ac:dyDescent="0.25">
      <c r="A17" s="323"/>
      <c r="B17" s="326"/>
      <c r="C17" s="48" t="s">
        <v>12</v>
      </c>
      <c r="D17" s="61" t="s">
        <v>168</v>
      </c>
      <c r="E17" s="94" t="s">
        <v>259</v>
      </c>
      <c r="F17" s="105" t="s">
        <v>148</v>
      </c>
      <c r="G17" s="105" t="s">
        <v>211</v>
      </c>
      <c r="H17" s="174" t="s">
        <v>258</v>
      </c>
      <c r="I17" s="98">
        <v>3</v>
      </c>
      <c r="K17" s="61" t="s">
        <v>168</v>
      </c>
      <c r="L17" s="50" t="s">
        <v>169</v>
      </c>
      <c r="M17" s="105"/>
      <c r="N17" s="105" t="s">
        <v>173</v>
      </c>
      <c r="O17" s="98" t="s">
        <v>170</v>
      </c>
      <c r="P17" s="98">
        <v>2</v>
      </c>
      <c r="R17" s="61" t="s">
        <v>168</v>
      </c>
      <c r="S17" s="50" t="s">
        <v>169</v>
      </c>
      <c r="T17" s="105"/>
      <c r="U17" s="105" t="s">
        <v>177</v>
      </c>
      <c r="V17" s="98" t="s">
        <v>176</v>
      </c>
      <c r="W17" s="98">
        <v>1</v>
      </c>
      <c r="Y17" s="61"/>
      <c r="Z17" s="50"/>
      <c r="AA17" s="105"/>
      <c r="AB17" s="105"/>
      <c r="AC17" s="98"/>
      <c r="AD17" s="98"/>
      <c r="AF17" s="61" t="s">
        <v>168</v>
      </c>
      <c r="AG17" s="50" t="s">
        <v>196</v>
      </c>
      <c r="AH17" s="105" t="s">
        <v>197</v>
      </c>
      <c r="AI17" s="105" t="s">
        <v>181</v>
      </c>
      <c r="AJ17" s="154" t="s">
        <v>290</v>
      </c>
      <c r="AK17" s="98"/>
    </row>
    <row r="18" spans="1:37" x14ac:dyDescent="0.25">
      <c r="A18" s="323"/>
      <c r="B18" s="326"/>
      <c r="C18" s="17" t="s">
        <v>13</v>
      </c>
      <c r="D18" s="62" t="s">
        <v>82</v>
      </c>
      <c r="E18" s="93" t="s">
        <v>83</v>
      </c>
      <c r="F18" s="106" t="s">
        <v>148</v>
      </c>
      <c r="G18" s="106" t="s">
        <v>210</v>
      </c>
      <c r="H18" s="176" t="s">
        <v>125</v>
      </c>
      <c r="I18" s="177">
        <v>1</v>
      </c>
      <c r="K18" s="62" t="s">
        <v>82</v>
      </c>
      <c r="L18" s="47" t="s">
        <v>158</v>
      </c>
      <c r="M18" s="106"/>
      <c r="N18" s="106" t="s">
        <v>167</v>
      </c>
      <c r="O18" s="158" t="s">
        <v>171</v>
      </c>
      <c r="P18" s="158">
        <v>1</v>
      </c>
      <c r="R18" s="62" t="s">
        <v>82</v>
      </c>
      <c r="S18" s="47" t="s">
        <v>158</v>
      </c>
      <c r="T18" s="106"/>
      <c r="U18" s="106" t="s">
        <v>167</v>
      </c>
      <c r="V18" s="123" t="s">
        <v>174</v>
      </c>
      <c r="W18" s="123">
        <v>1</v>
      </c>
      <c r="Y18" s="62" t="s">
        <v>82</v>
      </c>
      <c r="Z18" s="47" t="s">
        <v>234</v>
      </c>
      <c r="AA18" s="106"/>
      <c r="AB18" s="106" t="s">
        <v>177</v>
      </c>
      <c r="AC18" s="141" t="s">
        <v>189</v>
      </c>
      <c r="AD18" s="141">
        <v>1</v>
      </c>
      <c r="AF18" s="62" t="s">
        <v>82</v>
      </c>
      <c r="AG18" s="47" t="s">
        <v>158</v>
      </c>
      <c r="AH18" s="105" t="s">
        <v>197</v>
      </c>
      <c r="AI18" s="106" t="s">
        <v>177</v>
      </c>
      <c r="AJ18" s="98" t="s">
        <v>189</v>
      </c>
      <c r="AK18" s="130"/>
    </row>
    <row r="19" spans="1:37" x14ac:dyDescent="0.25">
      <c r="A19" s="323"/>
      <c r="B19" s="326"/>
      <c r="C19" s="17" t="s">
        <v>14</v>
      </c>
      <c r="D19" s="62" t="s">
        <v>81</v>
      </c>
      <c r="E19" s="175" t="s">
        <v>147</v>
      </c>
      <c r="F19" s="106" t="s">
        <v>148</v>
      </c>
      <c r="G19" s="106" t="s">
        <v>210</v>
      </c>
      <c r="H19" s="176" t="s">
        <v>126</v>
      </c>
      <c r="I19" s="177">
        <v>1</v>
      </c>
      <c r="K19" s="62" t="s">
        <v>159</v>
      </c>
      <c r="L19" s="158" t="s">
        <v>160</v>
      </c>
      <c r="M19" s="106"/>
      <c r="N19" s="106" t="s">
        <v>167</v>
      </c>
      <c r="O19" s="158" t="s">
        <v>172</v>
      </c>
      <c r="P19" s="158">
        <v>1</v>
      </c>
      <c r="R19" s="62" t="s">
        <v>159</v>
      </c>
      <c r="S19" s="123" t="s">
        <v>160</v>
      </c>
      <c r="T19" s="106"/>
      <c r="U19" s="106" t="s">
        <v>167</v>
      </c>
      <c r="V19" s="123" t="s">
        <v>175</v>
      </c>
      <c r="W19" s="123">
        <v>1</v>
      </c>
      <c r="Y19" s="62" t="s">
        <v>159</v>
      </c>
      <c r="Z19" s="141" t="s">
        <v>235</v>
      </c>
      <c r="AA19" s="106"/>
      <c r="AB19" s="106" t="s">
        <v>177</v>
      </c>
      <c r="AC19" s="141" t="s">
        <v>161</v>
      </c>
      <c r="AD19" s="141">
        <v>1</v>
      </c>
      <c r="AF19" s="62" t="s">
        <v>159</v>
      </c>
      <c r="AG19" s="130" t="s">
        <v>160</v>
      </c>
      <c r="AH19" s="105" t="s">
        <v>197</v>
      </c>
      <c r="AI19" s="106" t="s">
        <v>177</v>
      </c>
      <c r="AJ19" s="98" t="s">
        <v>161</v>
      </c>
      <c r="AK19" s="130"/>
    </row>
    <row r="20" spans="1:37" x14ac:dyDescent="0.25">
      <c r="A20" s="323"/>
      <c r="B20" s="326"/>
      <c r="C20" s="17" t="s">
        <v>15</v>
      </c>
      <c r="D20" s="62" t="s">
        <v>84</v>
      </c>
      <c r="E20" s="175" t="s">
        <v>84</v>
      </c>
      <c r="F20" s="106" t="s">
        <v>84</v>
      </c>
      <c r="G20" s="106"/>
      <c r="H20" s="176" t="s">
        <v>84</v>
      </c>
      <c r="I20" s="177" t="s">
        <v>84</v>
      </c>
      <c r="K20" s="62"/>
      <c r="L20" s="158"/>
      <c r="M20" s="106"/>
      <c r="N20" s="106"/>
      <c r="O20" s="158"/>
      <c r="P20" s="158"/>
      <c r="R20" s="62"/>
      <c r="S20" s="123"/>
      <c r="T20" s="106"/>
      <c r="U20" s="106"/>
      <c r="V20" s="123"/>
      <c r="W20" s="123"/>
      <c r="Y20" s="62"/>
      <c r="Z20" s="141"/>
      <c r="AA20" s="106"/>
      <c r="AB20" s="106"/>
      <c r="AC20" s="141"/>
      <c r="AD20" s="141"/>
      <c r="AF20" s="62"/>
      <c r="AG20" s="130"/>
      <c r="AH20" s="105"/>
      <c r="AI20" s="106"/>
      <c r="AJ20" s="98"/>
      <c r="AK20" s="130"/>
    </row>
    <row r="21" spans="1:37" x14ac:dyDescent="0.25">
      <c r="A21" s="323"/>
      <c r="B21" s="326"/>
      <c r="C21" s="17" t="s">
        <v>16</v>
      </c>
      <c r="D21" s="62" t="s">
        <v>79</v>
      </c>
      <c r="E21" s="175" t="s">
        <v>114</v>
      </c>
      <c r="F21" s="106" t="s">
        <v>148</v>
      </c>
      <c r="G21" s="106" t="s">
        <v>210</v>
      </c>
      <c r="H21" s="176" t="s">
        <v>127</v>
      </c>
      <c r="I21" s="177">
        <v>1</v>
      </c>
      <c r="K21" s="62"/>
      <c r="L21" s="158"/>
      <c r="M21" s="106"/>
      <c r="N21" s="106"/>
      <c r="O21" s="158"/>
      <c r="P21" s="158"/>
      <c r="R21" s="62"/>
      <c r="S21" s="123"/>
      <c r="T21" s="106"/>
      <c r="U21" s="106"/>
      <c r="V21" s="123"/>
      <c r="W21" s="123"/>
      <c r="Y21" s="62"/>
      <c r="Z21" s="141"/>
      <c r="AA21" s="106"/>
      <c r="AB21" s="106"/>
      <c r="AC21" s="141"/>
      <c r="AD21" s="141"/>
      <c r="AF21" s="62"/>
      <c r="AG21" s="130"/>
      <c r="AH21" s="106"/>
      <c r="AI21" s="106"/>
      <c r="AJ21" s="98"/>
      <c r="AK21" s="130"/>
    </row>
    <row r="22" spans="1:37" x14ac:dyDescent="0.25">
      <c r="A22" s="323"/>
      <c r="B22" s="326"/>
      <c r="C22" s="17" t="s">
        <v>17</v>
      </c>
      <c r="D22" s="62" t="s">
        <v>80</v>
      </c>
      <c r="E22" s="175" t="s">
        <v>145</v>
      </c>
      <c r="F22" s="106" t="s">
        <v>148</v>
      </c>
      <c r="G22" s="106" t="s">
        <v>212</v>
      </c>
      <c r="H22" s="176" t="s">
        <v>128</v>
      </c>
      <c r="I22" s="177">
        <v>1</v>
      </c>
      <c r="K22" s="62"/>
      <c r="L22" s="158"/>
      <c r="M22" s="106"/>
      <c r="N22" s="106"/>
      <c r="O22" s="158"/>
      <c r="P22" s="158"/>
      <c r="R22" s="62"/>
      <c r="S22" s="123"/>
      <c r="T22" s="106"/>
      <c r="U22" s="106"/>
      <c r="V22" s="123"/>
      <c r="W22" s="123"/>
      <c r="Y22" s="62"/>
      <c r="Z22" s="141"/>
      <c r="AA22" s="106"/>
      <c r="AB22" s="106"/>
      <c r="AC22" s="141"/>
      <c r="AD22" s="141"/>
      <c r="AF22" s="62"/>
      <c r="AG22" s="130"/>
      <c r="AH22" s="106"/>
      <c r="AI22" s="106"/>
      <c r="AJ22" s="130"/>
      <c r="AK22" s="130"/>
    </row>
    <row r="23" spans="1:37" ht="15.75" thickBot="1" x14ac:dyDescent="0.3">
      <c r="A23" s="323"/>
      <c r="B23" s="326"/>
      <c r="C23" s="35" t="s">
        <v>33</v>
      </c>
      <c r="D23" s="63" t="s">
        <v>112</v>
      </c>
      <c r="E23" s="55" t="s">
        <v>113</v>
      </c>
      <c r="F23" s="109" t="s">
        <v>103</v>
      </c>
      <c r="G23" s="107" t="s">
        <v>210</v>
      </c>
      <c r="H23" s="55" t="s">
        <v>119</v>
      </c>
      <c r="I23" s="55">
        <v>3</v>
      </c>
      <c r="K23" s="64"/>
      <c r="L23" s="54"/>
      <c r="M23" s="109"/>
      <c r="N23" s="109"/>
      <c r="O23" s="54"/>
      <c r="P23" s="54"/>
      <c r="R23" s="64"/>
      <c r="S23" s="54"/>
      <c r="T23" s="109"/>
      <c r="U23" s="109"/>
      <c r="V23" s="54"/>
      <c r="W23" s="54"/>
      <c r="Y23" s="64"/>
      <c r="Z23" s="54"/>
      <c r="AA23" s="109"/>
      <c r="AB23" s="109"/>
      <c r="AC23" s="54"/>
      <c r="AD23" s="54"/>
      <c r="AF23" s="64"/>
      <c r="AG23" s="54"/>
      <c r="AH23" s="109"/>
      <c r="AI23" s="109"/>
      <c r="AJ23" s="54"/>
      <c r="AK23" s="54"/>
    </row>
    <row r="24" spans="1:37" ht="18" thickBot="1" x14ac:dyDescent="0.3">
      <c r="A24" s="323"/>
      <c r="B24" s="326"/>
      <c r="C24" s="56" t="s">
        <v>98</v>
      </c>
      <c r="D24" s="60" t="s">
        <v>32</v>
      </c>
      <c r="E24" s="100" t="s">
        <v>99</v>
      </c>
      <c r="F24" s="59" t="s">
        <v>20</v>
      </c>
      <c r="G24" s="59" t="s">
        <v>152</v>
      </c>
      <c r="H24" s="100" t="s">
        <v>101</v>
      </c>
      <c r="I24" s="100" t="s">
        <v>23</v>
      </c>
      <c r="K24" s="116" t="s">
        <v>32</v>
      </c>
      <c r="L24" s="118" t="s">
        <v>99</v>
      </c>
      <c r="M24" s="117" t="s">
        <v>20</v>
      </c>
      <c r="N24" s="117" t="s">
        <v>152</v>
      </c>
      <c r="O24" s="118" t="s">
        <v>101</v>
      </c>
      <c r="P24" s="118" t="s">
        <v>23</v>
      </c>
      <c r="R24" s="116" t="s">
        <v>32</v>
      </c>
      <c r="S24" s="118" t="s">
        <v>99</v>
      </c>
      <c r="T24" s="117" t="s">
        <v>20</v>
      </c>
      <c r="U24" s="117" t="s">
        <v>152</v>
      </c>
      <c r="V24" s="118" t="s">
        <v>101</v>
      </c>
      <c r="W24" s="118" t="s">
        <v>23</v>
      </c>
      <c r="Y24" s="116" t="s">
        <v>32</v>
      </c>
      <c r="Z24" s="118" t="s">
        <v>99</v>
      </c>
      <c r="AA24" s="117" t="s">
        <v>20</v>
      </c>
      <c r="AB24" s="117" t="s">
        <v>152</v>
      </c>
      <c r="AC24" s="118" t="s">
        <v>101</v>
      </c>
      <c r="AD24" s="118" t="s">
        <v>23</v>
      </c>
      <c r="AF24" s="116" t="s">
        <v>32</v>
      </c>
      <c r="AG24" s="118" t="s">
        <v>99</v>
      </c>
      <c r="AH24" s="117" t="s">
        <v>20</v>
      </c>
      <c r="AI24" s="117" t="s">
        <v>152</v>
      </c>
      <c r="AJ24" s="118" t="s">
        <v>101</v>
      </c>
      <c r="AK24" s="118" t="s">
        <v>23</v>
      </c>
    </row>
    <row r="25" spans="1:37" x14ac:dyDescent="0.25">
      <c r="A25" s="323"/>
      <c r="B25" s="326"/>
      <c r="C25" s="48" t="s">
        <v>19</v>
      </c>
      <c r="D25" s="61" t="s">
        <v>19</v>
      </c>
      <c r="E25" s="92" t="s">
        <v>84</v>
      </c>
      <c r="F25" s="178" t="s">
        <v>84</v>
      </c>
      <c r="G25" s="178" t="s">
        <v>84</v>
      </c>
      <c r="H25" s="98" t="s">
        <v>84</v>
      </c>
      <c r="I25" s="98" t="s">
        <v>84</v>
      </c>
      <c r="K25" s="98" t="s">
        <v>84</v>
      </c>
      <c r="L25" s="98" t="s">
        <v>84</v>
      </c>
      <c r="M25" s="98" t="s">
        <v>84</v>
      </c>
      <c r="N25" s="98" t="s">
        <v>84</v>
      </c>
      <c r="O25" s="98" t="s">
        <v>84</v>
      </c>
      <c r="P25" s="98" t="s">
        <v>84</v>
      </c>
      <c r="R25" s="61"/>
      <c r="S25" s="98"/>
      <c r="T25" s="105"/>
      <c r="U25" s="105"/>
      <c r="V25" s="98"/>
      <c r="W25" s="98"/>
      <c r="Y25" s="61"/>
      <c r="Z25" s="98"/>
      <c r="AA25" s="105"/>
      <c r="AB25" s="105"/>
      <c r="AC25" s="98"/>
      <c r="AD25" s="98"/>
      <c r="AF25" s="61" t="s">
        <v>198</v>
      </c>
      <c r="AG25" s="98" t="s">
        <v>460</v>
      </c>
      <c r="AH25" s="105" t="s">
        <v>148</v>
      </c>
      <c r="AI25" s="105" t="s">
        <v>183</v>
      </c>
      <c r="AJ25" s="98" t="s">
        <v>289</v>
      </c>
      <c r="AK25" s="98">
        <v>1</v>
      </c>
    </row>
    <row r="26" spans="1:37" ht="15.75" thickBot="1" x14ac:dyDescent="0.3">
      <c r="A26" s="324"/>
      <c r="B26" s="327"/>
      <c r="C26" s="52" t="s">
        <v>18</v>
      </c>
      <c r="D26" s="64" t="s">
        <v>149</v>
      </c>
      <c r="E26" s="54" t="s">
        <v>84</v>
      </c>
      <c r="F26" s="54" t="s">
        <v>84</v>
      </c>
      <c r="G26" s="54" t="s">
        <v>84</v>
      </c>
      <c r="H26" s="54" t="s">
        <v>84</v>
      </c>
      <c r="I26" s="54" t="s">
        <v>84</v>
      </c>
      <c r="K26" s="54" t="s">
        <v>84</v>
      </c>
      <c r="L26" s="54" t="s">
        <v>84</v>
      </c>
      <c r="M26" s="54" t="s">
        <v>84</v>
      </c>
      <c r="N26" s="54" t="s">
        <v>84</v>
      </c>
      <c r="O26" s="54" t="s">
        <v>84</v>
      </c>
      <c r="P26" s="54" t="s">
        <v>84</v>
      </c>
      <c r="R26" s="64"/>
      <c r="S26" s="54"/>
      <c r="T26" s="106"/>
      <c r="U26" s="106"/>
      <c r="V26" s="54"/>
      <c r="W26" s="54"/>
      <c r="Y26" s="64"/>
      <c r="Z26" s="54"/>
      <c r="AA26" s="106"/>
      <c r="AB26" s="106"/>
      <c r="AC26" s="54"/>
      <c r="AD26" s="54"/>
      <c r="AF26" s="64"/>
      <c r="AG26" s="54"/>
      <c r="AH26" s="106"/>
      <c r="AI26" s="106"/>
      <c r="AJ26" s="54"/>
      <c r="AK26" s="54"/>
    </row>
    <row r="27" spans="1:37" ht="15.75" thickBot="1" x14ac:dyDescent="0.3">
      <c r="A27" s="18"/>
      <c r="B27" s="15"/>
      <c r="C27" s="15"/>
      <c r="D27" s="244"/>
      <c r="E27" s="245"/>
      <c r="F27" s="245"/>
      <c r="G27" s="245"/>
      <c r="H27" s="245"/>
      <c r="I27" s="245"/>
      <c r="K27" s="244"/>
      <c r="L27" s="245"/>
      <c r="M27" s="245"/>
      <c r="N27" s="245"/>
      <c r="O27" s="245"/>
      <c r="P27" s="245"/>
      <c r="R27" s="244"/>
      <c r="S27" s="245"/>
      <c r="T27" s="245"/>
      <c r="U27" s="245"/>
      <c r="V27" s="245"/>
      <c r="W27" s="245"/>
      <c r="Y27" s="244"/>
      <c r="Z27" s="245"/>
      <c r="AA27" s="245"/>
      <c r="AB27" s="245"/>
      <c r="AC27" s="245"/>
      <c r="AD27" s="245"/>
      <c r="AF27" s="244"/>
      <c r="AG27" s="245"/>
      <c r="AH27" s="245"/>
      <c r="AI27" s="245"/>
      <c r="AJ27" s="245"/>
      <c r="AK27" s="245"/>
    </row>
    <row r="28" spans="1:37" ht="60" customHeight="1" thickBot="1" x14ac:dyDescent="0.3">
      <c r="A28" s="334" t="s">
        <v>21</v>
      </c>
      <c r="B28" s="325" t="s">
        <v>135</v>
      </c>
      <c r="C28" s="56"/>
      <c r="D28" s="170" t="s">
        <v>32</v>
      </c>
      <c r="E28" s="100" t="s">
        <v>20</v>
      </c>
      <c r="F28" s="258" t="s">
        <v>136</v>
      </c>
      <c r="G28" s="259"/>
      <c r="H28" s="99" t="s">
        <v>23</v>
      </c>
      <c r="I28" s="99" t="s">
        <v>153</v>
      </c>
      <c r="K28" s="155" t="s">
        <v>32</v>
      </c>
      <c r="L28" s="100" t="s">
        <v>20</v>
      </c>
      <c r="M28" s="258" t="s">
        <v>104</v>
      </c>
      <c r="N28" s="259"/>
      <c r="O28" s="110" t="s">
        <v>23</v>
      </c>
      <c r="P28" s="99" t="s">
        <v>153</v>
      </c>
      <c r="R28" s="120" t="s">
        <v>32</v>
      </c>
      <c r="S28" s="100" t="s">
        <v>20</v>
      </c>
      <c r="T28" s="258" t="s">
        <v>104</v>
      </c>
      <c r="U28" s="259"/>
      <c r="V28" s="110" t="s">
        <v>23</v>
      </c>
      <c r="W28" s="99" t="s">
        <v>153</v>
      </c>
      <c r="Y28" s="136" t="s">
        <v>32</v>
      </c>
      <c r="Z28" s="100" t="s">
        <v>20</v>
      </c>
      <c r="AA28" s="258" t="s">
        <v>104</v>
      </c>
      <c r="AB28" s="259"/>
      <c r="AC28" s="110" t="s">
        <v>23</v>
      </c>
      <c r="AD28" s="99" t="s">
        <v>153</v>
      </c>
      <c r="AF28" s="127" t="s">
        <v>32</v>
      </c>
      <c r="AG28" s="100" t="s">
        <v>20</v>
      </c>
      <c r="AH28" s="258" t="s">
        <v>104</v>
      </c>
      <c r="AI28" s="259"/>
      <c r="AJ28" s="110" t="s">
        <v>23</v>
      </c>
      <c r="AK28" s="99" t="s">
        <v>153</v>
      </c>
    </row>
    <row r="29" spans="1:37" ht="17.25" customHeight="1" x14ac:dyDescent="0.25">
      <c r="A29" s="335"/>
      <c r="B29" s="326"/>
      <c r="C29" s="48" t="s">
        <v>24</v>
      </c>
      <c r="D29" s="174" t="s">
        <v>102</v>
      </c>
      <c r="E29" s="98" t="s">
        <v>103</v>
      </c>
      <c r="F29" s="260" t="s">
        <v>271</v>
      </c>
      <c r="G29" s="261"/>
      <c r="H29" s="98">
        <v>1</v>
      </c>
      <c r="I29" s="105" t="s">
        <v>162</v>
      </c>
      <c r="K29" s="156" t="s">
        <v>260</v>
      </c>
      <c r="L29" s="98" t="s">
        <v>103</v>
      </c>
      <c r="M29" s="260" t="s">
        <v>261</v>
      </c>
      <c r="N29" s="261"/>
      <c r="O29" s="105">
        <v>1</v>
      </c>
      <c r="P29" s="105" t="s">
        <v>262</v>
      </c>
      <c r="R29" s="121" t="s">
        <v>241</v>
      </c>
      <c r="S29" s="98" t="s">
        <v>199</v>
      </c>
      <c r="T29" s="260" t="s">
        <v>228</v>
      </c>
      <c r="U29" s="261"/>
      <c r="V29" s="105">
        <v>1</v>
      </c>
      <c r="W29" s="105" t="s">
        <v>162</v>
      </c>
      <c r="Y29" s="153" t="s">
        <v>252</v>
      </c>
      <c r="Z29" s="98" t="s">
        <v>199</v>
      </c>
      <c r="AA29" s="260" t="s">
        <v>253</v>
      </c>
      <c r="AB29" s="261"/>
      <c r="AC29" s="105">
        <v>1</v>
      </c>
      <c r="AD29" s="105" t="s">
        <v>177</v>
      </c>
      <c r="AF29" s="153" t="s">
        <v>252</v>
      </c>
      <c r="AG29" s="98" t="s">
        <v>199</v>
      </c>
      <c r="AH29" s="260" t="s">
        <v>200</v>
      </c>
      <c r="AI29" s="261"/>
      <c r="AJ29" s="105">
        <v>1</v>
      </c>
      <c r="AK29" s="105" t="s">
        <v>180</v>
      </c>
    </row>
    <row r="30" spans="1:37" ht="17.25" customHeight="1" x14ac:dyDescent="0.25">
      <c r="A30" s="335"/>
      <c r="B30" s="326"/>
      <c r="C30" s="17" t="s">
        <v>24</v>
      </c>
      <c r="D30" s="176" t="s">
        <v>108</v>
      </c>
      <c r="E30" s="177" t="s">
        <v>103</v>
      </c>
      <c r="F30" s="262" t="s">
        <v>272</v>
      </c>
      <c r="G30" s="263"/>
      <c r="H30" s="177">
        <v>1</v>
      </c>
      <c r="I30" s="112" t="s">
        <v>177</v>
      </c>
      <c r="K30" s="157"/>
      <c r="L30" s="158"/>
      <c r="M30" s="262"/>
      <c r="N30" s="263"/>
      <c r="O30" s="111"/>
      <c r="P30" s="106"/>
      <c r="R30" s="122" t="s">
        <v>242</v>
      </c>
      <c r="S30" s="123" t="s">
        <v>199</v>
      </c>
      <c r="T30" s="262" t="s">
        <v>228</v>
      </c>
      <c r="U30" s="263"/>
      <c r="V30" s="111">
        <v>1</v>
      </c>
      <c r="W30" s="106" t="s">
        <v>180</v>
      </c>
      <c r="Y30" s="153"/>
      <c r="Z30" s="141"/>
      <c r="AA30" s="262"/>
      <c r="AB30" s="263"/>
      <c r="AC30" s="111"/>
      <c r="AD30" s="106"/>
      <c r="AF30" s="129"/>
      <c r="AG30" s="130"/>
      <c r="AH30" s="262"/>
      <c r="AI30" s="263"/>
      <c r="AJ30" s="111"/>
      <c r="AK30" s="106"/>
    </row>
    <row r="31" spans="1:37" x14ac:dyDescent="0.25">
      <c r="A31" s="335"/>
      <c r="B31" s="326"/>
      <c r="C31" s="17" t="s">
        <v>25</v>
      </c>
      <c r="D31" s="176" t="s">
        <v>110</v>
      </c>
      <c r="E31" s="177" t="s">
        <v>103</v>
      </c>
      <c r="F31" s="262" t="s">
        <v>273</v>
      </c>
      <c r="G31" s="263"/>
      <c r="H31" s="177">
        <v>1</v>
      </c>
      <c r="I31" s="106" t="s">
        <v>180</v>
      </c>
      <c r="K31" s="157" t="s">
        <v>255</v>
      </c>
      <c r="L31" s="158" t="s">
        <v>103</v>
      </c>
      <c r="M31" s="262" t="s">
        <v>263</v>
      </c>
      <c r="N31" s="263"/>
      <c r="O31" s="106">
        <v>2</v>
      </c>
      <c r="P31" s="106" t="s">
        <v>264</v>
      </c>
      <c r="R31" s="122" t="s">
        <v>243</v>
      </c>
      <c r="S31" s="123" t="s">
        <v>199</v>
      </c>
      <c r="T31" s="262" t="s">
        <v>246</v>
      </c>
      <c r="U31" s="263"/>
      <c r="V31" s="106">
        <v>2</v>
      </c>
      <c r="W31" s="106" t="s">
        <v>247</v>
      </c>
      <c r="Y31" s="153" t="s">
        <v>254</v>
      </c>
      <c r="Z31" s="141" t="s">
        <v>199</v>
      </c>
      <c r="AA31" s="262" t="s">
        <v>239</v>
      </c>
      <c r="AB31" s="263"/>
      <c r="AC31" s="106">
        <v>1</v>
      </c>
      <c r="AD31" s="106" t="s">
        <v>208</v>
      </c>
      <c r="AF31" s="129" t="s">
        <v>255</v>
      </c>
      <c r="AG31" s="130" t="s">
        <v>201</v>
      </c>
      <c r="AH31" s="262" t="s">
        <v>202</v>
      </c>
      <c r="AI31" s="263"/>
      <c r="AJ31" s="106">
        <v>2</v>
      </c>
      <c r="AK31" s="106" t="s">
        <v>203</v>
      </c>
    </row>
    <row r="32" spans="1:37" x14ac:dyDescent="0.25">
      <c r="A32" s="335"/>
      <c r="B32" s="326"/>
      <c r="C32" s="17" t="s">
        <v>22</v>
      </c>
      <c r="D32" s="176" t="s">
        <v>106</v>
      </c>
      <c r="E32" s="177" t="s">
        <v>103</v>
      </c>
      <c r="F32" s="264" t="s">
        <v>274</v>
      </c>
      <c r="G32" s="264"/>
      <c r="H32" s="177">
        <v>1</v>
      </c>
      <c r="I32" s="106" t="s">
        <v>208</v>
      </c>
      <c r="K32" s="157"/>
      <c r="L32" s="158"/>
      <c r="M32" s="264"/>
      <c r="N32" s="264"/>
      <c r="O32" s="106"/>
      <c r="P32" s="106"/>
      <c r="R32" s="122"/>
      <c r="S32" s="123"/>
      <c r="T32" s="264"/>
      <c r="U32" s="264"/>
      <c r="V32" s="106"/>
      <c r="W32" s="106"/>
      <c r="Y32" s="140"/>
      <c r="Z32" s="141"/>
      <c r="AA32" s="264"/>
      <c r="AB32" s="264"/>
      <c r="AC32" s="106"/>
      <c r="AD32" s="106"/>
      <c r="AF32" s="129"/>
      <c r="AG32" s="130"/>
      <c r="AH32" s="264"/>
      <c r="AI32" s="264"/>
      <c r="AJ32" s="106"/>
      <c r="AK32" s="106"/>
    </row>
    <row r="33" spans="1:38" x14ac:dyDescent="0.25">
      <c r="A33" s="335"/>
      <c r="B33" s="326"/>
      <c r="C33" s="17" t="s">
        <v>22</v>
      </c>
      <c r="D33" s="176" t="s">
        <v>117</v>
      </c>
      <c r="E33" s="177" t="s">
        <v>103</v>
      </c>
      <c r="F33" s="262" t="s">
        <v>275</v>
      </c>
      <c r="G33" s="263"/>
      <c r="H33" s="177">
        <v>2</v>
      </c>
      <c r="I33" s="112" t="s">
        <v>209</v>
      </c>
      <c r="K33" s="157"/>
      <c r="L33" s="158"/>
      <c r="M33" s="262"/>
      <c r="N33" s="263"/>
      <c r="O33" s="106"/>
      <c r="P33" s="112"/>
      <c r="R33" s="122"/>
      <c r="S33" s="123"/>
      <c r="T33" s="262"/>
      <c r="U33" s="263"/>
      <c r="V33" s="106"/>
      <c r="W33" s="112"/>
      <c r="Y33" s="140"/>
      <c r="Z33" s="141"/>
      <c r="AA33" s="262"/>
      <c r="AB33" s="263"/>
      <c r="AC33" s="106"/>
      <c r="AD33" s="112"/>
      <c r="AF33" s="129"/>
      <c r="AG33" s="130"/>
      <c r="AH33" s="262"/>
      <c r="AI33" s="263"/>
      <c r="AJ33" s="106"/>
      <c r="AK33" s="112"/>
    </row>
    <row r="34" spans="1:38" ht="15.75" thickBot="1" x14ac:dyDescent="0.3">
      <c r="A34" s="335"/>
      <c r="B34" s="326"/>
      <c r="C34" s="52" t="s">
        <v>22</v>
      </c>
      <c r="D34" s="179" t="s">
        <v>115</v>
      </c>
      <c r="E34" s="54" t="s">
        <v>103</v>
      </c>
      <c r="F34" s="265" t="s">
        <v>276</v>
      </c>
      <c r="G34" s="266"/>
      <c r="H34" s="54">
        <v>1</v>
      </c>
      <c r="I34" s="108" t="s">
        <v>208</v>
      </c>
      <c r="K34" s="159"/>
      <c r="L34" s="54"/>
      <c r="M34" s="265"/>
      <c r="N34" s="266"/>
      <c r="O34" s="109"/>
      <c r="P34" s="108"/>
      <c r="R34" s="124"/>
      <c r="S34" s="54"/>
      <c r="T34" s="265"/>
      <c r="U34" s="266"/>
      <c r="V34" s="109"/>
      <c r="W34" s="108"/>
      <c r="Y34" s="142"/>
      <c r="Z34" s="54"/>
      <c r="AA34" s="265"/>
      <c r="AB34" s="266"/>
      <c r="AC34" s="109"/>
      <c r="AD34" s="108"/>
      <c r="AF34" s="131"/>
      <c r="AG34" s="54"/>
      <c r="AH34" s="265"/>
      <c r="AI34" s="266"/>
      <c r="AJ34" s="109"/>
      <c r="AK34" s="108"/>
    </row>
    <row r="35" spans="1:38" s="36" customFormat="1" ht="15.75" thickBot="1" x14ac:dyDescent="0.3">
      <c r="A35" s="336"/>
      <c r="B35" s="327"/>
      <c r="C35" s="56" t="s">
        <v>71</v>
      </c>
      <c r="D35" s="337" t="s">
        <v>84</v>
      </c>
      <c r="E35" s="338"/>
      <c r="F35" s="338"/>
      <c r="G35" s="259"/>
      <c r="H35" s="100" t="s">
        <v>84</v>
      </c>
      <c r="I35" s="59"/>
      <c r="J35" s="37"/>
      <c r="K35" s="338" t="s">
        <v>84</v>
      </c>
      <c r="L35" s="338"/>
      <c r="M35" s="338"/>
      <c r="N35" s="259"/>
      <c r="O35" s="100" t="s">
        <v>84</v>
      </c>
      <c r="P35" s="100" t="s">
        <v>84</v>
      </c>
      <c r="Q35" s="37"/>
      <c r="R35" s="338"/>
      <c r="S35" s="338"/>
      <c r="T35" s="338"/>
      <c r="U35" s="259"/>
      <c r="V35" s="117"/>
      <c r="W35" s="59"/>
      <c r="X35" s="37"/>
      <c r="Y35" s="338"/>
      <c r="Z35" s="338"/>
      <c r="AA35" s="338"/>
      <c r="AB35" s="259"/>
      <c r="AC35" s="117"/>
      <c r="AD35" s="59"/>
      <c r="AE35" s="37"/>
      <c r="AF35" s="338"/>
      <c r="AG35" s="338"/>
      <c r="AH35" s="338"/>
      <c r="AI35" s="259"/>
      <c r="AJ35" s="117"/>
      <c r="AK35" s="59"/>
      <c r="AL35" s="37"/>
    </row>
    <row r="36" spans="1:38" ht="15.75" thickBot="1" x14ac:dyDescent="0.3">
      <c r="A36" s="12"/>
      <c r="B36" s="15"/>
      <c r="C36" s="15"/>
      <c r="D36" s="244"/>
      <c r="E36" s="245"/>
      <c r="F36" s="245"/>
      <c r="G36" s="245"/>
      <c r="H36" s="245"/>
      <c r="I36" s="245"/>
      <c r="K36" s="244"/>
      <c r="L36" s="245"/>
      <c r="M36" s="245"/>
      <c r="N36" s="245"/>
      <c r="O36" s="245"/>
      <c r="P36" s="245"/>
      <c r="R36" s="244"/>
      <c r="S36" s="245"/>
      <c r="T36" s="245"/>
      <c r="U36" s="245"/>
      <c r="V36" s="245"/>
      <c r="W36" s="245"/>
      <c r="Y36" s="244"/>
      <c r="Z36" s="245"/>
      <c r="AA36" s="245"/>
      <c r="AB36" s="245"/>
      <c r="AC36" s="245"/>
      <c r="AD36" s="245"/>
      <c r="AF36" s="244"/>
      <c r="AG36" s="245"/>
      <c r="AH36" s="245"/>
      <c r="AI36" s="245"/>
      <c r="AJ36" s="245"/>
      <c r="AK36" s="245"/>
    </row>
    <row r="37" spans="1:38" ht="15.75" customHeight="1" thickBot="1" x14ac:dyDescent="0.3">
      <c r="A37" s="339" t="s">
        <v>26</v>
      </c>
      <c r="B37" s="340" t="s">
        <v>137</v>
      </c>
      <c r="C37" s="65"/>
      <c r="D37" s="343" t="s">
        <v>9</v>
      </c>
      <c r="E37" s="248"/>
      <c r="F37" s="246" t="s">
        <v>10</v>
      </c>
      <c r="G37" s="247"/>
      <c r="H37" s="248"/>
      <c r="I37" s="96" t="s">
        <v>152</v>
      </c>
      <c r="J37" s="78" t="s">
        <v>9</v>
      </c>
      <c r="K37" s="247" t="s">
        <v>9</v>
      </c>
      <c r="L37" s="248"/>
      <c r="M37" s="246" t="s">
        <v>10</v>
      </c>
      <c r="N37" s="247"/>
      <c r="O37" s="248"/>
      <c r="P37" s="96" t="s">
        <v>152</v>
      </c>
      <c r="Q37" s="78"/>
      <c r="R37" s="247" t="s">
        <v>9</v>
      </c>
      <c r="S37" s="248"/>
      <c r="T37" s="246" t="s">
        <v>10</v>
      </c>
      <c r="U37" s="247"/>
      <c r="V37" s="248"/>
      <c r="W37" s="96" t="s">
        <v>152</v>
      </c>
      <c r="X37" s="78"/>
      <c r="Y37" s="247" t="s">
        <v>9</v>
      </c>
      <c r="Z37" s="248"/>
      <c r="AA37" s="246" t="s">
        <v>10</v>
      </c>
      <c r="AB37" s="247"/>
      <c r="AC37" s="248"/>
      <c r="AD37" s="96" t="s">
        <v>152</v>
      </c>
      <c r="AE37" s="78"/>
      <c r="AF37" s="247" t="s">
        <v>9</v>
      </c>
      <c r="AG37" s="248"/>
      <c r="AH37" s="246" t="s">
        <v>10</v>
      </c>
      <c r="AI37" s="247"/>
      <c r="AJ37" s="248"/>
      <c r="AK37" s="96" t="s">
        <v>152</v>
      </c>
      <c r="AL37" s="78"/>
    </row>
    <row r="38" spans="1:38" ht="15" customHeight="1" x14ac:dyDescent="0.25">
      <c r="A38" s="339"/>
      <c r="B38" s="341"/>
      <c r="C38" s="16" t="s">
        <v>27</v>
      </c>
      <c r="D38" s="267" t="s">
        <v>257</v>
      </c>
      <c r="E38" s="268"/>
      <c r="F38" s="249" t="s">
        <v>129</v>
      </c>
      <c r="G38" s="250"/>
      <c r="H38" s="251"/>
      <c r="I38" s="113" t="s">
        <v>162</v>
      </c>
      <c r="K38" s="267" t="s">
        <v>84</v>
      </c>
      <c r="L38" s="268"/>
      <c r="M38" s="249" t="s">
        <v>129</v>
      </c>
      <c r="N38" s="250"/>
      <c r="O38" s="251"/>
      <c r="P38" s="113" t="s">
        <v>162</v>
      </c>
      <c r="R38" s="267" t="s">
        <v>237</v>
      </c>
      <c r="S38" s="268"/>
      <c r="T38" s="249" t="s">
        <v>204</v>
      </c>
      <c r="U38" s="250"/>
      <c r="V38" s="251"/>
      <c r="W38" s="113" t="s">
        <v>167</v>
      </c>
      <c r="Y38" s="267" t="s">
        <v>236</v>
      </c>
      <c r="Z38" s="268"/>
      <c r="AA38" s="249" t="s">
        <v>244</v>
      </c>
      <c r="AB38" s="250"/>
      <c r="AC38" s="251"/>
      <c r="AD38" s="113" t="s">
        <v>183</v>
      </c>
      <c r="AF38" s="267" t="s">
        <v>84</v>
      </c>
      <c r="AG38" s="268"/>
      <c r="AH38" s="249" t="s">
        <v>204</v>
      </c>
      <c r="AI38" s="250"/>
      <c r="AJ38" s="251"/>
      <c r="AK38" s="113" t="s">
        <v>162</v>
      </c>
    </row>
    <row r="39" spans="1:38" x14ac:dyDescent="0.25">
      <c r="A39" s="339"/>
      <c r="B39" s="341"/>
      <c r="C39" s="16" t="s">
        <v>28</v>
      </c>
      <c r="D39" s="253" t="s">
        <v>130</v>
      </c>
      <c r="E39" s="254"/>
      <c r="F39" s="252" t="s">
        <v>84</v>
      </c>
      <c r="G39" s="253"/>
      <c r="H39" s="254"/>
      <c r="I39" s="113" t="s">
        <v>162</v>
      </c>
      <c r="K39" s="253" t="s">
        <v>214</v>
      </c>
      <c r="L39" s="254"/>
      <c r="M39" s="252" t="s">
        <v>215</v>
      </c>
      <c r="N39" s="253"/>
      <c r="O39" s="254"/>
      <c r="P39" s="113" t="s">
        <v>162</v>
      </c>
      <c r="R39" s="253" t="s">
        <v>84</v>
      </c>
      <c r="S39" s="254"/>
      <c r="T39" s="252" t="s">
        <v>84</v>
      </c>
      <c r="U39" s="253"/>
      <c r="V39" s="254"/>
      <c r="W39" s="143" t="s">
        <v>84</v>
      </c>
      <c r="Y39" s="253" t="s">
        <v>84</v>
      </c>
      <c r="Z39" s="254"/>
      <c r="AA39" s="252" t="s">
        <v>84</v>
      </c>
      <c r="AB39" s="253"/>
      <c r="AC39" s="254"/>
      <c r="AD39" s="143" t="s">
        <v>84</v>
      </c>
      <c r="AF39" s="253" t="s">
        <v>214</v>
      </c>
      <c r="AG39" s="254"/>
      <c r="AH39" s="252"/>
      <c r="AI39" s="253"/>
      <c r="AJ39" s="254"/>
      <c r="AK39" s="114"/>
    </row>
    <row r="40" spans="1:38" ht="15.75" thickBot="1" x14ac:dyDescent="0.3">
      <c r="A40" s="339"/>
      <c r="B40" s="342"/>
      <c r="C40" s="66" t="s">
        <v>29</v>
      </c>
      <c r="D40" s="256" t="s">
        <v>131</v>
      </c>
      <c r="E40" s="257"/>
      <c r="F40" s="255" t="s">
        <v>84</v>
      </c>
      <c r="G40" s="256"/>
      <c r="H40" s="257"/>
      <c r="I40" s="113" t="s">
        <v>162</v>
      </c>
      <c r="K40" s="256"/>
      <c r="L40" s="257"/>
      <c r="M40" s="255"/>
      <c r="N40" s="256"/>
      <c r="O40" s="257"/>
      <c r="P40" s="103"/>
      <c r="R40" s="256" t="s">
        <v>84</v>
      </c>
      <c r="S40" s="257"/>
      <c r="T40" s="255" t="s">
        <v>84</v>
      </c>
      <c r="U40" s="256"/>
      <c r="V40" s="257"/>
      <c r="W40" s="144" t="s">
        <v>84</v>
      </c>
      <c r="Y40" s="256" t="s">
        <v>84</v>
      </c>
      <c r="Z40" s="257"/>
      <c r="AA40" s="255" t="s">
        <v>84</v>
      </c>
      <c r="AB40" s="256"/>
      <c r="AC40" s="257"/>
      <c r="AD40" s="144" t="s">
        <v>84</v>
      </c>
      <c r="AF40" s="256"/>
      <c r="AG40" s="257"/>
      <c r="AH40" s="255"/>
      <c r="AI40" s="256"/>
      <c r="AJ40" s="257"/>
      <c r="AK40" s="103"/>
    </row>
    <row r="41" spans="1:38" ht="15.75" thickBot="1" x14ac:dyDescent="0.3">
      <c r="A41" s="12"/>
      <c r="B41" s="15"/>
      <c r="C41" s="15"/>
      <c r="D41" s="244"/>
      <c r="E41" s="245"/>
      <c r="F41" s="245"/>
      <c r="G41" s="245"/>
      <c r="H41" s="245"/>
      <c r="I41" s="245"/>
      <c r="K41" s="244"/>
      <c r="L41" s="245"/>
      <c r="M41" s="245"/>
      <c r="N41" s="245"/>
      <c r="O41" s="245"/>
      <c r="P41" s="245"/>
      <c r="R41" s="244"/>
      <c r="S41" s="245"/>
      <c r="T41" s="245"/>
      <c r="U41" s="245"/>
      <c r="V41" s="245"/>
      <c r="W41" s="245"/>
      <c r="Y41" s="244"/>
      <c r="Z41" s="245"/>
      <c r="AA41" s="245"/>
      <c r="AB41" s="245"/>
      <c r="AC41" s="245"/>
      <c r="AD41" s="245"/>
      <c r="AF41" s="244"/>
      <c r="AG41" s="245"/>
      <c r="AH41" s="245"/>
      <c r="AI41" s="245"/>
      <c r="AJ41" s="245"/>
      <c r="AK41" s="245"/>
    </row>
    <row r="42" spans="1:38" ht="15" customHeight="1" thickBot="1" x14ac:dyDescent="0.3">
      <c r="A42" s="350" t="s">
        <v>30</v>
      </c>
      <c r="B42" s="352" t="s">
        <v>138</v>
      </c>
      <c r="C42" s="76"/>
      <c r="D42" s="171" t="s">
        <v>9</v>
      </c>
      <c r="E42" s="347" t="s">
        <v>94</v>
      </c>
      <c r="F42" s="348"/>
      <c r="G42" s="344" t="s">
        <v>157</v>
      </c>
      <c r="H42" s="344"/>
      <c r="I42" s="344"/>
      <c r="K42" s="161" t="s">
        <v>9</v>
      </c>
      <c r="L42" s="347" t="s">
        <v>94</v>
      </c>
      <c r="M42" s="348"/>
      <c r="N42" s="344" t="s">
        <v>157</v>
      </c>
      <c r="O42" s="344"/>
      <c r="P42" s="344"/>
      <c r="R42" s="125" t="s">
        <v>9</v>
      </c>
      <c r="S42" s="347" t="s">
        <v>94</v>
      </c>
      <c r="T42" s="348"/>
      <c r="U42" s="344" t="s">
        <v>157</v>
      </c>
      <c r="V42" s="344"/>
      <c r="W42" s="344"/>
      <c r="Y42" s="137" t="s">
        <v>9</v>
      </c>
      <c r="Z42" s="347" t="s">
        <v>94</v>
      </c>
      <c r="AA42" s="348"/>
      <c r="AB42" s="344" t="s">
        <v>157</v>
      </c>
      <c r="AC42" s="344"/>
      <c r="AD42" s="344"/>
      <c r="AF42" s="133" t="s">
        <v>9</v>
      </c>
      <c r="AG42" s="347" t="s">
        <v>94</v>
      </c>
      <c r="AH42" s="348"/>
      <c r="AI42" s="344" t="s">
        <v>157</v>
      </c>
      <c r="AJ42" s="344"/>
      <c r="AK42" s="344"/>
    </row>
    <row r="43" spans="1:38" ht="15" customHeight="1" x14ac:dyDescent="0.25">
      <c r="A43" s="351"/>
      <c r="B43" s="353"/>
      <c r="C43" s="74" t="s">
        <v>35</v>
      </c>
      <c r="D43" s="172" t="s">
        <v>78</v>
      </c>
      <c r="E43" s="349">
        <v>3.7</v>
      </c>
      <c r="F43" s="300"/>
      <c r="G43" s="345">
        <v>355</v>
      </c>
      <c r="H43" s="345"/>
      <c r="I43" s="345"/>
      <c r="K43" s="162"/>
      <c r="L43" s="349">
        <v>7.5</v>
      </c>
      <c r="M43" s="300"/>
      <c r="N43" s="345" t="s">
        <v>217</v>
      </c>
      <c r="O43" s="345"/>
      <c r="P43" s="345"/>
      <c r="R43" s="126" t="s">
        <v>237</v>
      </c>
      <c r="S43" s="349">
        <v>7.5</v>
      </c>
      <c r="T43" s="300"/>
      <c r="U43" s="345">
        <v>171.39</v>
      </c>
      <c r="V43" s="345"/>
      <c r="W43" s="345"/>
      <c r="Y43" s="138"/>
      <c r="Z43" s="349">
        <v>5</v>
      </c>
      <c r="AA43" s="300"/>
      <c r="AB43" s="345">
        <v>235</v>
      </c>
      <c r="AC43" s="345"/>
      <c r="AD43" s="345"/>
      <c r="AF43" s="134"/>
      <c r="AG43" s="287" t="s">
        <v>250</v>
      </c>
      <c r="AH43" s="271"/>
      <c r="AI43" s="345" t="s">
        <v>238</v>
      </c>
      <c r="AJ43" s="345"/>
      <c r="AK43" s="345"/>
    </row>
    <row r="44" spans="1:38" ht="15.75" thickBot="1" x14ac:dyDescent="0.3">
      <c r="A44" s="351"/>
      <c r="B44" s="354"/>
      <c r="C44" s="72" t="s">
        <v>34</v>
      </c>
      <c r="D44" s="173" t="s">
        <v>123</v>
      </c>
      <c r="E44" s="355" t="s">
        <v>84</v>
      </c>
      <c r="F44" s="277"/>
      <c r="G44" s="346" t="s">
        <v>84</v>
      </c>
      <c r="H44" s="346"/>
      <c r="I44" s="346"/>
      <c r="K44" s="160" t="s">
        <v>216</v>
      </c>
      <c r="L44" s="355">
        <v>4.0999999999999996</v>
      </c>
      <c r="M44" s="277"/>
      <c r="N44" s="346">
        <v>62.89</v>
      </c>
      <c r="O44" s="346"/>
      <c r="P44" s="346"/>
      <c r="R44" s="119" t="s">
        <v>245</v>
      </c>
      <c r="S44" s="355">
        <v>4.7</v>
      </c>
      <c r="T44" s="277"/>
      <c r="U44" s="346">
        <v>57.13</v>
      </c>
      <c r="V44" s="346"/>
      <c r="W44" s="346"/>
      <c r="Y44" s="139" t="s">
        <v>219</v>
      </c>
      <c r="Z44" s="355" t="s">
        <v>84</v>
      </c>
      <c r="AA44" s="277"/>
      <c r="AB44" s="346" t="s">
        <v>84</v>
      </c>
      <c r="AC44" s="346"/>
      <c r="AD44" s="346"/>
      <c r="AF44" s="132" t="s">
        <v>206</v>
      </c>
      <c r="AG44" s="288" t="s">
        <v>251</v>
      </c>
      <c r="AH44" s="274"/>
      <c r="AI44" s="346">
        <v>63</v>
      </c>
      <c r="AJ44" s="346"/>
      <c r="AK44" s="346"/>
    </row>
    <row r="45" spans="1:38" ht="15.75" thickBot="1" x14ac:dyDescent="0.3">
      <c r="A45" s="12"/>
      <c r="B45" s="15"/>
      <c r="C45" s="15"/>
      <c r="D45" s="244"/>
      <c r="E45" s="245"/>
      <c r="F45" s="245"/>
      <c r="G45" s="245"/>
      <c r="H45" s="245"/>
      <c r="I45" s="245"/>
      <c r="K45" s="244"/>
      <c r="L45" s="245"/>
      <c r="M45" s="245"/>
      <c r="N45" s="245"/>
      <c r="O45" s="245"/>
      <c r="P45" s="245"/>
      <c r="R45" s="244"/>
      <c r="S45" s="245"/>
      <c r="T45" s="245"/>
      <c r="U45" s="245"/>
      <c r="V45" s="245"/>
      <c r="W45" s="245"/>
      <c r="Y45" s="244"/>
      <c r="Z45" s="245"/>
      <c r="AA45" s="245"/>
      <c r="AB45" s="245"/>
      <c r="AC45" s="245"/>
      <c r="AD45" s="245"/>
      <c r="AF45" s="244"/>
      <c r="AG45" s="245"/>
      <c r="AH45" s="245"/>
      <c r="AI45" s="245"/>
      <c r="AJ45" s="245"/>
      <c r="AK45" s="245"/>
    </row>
    <row r="46" spans="1:38" ht="15" customHeight="1" x14ac:dyDescent="0.25">
      <c r="A46" s="334" t="s">
        <v>31</v>
      </c>
      <c r="B46" s="356" t="s">
        <v>151</v>
      </c>
      <c r="C46" s="71" t="s">
        <v>36</v>
      </c>
      <c r="D46" s="359">
        <v>63.01</v>
      </c>
      <c r="E46" s="360"/>
      <c r="F46" s="360"/>
      <c r="G46" s="360"/>
      <c r="H46" s="360"/>
      <c r="I46" s="360"/>
      <c r="K46" s="359">
        <v>99.47</v>
      </c>
      <c r="L46" s="360"/>
      <c r="M46" s="360"/>
      <c r="N46" s="360"/>
      <c r="O46" s="360"/>
      <c r="P46" s="360"/>
      <c r="R46" s="359">
        <v>91.41</v>
      </c>
      <c r="S46" s="360"/>
      <c r="T46" s="360"/>
      <c r="U46" s="360"/>
      <c r="V46" s="360"/>
      <c r="W46" s="360"/>
      <c r="Y46" s="359">
        <v>130</v>
      </c>
      <c r="Z46" s="360"/>
      <c r="AA46" s="360"/>
      <c r="AB46" s="360"/>
      <c r="AC46" s="360"/>
      <c r="AD46" s="360"/>
      <c r="AF46" s="359">
        <v>91</v>
      </c>
      <c r="AG46" s="360"/>
      <c r="AH46" s="360"/>
      <c r="AI46" s="360"/>
      <c r="AJ46" s="360"/>
      <c r="AK46" s="360"/>
    </row>
    <row r="47" spans="1:38" x14ac:dyDescent="0.25">
      <c r="A47" s="335"/>
      <c r="B47" s="357"/>
      <c r="C47" s="19" t="s">
        <v>72</v>
      </c>
      <c r="D47" s="263">
        <v>205</v>
      </c>
      <c r="E47" s="264"/>
      <c r="F47" s="264"/>
      <c r="G47" s="264"/>
      <c r="H47" s="264"/>
      <c r="I47" s="264"/>
      <c r="K47" s="263">
        <v>254.97</v>
      </c>
      <c r="L47" s="264"/>
      <c r="M47" s="264"/>
      <c r="N47" s="264"/>
      <c r="O47" s="264"/>
      <c r="P47" s="264"/>
      <c r="R47" s="263">
        <v>220.52</v>
      </c>
      <c r="S47" s="264"/>
      <c r="T47" s="264"/>
      <c r="U47" s="264"/>
      <c r="V47" s="264"/>
      <c r="W47" s="264"/>
      <c r="Y47" s="263">
        <v>60</v>
      </c>
      <c r="Z47" s="264"/>
      <c r="AA47" s="264"/>
      <c r="AB47" s="264"/>
      <c r="AC47" s="264"/>
      <c r="AD47" s="264"/>
      <c r="AF47" s="263">
        <v>129</v>
      </c>
      <c r="AG47" s="264"/>
      <c r="AH47" s="264"/>
      <c r="AI47" s="264"/>
      <c r="AJ47" s="264"/>
      <c r="AK47" s="264"/>
    </row>
    <row r="48" spans="1:38" x14ac:dyDescent="0.25">
      <c r="A48" s="335"/>
      <c r="B48" s="357"/>
      <c r="C48" s="19" t="s">
        <v>42</v>
      </c>
      <c r="D48" s="263">
        <v>133</v>
      </c>
      <c r="E48" s="264"/>
      <c r="F48" s="264"/>
      <c r="G48" s="264"/>
      <c r="H48" s="264"/>
      <c r="I48" s="264"/>
      <c r="K48" s="263">
        <v>125.77</v>
      </c>
      <c r="L48" s="264"/>
      <c r="M48" s="264"/>
      <c r="N48" s="264"/>
      <c r="O48" s="264"/>
      <c r="P48" s="264"/>
      <c r="R48" s="263">
        <v>89.12</v>
      </c>
      <c r="S48" s="264"/>
      <c r="T48" s="264"/>
      <c r="U48" s="264"/>
      <c r="V48" s="264"/>
      <c r="W48" s="264"/>
      <c r="Y48" s="263">
        <v>124</v>
      </c>
      <c r="Z48" s="264"/>
      <c r="AA48" s="264"/>
      <c r="AB48" s="264"/>
      <c r="AC48" s="264"/>
      <c r="AD48" s="264"/>
      <c r="AF48" s="263">
        <v>71</v>
      </c>
      <c r="AG48" s="264"/>
      <c r="AH48" s="264"/>
      <c r="AI48" s="264"/>
      <c r="AJ48" s="264"/>
      <c r="AK48" s="264"/>
    </row>
    <row r="49" spans="1:38" x14ac:dyDescent="0.25">
      <c r="A49" s="335"/>
      <c r="B49" s="357"/>
      <c r="C49" s="19" t="s">
        <v>43</v>
      </c>
      <c r="D49" s="263">
        <v>110.04</v>
      </c>
      <c r="E49" s="264"/>
      <c r="F49" s="264"/>
      <c r="G49" s="264"/>
      <c r="H49" s="264"/>
      <c r="I49" s="264"/>
      <c r="K49" s="263">
        <v>101</v>
      </c>
      <c r="L49" s="264"/>
      <c r="M49" s="264"/>
      <c r="N49" s="264"/>
      <c r="O49" s="264"/>
      <c r="P49" s="264"/>
      <c r="R49" s="263">
        <v>101</v>
      </c>
      <c r="S49" s="264"/>
      <c r="T49" s="264"/>
      <c r="U49" s="264"/>
      <c r="V49" s="264"/>
      <c r="W49" s="264"/>
      <c r="Y49" s="263">
        <v>101</v>
      </c>
      <c r="Z49" s="264"/>
      <c r="AA49" s="264"/>
      <c r="AB49" s="264"/>
      <c r="AC49" s="264"/>
      <c r="AD49" s="264"/>
      <c r="AF49" s="263">
        <v>101</v>
      </c>
      <c r="AG49" s="264"/>
      <c r="AH49" s="264"/>
      <c r="AI49" s="264"/>
      <c r="AJ49" s="264"/>
      <c r="AK49" s="264"/>
    </row>
    <row r="50" spans="1:38" x14ac:dyDescent="0.25">
      <c r="A50" s="335"/>
      <c r="B50" s="357"/>
      <c r="C50" s="17" t="s">
        <v>44</v>
      </c>
      <c r="D50" s="361" t="s">
        <v>84</v>
      </c>
      <c r="E50" s="362"/>
      <c r="F50" s="362"/>
      <c r="G50" s="362"/>
      <c r="H50" s="362"/>
      <c r="I50" s="362"/>
      <c r="K50" s="361" t="s">
        <v>84</v>
      </c>
      <c r="L50" s="362"/>
      <c r="M50" s="362"/>
      <c r="N50" s="362"/>
      <c r="O50" s="362"/>
      <c r="P50" s="362"/>
      <c r="R50" s="361" t="s">
        <v>193</v>
      </c>
      <c r="S50" s="362"/>
      <c r="T50" s="362"/>
      <c r="U50" s="362"/>
      <c r="V50" s="362"/>
      <c r="W50" s="362"/>
      <c r="Y50" s="371" t="s">
        <v>193</v>
      </c>
      <c r="Z50" s="371"/>
      <c r="AA50" s="371"/>
      <c r="AB50" s="371"/>
      <c r="AC50" s="371"/>
      <c r="AD50" s="361"/>
      <c r="AF50" s="361" t="s">
        <v>193</v>
      </c>
      <c r="AG50" s="362"/>
      <c r="AH50" s="362"/>
      <c r="AI50" s="362"/>
      <c r="AJ50" s="362"/>
      <c r="AK50" s="362"/>
    </row>
    <row r="51" spans="1:38" x14ac:dyDescent="0.25">
      <c r="A51" s="335"/>
      <c r="B51" s="357"/>
      <c r="C51" s="17" t="s">
        <v>45</v>
      </c>
      <c r="D51" s="361" t="s">
        <v>84</v>
      </c>
      <c r="E51" s="362"/>
      <c r="F51" s="362"/>
      <c r="G51" s="362"/>
      <c r="H51" s="362"/>
      <c r="I51" s="362"/>
      <c r="K51" s="361" t="s">
        <v>84</v>
      </c>
      <c r="L51" s="362"/>
      <c r="M51" s="362"/>
      <c r="N51" s="362"/>
      <c r="O51" s="362"/>
      <c r="P51" s="362"/>
      <c r="R51" s="361" t="s">
        <v>193</v>
      </c>
      <c r="S51" s="362"/>
      <c r="T51" s="362"/>
      <c r="U51" s="362"/>
      <c r="V51" s="362"/>
      <c r="W51" s="362"/>
      <c r="Y51" s="371" t="s">
        <v>193</v>
      </c>
      <c r="Z51" s="371"/>
      <c r="AA51" s="371"/>
      <c r="AB51" s="371"/>
      <c r="AC51" s="371"/>
      <c r="AD51" s="361"/>
      <c r="AF51" s="361" t="s">
        <v>193</v>
      </c>
      <c r="AG51" s="362"/>
      <c r="AH51" s="362"/>
      <c r="AI51" s="362"/>
      <c r="AJ51" s="362"/>
      <c r="AK51" s="362"/>
    </row>
    <row r="52" spans="1:38" x14ac:dyDescent="0.25">
      <c r="A52" s="335"/>
      <c r="B52" s="357"/>
      <c r="C52" s="19" t="s">
        <v>46</v>
      </c>
      <c r="D52" s="361" t="s">
        <v>84</v>
      </c>
      <c r="E52" s="362"/>
      <c r="F52" s="362"/>
      <c r="G52" s="362"/>
      <c r="H52" s="362"/>
      <c r="I52" s="362"/>
      <c r="K52" s="361" t="s">
        <v>84</v>
      </c>
      <c r="L52" s="362"/>
      <c r="M52" s="362"/>
      <c r="N52" s="362"/>
      <c r="O52" s="362"/>
      <c r="P52" s="362"/>
      <c r="R52" s="361" t="s">
        <v>193</v>
      </c>
      <c r="S52" s="362"/>
      <c r="T52" s="362"/>
      <c r="U52" s="362"/>
      <c r="V52" s="362"/>
      <c r="W52" s="362"/>
      <c r="Y52" s="371" t="s">
        <v>193</v>
      </c>
      <c r="Z52" s="371"/>
      <c r="AA52" s="371"/>
      <c r="AB52" s="371"/>
      <c r="AC52" s="371"/>
      <c r="AD52" s="361"/>
      <c r="AF52" s="361" t="s">
        <v>193</v>
      </c>
      <c r="AG52" s="362"/>
      <c r="AH52" s="362"/>
      <c r="AI52" s="362"/>
      <c r="AJ52" s="362"/>
      <c r="AK52" s="362"/>
    </row>
    <row r="53" spans="1:38" x14ac:dyDescent="0.25">
      <c r="A53" s="335"/>
      <c r="B53" s="357"/>
      <c r="C53" s="17" t="s">
        <v>47</v>
      </c>
      <c r="D53" s="263">
        <v>511.05</v>
      </c>
      <c r="E53" s="264"/>
      <c r="F53" s="264"/>
      <c r="G53" s="264"/>
      <c r="H53" s="264"/>
      <c r="I53" s="264"/>
      <c r="K53" s="263">
        <v>581.21</v>
      </c>
      <c r="L53" s="264"/>
      <c r="M53" s="264"/>
      <c r="N53" s="264"/>
      <c r="O53" s="264"/>
      <c r="P53" s="264"/>
      <c r="R53" s="367">
        <v>502.05</v>
      </c>
      <c r="S53" s="367"/>
      <c r="T53" s="367"/>
      <c r="U53" s="367"/>
      <c r="V53" s="367"/>
      <c r="W53" s="263"/>
      <c r="Y53" s="371">
        <v>415</v>
      </c>
      <c r="Z53" s="371"/>
      <c r="AA53" s="371"/>
      <c r="AB53" s="371"/>
      <c r="AC53" s="371"/>
      <c r="AD53" s="361"/>
      <c r="AF53" s="263">
        <v>392</v>
      </c>
      <c r="AG53" s="264"/>
      <c r="AH53" s="264"/>
      <c r="AI53" s="264"/>
      <c r="AJ53" s="264"/>
      <c r="AK53" s="264"/>
    </row>
    <row r="54" spans="1:38" ht="15" customHeight="1" x14ac:dyDescent="0.25">
      <c r="A54" s="335"/>
      <c r="B54" s="357"/>
      <c r="C54" s="363" t="s">
        <v>73</v>
      </c>
      <c r="D54" s="361" t="s">
        <v>193</v>
      </c>
      <c r="E54" s="362"/>
      <c r="F54" s="362"/>
      <c r="G54" s="362"/>
      <c r="H54" s="362"/>
      <c r="I54" s="362"/>
      <c r="J54" s="38"/>
      <c r="K54" s="361" t="s">
        <v>193</v>
      </c>
      <c r="L54" s="362"/>
      <c r="M54" s="362"/>
      <c r="N54" s="362"/>
      <c r="O54" s="362"/>
      <c r="P54" s="362"/>
      <c r="Q54" s="38"/>
      <c r="R54" s="361" t="s">
        <v>193</v>
      </c>
      <c r="S54" s="362"/>
      <c r="T54" s="362"/>
      <c r="U54" s="362"/>
      <c r="V54" s="362"/>
      <c r="W54" s="362"/>
      <c r="X54" s="38"/>
      <c r="Y54" s="372" t="s">
        <v>193</v>
      </c>
      <c r="Z54" s="373"/>
      <c r="AA54" s="373"/>
      <c r="AB54" s="373"/>
      <c r="AC54" s="373"/>
      <c r="AD54" s="374"/>
      <c r="AE54" s="38"/>
      <c r="AF54" s="361" t="s">
        <v>193</v>
      </c>
      <c r="AG54" s="362"/>
      <c r="AH54" s="362"/>
      <c r="AI54" s="362"/>
      <c r="AJ54" s="362"/>
      <c r="AK54" s="362"/>
      <c r="AL54" s="38"/>
    </row>
    <row r="55" spans="1:38" ht="15.75" thickBot="1" x14ac:dyDescent="0.3">
      <c r="A55" s="336"/>
      <c r="B55" s="358"/>
      <c r="C55" s="364"/>
      <c r="D55" s="365"/>
      <c r="E55" s="366"/>
      <c r="F55" s="366"/>
      <c r="G55" s="366"/>
      <c r="H55" s="366"/>
      <c r="I55" s="366"/>
      <c r="J55" s="38"/>
      <c r="K55" s="365"/>
      <c r="L55" s="366"/>
      <c r="M55" s="366"/>
      <c r="N55" s="366"/>
      <c r="O55" s="366"/>
      <c r="P55" s="366"/>
      <c r="Q55" s="38"/>
      <c r="R55" s="365"/>
      <c r="S55" s="366"/>
      <c r="T55" s="366"/>
      <c r="U55" s="366"/>
      <c r="V55" s="366"/>
      <c r="W55" s="366"/>
      <c r="X55" s="38"/>
      <c r="Y55" s="375"/>
      <c r="Z55" s="376"/>
      <c r="AA55" s="376"/>
      <c r="AB55" s="376"/>
      <c r="AC55" s="376"/>
      <c r="AD55" s="377"/>
      <c r="AE55" s="38"/>
      <c r="AF55" s="365"/>
      <c r="AG55" s="366"/>
      <c r="AH55" s="366"/>
      <c r="AI55" s="366"/>
      <c r="AJ55" s="366"/>
      <c r="AK55" s="366"/>
      <c r="AL55" s="38"/>
    </row>
  </sheetData>
  <mergeCells count="266">
    <mergeCell ref="D53:I53"/>
    <mergeCell ref="K53:P53"/>
    <mergeCell ref="R53:W53"/>
    <mergeCell ref="Y53:AD53"/>
    <mergeCell ref="AF53:AK53"/>
    <mergeCell ref="Y49:AD49"/>
    <mergeCell ref="AF49:AK49"/>
    <mergeCell ref="D52:I52"/>
    <mergeCell ref="K52:P52"/>
    <mergeCell ref="R52:W52"/>
    <mergeCell ref="AF50:AK50"/>
    <mergeCell ref="Y52:AD52"/>
    <mergeCell ref="AF52:AK52"/>
    <mergeCell ref="D51:I51"/>
    <mergeCell ref="K51:P51"/>
    <mergeCell ref="R51:W51"/>
    <mergeCell ref="Y51:AD51"/>
    <mergeCell ref="AF51:AK51"/>
    <mergeCell ref="AF48:AK48"/>
    <mergeCell ref="D49:I49"/>
    <mergeCell ref="K49:P49"/>
    <mergeCell ref="R49:W49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0:I50"/>
    <mergeCell ref="K50:P50"/>
    <mergeCell ref="R50:W50"/>
    <mergeCell ref="Y50:AD50"/>
    <mergeCell ref="C54:C55"/>
    <mergeCell ref="D54:I55"/>
    <mergeCell ref="K54:P55"/>
    <mergeCell ref="R54:W55"/>
    <mergeCell ref="Y54:AD55"/>
    <mergeCell ref="AF54:AK55"/>
    <mergeCell ref="AF45:AK45"/>
    <mergeCell ref="Z44:AA44"/>
    <mergeCell ref="AB44:AD44"/>
    <mergeCell ref="AG44:AH44"/>
    <mergeCell ref="AI44:AK44"/>
    <mergeCell ref="AF46:AK46"/>
    <mergeCell ref="D47:I47"/>
    <mergeCell ref="K47:P47"/>
    <mergeCell ref="R47:W47"/>
    <mergeCell ref="Y47:AD47"/>
    <mergeCell ref="AF47:AK47"/>
    <mergeCell ref="Z43:AA43"/>
    <mergeCell ref="AB43:AD43"/>
    <mergeCell ref="S42:T42"/>
    <mergeCell ref="U42:W42"/>
    <mergeCell ref="Z42:AA42"/>
    <mergeCell ref="AB42:AD42"/>
    <mergeCell ref="D45:I45"/>
    <mergeCell ref="K45:P45"/>
    <mergeCell ref="R45:W45"/>
    <mergeCell ref="Y45:AD45"/>
    <mergeCell ref="E44:F44"/>
    <mergeCell ref="G44:I44"/>
    <mergeCell ref="L44:M44"/>
    <mergeCell ref="N44:P44"/>
    <mergeCell ref="S44:T44"/>
    <mergeCell ref="U44:W44"/>
    <mergeCell ref="G43:I43"/>
    <mergeCell ref="L43:M43"/>
    <mergeCell ref="N43:P43"/>
    <mergeCell ref="S43:T43"/>
    <mergeCell ref="U43:W43"/>
    <mergeCell ref="AH37:AJ37"/>
    <mergeCell ref="AH38:AJ38"/>
    <mergeCell ref="AF38:AG38"/>
    <mergeCell ref="A42:A44"/>
    <mergeCell ref="B42:B44"/>
    <mergeCell ref="E42:F42"/>
    <mergeCell ref="G42:I42"/>
    <mergeCell ref="L42:M42"/>
    <mergeCell ref="N42:P42"/>
    <mergeCell ref="D41:I41"/>
    <mergeCell ref="K41:P41"/>
    <mergeCell ref="R41:W41"/>
    <mergeCell ref="Y41:AD41"/>
    <mergeCell ref="AF41:AK41"/>
    <mergeCell ref="R40:S40"/>
    <mergeCell ref="Y40:Z40"/>
    <mergeCell ref="A37:A40"/>
    <mergeCell ref="B37:B40"/>
    <mergeCell ref="K37:L37"/>
    <mergeCell ref="E43:F43"/>
    <mergeCell ref="AG42:AH42"/>
    <mergeCell ref="AI42:AK42"/>
    <mergeCell ref="AG43:AH43"/>
    <mergeCell ref="AI43:AK43"/>
    <mergeCell ref="K38:L38"/>
    <mergeCell ref="R38:S38"/>
    <mergeCell ref="Y38:Z38"/>
    <mergeCell ref="R37:S37"/>
    <mergeCell ref="Y37:Z37"/>
    <mergeCell ref="AF37:AG37"/>
    <mergeCell ref="D37:E37"/>
    <mergeCell ref="T37:V37"/>
    <mergeCell ref="T38:V38"/>
    <mergeCell ref="D40:E40"/>
    <mergeCell ref="K40:L40"/>
    <mergeCell ref="D36:I36"/>
    <mergeCell ref="K36:P36"/>
    <mergeCell ref="R36:W36"/>
    <mergeCell ref="Y36:AD36"/>
    <mergeCell ref="AF36:AK36"/>
    <mergeCell ref="D39:E39"/>
    <mergeCell ref="K39:L39"/>
    <mergeCell ref="R39:S39"/>
    <mergeCell ref="Y39:Z39"/>
    <mergeCell ref="AF39:AG39"/>
    <mergeCell ref="AF40:AG40"/>
    <mergeCell ref="F37:H37"/>
    <mergeCell ref="F38:H38"/>
    <mergeCell ref="F39:H39"/>
    <mergeCell ref="F40:H40"/>
    <mergeCell ref="M37:O37"/>
    <mergeCell ref="M38:O38"/>
    <mergeCell ref="M39:O39"/>
    <mergeCell ref="M40:O40"/>
    <mergeCell ref="AH39:AJ39"/>
    <mergeCell ref="AH40:AJ40"/>
    <mergeCell ref="D38:E38"/>
    <mergeCell ref="AH31:AI31"/>
    <mergeCell ref="AH30:AI30"/>
    <mergeCell ref="AH33:AI33"/>
    <mergeCell ref="T30:U30"/>
    <mergeCell ref="AA30:AB30"/>
    <mergeCell ref="AH32:AI32"/>
    <mergeCell ref="AA34:AB34"/>
    <mergeCell ref="AH34:AI34"/>
    <mergeCell ref="R35:U35"/>
    <mergeCell ref="Y35:AB35"/>
    <mergeCell ref="AF35:AI35"/>
    <mergeCell ref="A16:A26"/>
    <mergeCell ref="B16:B26"/>
    <mergeCell ref="D27:I27"/>
    <mergeCell ref="K27:P27"/>
    <mergeCell ref="R27:W27"/>
    <mergeCell ref="Y27:AD27"/>
    <mergeCell ref="AF27:AK27"/>
    <mergeCell ref="A28:A35"/>
    <mergeCell ref="B28:B35"/>
    <mergeCell ref="F28:G28"/>
    <mergeCell ref="M28:N28"/>
    <mergeCell ref="F31:G31"/>
    <mergeCell ref="M31:N31"/>
    <mergeCell ref="F30:G30"/>
    <mergeCell ref="M30:N30"/>
    <mergeCell ref="F34:G34"/>
    <mergeCell ref="M34:N34"/>
    <mergeCell ref="F29:G29"/>
    <mergeCell ref="M29:N29"/>
    <mergeCell ref="D35:G35"/>
    <mergeCell ref="T29:U29"/>
    <mergeCell ref="AA29:AB29"/>
    <mergeCell ref="F32:G32"/>
    <mergeCell ref="M32:N32"/>
    <mergeCell ref="A12:A14"/>
    <mergeCell ref="B12:B14"/>
    <mergeCell ref="D12:I12"/>
    <mergeCell ref="K12:P12"/>
    <mergeCell ref="R12:W12"/>
    <mergeCell ref="Y12:AD12"/>
    <mergeCell ref="R14:V14"/>
    <mergeCell ref="D15:I15"/>
    <mergeCell ref="K15:P15"/>
    <mergeCell ref="R15:W15"/>
    <mergeCell ref="Y15:AD15"/>
    <mergeCell ref="D13:I13"/>
    <mergeCell ref="K13:P13"/>
    <mergeCell ref="R13:W13"/>
    <mergeCell ref="Y13:AD13"/>
    <mergeCell ref="K14:O14"/>
    <mergeCell ref="D14:G14"/>
    <mergeCell ref="H14:I14"/>
    <mergeCell ref="A8:A10"/>
    <mergeCell ref="B8:B10"/>
    <mergeCell ref="R8:V8"/>
    <mergeCell ref="R9:V9"/>
    <mergeCell ref="R10:V10"/>
    <mergeCell ref="D11:I11"/>
    <mergeCell ref="K11:P11"/>
    <mergeCell ref="R11:W11"/>
    <mergeCell ref="K8:O8"/>
    <mergeCell ref="K9:O9"/>
    <mergeCell ref="K10:O10"/>
    <mergeCell ref="D8:G8"/>
    <mergeCell ref="H8:I8"/>
    <mergeCell ref="D9:G9"/>
    <mergeCell ref="H9:I9"/>
    <mergeCell ref="D10:G10"/>
    <mergeCell ref="H10:I10"/>
    <mergeCell ref="D7:I7"/>
    <mergeCell ref="K7:P7"/>
    <mergeCell ref="R7:W7"/>
    <mergeCell ref="Y7:AD7"/>
    <mergeCell ref="AF7:AK7"/>
    <mergeCell ref="AF3:AK3"/>
    <mergeCell ref="D4:I4"/>
    <mergeCell ref="K4:P4"/>
    <mergeCell ref="R4:W4"/>
    <mergeCell ref="Y4:AD4"/>
    <mergeCell ref="AF4:AK4"/>
    <mergeCell ref="D5:I5"/>
    <mergeCell ref="K5:P5"/>
    <mergeCell ref="R5:W5"/>
    <mergeCell ref="Y5:AD5"/>
    <mergeCell ref="AF5:AK5"/>
    <mergeCell ref="D2:I2"/>
    <mergeCell ref="K2:P2"/>
    <mergeCell ref="R2:W2"/>
    <mergeCell ref="Y2:AD2"/>
    <mergeCell ref="AF2:AK2"/>
    <mergeCell ref="A3:A6"/>
    <mergeCell ref="B3:B6"/>
    <mergeCell ref="D3:I3"/>
    <mergeCell ref="K3:P3"/>
    <mergeCell ref="R3:W3"/>
    <mergeCell ref="Y3:AD3"/>
    <mergeCell ref="D6:I6"/>
    <mergeCell ref="K6:P6"/>
    <mergeCell ref="R6:W6"/>
    <mergeCell ref="Y6:AD6"/>
    <mergeCell ref="AF6:AK6"/>
    <mergeCell ref="AH29:AI29"/>
    <mergeCell ref="F33:G33"/>
    <mergeCell ref="M33:N33"/>
    <mergeCell ref="K35:N35"/>
    <mergeCell ref="T39:V39"/>
    <mergeCell ref="T40:V40"/>
    <mergeCell ref="Y8:AC8"/>
    <mergeCell ref="Y9:AC9"/>
    <mergeCell ref="Y10:AC10"/>
    <mergeCell ref="Y14:AC14"/>
    <mergeCell ref="AA37:AC37"/>
    <mergeCell ref="AA38:AC38"/>
    <mergeCell ref="AA39:AC39"/>
    <mergeCell ref="AA40:AC40"/>
    <mergeCell ref="Y11:AD11"/>
    <mergeCell ref="T28:U28"/>
    <mergeCell ref="AA28:AB28"/>
    <mergeCell ref="T33:U33"/>
    <mergeCell ref="T34:U34"/>
    <mergeCell ref="AA33:AB33"/>
    <mergeCell ref="T32:U32"/>
    <mergeCell ref="AA32:AB32"/>
    <mergeCell ref="T31:U31"/>
    <mergeCell ref="AA31:AB31"/>
    <mergeCell ref="AF11:AK11"/>
    <mergeCell ref="AF8:AJ8"/>
    <mergeCell ref="AF9:AJ9"/>
    <mergeCell ref="AF10:AJ10"/>
    <mergeCell ref="AF15:AK15"/>
    <mergeCell ref="AF12:AK12"/>
    <mergeCell ref="AF13:AK13"/>
    <mergeCell ref="AF14:AJ14"/>
    <mergeCell ref="AH28:AI28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zoomScale="80" zoomScaleNormal="80" workbookViewId="0">
      <selection activeCell="S18" sqref="S18"/>
    </sheetView>
  </sheetViews>
  <sheetFormatPr baseColWidth="10" defaultColWidth="11.42578125" defaultRowHeight="15" x14ac:dyDescent="0.25"/>
  <cols>
    <col min="1" max="1" width="16.42578125" bestFit="1" customWidth="1"/>
    <col min="5" max="5" width="14.85546875" bestFit="1" customWidth="1"/>
    <col min="9" max="9" width="14.85546875" bestFit="1" customWidth="1"/>
    <col min="12" max="12" width="24.85546875" bestFit="1" customWidth="1"/>
    <col min="13" max="13" width="14.85546875" bestFit="1" customWidth="1"/>
    <col min="17" max="17" width="14.85546875" bestFit="1" customWidth="1"/>
    <col min="21" max="21" width="14.85546875" bestFit="1" customWidth="1"/>
  </cols>
  <sheetData>
    <row r="5" spans="1:23" x14ac:dyDescent="0.25">
      <c r="A5" s="239" t="s">
        <v>150</v>
      </c>
      <c r="B5" s="239"/>
      <c r="C5" s="239"/>
      <c r="E5" s="239" t="s">
        <v>164</v>
      </c>
      <c r="F5" s="239"/>
      <c r="G5" s="239"/>
      <c r="I5" s="239" t="s">
        <v>184</v>
      </c>
      <c r="J5" s="239"/>
      <c r="K5" s="239"/>
      <c r="M5" s="239" t="s">
        <v>185</v>
      </c>
      <c r="N5" s="239"/>
      <c r="O5" s="239"/>
      <c r="Q5" s="239" t="s">
        <v>186</v>
      </c>
      <c r="R5" s="239"/>
      <c r="S5" s="239"/>
      <c r="U5" s="239"/>
      <c r="V5" s="239"/>
      <c r="W5" s="239"/>
    </row>
    <row r="6" spans="1:23" x14ac:dyDescent="0.25">
      <c r="A6" s="5" t="s">
        <v>96</v>
      </c>
      <c r="B6" s="5" t="s">
        <v>75</v>
      </c>
      <c r="C6" s="5" t="s">
        <v>95</v>
      </c>
      <c r="E6" s="5" t="s">
        <v>96</v>
      </c>
      <c r="F6" s="5" t="s">
        <v>75</v>
      </c>
      <c r="G6" s="5" t="s">
        <v>95</v>
      </c>
      <c r="I6" s="5" t="s">
        <v>96</v>
      </c>
      <c r="J6" s="5" t="s">
        <v>75</v>
      </c>
      <c r="K6" s="5" t="s">
        <v>95</v>
      </c>
      <c r="M6" s="5" t="s">
        <v>96</v>
      </c>
      <c r="N6" s="5" t="s">
        <v>75</v>
      </c>
      <c r="O6" s="5" t="s">
        <v>95</v>
      </c>
      <c r="Q6" s="5" t="s">
        <v>96</v>
      </c>
      <c r="R6" s="5" t="s">
        <v>75</v>
      </c>
      <c r="S6" s="5" t="s">
        <v>95</v>
      </c>
      <c r="U6" s="5"/>
      <c r="V6" s="5"/>
      <c r="W6" s="5"/>
    </row>
    <row r="7" spans="1:23" x14ac:dyDescent="0.25">
      <c r="A7" s="5">
        <v>1</v>
      </c>
      <c r="B7" s="5">
        <v>2009</v>
      </c>
      <c r="C7" s="95">
        <v>2.7800000000000002</v>
      </c>
      <c r="E7" s="5">
        <v>1</v>
      </c>
      <c r="F7" s="5">
        <v>2009</v>
      </c>
      <c r="G7" s="95">
        <v>3.7</v>
      </c>
      <c r="I7" s="5">
        <v>1</v>
      </c>
      <c r="J7" s="5">
        <v>2009</v>
      </c>
      <c r="K7" s="5">
        <v>6.97</v>
      </c>
      <c r="M7" s="5">
        <v>1</v>
      </c>
      <c r="N7" s="5">
        <v>2009</v>
      </c>
      <c r="O7" s="5">
        <v>5.95</v>
      </c>
      <c r="Q7" s="5">
        <v>1</v>
      </c>
      <c r="R7" s="5">
        <v>2009</v>
      </c>
      <c r="S7" s="5">
        <v>5.81</v>
      </c>
      <c r="U7" s="5"/>
      <c r="V7" s="5"/>
      <c r="W7" s="5"/>
    </row>
    <row r="8" spans="1:23" x14ac:dyDescent="0.25">
      <c r="A8" s="5">
        <v>2</v>
      </c>
      <c r="B8" s="5">
        <v>2010</v>
      </c>
      <c r="C8" s="95">
        <v>2.52</v>
      </c>
      <c r="E8" s="5">
        <v>2</v>
      </c>
      <c r="F8" s="5">
        <v>2010</v>
      </c>
      <c r="G8" s="95">
        <v>3.4</v>
      </c>
      <c r="I8" s="5">
        <v>2</v>
      </c>
      <c r="J8" s="5">
        <v>2010</v>
      </c>
      <c r="K8" s="169">
        <v>7.2</v>
      </c>
      <c r="M8" s="5">
        <v>2</v>
      </c>
      <c r="N8" s="5">
        <v>2010</v>
      </c>
      <c r="O8" s="5">
        <v>6.31</v>
      </c>
      <c r="Q8" s="5">
        <v>2</v>
      </c>
      <c r="R8" s="5">
        <v>2010</v>
      </c>
      <c r="S8" s="5">
        <v>5.82</v>
      </c>
      <c r="U8" s="5"/>
      <c r="V8" s="5"/>
      <c r="W8" s="5"/>
    </row>
    <row r="9" spans="1:23" x14ac:dyDescent="0.25">
      <c r="A9" s="5">
        <v>3</v>
      </c>
      <c r="B9" s="5">
        <v>2011</v>
      </c>
      <c r="C9" s="95">
        <v>2.27</v>
      </c>
      <c r="E9" s="5">
        <v>3</v>
      </c>
      <c r="F9" s="5">
        <v>2011</v>
      </c>
      <c r="G9" s="95">
        <v>3.9</v>
      </c>
      <c r="I9" s="5">
        <v>3</v>
      </c>
      <c r="J9" s="5">
        <v>2011</v>
      </c>
      <c r="K9" s="5">
        <v>7.34</v>
      </c>
      <c r="M9" s="5">
        <v>3</v>
      </c>
      <c r="N9" s="5">
        <v>2011</v>
      </c>
      <c r="O9" s="5">
        <v>5.61</v>
      </c>
      <c r="Q9" s="5">
        <v>3</v>
      </c>
      <c r="R9" s="5">
        <v>2011</v>
      </c>
      <c r="S9" s="5">
        <v>5.83</v>
      </c>
      <c r="U9" s="5"/>
      <c r="V9" s="5"/>
      <c r="W9" s="5"/>
    </row>
    <row r="10" spans="1:23" x14ac:dyDescent="0.25">
      <c r="A10" s="5">
        <v>4</v>
      </c>
      <c r="B10" s="5">
        <v>2012</v>
      </c>
      <c r="C10" s="95">
        <v>3.79</v>
      </c>
      <c r="E10" s="5">
        <v>4</v>
      </c>
      <c r="F10" s="5">
        <v>2012</v>
      </c>
      <c r="G10" s="95">
        <v>2.9</v>
      </c>
      <c r="I10" s="5">
        <v>4</v>
      </c>
      <c r="J10" s="5">
        <v>2012</v>
      </c>
      <c r="K10" s="5">
        <v>6.46</v>
      </c>
      <c r="M10" s="5">
        <v>4</v>
      </c>
      <c r="N10" s="5">
        <v>2012</v>
      </c>
      <c r="O10" s="5">
        <v>4.57</v>
      </c>
      <c r="Q10" s="5">
        <v>4</v>
      </c>
      <c r="R10" s="5">
        <v>2012</v>
      </c>
      <c r="S10" s="169">
        <v>5</v>
      </c>
      <c r="U10" s="5"/>
      <c r="V10" s="5"/>
      <c r="W10" s="5"/>
    </row>
    <row r="11" spans="1:23" x14ac:dyDescent="0.25">
      <c r="A11" s="5">
        <v>5</v>
      </c>
      <c r="B11" s="5">
        <v>2013</v>
      </c>
      <c r="C11" s="95">
        <v>2.95</v>
      </c>
      <c r="E11" s="5">
        <v>5</v>
      </c>
      <c r="F11" s="5">
        <v>2013</v>
      </c>
      <c r="G11" s="95">
        <v>3.3</v>
      </c>
      <c r="I11" s="5">
        <v>5</v>
      </c>
      <c r="J11" s="5">
        <v>2013</v>
      </c>
      <c r="K11" s="5">
        <v>6.57</v>
      </c>
      <c r="M11" s="5">
        <v>5</v>
      </c>
      <c r="N11" s="5">
        <v>2013</v>
      </c>
      <c r="O11" s="5">
        <v>5.89</v>
      </c>
      <c r="Q11" s="5">
        <v>5</v>
      </c>
      <c r="R11" s="5">
        <v>2013</v>
      </c>
      <c r="S11" s="5">
        <v>5.78</v>
      </c>
      <c r="U11" s="5"/>
      <c r="V11" s="5"/>
      <c r="W11" s="5"/>
    </row>
    <row r="12" spans="1:23" x14ac:dyDescent="0.25">
      <c r="A12" s="5">
        <v>6</v>
      </c>
      <c r="B12" s="5">
        <v>2014</v>
      </c>
      <c r="C12" s="95">
        <v>3.0950000000000002</v>
      </c>
      <c r="E12" s="5">
        <v>6</v>
      </c>
      <c r="F12" s="5">
        <v>2014</v>
      </c>
      <c r="G12" s="95">
        <v>4</v>
      </c>
      <c r="I12" s="5">
        <v>6</v>
      </c>
      <c r="J12" s="5">
        <v>2014</v>
      </c>
      <c r="K12" s="5">
        <v>7.82</v>
      </c>
      <c r="M12" s="5">
        <v>6</v>
      </c>
      <c r="N12" s="5">
        <v>2014</v>
      </c>
      <c r="O12" s="169">
        <v>6.1</v>
      </c>
      <c r="Q12" s="5">
        <v>6</v>
      </c>
      <c r="R12" s="5">
        <v>2014</v>
      </c>
      <c r="S12" s="5">
        <v>6.07</v>
      </c>
      <c r="U12" s="5"/>
      <c r="V12" s="5"/>
      <c r="W12" s="5"/>
    </row>
    <row r="13" spans="1:23" x14ac:dyDescent="0.25">
      <c r="A13" s="5">
        <v>7</v>
      </c>
      <c r="B13" s="5">
        <v>2015</v>
      </c>
      <c r="C13" s="95">
        <v>2.4</v>
      </c>
      <c r="E13" s="5">
        <v>7</v>
      </c>
      <c r="F13" s="5">
        <v>2015</v>
      </c>
      <c r="G13" s="95">
        <v>4.0999999999999996</v>
      </c>
      <c r="I13" s="5">
        <v>7</v>
      </c>
      <c r="J13" s="5">
        <v>2015</v>
      </c>
      <c r="K13" s="5">
        <v>7.84</v>
      </c>
      <c r="M13" s="5">
        <v>7</v>
      </c>
      <c r="N13" s="5">
        <v>2015</v>
      </c>
      <c r="O13" s="5">
        <v>5.92</v>
      </c>
      <c r="Q13" s="5">
        <v>7</v>
      </c>
      <c r="R13" s="5">
        <v>2015</v>
      </c>
      <c r="S13" s="5">
        <v>5.94</v>
      </c>
      <c r="U13" s="5"/>
      <c r="V13" s="5"/>
      <c r="W13" s="5"/>
    </row>
    <row r="14" spans="1:23" x14ac:dyDescent="0.25">
      <c r="A14" s="5">
        <v>8</v>
      </c>
      <c r="B14" s="5">
        <v>2016</v>
      </c>
      <c r="C14" s="95">
        <v>4.4799999999999995</v>
      </c>
      <c r="E14" s="5">
        <v>8</v>
      </c>
      <c r="F14" s="5">
        <v>2016</v>
      </c>
      <c r="G14" s="95">
        <v>3.3</v>
      </c>
      <c r="I14" s="5">
        <v>8</v>
      </c>
      <c r="J14" s="5">
        <v>2016</v>
      </c>
      <c r="K14" s="5">
        <v>6.84</v>
      </c>
      <c r="M14" s="5">
        <v>8</v>
      </c>
      <c r="N14" s="5">
        <v>2016</v>
      </c>
      <c r="O14" s="5">
        <v>6.44</v>
      </c>
      <c r="Q14" s="5">
        <v>8</v>
      </c>
      <c r="R14" s="5">
        <v>2016</v>
      </c>
      <c r="S14" s="5">
        <v>5.43</v>
      </c>
      <c r="U14" s="5"/>
      <c r="V14" s="5"/>
      <c r="W14" s="5"/>
    </row>
    <row r="15" spans="1:23" x14ac:dyDescent="0.25">
      <c r="A15" s="5">
        <v>9</v>
      </c>
      <c r="B15" s="5">
        <v>2017</v>
      </c>
      <c r="C15" s="95">
        <v>2.17</v>
      </c>
      <c r="E15" s="5">
        <v>9</v>
      </c>
      <c r="F15" s="5">
        <v>2017</v>
      </c>
      <c r="G15" s="95">
        <v>4.2</v>
      </c>
      <c r="I15" s="5">
        <v>9</v>
      </c>
      <c r="J15" s="5">
        <v>2017</v>
      </c>
      <c r="K15" s="5">
        <v>7.41</v>
      </c>
      <c r="M15" s="5">
        <v>9</v>
      </c>
      <c r="N15" s="5">
        <v>2017</v>
      </c>
      <c r="O15" s="5">
        <v>5.66</v>
      </c>
      <c r="Q15" s="5">
        <v>9</v>
      </c>
      <c r="R15" s="5">
        <v>2017</v>
      </c>
      <c r="S15" s="5">
        <v>5.88</v>
      </c>
      <c r="U15" s="5"/>
      <c r="V15" s="5"/>
      <c r="W15" s="5"/>
    </row>
    <row r="16" spans="1:23" x14ac:dyDescent="0.25">
      <c r="A16" s="5">
        <v>10</v>
      </c>
      <c r="B16" s="5">
        <v>2018</v>
      </c>
      <c r="C16" s="95">
        <v>3.0100000000000002</v>
      </c>
      <c r="E16" s="5">
        <v>10</v>
      </c>
      <c r="F16" s="5">
        <v>2018</v>
      </c>
      <c r="G16" s="95">
        <v>3.9</v>
      </c>
      <c r="I16" s="5">
        <v>10</v>
      </c>
      <c r="J16" s="5">
        <v>2018</v>
      </c>
      <c r="K16" s="5">
        <v>7.14</v>
      </c>
      <c r="M16" s="5">
        <v>10</v>
      </c>
      <c r="N16" s="5">
        <v>2018</v>
      </c>
      <c r="O16" s="5">
        <v>5.48</v>
      </c>
      <c r="Q16" s="5">
        <v>10</v>
      </c>
      <c r="R16" s="5">
        <v>2018</v>
      </c>
      <c r="S16" s="5">
        <v>5.54</v>
      </c>
      <c r="U16" s="5"/>
      <c r="V16" s="5"/>
      <c r="W16" s="5"/>
    </row>
    <row r="17" spans="1:23" x14ac:dyDescent="0.25">
      <c r="C17" s="189">
        <f>_xlfn.STDEV.P(C7:C16)/AVERAGE(C7:C16)</f>
        <v>0.23163174288024402</v>
      </c>
      <c r="G17" s="189">
        <f>_xlfn.STDEV.P(G7:G16)/AVERAGE(G7:G16)</f>
        <v>0.10970475280216656</v>
      </c>
      <c r="K17" s="189">
        <f>_xlfn.STDEV.P(K7:K16)/AVERAGE(K7:K16)</f>
        <v>6.2021880066810628E-2</v>
      </c>
      <c r="O17" s="189">
        <f>_xlfn.STDEV.P(O7:O16)/AVERAGE(O7:O16)</f>
        <v>8.5882068686302521E-2</v>
      </c>
      <c r="S17" s="189">
        <f>_xlfn.STDEV.P(S7:S16)/AVERAGE(S7:S16)</f>
        <v>5.1483850762923167E-2</v>
      </c>
    </row>
    <row r="20" spans="1:23" x14ac:dyDescent="0.25">
      <c r="A20" s="239" t="s">
        <v>187</v>
      </c>
      <c r="B20" s="239"/>
      <c r="C20" s="239"/>
      <c r="D20" s="5"/>
      <c r="E20" s="239" t="s">
        <v>188</v>
      </c>
      <c r="F20" s="239"/>
      <c r="G20" s="239"/>
      <c r="H20" s="5"/>
      <c r="I20" s="239" t="s">
        <v>97</v>
      </c>
      <c r="J20" s="239"/>
      <c r="K20" s="239"/>
      <c r="L20" s="5"/>
      <c r="M20" s="239" t="s">
        <v>97</v>
      </c>
      <c r="N20" s="239"/>
      <c r="O20" s="239"/>
      <c r="P20" s="5"/>
      <c r="Q20" s="239" t="s">
        <v>97</v>
      </c>
      <c r="R20" s="239"/>
      <c r="S20" s="239"/>
      <c r="T20" s="5"/>
      <c r="U20" s="239"/>
      <c r="V20" s="239"/>
      <c r="W20" s="239"/>
    </row>
    <row r="21" spans="1:23" x14ac:dyDescent="0.25">
      <c r="A21" s="5" t="s">
        <v>96</v>
      </c>
      <c r="B21" s="5" t="s">
        <v>75</v>
      </c>
      <c r="C21" s="5" t="s">
        <v>95</v>
      </c>
      <c r="D21" s="5"/>
      <c r="E21" s="5" t="s">
        <v>96</v>
      </c>
      <c r="F21" s="5" t="s">
        <v>75</v>
      </c>
      <c r="G21" s="5" t="s">
        <v>95</v>
      </c>
      <c r="I21" s="5" t="s">
        <v>96</v>
      </c>
      <c r="J21" s="5" t="s">
        <v>75</v>
      </c>
      <c r="K21" s="5" t="s">
        <v>95</v>
      </c>
      <c r="L21" s="5"/>
      <c r="M21" s="5" t="s">
        <v>96</v>
      </c>
      <c r="N21" s="5" t="s">
        <v>75</v>
      </c>
      <c r="O21" s="5" t="s">
        <v>95</v>
      </c>
      <c r="P21" s="5"/>
      <c r="Q21" s="5" t="s">
        <v>96</v>
      </c>
      <c r="R21" s="5" t="s">
        <v>75</v>
      </c>
      <c r="S21" s="5" t="s">
        <v>95</v>
      </c>
      <c r="T21" s="5"/>
      <c r="U21" s="5"/>
      <c r="V21" s="5"/>
      <c r="W21" s="5"/>
    </row>
    <row r="22" spans="1:23" x14ac:dyDescent="0.25">
      <c r="A22" s="5">
        <v>1</v>
      </c>
      <c r="B22" s="5">
        <v>2009</v>
      </c>
      <c r="C22" s="5">
        <v>4.3</v>
      </c>
      <c r="D22" s="5"/>
      <c r="E22" s="5">
        <v>1</v>
      </c>
      <c r="F22" s="5">
        <v>2009</v>
      </c>
      <c r="G22" s="5"/>
      <c r="I22" s="5">
        <v>1</v>
      </c>
      <c r="J22" s="5"/>
      <c r="K22" s="5"/>
      <c r="L22" s="5"/>
      <c r="M22" s="5">
        <v>1</v>
      </c>
      <c r="N22" s="5"/>
      <c r="O22" s="5"/>
      <c r="P22" s="5"/>
      <c r="Q22" s="5">
        <v>1</v>
      </c>
      <c r="R22" s="5"/>
      <c r="S22" s="5"/>
      <c r="T22" s="5"/>
      <c r="U22" s="5"/>
      <c r="V22" s="5"/>
      <c r="W22" s="5"/>
    </row>
    <row r="23" spans="1:23" x14ac:dyDescent="0.25">
      <c r="A23" s="5">
        <v>2</v>
      </c>
      <c r="B23" s="5">
        <v>2010</v>
      </c>
      <c r="C23" s="5">
        <v>4.5999999999999996</v>
      </c>
      <c r="D23" s="5"/>
      <c r="E23" s="5">
        <v>2</v>
      </c>
      <c r="F23" s="5">
        <v>2010</v>
      </c>
      <c r="G23" s="5">
        <v>3.5</v>
      </c>
      <c r="I23" s="5">
        <v>2</v>
      </c>
      <c r="J23" s="5"/>
      <c r="K23" s="5"/>
      <c r="L23" s="5"/>
      <c r="M23" s="5">
        <v>2</v>
      </c>
      <c r="N23" s="5"/>
      <c r="O23" s="5"/>
      <c r="P23" s="5"/>
      <c r="Q23" s="5">
        <v>2</v>
      </c>
      <c r="R23" s="5"/>
      <c r="S23" s="5"/>
      <c r="T23" s="5"/>
      <c r="U23" s="5"/>
      <c r="V23" s="5"/>
      <c r="W23" s="5"/>
    </row>
    <row r="24" spans="1:23" x14ac:dyDescent="0.25">
      <c r="A24" s="5">
        <v>3</v>
      </c>
      <c r="B24" s="5">
        <v>2011</v>
      </c>
      <c r="C24" s="5">
        <v>4.2</v>
      </c>
      <c r="D24" s="5"/>
      <c r="E24" s="5">
        <v>3</v>
      </c>
      <c r="F24" s="5">
        <v>2011</v>
      </c>
      <c r="G24" s="5">
        <v>3.4</v>
      </c>
      <c r="I24" s="5">
        <v>3</v>
      </c>
      <c r="J24" s="5"/>
      <c r="K24" s="5"/>
      <c r="L24" s="5"/>
      <c r="M24" s="5">
        <v>3</v>
      </c>
      <c r="N24" s="5"/>
      <c r="O24" s="5"/>
      <c r="P24" s="5"/>
      <c r="Q24" s="5">
        <v>3</v>
      </c>
      <c r="R24" s="5"/>
      <c r="S24" s="5"/>
      <c r="T24" s="5"/>
      <c r="U24" s="5"/>
      <c r="V24" s="5"/>
      <c r="W24" s="5"/>
    </row>
    <row r="25" spans="1:23" x14ac:dyDescent="0.25">
      <c r="A25" s="5">
        <v>4</v>
      </c>
      <c r="B25" s="5">
        <v>2012</v>
      </c>
      <c r="C25" s="5">
        <v>3.1</v>
      </c>
      <c r="D25" s="5"/>
      <c r="E25" s="5">
        <v>4</v>
      </c>
      <c r="F25" s="5">
        <v>2012</v>
      </c>
      <c r="G25" s="5">
        <v>3.3</v>
      </c>
      <c r="I25" s="5">
        <v>4</v>
      </c>
      <c r="J25" s="5"/>
      <c r="K25" s="5"/>
      <c r="L25" s="5"/>
      <c r="M25" s="5">
        <v>4</v>
      </c>
      <c r="N25" s="5"/>
      <c r="O25" s="5"/>
      <c r="P25" s="5"/>
      <c r="Q25" s="5">
        <v>4</v>
      </c>
      <c r="R25" s="5"/>
      <c r="S25" s="5"/>
      <c r="T25" s="5"/>
      <c r="U25" s="5"/>
      <c r="V25" s="5"/>
      <c r="W25" s="5"/>
    </row>
    <row r="26" spans="1:23" x14ac:dyDescent="0.25">
      <c r="A26" s="5">
        <v>5</v>
      </c>
      <c r="B26" s="5">
        <v>2013</v>
      </c>
      <c r="C26" s="5">
        <v>4.4000000000000004</v>
      </c>
      <c r="D26" s="5"/>
      <c r="E26" s="5">
        <v>5</v>
      </c>
      <c r="F26" s="5">
        <v>2013</v>
      </c>
      <c r="G26" s="5">
        <v>3.39</v>
      </c>
      <c r="I26" s="5">
        <v>5</v>
      </c>
      <c r="J26" s="5"/>
      <c r="K26" s="5"/>
      <c r="L26" s="5"/>
      <c r="M26" s="5">
        <v>5</v>
      </c>
      <c r="N26" s="5"/>
      <c r="O26" s="5"/>
      <c r="P26" s="5"/>
      <c r="Q26" s="5">
        <v>5</v>
      </c>
      <c r="R26" s="5"/>
      <c r="S26" s="5"/>
      <c r="T26" s="5"/>
      <c r="U26" s="5"/>
      <c r="V26" s="5"/>
      <c r="W26" s="5"/>
    </row>
    <row r="27" spans="1:23" x14ac:dyDescent="0.25">
      <c r="A27" s="5">
        <v>6</v>
      </c>
      <c r="B27" s="5">
        <v>2014</v>
      </c>
      <c r="C27" s="5">
        <v>4.7</v>
      </c>
      <c r="D27" s="5"/>
      <c r="E27" s="5">
        <v>6</v>
      </c>
      <c r="F27" s="5">
        <v>2014</v>
      </c>
      <c r="G27" s="5">
        <v>4.43</v>
      </c>
      <c r="I27" s="5">
        <v>6</v>
      </c>
      <c r="J27" s="5"/>
      <c r="K27" s="5"/>
      <c r="L27" s="5"/>
      <c r="M27" s="5">
        <v>6</v>
      </c>
      <c r="N27" s="5"/>
      <c r="O27" s="5"/>
      <c r="P27" s="5"/>
      <c r="Q27" s="5">
        <v>6</v>
      </c>
      <c r="R27" s="5"/>
      <c r="S27" s="5"/>
      <c r="T27" s="5"/>
      <c r="U27" s="5"/>
      <c r="V27" s="5"/>
      <c r="W27" s="5"/>
    </row>
    <row r="28" spans="1:23" x14ac:dyDescent="0.25">
      <c r="A28" s="5">
        <v>7</v>
      </c>
      <c r="B28" s="5">
        <v>2015</v>
      </c>
      <c r="C28" s="5">
        <v>4.2</v>
      </c>
      <c r="D28" s="5"/>
      <c r="E28" s="5">
        <v>7</v>
      </c>
      <c r="F28" s="5">
        <v>2015</v>
      </c>
      <c r="G28" s="5">
        <v>4.32</v>
      </c>
      <c r="I28" s="5">
        <v>7</v>
      </c>
      <c r="J28" s="5"/>
      <c r="K28" s="5"/>
      <c r="L28" s="5"/>
      <c r="M28" s="5">
        <v>7</v>
      </c>
      <c r="N28" s="5"/>
      <c r="O28" s="5"/>
      <c r="P28" s="5"/>
      <c r="Q28" s="5">
        <v>7</v>
      </c>
      <c r="R28" s="5"/>
      <c r="S28" s="5"/>
      <c r="T28" s="5"/>
      <c r="U28" s="5"/>
      <c r="V28" s="5"/>
      <c r="W28" s="5"/>
    </row>
    <row r="29" spans="1:23" x14ac:dyDescent="0.25">
      <c r="A29" s="5">
        <v>8</v>
      </c>
      <c r="B29" s="5">
        <v>2016</v>
      </c>
      <c r="C29" s="5">
        <v>4.4000000000000004</v>
      </c>
      <c r="D29" s="5"/>
      <c r="E29" s="5">
        <v>8</v>
      </c>
      <c r="F29" s="5">
        <v>2016</v>
      </c>
      <c r="G29" s="5">
        <v>3.92</v>
      </c>
      <c r="I29" s="5">
        <v>8</v>
      </c>
      <c r="J29" s="5"/>
      <c r="K29" s="5"/>
      <c r="L29" s="5"/>
      <c r="M29" s="5">
        <v>8</v>
      </c>
      <c r="N29" s="5"/>
      <c r="O29" s="5"/>
      <c r="P29" s="5"/>
      <c r="Q29" s="5">
        <v>8</v>
      </c>
      <c r="R29" s="5"/>
      <c r="S29" s="5"/>
      <c r="T29" s="5"/>
      <c r="U29" s="5"/>
      <c r="V29" s="5"/>
      <c r="W29" s="5"/>
    </row>
    <row r="30" spans="1:23" x14ac:dyDescent="0.25">
      <c r="A30" s="5">
        <v>9</v>
      </c>
      <c r="B30" s="5">
        <v>2017</v>
      </c>
      <c r="C30" s="5">
        <v>4.5999999999999996</v>
      </c>
      <c r="D30" s="5"/>
      <c r="E30" s="5">
        <v>9</v>
      </c>
      <c r="F30" s="5">
        <v>2017</v>
      </c>
      <c r="G30" s="5">
        <v>4.2300000000000004</v>
      </c>
      <c r="I30" s="5">
        <v>9</v>
      </c>
      <c r="J30" s="5"/>
      <c r="K30" s="5"/>
      <c r="L30" s="5"/>
      <c r="M30" s="5">
        <v>9</v>
      </c>
      <c r="N30" s="5"/>
      <c r="O30" s="5"/>
      <c r="P30" s="5"/>
      <c r="Q30" s="5">
        <v>9</v>
      </c>
      <c r="R30" s="5"/>
      <c r="S30" s="5"/>
      <c r="T30" s="5"/>
      <c r="U30" s="5"/>
      <c r="V30" s="5"/>
      <c r="W30" s="5"/>
    </row>
    <row r="31" spans="1:23" x14ac:dyDescent="0.25">
      <c r="A31" s="5">
        <v>10</v>
      </c>
      <c r="B31" s="5">
        <v>2018</v>
      </c>
      <c r="C31" s="95">
        <v>4</v>
      </c>
      <c r="D31" s="5"/>
      <c r="E31" s="5">
        <v>10</v>
      </c>
      <c r="F31" s="5">
        <v>2018</v>
      </c>
      <c r="G31" s="5">
        <v>2.75</v>
      </c>
      <c r="I31" s="5">
        <v>10</v>
      </c>
      <c r="J31" s="5"/>
      <c r="K31" s="5"/>
      <c r="L31" s="5"/>
      <c r="M31" s="5">
        <v>10</v>
      </c>
      <c r="N31" s="5"/>
      <c r="O31" s="5"/>
      <c r="P31" s="5"/>
      <c r="Q31" s="5">
        <v>10</v>
      </c>
      <c r="R31" s="5"/>
      <c r="S31" s="5"/>
      <c r="T31" s="5"/>
      <c r="U31" s="5"/>
      <c r="V31" s="5"/>
      <c r="W31" s="5"/>
    </row>
    <row r="32" spans="1:23" x14ac:dyDescent="0.25">
      <c r="C32" s="189">
        <f>_xlfn.STDEV.P(C22:C31)/AVERAGE(C22:C31)</f>
        <v>0.1021566745698464</v>
      </c>
      <c r="G32" s="189">
        <f>_xlfn.STDEV.P(G23:G31)/AVERAGE(G23:G31)</f>
        <v>0.14369183430874724</v>
      </c>
    </row>
    <row r="33" spans="1:23" ht="15" customHeight="1" x14ac:dyDescent="0.25">
      <c r="E33" s="378" t="s">
        <v>459</v>
      </c>
      <c r="F33" s="378"/>
      <c r="G33" s="378"/>
    </row>
    <row r="34" spans="1:23" ht="15" customHeight="1" x14ac:dyDescent="0.25">
      <c r="E34" s="378"/>
      <c r="F34" s="378"/>
      <c r="G34" s="378"/>
    </row>
    <row r="35" spans="1:23" x14ac:dyDescent="0.25">
      <c r="A35" s="239"/>
      <c r="B35" s="239"/>
      <c r="C35" s="239"/>
      <c r="D35" s="5"/>
      <c r="E35" s="40"/>
      <c r="F35" s="40"/>
      <c r="G35" s="40"/>
      <c r="H35" s="5"/>
      <c r="I35" s="239"/>
      <c r="J35" s="239"/>
      <c r="K35" s="239"/>
      <c r="L35" s="6" t="s">
        <v>353</v>
      </c>
      <c r="M35" s="239"/>
      <c r="N35" s="239"/>
      <c r="O35" s="239"/>
      <c r="P35" s="5"/>
      <c r="Q35" s="239"/>
      <c r="R35" s="239"/>
      <c r="S35" s="239"/>
      <c r="T35" s="5"/>
      <c r="U35" s="239"/>
      <c r="V35" s="239"/>
      <c r="W35" s="239"/>
    </row>
    <row r="36" spans="1:2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 t="s">
        <v>307</v>
      </c>
      <c r="N36" s="5" t="s">
        <v>308</v>
      </c>
      <c r="O36" s="5" t="s">
        <v>309</v>
      </c>
      <c r="P36" s="5" t="s">
        <v>310</v>
      </c>
      <c r="Q36" s="5" t="s">
        <v>311</v>
      </c>
      <c r="R36" s="5"/>
      <c r="S36" s="5"/>
      <c r="T36" s="5"/>
      <c r="U36" s="5"/>
      <c r="V36" s="5"/>
      <c r="W36" s="5"/>
    </row>
    <row r="37" spans="1:2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 t="s">
        <v>312</v>
      </c>
      <c r="M37" s="36" t="s">
        <v>77</v>
      </c>
      <c r="N37" s="36" t="s">
        <v>154</v>
      </c>
      <c r="O37" s="36" t="s">
        <v>155</v>
      </c>
      <c r="P37" s="36" t="s">
        <v>156</v>
      </c>
      <c r="Q37" s="36" t="s">
        <v>154</v>
      </c>
      <c r="R37" s="191">
        <f>AVERAGE(G17,K17,O17,S17,K17)</f>
        <v>7.4222886477002703E-2</v>
      </c>
      <c r="S37" s="5"/>
      <c r="T37" s="5"/>
      <c r="U37" s="5"/>
      <c r="V37" s="5"/>
      <c r="W37" s="5"/>
    </row>
    <row r="38" spans="1:2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 t="s">
        <v>313</v>
      </c>
      <c r="M38" s="36" t="s">
        <v>77</v>
      </c>
      <c r="N38" s="36" t="s">
        <v>154</v>
      </c>
      <c r="O38" s="36" t="s">
        <v>155</v>
      </c>
      <c r="P38" s="36" t="s">
        <v>314</v>
      </c>
      <c r="Q38" s="36" t="s">
        <v>154</v>
      </c>
      <c r="R38" s="191">
        <f>AVERAGE(G17,K17,O17,C32,K17)</f>
        <v>8.4357451238387351E-2</v>
      </c>
      <c r="S38" s="5"/>
      <c r="T38" s="5"/>
      <c r="U38" s="5"/>
      <c r="V38" s="5"/>
      <c r="W38" s="5"/>
    </row>
    <row r="39" spans="1:2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 t="s">
        <v>315</v>
      </c>
      <c r="M39" s="190" t="s">
        <v>77</v>
      </c>
      <c r="N39" s="190" t="s">
        <v>154</v>
      </c>
      <c r="O39" s="190" t="s">
        <v>155</v>
      </c>
      <c r="P39" s="190" t="s">
        <v>316</v>
      </c>
      <c r="Q39" s="36" t="s">
        <v>156</v>
      </c>
      <c r="R39" s="191">
        <f>AVERAGE(G17,K17,O17,G32,S17)</f>
        <v>9.0556877325390014E-2</v>
      </c>
      <c r="S39" s="5"/>
      <c r="T39" s="5"/>
      <c r="U39" s="5"/>
      <c r="V39" s="5"/>
      <c r="W39" s="5"/>
    </row>
    <row r="40" spans="1:2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50" spans="1:23" x14ac:dyDescent="0.25">
      <c r="A50" s="239"/>
      <c r="B50" s="239"/>
      <c r="C50" s="239"/>
      <c r="D50" s="5"/>
      <c r="E50" s="239"/>
      <c r="F50" s="239"/>
      <c r="G50" s="239"/>
      <c r="H50" s="5"/>
      <c r="I50" s="239"/>
      <c r="J50" s="239"/>
      <c r="K50" s="239"/>
      <c r="L50" s="5"/>
      <c r="M50" s="239"/>
      <c r="N50" s="239"/>
      <c r="O50" s="239"/>
      <c r="P50" s="5"/>
      <c r="Q50" s="239"/>
      <c r="R50" s="239"/>
      <c r="S50" s="239"/>
      <c r="T50" s="5"/>
      <c r="U50" s="239"/>
      <c r="V50" s="239"/>
      <c r="W50" s="239"/>
    </row>
    <row r="51" spans="1:2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</sheetData>
  <mergeCells count="24">
    <mergeCell ref="E33:G34"/>
    <mergeCell ref="U5:W5"/>
    <mergeCell ref="A20:C20"/>
    <mergeCell ref="E20:G20"/>
    <mergeCell ref="I20:K20"/>
    <mergeCell ref="M20:O20"/>
    <mergeCell ref="Q20:S20"/>
    <mergeCell ref="U20:W20"/>
    <mergeCell ref="A5:C5"/>
    <mergeCell ref="E5:G5"/>
    <mergeCell ref="I5:K5"/>
    <mergeCell ref="M5:O5"/>
    <mergeCell ref="Q5:S5"/>
    <mergeCell ref="U50:W50"/>
    <mergeCell ref="A35:C35"/>
    <mergeCell ref="I35:K35"/>
    <mergeCell ref="M35:O35"/>
    <mergeCell ref="Q35:S35"/>
    <mergeCell ref="A50:C50"/>
    <mergeCell ref="E50:G50"/>
    <mergeCell ref="I50:K50"/>
    <mergeCell ref="M50:O50"/>
    <mergeCell ref="Q50:S50"/>
    <mergeCell ref="U35:W35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P22" sqref="P22"/>
    </sheetView>
  </sheetViews>
  <sheetFormatPr baseColWidth="10" defaultColWidth="11.42578125" defaultRowHeight="15" x14ac:dyDescent="0.25"/>
  <cols>
    <col min="1" max="1" width="35.28515625" style="5" customWidth="1"/>
    <col min="2" max="2" width="11.42578125" style="5"/>
    <col min="3" max="3" width="13.140625" style="5" bestFit="1" customWidth="1"/>
    <col min="4" max="16384" width="11.42578125" style="5"/>
  </cols>
  <sheetData>
    <row r="1" spans="1:20" x14ac:dyDescent="0.25"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</row>
    <row r="2" spans="1:20" x14ac:dyDescent="0.25">
      <c r="A2" s="5" t="s">
        <v>312</v>
      </c>
      <c r="B2" s="36" t="s">
        <v>77</v>
      </c>
      <c r="C2" s="36" t="s">
        <v>154</v>
      </c>
      <c r="D2" s="36" t="s">
        <v>155</v>
      </c>
      <c r="E2" s="36" t="s">
        <v>156</v>
      </c>
      <c r="F2" s="36" t="s">
        <v>154</v>
      </c>
      <c r="G2" s="36"/>
    </row>
    <row r="3" spans="1:20" x14ac:dyDescent="0.25">
      <c r="A3" s="5" t="s">
        <v>313</v>
      </c>
      <c r="B3" s="36" t="s">
        <v>77</v>
      </c>
      <c r="C3" s="36" t="s">
        <v>154</v>
      </c>
      <c r="D3" s="36" t="s">
        <v>155</v>
      </c>
      <c r="E3" s="36" t="s">
        <v>314</v>
      </c>
      <c r="F3" s="36" t="s">
        <v>154</v>
      </c>
      <c r="G3" s="36"/>
    </row>
    <row r="4" spans="1:20" x14ac:dyDescent="0.25">
      <c r="A4" s="5" t="s">
        <v>315</v>
      </c>
      <c r="B4" s="190" t="s">
        <v>77</v>
      </c>
      <c r="C4" s="190" t="s">
        <v>154</v>
      </c>
      <c r="D4" s="190" t="s">
        <v>155</v>
      </c>
      <c r="E4" s="190" t="s">
        <v>316</v>
      </c>
      <c r="F4" s="36" t="s">
        <v>156</v>
      </c>
      <c r="G4" s="36"/>
    </row>
    <row r="7" spans="1:20" x14ac:dyDescent="0.25">
      <c r="B7" s="36" t="s">
        <v>77</v>
      </c>
      <c r="C7" s="36" t="s">
        <v>154</v>
      </c>
      <c r="D7" s="36" t="s">
        <v>155</v>
      </c>
      <c r="E7" s="36" t="s">
        <v>156</v>
      </c>
      <c r="F7" s="36" t="s">
        <v>154</v>
      </c>
      <c r="G7" s="36"/>
      <c r="I7" s="36" t="s">
        <v>77</v>
      </c>
      <c r="J7" s="36" t="s">
        <v>154</v>
      </c>
      <c r="K7" s="36" t="s">
        <v>155</v>
      </c>
      <c r="L7" s="36" t="s">
        <v>314</v>
      </c>
      <c r="M7" s="36" t="s">
        <v>154</v>
      </c>
      <c r="N7" s="36"/>
      <c r="P7" s="190" t="s">
        <v>77</v>
      </c>
      <c r="Q7" s="190" t="s">
        <v>154</v>
      </c>
      <c r="R7" s="190" t="s">
        <v>155</v>
      </c>
      <c r="S7" s="190" t="s">
        <v>316</v>
      </c>
      <c r="T7" s="36" t="s">
        <v>156</v>
      </c>
    </row>
    <row r="8" spans="1:20" x14ac:dyDescent="0.25">
      <c r="A8" s="5" t="s">
        <v>501</v>
      </c>
      <c r="B8" s="5">
        <v>3.7</v>
      </c>
      <c r="C8" s="5">
        <v>7.5</v>
      </c>
      <c r="D8" s="5">
        <v>7.5</v>
      </c>
      <c r="E8" s="5">
        <v>5.5</v>
      </c>
      <c r="F8" s="5">
        <v>7.5</v>
      </c>
      <c r="I8" s="5">
        <v>3.7</v>
      </c>
      <c r="J8" s="5">
        <v>7.5</v>
      </c>
      <c r="K8" s="5">
        <v>7.5</v>
      </c>
      <c r="L8" s="5">
        <v>4</v>
      </c>
      <c r="M8" s="5">
        <v>7.95</v>
      </c>
      <c r="P8" s="5">
        <v>3.7</v>
      </c>
      <c r="Q8" s="5">
        <v>7.5</v>
      </c>
      <c r="R8" s="5">
        <v>7.5</v>
      </c>
      <c r="S8" s="5">
        <v>5</v>
      </c>
      <c r="T8" s="5">
        <v>5.83</v>
      </c>
    </row>
    <row r="9" spans="1:20" x14ac:dyDescent="0.25">
      <c r="A9" s="217" t="s">
        <v>502</v>
      </c>
      <c r="B9" s="5">
        <v>355</v>
      </c>
      <c r="C9" s="5">
        <v>154</v>
      </c>
      <c r="D9" s="5">
        <v>171.39</v>
      </c>
      <c r="E9" s="5">
        <v>155</v>
      </c>
      <c r="F9" s="5">
        <v>154</v>
      </c>
      <c r="I9" s="5">
        <v>355</v>
      </c>
      <c r="J9" s="5">
        <v>154</v>
      </c>
      <c r="K9" s="5">
        <v>171.39</v>
      </c>
      <c r="L9" s="5">
        <v>235</v>
      </c>
      <c r="M9" s="5">
        <v>154</v>
      </c>
      <c r="P9" s="5">
        <v>355</v>
      </c>
      <c r="Q9" s="5">
        <v>154</v>
      </c>
      <c r="R9" s="5">
        <v>171.39</v>
      </c>
      <c r="S9" s="5">
        <v>235</v>
      </c>
      <c r="T9" s="5">
        <v>155</v>
      </c>
    </row>
    <row r="10" spans="1:20" x14ac:dyDescent="0.25">
      <c r="A10" s="217" t="s">
        <v>503</v>
      </c>
      <c r="B10" s="5">
        <f>B8*B9</f>
        <v>1313.5</v>
      </c>
      <c r="C10" s="5">
        <f>C8*C9</f>
        <v>1155</v>
      </c>
      <c r="D10" s="5">
        <f>D8*D9</f>
        <v>1285.425</v>
      </c>
      <c r="E10" s="5">
        <f>E8*E9</f>
        <v>852.5</v>
      </c>
      <c r="F10" s="5">
        <f>F8*F9</f>
        <v>1155</v>
      </c>
      <c r="I10" s="5">
        <f>I8*I9</f>
        <v>1313.5</v>
      </c>
      <c r="J10" s="5">
        <f>J8*J9</f>
        <v>1155</v>
      </c>
      <c r="K10" s="5">
        <f>K8*K9</f>
        <v>1285.425</v>
      </c>
      <c r="L10" s="5">
        <f t="shared" ref="L10:M10" si="0">L8*L9</f>
        <v>940</v>
      </c>
      <c r="M10" s="5">
        <f t="shared" si="0"/>
        <v>1224.3</v>
      </c>
      <c r="P10" s="5">
        <f>P8*P9</f>
        <v>1313.5</v>
      </c>
      <c r="Q10" s="5">
        <f>Q8*Q9</f>
        <v>1155</v>
      </c>
      <c r="R10" s="5">
        <f>R8*R9</f>
        <v>1285.425</v>
      </c>
      <c r="S10" s="5">
        <f>S8*S9</f>
        <v>1175</v>
      </c>
      <c r="T10" s="5">
        <f>T8*T9</f>
        <v>903.65</v>
      </c>
    </row>
    <row r="11" spans="1:20" x14ac:dyDescent="0.25">
      <c r="A11" s="192" t="s">
        <v>504</v>
      </c>
      <c r="C11" s="5">
        <v>4.0999999999999996</v>
      </c>
      <c r="D11" s="5">
        <v>4.7</v>
      </c>
      <c r="E11" s="5">
        <v>2.9</v>
      </c>
      <c r="F11" s="5">
        <v>4.0999999999999996</v>
      </c>
      <c r="J11" s="5">
        <v>4.0999999999999996</v>
      </c>
      <c r="K11" s="5">
        <v>4.7</v>
      </c>
      <c r="M11" s="5">
        <v>4.3499999999999996</v>
      </c>
      <c r="Q11" s="5">
        <v>4.0999999999999996</v>
      </c>
      <c r="R11" s="5">
        <v>4.7</v>
      </c>
      <c r="T11" s="5">
        <v>3.1</v>
      </c>
    </row>
    <row r="12" spans="1:20" x14ac:dyDescent="0.25">
      <c r="A12" s="217" t="s">
        <v>502</v>
      </c>
      <c r="C12" s="5">
        <v>62.89</v>
      </c>
      <c r="D12" s="5">
        <v>57.13</v>
      </c>
      <c r="E12" s="5">
        <v>63</v>
      </c>
      <c r="F12" s="5">
        <v>62.89</v>
      </c>
      <c r="J12" s="5">
        <v>62.89</v>
      </c>
      <c r="K12" s="5">
        <v>57.13</v>
      </c>
      <c r="M12" s="5">
        <v>62.89</v>
      </c>
      <c r="Q12" s="5">
        <v>62.89</v>
      </c>
      <c r="R12" s="5">
        <v>57.13</v>
      </c>
      <c r="T12" s="5">
        <v>63</v>
      </c>
    </row>
    <row r="13" spans="1:20" x14ac:dyDescent="0.25">
      <c r="A13" s="217" t="s">
        <v>503</v>
      </c>
      <c r="C13" s="5">
        <f>C11*C12</f>
        <v>257.84899999999999</v>
      </c>
      <c r="D13" s="5">
        <f t="shared" ref="D13:F13" si="1">D11*D12</f>
        <v>268.51100000000002</v>
      </c>
      <c r="E13" s="5">
        <f t="shared" si="1"/>
        <v>182.7</v>
      </c>
      <c r="F13" s="5">
        <f t="shared" si="1"/>
        <v>257.84899999999999</v>
      </c>
      <c r="J13" s="5">
        <f>J11*J12</f>
        <v>257.84899999999999</v>
      </c>
      <c r="K13" s="5">
        <f t="shared" ref="K13:M13" si="2">K11*K12</f>
        <v>268.51100000000002</v>
      </c>
      <c r="L13" s="5">
        <f t="shared" si="2"/>
        <v>0</v>
      </c>
      <c r="M13" s="5">
        <f t="shared" si="2"/>
        <v>273.57149999999996</v>
      </c>
      <c r="Q13" s="5">
        <f>Q11*Q12</f>
        <v>257.84899999999999</v>
      </c>
      <c r="R13" s="5">
        <f t="shared" ref="R13" si="3">R11*R12</f>
        <v>268.51100000000002</v>
      </c>
      <c r="T13" s="5">
        <f t="shared" ref="T13" si="4">T11*T12</f>
        <v>195.3</v>
      </c>
    </row>
    <row r="14" spans="1:20" x14ac:dyDescent="0.25">
      <c r="A14" s="217" t="s">
        <v>505</v>
      </c>
      <c r="B14" s="5">
        <f>B31</f>
        <v>511.05</v>
      </c>
      <c r="C14" s="5">
        <f t="shared" ref="C14:F14" si="5">C31</f>
        <v>581.21</v>
      </c>
      <c r="D14" s="5">
        <f t="shared" si="5"/>
        <v>502.05</v>
      </c>
      <c r="E14" s="5">
        <f t="shared" si="5"/>
        <v>457</v>
      </c>
      <c r="F14" s="5">
        <f t="shared" si="5"/>
        <v>581.21</v>
      </c>
      <c r="I14" s="5">
        <f>I31</f>
        <v>511.05</v>
      </c>
      <c r="J14" s="5">
        <f t="shared" ref="J14:M14" si="6">J31</f>
        <v>581.21</v>
      </c>
      <c r="K14" s="5">
        <f t="shared" si="6"/>
        <v>502.05</v>
      </c>
      <c r="L14" s="5">
        <f t="shared" si="6"/>
        <v>466.96000000000004</v>
      </c>
      <c r="M14" s="5">
        <f t="shared" si="6"/>
        <v>555.21</v>
      </c>
      <c r="P14" s="5">
        <f>P31</f>
        <v>511.05</v>
      </c>
      <c r="Q14" s="5">
        <f t="shared" ref="Q14:T14" si="7">Q31</f>
        <v>581.21</v>
      </c>
      <c r="R14" s="5">
        <f t="shared" si="7"/>
        <v>502.05</v>
      </c>
      <c r="S14" s="5">
        <f t="shared" si="7"/>
        <v>415</v>
      </c>
      <c r="T14" s="5">
        <f t="shared" si="7"/>
        <v>392</v>
      </c>
    </row>
    <row r="15" spans="1:20" x14ac:dyDescent="0.25">
      <c r="A15" s="217" t="s">
        <v>506</v>
      </c>
      <c r="B15" s="5">
        <f>B10+B13-B14</f>
        <v>802.45</v>
      </c>
      <c r="C15" s="5">
        <f t="shared" ref="C15:F15" si="8">C10+C13-C14</f>
        <v>831.6389999999999</v>
      </c>
      <c r="D15" s="5">
        <f t="shared" si="8"/>
        <v>1051.886</v>
      </c>
      <c r="E15" s="5">
        <f t="shared" si="8"/>
        <v>578.20000000000005</v>
      </c>
      <c r="F15" s="5">
        <f t="shared" si="8"/>
        <v>831.6389999999999</v>
      </c>
      <c r="I15" s="5">
        <f>I10+I13-I14</f>
        <v>802.45</v>
      </c>
      <c r="J15" s="5">
        <f t="shared" ref="J15:M15" si="9">J10+J13-J14</f>
        <v>831.6389999999999</v>
      </c>
      <c r="K15" s="5">
        <f t="shared" si="9"/>
        <v>1051.886</v>
      </c>
      <c r="L15" s="5">
        <f t="shared" si="9"/>
        <v>473.03999999999996</v>
      </c>
      <c r="M15" s="5">
        <f t="shared" si="9"/>
        <v>942.66149999999993</v>
      </c>
      <c r="P15" s="5">
        <f>P10+P13-P14</f>
        <v>802.45</v>
      </c>
      <c r="Q15" s="5">
        <f t="shared" ref="Q15:T15" si="10">Q10+Q13-Q14</f>
        <v>831.6389999999999</v>
      </c>
      <c r="R15" s="5">
        <f t="shared" si="10"/>
        <v>1051.886</v>
      </c>
      <c r="S15" s="5">
        <f t="shared" si="10"/>
        <v>760</v>
      </c>
      <c r="T15" s="5">
        <f t="shared" si="10"/>
        <v>706.95</v>
      </c>
    </row>
    <row r="17" spans="1:20" x14ac:dyDescent="0.25">
      <c r="A17" s="217" t="s">
        <v>507</v>
      </c>
      <c r="L17" s="5">
        <f>L8*B42-L14</f>
        <v>631.04</v>
      </c>
      <c r="S17" s="5">
        <f>S8*B43-S14</f>
        <v>955</v>
      </c>
    </row>
    <row r="19" spans="1:20" x14ac:dyDescent="0.25">
      <c r="A19" s="217" t="s">
        <v>508</v>
      </c>
      <c r="B19" s="5">
        <f>AVERAGE(B15:F15)</f>
        <v>819.16280000000006</v>
      </c>
      <c r="I19" s="5">
        <f>AVERAGE(I15:M15)</f>
        <v>820.33529999999996</v>
      </c>
      <c r="P19" s="5">
        <f>AVERAGE(P15:T15)</f>
        <v>830.58500000000004</v>
      </c>
    </row>
    <row r="21" spans="1:20" x14ac:dyDescent="0.25">
      <c r="A21" s="217" t="s">
        <v>509</v>
      </c>
      <c r="I21" s="5">
        <f>AVERAGE(I15:K15,L17,M15)</f>
        <v>851.93529999999987</v>
      </c>
      <c r="P21" s="5">
        <f>AVERAGE(P15:R15,S17,T15)</f>
        <v>869.58500000000004</v>
      </c>
    </row>
    <row r="24" spans="1:20" x14ac:dyDescent="0.25">
      <c r="A24" s="5" t="s">
        <v>36</v>
      </c>
      <c r="B24" s="5">
        <v>63.01</v>
      </c>
      <c r="C24" s="5">
        <v>99.47</v>
      </c>
      <c r="D24" s="5">
        <v>91.41</v>
      </c>
      <c r="E24" s="5">
        <v>91</v>
      </c>
      <c r="F24" s="5">
        <v>99.47</v>
      </c>
      <c r="I24" s="5">
        <v>63.01</v>
      </c>
      <c r="J24" s="5">
        <v>99.47</v>
      </c>
      <c r="K24" s="5">
        <v>91.41</v>
      </c>
      <c r="L24" s="5">
        <v>151.96</v>
      </c>
      <c r="M24" s="5">
        <v>99.47</v>
      </c>
      <c r="P24" s="5">
        <v>63.01</v>
      </c>
      <c r="Q24" s="5">
        <v>99.47</v>
      </c>
      <c r="R24" s="5">
        <v>91.41</v>
      </c>
      <c r="S24" s="5">
        <v>130</v>
      </c>
      <c r="T24" s="5">
        <v>91</v>
      </c>
    </row>
    <row r="25" spans="1:20" x14ac:dyDescent="0.25">
      <c r="A25" s="5" t="s">
        <v>72</v>
      </c>
      <c r="B25" s="5">
        <v>205</v>
      </c>
      <c r="C25" s="5">
        <v>254.97</v>
      </c>
      <c r="D25" s="5">
        <v>220.52</v>
      </c>
      <c r="E25" s="5">
        <v>194</v>
      </c>
      <c r="F25" s="5">
        <v>254.97</v>
      </c>
      <c r="I25" s="5">
        <v>205</v>
      </c>
      <c r="J25" s="5">
        <v>254.97</v>
      </c>
      <c r="K25" s="5">
        <v>220.52</v>
      </c>
      <c r="L25" s="5">
        <v>86</v>
      </c>
      <c r="M25" s="5">
        <v>228.97</v>
      </c>
      <c r="P25" s="5">
        <v>205</v>
      </c>
      <c r="Q25" s="5">
        <v>254.97</v>
      </c>
      <c r="R25" s="5">
        <v>220.52</v>
      </c>
      <c r="S25" s="5">
        <v>60</v>
      </c>
      <c r="T25" s="5">
        <v>129</v>
      </c>
    </row>
    <row r="26" spans="1:20" x14ac:dyDescent="0.25">
      <c r="A26" s="5" t="s">
        <v>42</v>
      </c>
      <c r="B26" s="5">
        <v>133</v>
      </c>
      <c r="C26" s="5">
        <v>125.77</v>
      </c>
      <c r="D26" s="5">
        <v>89.12</v>
      </c>
      <c r="E26" s="5">
        <v>71</v>
      </c>
      <c r="F26" s="5">
        <v>125.77</v>
      </c>
      <c r="I26" s="5">
        <v>133</v>
      </c>
      <c r="J26" s="5">
        <v>125.77</v>
      </c>
      <c r="K26" s="5">
        <v>89.12</v>
      </c>
      <c r="L26" s="5">
        <v>128</v>
      </c>
      <c r="M26" s="5">
        <v>125.77</v>
      </c>
      <c r="P26" s="5">
        <v>133</v>
      </c>
      <c r="Q26" s="5">
        <v>125.77</v>
      </c>
      <c r="R26" s="5">
        <v>89.12</v>
      </c>
      <c r="S26" s="5">
        <v>124</v>
      </c>
      <c r="T26" s="5">
        <v>71</v>
      </c>
    </row>
    <row r="27" spans="1:20" x14ac:dyDescent="0.25">
      <c r="A27" s="5" t="s">
        <v>43</v>
      </c>
      <c r="B27" s="5">
        <v>110.04</v>
      </c>
      <c r="C27" s="5">
        <v>101</v>
      </c>
      <c r="D27" s="5">
        <v>101</v>
      </c>
      <c r="E27" s="5">
        <v>101</v>
      </c>
      <c r="F27" s="5">
        <v>101</v>
      </c>
      <c r="I27" s="5">
        <v>110.04</v>
      </c>
      <c r="J27" s="5">
        <v>101</v>
      </c>
      <c r="K27" s="5">
        <v>101</v>
      </c>
      <c r="L27" s="5">
        <v>101</v>
      </c>
      <c r="M27" s="5">
        <v>101</v>
      </c>
      <c r="P27" s="5">
        <v>110.04</v>
      </c>
      <c r="Q27" s="5">
        <v>101</v>
      </c>
      <c r="R27" s="5">
        <v>101</v>
      </c>
      <c r="S27" s="5">
        <v>101</v>
      </c>
      <c r="T27" s="5">
        <v>101</v>
      </c>
    </row>
    <row r="28" spans="1:20" x14ac:dyDescent="0.25">
      <c r="A28" s="5" t="s">
        <v>44</v>
      </c>
      <c r="B28" s="5" t="s">
        <v>84</v>
      </c>
      <c r="C28" s="5" t="s">
        <v>84</v>
      </c>
      <c r="D28" s="5" t="s">
        <v>193</v>
      </c>
      <c r="E28" s="5" t="s">
        <v>193</v>
      </c>
      <c r="F28" s="5" t="s">
        <v>84</v>
      </c>
      <c r="I28" s="5" t="s">
        <v>84</v>
      </c>
      <c r="J28" s="5" t="s">
        <v>84</v>
      </c>
      <c r="K28" s="5" t="s">
        <v>193</v>
      </c>
      <c r="L28" s="5" t="s">
        <v>193</v>
      </c>
      <c r="M28" s="5" t="s">
        <v>84</v>
      </c>
      <c r="P28" s="5" t="s">
        <v>84</v>
      </c>
      <c r="Q28" s="5" t="s">
        <v>84</v>
      </c>
      <c r="R28" s="5" t="s">
        <v>193</v>
      </c>
      <c r="S28" s="5" t="s">
        <v>193</v>
      </c>
      <c r="T28" s="5" t="s">
        <v>193</v>
      </c>
    </row>
    <row r="29" spans="1:20" x14ac:dyDescent="0.25">
      <c r="A29" s="5" t="s">
        <v>45</v>
      </c>
      <c r="B29" s="5" t="s">
        <v>84</v>
      </c>
      <c r="C29" s="5" t="s">
        <v>84</v>
      </c>
      <c r="D29" s="5" t="s">
        <v>193</v>
      </c>
      <c r="E29" s="5" t="s">
        <v>193</v>
      </c>
      <c r="F29" s="5" t="s">
        <v>84</v>
      </c>
      <c r="I29" s="5" t="s">
        <v>84</v>
      </c>
      <c r="J29" s="5" t="s">
        <v>84</v>
      </c>
      <c r="K29" s="5" t="s">
        <v>193</v>
      </c>
      <c r="L29" s="5" t="s">
        <v>193</v>
      </c>
      <c r="M29" s="5" t="s">
        <v>84</v>
      </c>
      <c r="P29" s="5" t="s">
        <v>84</v>
      </c>
      <c r="Q29" s="5" t="s">
        <v>84</v>
      </c>
      <c r="R29" s="5" t="s">
        <v>193</v>
      </c>
      <c r="S29" s="5" t="s">
        <v>193</v>
      </c>
      <c r="T29" s="5" t="s">
        <v>193</v>
      </c>
    </row>
    <row r="30" spans="1:20" x14ac:dyDescent="0.25">
      <c r="A30" s="5" t="s">
        <v>46</v>
      </c>
      <c r="B30" s="5" t="s">
        <v>84</v>
      </c>
      <c r="C30" s="5" t="s">
        <v>84</v>
      </c>
      <c r="D30" s="5" t="s">
        <v>193</v>
      </c>
      <c r="E30" s="5" t="s">
        <v>193</v>
      </c>
      <c r="F30" s="5" t="s">
        <v>84</v>
      </c>
      <c r="I30" s="5" t="s">
        <v>84</v>
      </c>
      <c r="J30" s="5" t="s">
        <v>84</v>
      </c>
      <c r="K30" s="5" t="s">
        <v>193</v>
      </c>
      <c r="L30" s="5" t="s">
        <v>193</v>
      </c>
      <c r="M30" s="5" t="s">
        <v>84</v>
      </c>
      <c r="P30" s="5" t="s">
        <v>84</v>
      </c>
      <c r="Q30" s="5" t="s">
        <v>84</v>
      </c>
      <c r="R30" s="5" t="s">
        <v>193</v>
      </c>
      <c r="S30" s="5" t="s">
        <v>193</v>
      </c>
      <c r="T30" s="5" t="s">
        <v>193</v>
      </c>
    </row>
    <row r="31" spans="1:20" x14ac:dyDescent="0.25">
      <c r="A31" s="5" t="s">
        <v>47</v>
      </c>
      <c r="B31" s="5">
        <f>SUM(B24:B27)</f>
        <v>511.05</v>
      </c>
      <c r="C31" s="5">
        <f>SUM(C24:C27)</f>
        <v>581.21</v>
      </c>
      <c r="D31" s="5">
        <f t="shared" ref="D31:F31" si="11">SUM(D24:D27)</f>
        <v>502.05</v>
      </c>
      <c r="E31" s="5">
        <f t="shared" si="11"/>
        <v>457</v>
      </c>
      <c r="F31" s="5">
        <f t="shared" si="11"/>
        <v>581.21</v>
      </c>
      <c r="I31" s="5">
        <f>SUM(I24:I27)</f>
        <v>511.05</v>
      </c>
      <c r="J31" s="5">
        <f>SUM(J24:J27)</f>
        <v>581.21</v>
      </c>
      <c r="K31" s="5">
        <f t="shared" ref="K31:M31" si="12">SUM(K24:K27)</f>
        <v>502.05</v>
      </c>
      <c r="L31" s="5">
        <f t="shared" si="12"/>
        <v>466.96000000000004</v>
      </c>
      <c r="M31" s="5">
        <f t="shared" si="12"/>
        <v>555.21</v>
      </c>
      <c r="P31" s="5">
        <f>SUM(P24:P27)</f>
        <v>511.05</v>
      </c>
      <c r="Q31" s="5">
        <f>SUM(Q24:Q27)</f>
        <v>581.21</v>
      </c>
      <c r="R31" s="5">
        <f t="shared" ref="R31:S31" si="13">SUM(R24:R27)</f>
        <v>502.05</v>
      </c>
      <c r="S31" s="5">
        <f t="shared" si="13"/>
        <v>415</v>
      </c>
      <c r="T31" s="5">
        <f>SUM(T24:T27)</f>
        <v>392</v>
      </c>
    </row>
    <row r="35" spans="1:3" x14ac:dyDescent="0.25">
      <c r="A35" s="217" t="s">
        <v>510</v>
      </c>
    </row>
    <row r="37" spans="1:3" x14ac:dyDescent="0.25">
      <c r="A37" s="217" t="s">
        <v>511</v>
      </c>
    </row>
    <row r="38" spans="1:3" x14ac:dyDescent="0.25">
      <c r="A38" s="5" t="s">
        <v>350</v>
      </c>
      <c r="B38" s="217">
        <v>383.6</v>
      </c>
    </row>
    <row r="39" spans="1:3" x14ac:dyDescent="0.25">
      <c r="A39" s="5" t="s">
        <v>351</v>
      </c>
      <c r="B39" s="199">
        <v>176.6</v>
      </c>
    </row>
    <row r="41" spans="1:3" x14ac:dyDescent="0.25">
      <c r="A41" s="217" t="s">
        <v>512</v>
      </c>
    </row>
    <row r="42" spans="1:3" x14ac:dyDescent="0.25">
      <c r="A42" s="5" t="s">
        <v>218</v>
      </c>
      <c r="B42" s="217">
        <v>274.5</v>
      </c>
    </row>
    <row r="43" spans="1:3" x14ac:dyDescent="0.25">
      <c r="A43" s="5" t="s">
        <v>316</v>
      </c>
      <c r="B43" s="217">
        <v>274</v>
      </c>
    </row>
    <row r="47" spans="1:3" x14ac:dyDescent="0.25">
      <c r="A47" s="217" t="s">
        <v>513</v>
      </c>
      <c r="B47" s="217"/>
      <c r="C47" s="217"/>
    </row>
    <row r="48" spans="1:3" x14ac:dyDescent="0.25">
      <c r="A48" s="217" t="s">
        <v>514</v>
      </c>
      <c r="B48" s="217"/>
      <c r="C48" s="217"/>
    </row>
    <row r="49" spans="1:3" x14ac:dyDescent="0.25">
      <c r="A49" s="217" t="s">
        <v>515</v>
      </c>
      <c r="B49" s="217"/>
      <c r="C49" s="217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B4" workbookViewId="0">
      <selection activeCell="S40" sqref="S40"/>
    </sheetView>
  </sheetViews>
  <sheetFormatPr baseColWidth="10" defaultColWidth="11.42578125" defaultRowHeight="15" x14ac:dyDescent="0.25"/>
  <cols>
    <col min="1" max="1" width="25.85546875" style="5" customWidth="1"/>
    <col min="2" max="7" width="11.42578125" style="5"/>
    <col min="8" max="8" width="22.28515625" style="5" bestFit="1" customWidth="1"/>
    <col min="9" max="14" width="11.42578125" style="5"/>
    <col min="15" max="15" width="22.28515625" style="5" bestFit="1" customWidth="1"/>
    <col min="16" max="16384" width="11.42578125" style="5"/>
  </cols>
  <sheetData>
    <row r="1" spans="1:20" x14ac:dyDescent="0.25"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</row>
    <row r="2" spans="1:20" x14ac:dyDescent="0.25">
      <c r="A2" s="5" t="s">
        <v>312</v>
      </c>
      <c r="B2" s="36" t="s">
        <v>77</v>
      </c>
      <c r="C2" s="36" t="s">
        <v>154</v>
      </c>
      <c r="D2" s="36" t="s">
        <v>155</v>
      </c>
      <c r="E2" s="36" t="s">
        <v>156</v>
      </c>
      <c r="F2" s="36" t="s">
        <v>154</v>
      </c>
    </row>
    <row r="3" spans="1:20" x14ac:dyDescent="0.25">
      <c r="A3" s="5" t="s">
        <v>313</v>
      </c>
      <c r="B3" s="36" t="s">
        <v>77</v>
      </c>
      <c r="C3" s="36" t="s">
        <v>154</v>
      </c>
      <c r="D3" s="36" t="s">
        <v>155</v>
      </c>
      <c r="E3" s="36" t="s">
        <v>314</v>
      </c>
      <c r="F3" s="36" t="s">
        <v>154</v>
      </c>
    </row>
    <row r="4" spans="1:20" x14ac:dyDescent="0.25">
      <c r="A4" s="5" t="s">
        <v>315</v>
      </c>
      <c r="B4" s="190" t="s">
        <v>77</v>
      </c>
      <c r="C4" s="190" t="s">
        <v>154</v>
      </c>
      <c r="D4" s="190" t="s">
        <v>155</v>
      </c>
      <c r="E4" s="190" t="s">
        <v>316</v>
      </c>
      <c r="F4" s="36" t="s">
        <v>156</v>
      </c>
    </row>
    <row r="7" spans="1:20" x14ac:dyDescent="0.25">
      <c r="A7" s="207"/>
      <c r="B7" s="204" t="s">
        <v>77</v>
      </c>
      <c r="C7" s="204" t="s">
        <v>154</v>
      </c>
      <c r="D7" s="204" t="s">
        <v>155</v>
      </c>
      <c r="E7" s="204" t="s">
        <v>156</v>
      </c>
      <c r="F7" s="204" t="s">
        <v>154</v>
      </c>
      <c r="G7" s="6"/>
      <c r="H7" s="209"/>
      <c r="I7" s="204" t="s">
        <v>77</v>
      </c>
      <c r="J7" s="204" t="s">
        <v>154</v>
      </c>
      <c r="K7" s="204" t="s">
        <v>155</v>
      </c>
      <c r="L7" s="204" t="s">
        <v>314</v>
      </c>
      <c r="M7" s="204" t="s">
        <v>154</v>
      </c>
      <c r="N7" s="204"/>
      <c r="O7" s="209"/>
      <c r="P7" s="205" t="s">
        <v>77</v>
      </c>
      <c r="Q7" s="205" t="s">
        <v>154</v>
      </c>
      <c r="R7" s="205" t="s">
        <v>155</v>
      </c>
      <c r="S7" s="205" t="s">
        <v>316</v>
      </c>
      <c r="T7" s="204" t="s">
        <v>156</v>
      </c>
    </row>
    <row r="8" spans="1:20" x14ac:dyDescent="0.25">
      <c r="A8" s="208" t="s">
        <v>501</v>
      </c>
      <c r="B8" s="206">
        <v>3.7</v>
      </c>
      <c r="C8" s="206">
        <v>7.5</v>
      </c>
      <c r="D8" s="206">
        <v>7.5</v>
      </c>
      <c r="E8" s="206">
        <v>5.5</v>
      </c>
      <c r="F8" s="206">
        <v>7.5</v>
      </c>
      <c r="G8" s="206"/>
      <c r="H8" s="208" t="s">
        <v>501</v>
      </c>
      <c r="I8" s="206">
        <v>3.7</v>
      </c>
      <c r="J8" s="206">
        <v>7.5</v>
      </c>
      <c r="K8" s="206">
        <v>7.5</v>
      </c>
      <c r="L8" s="206">
        <v>4</v>
      </c>
      <c r="M8" s="206">
        <v>7.95</v>
      </c>
      <c r="N8" s="206"/>
      <c r="O8" s="208" t="s">
        <v>501</v>
      </c>
      <c r="P8" s="206">
        <v>3.7</v>
      </c>
      <c r="Q8" s="206">
        <v>7.5</v>
      </c>
      <c r="R8" s="206">
        <v>7.5</v>
      </c>
      <c r="S8" s="206">
        <v>5</v>
      </c>
      <c r="T8" s="206">
        <v>5.83</v>
      </c>
    </row>
    <row r="9" spans="1:20" x14ac:dyDescent="0.25">
      <c r="A9" s="209" t="s">
        <v>354</v>
      </c>
      <c r="B9" s="5">
        <f>VLOOKUP('N fertilizer'!B10,'N2O default values'!I1:J5,2,FALSE)*'N fertilizer'!B13+VLOOKUP('N fertilizer'!B10,'N2O default values'!I1:J5,2,FALSE)*'N fertilizer'!B18+VLOOKUP('N fertilizer'!B10,'N2O default values'!I1:J5,2,FALSE)*'N fertilizer'!B13</f>
        <v>23.013299999999997</v>
      </c>
      <c r="H9" s="209" t="s">
        <v>354</v>
      </c>
      <c r="O9" s="209" t="s">
        <v>354</v>
      </c>
    </row>
    <row r="10" spans="1:20" x14ac:dyDescent="0.25">
      <c r="A10" s="207" t="s">
        <v>32</v>
      </c>
      <c r="B10" s="192" t="s">
        <v>168</v>
      </c>
      <c r="C10" s="192" t="s">
        <v>168</v>
      </c>
      <c r="D10" s="192" t="s">
        <v>168</v>
      </c>
      <c r="E10" s="192" t="s">
        <v>168</v>
      </c>
      <c r="F10" s="192" t="s">
        <v>168</v>
      </c>
      <c r="H10" s="207" t="s">
        <v>32</v>
      </c>
      <c r="I10" s="192" t="s">
        <v>168</v>
      </c>
      <c r="J10" s="192" t="s">
        <v>168</v>
      </c>
      <c r="K10" s="192" t="s">
        <v>168</v>
      </c>
      <c r="L10" s="192" t="s">
        <v>179</v>
      </c>
      <c r="M10" s="192" t="s">
        <v>168</v>
      </c>
      <c r="O10" s="207" t="s">
        <v>32</v>
      </c>
      <c r="P10" s="192" t="s">
        <v>168</v>
      </c>
      <c r="Q10" s="192" t="s">
        <v>168</v>
      </c>
      <c r="R10" s="192" t="s">
        <v>168</v>
      </c>
      <c r="T10" s="5" t="s">
        <v>168</v>
      </c>
    </row>
    <row r="11" spans="1:20" x14ac:dyDescent="0.25">
      <c r="A11" s="207" t="s">
        <v>317</v>
      </c>
      <c r="B11" s="191">
        <v>0.34499999999999997</v>
      </c>
      <c r="C11" s="191">
        <v>0.34499999999999997</v>
      </c>
      <c r="D11" s="191">
        <v>0.34499999999999997</v>
      </c>
      <c r="E11" s="191">
        <v>0.34499999999999997</v>
      </c>
      <c r="F11" s="191">
        <v>0.34499999999999997</v>
      </c>
      <c r="H11" s="207" t="s">
        <v>317</v>
      </c>
      <c r="I11" s="191">
        <v>0.34499999999999997</v>
      </c>
      <c r="J11" s="191">
        <v>0.34499999999999997</v>
      </c>
      <c r="K11" s="191">
        <v>0.34499999999999997</v>
      </c>
      <c r="L11" s="191">
        <v>0.12</v>
      </c>
      <c r="M11" s="191">
        <v>0.34499999999999997</v>
      </c>
      <c r="O11" s="207" t="s">
        <v>317</v>
      </c>
      <c r="P11" s="191">
        <v>0.34499999999999997</v>
      </c>
      <c r="Q11" s="191">
        <v>0.34499999999999997</v>
      </c>
      <c r="R11" s="191">
        <v>0.34499999999999997</v>
      </c>
      <c r="S11" s="191"/>
      <c r="T11" s="191">
        <v>0.34499999999999997</v>
      </c>
    </row>
    <row r="12" spans="1:20" x14ac:dyDescent="0.25">
      <c r="A12" s="207" t="s">
        <v>516</v>
      </c>
      <c r="B12" s="5">
        <v>667</v>
      </c>
      <c r="C12" s="5">
        <v>475</v>
      </c>
      <c r="D12" s="5">
        <v>350</v>
      </c>
      <c r="E12" s="5">
        <v>375</v>
      </c>
      <c r="F12" s="5">
        <v>475</v>
      </c>
      <c r="H12" s="207" t="s">
        <v>516</v>
      </c>
      <c r="I12" s="5">
        <v>667</v>
      </c>
      <c r="J12" s="5">
        <v>475</v>
      </c>
      <c r="K12" s="5">
        <v>350</v>
      </c>
      <c r="L12" s="5">
        <v>173</v>
      </c>
      <c r="M12" s="5">
        <v>200</v>
      </c>
      <c r="O12" s="207" t="s">
        <v>516</v>
      </c>
      <c r="P12" s="5">
        <v>667</v>
      </c>
      <c r="Q12" s="5">
        <v>475</v>
      </c>
      <c r="R12" s="5">
        <v>350</v>
      </c>
      <c r="T12" s="5">
        <v>190</v>
      </c>
    </row>
    <row r="13" spans="1:20" x14ac:dyDescent="0.25">
      <c r="A13" s="207" t="s">
        <v>517</v>
      </c>
      <c r="B13" s="5">
        <f>B11*B12</f>
        <v>230.11499999999998</v>
      </c>
      <c r="C13" s="5">
        <f>C11*C12</f>
        <v>163.875</v>
      </c>
      <c r="D13" s="5">
        <f t="shared" ref="D13:E13" si="0">D11*D12</f>
        <v>120.74999999999999</v>
      </c>
      <c r="E13" s="5">
        <f t="shared" si="0"/>
        <v>129.375</v>
      </c>
      <c r="F13" s="5">
        <f>F11*F12</f>
        <v>163.875</v>
      </c>
      <c r="H13" s="207" t="s">
        <v>517</v>
      </c>
      <c r="I13" s="5">
        <f>I11*I12</f>
        <v>230.11499999999998</v>
      </c>
      <c r="J13" s="5">
        <f>J11*J12</f>
        <v>163.875</v>
      </c>
      <c r="K13" s="5">
        <f t="shared" ref="K13:M13" si="1">K11*K12</f>
        <v>120.74999999999999</v>
      </c>
      <c r="L13" s="5">
        <f t="shared" si="1"/>
        <v>20.759999999999998</v>
      </c>
      <c r="M13" s="5">
        <f t="shared" si="1"/>
        <v>69</v>
      </c>
      <c r="O13" s="207" t="s">
        <v>517</v>
      </c>
      <c r="P13" s="5">
        <f>P11*P12</f>
        <v>230.11499999999998</v>
      </c>
      <c r="Q13" s="5">
        <f>Q11*Q12</f>
        <v>163.875</v>
      </c>
      <c r="R13" s="5">
        <f t="shared" ref="R13:T13" si="2">R11*R12</f>
        <v>120.74999999999999</v>
      </c>
      <c r="T13" s="5">
        <f t="shared" si="2"/>
        <v>65.55</v>
      </c>
    </row>
    <row r="14" spans="1:20" x14ac:dyDescent="0.25">
      <c r="A14" s="207"/>
      <c r="H14" s="207"/>
      <c r="O14" s="207"/>
    </row>
    <row r="15" spans="1:20" x14ac:dyDescent="0.25">
      <c r="A15" s="207" t="s">
        <v>32</v>
      </c>
      <c r="B15" s="5" t="s">
        <v>112</v>
      </c>
      <c r="H15" s="207" t="s">
        <v>32</v>
      </c>
      <c r="I15" s="5" t="s">
        <v>112</v>
      </c>
      <c r="O15" s="207" t="s">
        <v>32</v>
      </c>
      <c r="P15" s="5" t="s">
        <v>112</v>
      </c>
    </row>
    <row r="16" spans="1:20" x14ac:dyDescent="0.25">
      <c r="A16" s="207" t="s">
        <v>317</v>
      </c>
      <c r="B16" s="193">
        <v>6.0000000000000001E-3</v>
      </c>
      <c r="E16" s="191"/>
      <c r="H16" s="207" t="s">
        <v>317</v>
      </c>
      <c r="I16" s="193">
        <v>6.0000000000000001E-3</v>
      </c>
      <c r="O16" s="207" t="s">
        <v>317</v>
      </c>
      <c r="P16" s="193">
        <v>6.0000000000000001E-3</v>
      </c>
      <c r="T16" s="191"/>
    </row>
    <row r="17" spans="1:20" x14ac:dyDescent="0.25">
      <c r="A17" s="207" t="s">
        <v>516</v>
      </c>
      <c r="B17" s="5">
        <v>6</v>
      </c>
      <c r="H17" s="207" t="s">
        <v>516</v>
      </c>
      <c r="I17" s="5">
        <v>6</v>
      </c>
      <c r="O17" s="207" t="s">
        <v>516</v>
      </c>
      <c r="P17" s="5">
        <v>6</v>
      </c>
    </row>
    <row r="18" spans="1:20" x14ac:dyDescent="0.25">
      <c r="A18" s="207" t="s">
        <v>517</v>
      </c>
      <c r="B18" s="5">
        <f>B16*B17</f>
        <v>3.6000000000000004E-2</v>
      </c>
      <c r="H18" s="207" t="s">
        <v>517</v>
      </c>
      <c r="I18" s="5">
        <f>I16*I17</f>
        <v>3.6000000000000004E-2</v>
      </c>
      <c r="O18" s="207" t="s">
        <v>517</v>
      </c>
      <c r="P18" s="5">
        <f>P16*P17</f>
        <v>3.6000000000000004E-2</v>
      </c>
    </row>
    <row r="19" spans="1:20" x14ac:dyDescent="0.25">
      <c r="A19" s="207"/>
      <c r="H19" s="207"/>
      <c r="O19" s="207"/>
    </row>
    <row r="20" spans="1:20" x14ac:dyDescent="0.25">
      <c r="A20" s="207" t="s">
        <v>32</v>
      </c>
      <c r="E20" s="194" t="s">
        <v>198</v>
      </c>
      <c r="H20" s="207" t="s">
        <v>32</v>
      </c>
      <c r="O20" s="207" t="s">
        <v>32</v>
      </c>
      <c r="T20" s="194" t="s">
        <v>198</v>
      </c>
    </row>
    <row r="21" spans="1:20" x14ac:dyDescent="0.25">
      <c r="A21" s="207" t="s">
        <v>317</v>
      </c>
      <c r="E21" s="195" t="s">
        <v>318</v>
      </c>
      <c r="H21" s="207" t="s">
        <v>317</v>
      </c>
      <c r="O21" s="207" t="s">
        <v>317</v>
      </c>
      <c r="T21" s="195" t="s">
        <v>318</v>
      </c>
    </row>
    <row r="22" spans="1:20" x14ac:dyDescent="0.25">
      <c r="A22" s="207" t="s">
        <v>516</v>
      </c>
      <c r="E22" s="5">
        <v>50000</v>
      </c>
      <c r="H22" s="207" t="s">
        <v>516</v>
      </c>
      <c r="O22" s="207" t="s">
        <v>516</v>
      </c>
      <c r="T22" s="5">
        <v>50000</v>
      </c>
    </row>
    <row r="23" spans="1:20" x14ac:dyDescent="0.25">
      <c r="A23" s="207" t="s">
        <v>517</v>
      </c>
      <c r="E23" s="5">
        <v>60</v>
      </c>
      <c r="H23" s="207" t="s">
        <v>517</v>
      </c>
      <c r="O23" s="207" t="s">
        <v>517</v>
      </c>
      <c r="T23" s="5">
        <v>60</v>
      </c>
    </row>
    <row r="24" spans="1:20" x14ac:dyDescent="0.25">
      <c r="A24" s="207"/>
      <c r="H24" s="207"/>
      <c r="O24" s="207"/>
    </row>
    <row r="25" spans="1:20" x14ac:dyDescent="0.25">
      <c r="A25" s="207" t="s">
        <v>518</v>
      </c>
      <c r="B25" s="5">
        <f>B13+B18+B23</f>
        <v>230.15099999999998</v>
      </c>
      <c r="C25" s="5">
        <f t="shared" ref="C25:F25" si="3">C13+C18+C23</f>
        <v>163.875</v>
      </c>
      <c r="D25" s="5">
        <f t="shared" si="3"/>
        <v>120.74999999999999</v>
      </c>
      <c r="E25" s="5">
        <f t="shared" si="3"/>
        <v>189.375</v>
      </c>
      <c r="F25" s="5">
        <f t="shared" si="3"/>
        <v>163.875</v>
      </c>
      <c r="H25" s="207" t="s">
        <v>518</v>
      </c>
      <c r="I25" s="5">
        <f>I13+I18+I23</f>
        <v>230.15099999999998</v>
      </c>
      <c r="J25" s="5">
        <f t="shared" ref="J25:M25" si="4">J13+J18+J23</f>
        <v>163.875</v>
      </c>
      <c r="K25" s="5">
        <f t="shared" si="4"/>
        <v>120.74999999999999</v>
      </c>
      <c r="L25" s="5">
        <f t="shared" si="4"/>
        <v>20.759999999999998</v>
      </c>
      <c r="M25" s="5">
        <f t="shared" si="4"/>
        <v>69</v>
      </c>
      <c r="O25" s="207" t="s">
        <v>518</v>
      </c>
      <c r="P25" s="5">
        <f>P13+P18+P23</f>
        <v>230.15099999999998</v>
      </c>
      <c r="Q25" s="5">
        <f t="shared" ref="Q25:S25" si="5">Q13+Q18+Q23</f>
        <v>163.875</v>
      </c>
      <c r="R25" s="5">
        <f t="shared" si="5"/>
        <v>120.74999999999999</v>
      </c>
      <c r="S25" s="5">
        <f t="shared" si="5"/>
        <v>0</v>
      </c>
      <c r="T25" s="5">
        <f>T13+T18+T23</f>
        <v>125.55</v>
      </c>
    </row>
    <row r="26" spans="1:20" x14ac:dyDescent="0.25">
      <c r="A26" s="207"/>
      <c r="H26" s="207"/>
      <c r="O26" s="207"/>
    </row>
    <row r="27" spans="1:20" x14ac:dyDescent="0.25">
      <c r="A27" s="207" t="s">
        <v>519</v>
      </c>
      <c r="H27" s="207" t="s">
        <v>519</v>
      </c>
      <c r="O27" s="207" t="s">
        <v>519</v>
      </c>
      <c r="T27" s="5">
        <f>T13+T18</f>
        <v>65.55</v>
      </c>
    </row>
    <row r="28" spans="1:20" x14ac:dyDescent="0.25">
      <c r="A28" s="207"/>
      <c r="H28" s="207"/>
      <c r="O28" s="207"/>
    </row>
    <row r="29" spans="1:20" x14ac:dyDescent="0.25">
      <c r="A29" s="207"/>
      <c r="H29" s="207"/>
      <c r="O29" s="207"/>
    </row>
    <row r="30" spans="1:20" x14ac:dyDescent="0.25">
      <c r="A30" s="207" t="s">
        <v>520</v>
      </c>
      <c r="B30" s="5">
        <f>AVERAGE(B25:F25)</f>
        <v>173.6052</v>
      </c>
      <c r="H30" s="207" t="s">
        <v>520</v>
      </c>
      <c r="I30" s="5">
        <f>AVERAGE(I25:M25)</f>
        <v>120.90719999999999</v>
      </c>
      <c r="O30" s="207" t="s">
        <v>520</v>
      </c>
      <c r="P30" s="5">
        <f>AVERAGE(P25:T25)</f>
        <v>128.06519999999998</v>
      </c>
    </row>
    <row r="31" spans="1:20" x14ac:dyDescent="0.25">
      <c r="A31" s="207"/>
      <c r="H31" s="207"/>
      <c r="O31" s="207"/>
    </row>
    <row r="32" spans="1:20" x14ac:dyDescent="0.25">
      <c r="A32" s="207" t="s">
        <v>521</v>
      </c>
      <c r="B32" s="5">
        <f>AVERAGE(B25:D25,E13:E13,F25)</f>
        <v>161.6052</v>
      </c>
      <c r="H32" s="207" t="s">
        <v>521</v>
      </c>
      <c r="O32" s="207" t="s">
        <v>521</v>
      </c>
      <c r="P32" s="5">
        <f>AVERAGE(P25:S25,T27)</f>
        <v>116.06519999999998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F691915821254A97D41DE24E92F93F" ma:contentTypeVersion="10" ma:contentTypeDescription="Create a new document." ma:contentTypeScope="" ma:versionID="86b0dec98935c117678c77a33654c403">
  <xsd:schema xmlns:xsd="http://www.w3.org/2001/XMLSchema" xmlns:xs="http://www.w3.org/2001/XMLSchema" xmlns:p="http://schemas.microsoft.com/office/2006/metadata/properties" xmlns:ns3="7410057e-261d-44f9-8a32-345e078f4384" xmlns:ns4="4d5c3e5d-c8e4-4583-b2d0-873bd09f7cde" targetNamespace="http://schemas.microsoft.com/office/2006/metadata/properties" ma:root="true" ma:fieldsID="b76bdd7a4eeb58ba25a9ca5c96d4a4f0" ns3:_="" ns4:_="">
    <xsd:import namespace="7410057e-261d-44f9-8a32-345e078f4384"/>
    <xsd:import namespace="4d5c3e5d-c8e4-4583-b2d0-873bd09f7c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0057e-261d-44f9-8a32-345e078f4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c3e5d-c8e4-4583-b2d0-873bd09f7c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602FE8-3BD8-458E-9472-69FD148217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D02739-B5CD-4241-B1D2-E8300F1EB2F3}">
  <ds:schemaRefs>
    <ds:schemaRef ds:uri="7410057e-261d-44f9-8a32-345e078f4384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d5c3e5d-c8e4-4583-b2d0-873bd09f7cde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D247D9A-E786-46A0-ADAC-0F78BD59A3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10057e-261d-44f9-8a32-345e078f4384"/>
    <ds:schemaRef ds:uri="4d5c3e5d-c8e4-4583-b2d0-873bd09f7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Output</vt:lpstr>
      <vt:lpstr>Data source</vt:lpstr>
      <vt:lpstr>Site characteristics</vt:lpstr>
      <vt:lpstr>Without legumes</vt:lpstr>
      <vt:lpstr>With legumes option 1 </vt:lpstr>
      <vt:lpstr>With legumes option 2</vt:lpstr>
      <vt:lpstr>Data for yield stability</vt:lpstr>
      <vt:lpstr>GM</vt:lpstr>
      <vt:lpstr>N fertilizer</vt:lpstr>
      <vt:lpstr>Protein &amp; Energy Output</vt:lpstr>
      <vt:lpstr>Crop Diversity</vt:lpstr>
      <vt:lpstr>NO3</vt:lpstr>
      <vt:lpstr>N2O calculations</vt:lpstr>
      <vt:lpstr>N2O default values</vt:lpstr>
      <vt:lpstr>Mapping crops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2020-12-07T08:38:07Z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0x01010097F691915821254A97D41DE24E92F93F</vt:lpwstr>
  </property>
</Properties>
</file>