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2" r:id="rId1"/>
    <sheet name="Data source" sheetId="17" r:id="rId2"/>
    <sheet name="Details" sheetId="16" r:id="rId3"/>
    <sheet name="Site characteristics" sheetId="1" r:id="rId4"/>
    <sheet name="Without legumes" sheetId="9" r:id="rId5"/>
    <sheet name="With legumes option 1" sheetId="27" r:id="rId6"/>
    <sheet name="With legumes option 2" sheetId="28" r:id="rId7"/>
    <sheet name="Data for yield stability" sheetId="29" r:id="rId8"/>
    <sheet name="GM" sheetId="18" r:id="rId9"/>
    <sheet name="N fertilizer" sheetId="19" r:id="rId10"/>
    <sheet name="Protein &amp; Energy Output" sheetId="20" r:id="rId11"/>
    <sheet name="Crop Diversity" sheetId="21" r:id="rId12"/>
    <sheet name="NO3-N" sheetId="26" r:id="rId13"/>
    <sheet name="N2O calculations" sheetId="23" r:id="rId14"/>
    <sheet name="N2O default values" sheetId="24" r:id="rId15"/>
    <sheet name="Mapping crops" sheetId="25" r:id="rId1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8" l="1"/>
  <c r="P21" i="18"/>
  <c r="P19" i="18"/>
  <c r="B19" i="18"/>
  <c r="I19" i="18"/>
  <c r="AB41" i="29" l="1"/>
  <c r="X41" i="29"/>
  <c r="W42" i="29"/>
  <c r="Q3" i="22" l="1"/>
  <c r="Q4" i="22"/>
  <c r="Q2" i="22"/>
  <c r="L54" i="29"/>
  <c r="L53" i="29"/>
  <c r="S42" i="29"/>
  <c r="T41" i="29"/>
  <c r="P28" i="19"/>
  <c r="M4" i="22"/>
  <c r="M3" i="22"/>
  <c r="M2" i="22"/>
  <c r="K16" i="26"/>
  <c r="K23" i="26"/>
  <c r="K9" i="26"/>
  <c r="AA42" i="29"/>
  <c r="O42" i="29"/>
  <c r="K42" i="29"/>
  <c r="G42" i="29"/>
  <c r="C42" i="29"/>
  <c r="P41" i="29"/>
  <c r="L41" i="29"/>
  <c r="H41" i="29"/>
  <c r="D41" i="29"/>
  <c r="AB39" i="29"/>
  <c r="X39" i="29"/>
  <c r="T39" i="29"/>
  <c r="L52" i="29" l="1"/>
  <c r="T4" i="22" l="1"/>
  <c r="S4" i="22"/>
  <c r="R4" i="22"/>
  <c r="I4" i="22"/>
  <c r="Q17" i="18"/>
  <c r="L17" i="18"/>
  <c r="H4" i="22"/>
  <c r="T28" i="23" l="1"/>
  <c r="S28" i="23"/>
  <c r="R28" i="23"/>
  <c r="Q28" i="23"/>
  <c r="P28" i="23"/>
  <c r="T27" i="23"/>
  <c r="S27" i="23"/>
  <c r="R27" i="23"/>
  <c r="Q27" i="23"/>
  <c r="P27" i="23"/>
  <c r="T26" i="23"/>
  <c r="S26" i="23"/>
  <c r="R26" i="23"/>
  <c r="Q26" i="23"/>
  <c r="T25" i="23"/>
  <c r="S25" i="23"/>
  <c r="S31" i="23" s="1"/>
  <c r="R25" i="23"/>
  <c r="Q25" i="23"/>
  <c r="Q31" i="23" s="1"/>
  <c r="T24" i="23"/>
  <c r="S24" i="23"/>
  <c r="R24" i="23"/>
  <c r="Q24" i="23"/>
  <c r="P24" i="23"/>
  <c r="S15" i="23"/>
  <c r="S17" i="23" s="1"/>
  <c r="T14" i="23"/>
  <c r="T15" i="23" s="1"/>
  <c r="S14" i="23"/>
  <c r="S16" i="23" s="1"/>
  <c r="S18" i="23" s="1"/>
  <c r="R14" i="23"/>
  <c r="Q14" i="23"/>
  <c r="P14" i="23"/>
  <c r="P15" i="23" s="1"/>
  <c r="P17" i="23" s="1"/>
  <c r="T11" i="23"/>
  <c r="S11" i="23"/>
  <c r="R11" i="23"/>
  <c r="Q11" i="23"/>
  <c r="P11" i="23"/>
  <c r="T10" i="23"/>
  <c r="S10" i="23"/>
  <c r="R10" i="23"/>
  <c r="Q10" i="23"/>
  <c r="T9" i="23"/>
  <c r="S9" i="23"/>
  <c r="R9" i="23"/>
  <c r="Q9" i="23"/>
  <c r="R31" i="23" l="1"/>
  <c r="T31" i="23"/>
  <c r="T17" i="23"/>
  <c r="T16" i="23"/>
  <c r="T18" i="23" s="1"/>
  <c r="S19" i="23"/>
  <c r="R15" i="23"/>
  <c r="R17" i="23" s="1"/>
  <c r="P16" i="23"/>
  <c r="P18" i="23" s="1"/>
  <c r="P19" i="23" s="1"/>
  <c r="Q15" i="23"/>
  <c r="Q17" i="23" s="1"/>
  <c r="T8" i="23"/>
  <c r="S8" i="23"/>
  <c r="R8" i="23"/>
  <c r="Q8" i="23"/>
  <c r="P8" i="23"/>
  <c r="T7" i="23"/>
  <c r="S7" i="23"/>
  <c r="R7" i="23"/>
  <c r="Q7" i="23"/>
  <c r="P7" i="23"/>
  <c r="T26" i="19"/>
  <c r="S26" i="19"/>
  <c r="R26" i="19"/>
  <c r="Q26" i="19"/>
  <c r="D28" i="21"/>
  <c r="E28" i="21" s="1"/>
  <c r="B28" i="21"/>
  <c r="D26" i="21"/>
  <c r="E26" i="21" s="1"/>
  <c r="E29" i="21" s="1"/>
  <c r="B26" i="21"/>
  <c r="F30" i="20"/>
  <c r="E30" i="20"/>
  <c r="D30" i="20"/>
  <c r="C30" i="20"/>
  <c r="B30" i="20"/>
  <c r="F28" i="20"/>
  <c r="F35" i="20" s="1"/>
  <c r="E28" i="20"/>
  <c r="E35" i="20" s="1"/>
  <c r="D28" i="20"/>
  <c r="D35" i="20" s="1"/>
  <c r="C28" i="20"/>
  <c r="C35" i="20" s="1"/>
  <c r="B28" i="20"/>
  <c r="B35" i="20" s="1"/>
  <c r="T18" i="19"/>
  <c r="T13" i="19"/>
  <c r="S18" i="19"/>
  <c r="S13" i="19"/>
  <c r="R18" i="19"/>
  <c r="R13" i="19"/>
  <c r="P18" i="19"/>
  <c r="P10" i="23" s="1"/>
  <c r="P13" i="19"/>
  <c r="P25" i="23" l="1"/>
  <c r="P9" i="23"/>
  <c r="P26" i="23" s="1"/>
  <c r="P26" i="19"/>
  <c r="N4" i="22" s="1"/>
  <c r="O4" i="22" s="1"/>
  <c r="L4" i="22" s="1"/>
  <c r="R19" i="23"/>
  <c r="T19" i="23"/>
  <c r="R16" i="23"/>
  <c r="R18" i="23" s="1"/>
  <c r="Q16" i="23"/>
  <c r="Q18" i="23" s="1"/>
  <c r="Q19" i="23" s="1"/>
  <c r="C32" i="20"/>
  <c r="C37" i="20"/>
  <c r="K4" i="22" l="1"/>
  <c r="J4" i="22"/>
  <c r="P31" i="23"/>
  <c r="O31" i="23" s="1"/>
  <c r="P4" i="22" s="1"/>
  <c r="T15" i="18"/>
  <c r="S15" i="18"/>
  <c r="R15" i="18"/>
  <c r="Q15" i="18"/>
  <c r="P15" i="18"/>
  <c r="S13" i="18"/>
  <c r="T13" i="18"/>
  <c r="R13" i="18"/>
  <c r="P13" i="18"/>
  <c r="Q10" i="18"/>
  <c r="P10" i="18"/>
  <c r="T10" i="18"/>
  <c r="S10" i="18"/>
  <c r="R10" i="18"/>
  <c r="R53" i="28" l="1"/>
  <c r="M13" i="19" l="1"/>
  <c r="K13" i="19"/>
  <c r="J13" i="19"/>
  <c r="I13" i="19"/>
  <c r="G13" i="19"/>
  <c r="E13" i="19"/>
  <c r="D13" i="19"/>
  <c r="C13" i="19"/>
  <c r="B13" i="19"/>
  <c r="AN58" i="9"/>
  <c r="M13" i="18" l="1"/>
  <c r="K13" i="18"/>
  <c r="J13" i="18"/>
  <c r="I13" i="18"/>
  <c r="G13" i="18"/>
  <c r="C13" i="18"/>
  <c r="C15" i="18" s="1"/>
  <c r="D13" i="18"/>
  <c r="E13" i="18"/>
  <c r="E15" i="18" s="1"/>
  <c r="B13" i="18"/>
  <c r="F10" i="18"/>
  <c r="C10" i="18"/>
  <c r="J10" i="18"/>
  <c r="J15" i="18" s="1"/>
  <c r="L10" i="18"/>
  <c r="L15" i="18" s="1"/>
  <c r="M10" i="18"/>
  <c r="M15" i="18" s="1"/>
  <c r="K10" i="18"/>
  <c r="K15" i="18" s="1"/>
  <c r="I10" i="18"/>
  <c r="G10" i="18"/>
  <c r="E10" i="18"/>
  <c r="D10" i="18"/>
  <c r="B10" i="18"/>
  <c r="I11" i="23"/>
  <c r="J9" i="23"/>
  <c r="J11" i="23"/>
  <c r="K11" i="23"/>
  <c r="L9" i="23"/>
  <c r="L10" i="23"/>
  <c r="L11" i="23"/>
  <c r="M9" i="23"/>
  <c r="M11" i="23"/>
  <c r="B11" i="23"/>
  <c r="C9" i="23"/>
  <c r="C11" i="23"/>
  <c r="D11" i="23"/>
  <c r="E11" i="23"/>
  <c r="F9" i="23"/>
  <c r="F11" i="23"/>
  <c r="G11" i="23"/>
  <c r="G7" i="23"/>
  <c r="G8" i="23" s="1"/>
  <c r="G14" i="23" s="1"/>
  <c r="G27" i="23"/>
  <c r="G1" i="23"/>
  <c r="G2" i="23"/>
  <c r="G3" i="23"/>
  <c r="M7" i="23"/>
  <c r="M8" i="23" s="1"/>
  <c r="M14" i="23" s="1"/>
  <c r="M15" i="23" s="1"/>
  <c r="M17" i="23" s="1"/>
  <c r="L7" i="23"/>
  <c r="L8" i="23" s="1"/>
  <c r="L14" i="23" s="1"/>
  <c r="L15" i="23" s="1"/>
  <c r="L16" i="23" s="1"/>
  <c r="L18" i="23" s="1"/>
  <c r="K7" i="23"/>
  <c r="K8" i="23" s="1"/>
  <c r="K14" i="23" s="1"/>
  <c r="K15" i="23" s="1"/>
  <c r="J7" i="23"/>
  <c r="J8" i="23" s="1"/>
  <c r="J14" i="23" s="1"/>
  <c r="J15" i="23" s="1"/>
  <c r="J17" i="23" s="1"/>
  <c r="I7" i="23"/>
  <c r="I24" i="23" s="1"/>
  <c r="F7" i="23"/>
  <c r="F8" i="23" s="1"/>
  <c r="F14" i="23" s="1"/>
  <c r="E7" i="23"/>
  <c r="E8" i="23" s="1"/>
  <c r="E14" i="23" s="1"/>
  <c r="E15" i="23" s="1"/>
  <c r="D7" i="23"/>
  <c r="D8" i="23" s="1"/>
  <c r="D14" i="23" s="1"/>
  <c r="D15" i="23" s="1"/>
  <c r="C7" i="23"/>
  <c r="C24" i="23" s="1"/>
  <c r="B7" i="23"/>
  <c r="B24" i="23" s="1"/>
  <c r="B8" i="23"/>
  <c r="B14" i="23" s="1"/>
  <c r="F4" i="23"/>
  <c r="E4" i="23"/>
  <c r="D4" i="23"/>
  <c r="C4" i="23"/>
  <c r="B4" i="23"/>
  <c r="A4" i="23"/>
  <c r="F3" i="23"/>
  <c r="E3" i="23"/>
  <c r="D3" i="23"/>
  <c r="C3" i="23"/>
  <c r="B3" i="23"/>
  <c r="A3" i="23"/>
  <c r="F2" i="23"/>
  <c r="E2" i="23"/>
  <c r="D2" i="23"/>
  <c r="C2" i="23"/>
  <c r="B2" i="23"/>
  <c r="A2" i="23"/>
  <c r="F1" i="23"/>
  <c r="E1" i="23"/>
  <c r="D1" i="23"/>
  <c r="C1" i="23"/>
  <c r="B1" i="23"/>
  <c r="A1" i="23"/>
  <c r="U22" i="24"/>
  <c r="U21" i="24"/>
  <c r="U20" i="24"/>
  <c r="U19" i="24"/>
  <c r="U18" i="24"/>
  <c r="Q18" i="24"/>
  <c r="U17" i="24"/>
  <c r="Q17" i="24"/>
  <c r="U16" i="24"/>
  <c r="R16" i="24"/>
  <c r="P16" i="24"/>
  <c r="U15" i="24"/>
  <c r="U14" i="24"/>
  <c r="U13" i="24"/>
  <c r="U12" i="24"/>
  <c r="R12" i="24"/>
  <c r="U11" i="24"/>
  <c r="R11" i="24"/>
  <c r="P11" i="24"/>
  <c r="U10" i="24"/>
  <c r="P10" i="24"/>
  <c r="U9" i="24"/>
  <c r="R9" i="24"/>
  <c r="U8" i="24"/>
  <c r="U7" i="24"/>
  <c r="U6" i="24"/>
  <c r="U5" i="24"/>
  <c r="U4" i="24"/>
  <c r="E4" i="24"/>
  <c r="U3" i="24"/>
  <c r="E3" i="24"/>
  <c r="U2" i="24"/>
  <c r="G2" i="24"/>
  <c r="E2" i="24"/>
  <c r="L25" i="23"/>
  <c r="M27" i="23"/>
  <c r="L27" i="23"/>
  <c r="K27" i="23"/>
  <c r="J27" i="23"/>
  <c r="I27" i="23"/>
  <c r="F27" i="23"/>
  <c r="E27" i="23"/>
  <c r="D27" i="23"/>
  <c r="C27" i="23"/>
  <c r="B27" i="23"/>
  <c r="M24" i="23"/>
  <c r="D24" i="23"/>
  <c r="L24" i="23"/>
  <c r="B21" i="21"/>
  <c r="B19" i="21"/>
  <c r="B14" i="21"/>
  <c r="B13" i="21"/>
  <c r="G14" i="20"/>
  <c r="M12" i="20"/>
  <c r="M19" i="20" s="1"/>
  <c r="L12" i="20"/>
  <c r="L19" i="20"/>
  <c r="K12" i="20"/>
  <c r="K19" i="20" s="1"/>
  <c r="J12" i="20"/>
  <c r="J19" i="20"/>
  <c r="I12" i="20"/>
  <c r="I19" i="20" s="1"/>
  <c r="C12" i="20"/>
  <c r="C19" i="20"/>
  <c r="D12" i="20"/>
  <c r="D19" i="20" s="1"/>
  <c r="E12" i="20"/>
  <c r="E19" i="20"/>
  <c r="F12" i="20"/>
  <c r="F19" i="20" s="1"/>
  <c r="G12" i="20"/>
  <c r="G19" i="20"/>
  <c r="B12" i="20"/>
  <c r="B19" i="20" s="1"/>
  <c r="D21" i="21"/>
  <c r="E21" i="21"/>
  <c r="D19" i="21"/>
  <c r="E19" i="21"/>
  <c r="D14" i="21"/>
  <c r="E14" i="21"/>
  <c r="D13" i="21"/>
  <c r="E13" i="21"/>
  <c r="F7" i="21"/>
  <c r="M14" i="20"/>
  <c r="L14" i="20"/>
  <c r="K14" i="20"/>
  <c r="J14" i="20"/>
  <c r="I14" i="20"/>
  <c r="F14" i="20"/>
  <c r="E14" i="20"/>
  <c r="D14" i="20"/>
  <c r="C14" i="20"/>
  <c r="B14" i="20"/>
  <c r="E16" i="21"/>
  <c r="T2" i="22"/>
  <c r="L26" i="19"/>
  <c r="F23" i="19"/>
  <c r="M18" i="19"/>
  <c r="M10" i="23" s="1"/>
  <c r="K18" i="19"/>
  <c r="K10" i="23" s="1"/>
  <c r="J18" i="19"/>
  <c r="J25" i="23" s="1"/>
  <c r="I18" i="19"/>
  <c r="I10" i="23" s="1"/>
  <c r="G18" i="19"/>
  <c r="G10" i="23" s="1"/>
  <c r="F18" i="19"/>
  <c r="F10" i="23"/>
  <c r="E18" i="19"/>
  <c r="E10" i="23" s="1"/>
  <c r="E25" i="23"/>
  <c r="D18" i="19"/>
  <c r="D10" i="23" s="1"/>
  <c r="C18" i="19"/>
  <c r="C10" i="23" s="1"/>
  <c r="B18" i="19"/>
  <c r="B10" i="23" s="1"/>
  <c r="K9" i="23"/>
  <c r="I9" i="23"/>
  <c r="F13" i="19"/>
  <c r="F25" i="23"/>
  <c r="F26" i="19"/>
  <c r="E9" i="23"/>
  <c r="D9" i="23"/>
  <c r="B9" i="23"/>
  <c r="G15" i="18"/>
  <c r="F15" i="18"/>
  <c r="B26" i="19"/>
  <c r="K26" i="19"/>
  <c r="E22" i="21"/>
  <c r="T3" i="22"/>
  <c r="E24" i="23"/>
  <c r="B25" i="23"/>
  <c r="I8" i="23"/>
  <c r="I14" i="23" s="1"/>
  <c r="C25" i="23"/>
  <c r="E26" i="19"/>
  <c r="M25" i="23"/>
  <c r="J26" i="19"/>
  <c r="I25" i="23"/>
  <c r="M26" i="19"/>
  <c r="G9" i="23"/>
  <c r="L26" i="23"/>
  <c r="G24" i="23" l="1"/>
  <c r="C8" i="23"/>
  <c r="C14" i="23" s="1"/>
  <c r="C15" i="23" s="1"/>
  <c r="C17" i="23" s="1"/>
  <c r="F24" i="23"/>
  <c r="J24" i="23"/>
  <c r="K24" i="23"/>
  <c r="F26" i="23"/>
  <c r="L17" i="23"/>
  <c r="L19" i="23" s="1"/>
  <c r="L28" i="23" s="1"/>
  <c r="L31" i="23" s="1"/>
  <c r="C21" i="20"/>
  <c r="S2" i="22" s="1"/>
  <c r="J21" i="20"/>
  <c r="S3" i="22" s="1"/>
  <c r="J16" i="20"/>
  <c r="R3" i="22" s="1"/>
  <c r="C16" i="20"/>
  <c r="R2" i="22" s="1"/>
  <c r="C26" i="19"/>
  <c r="B28" i="19" s="1"/>
  <c r="N2" i="22" s="1"/>
  <c r="O2" i="22" s="1"/>
  <c r="L2" i="22" s="1"/>
  <c r="I26" i="19"/>
  <c r="I28" i="19" s="1"/>
  <c r="N3" i="22" s="1"/>
  <c r="O3" i="22" s="1"/>
  <c r="L3" i="22" s="1"/>
  <c r="D25" i="23"/>
  <c r="I26" i="23"/>
  <c r="K25" i="23"/>
  <c r="K26" i="23"/>
  <c r="G26" i="19"/>
  <c r="D26" i="19"/>
  <c r="G26" i="23"/>
  <c r="G25" i="23"/>
  <c r="J10" i="23"/>
  <c r="J26" i="23" s="1"/>
  <c r="C26" i="23"/>
  <c r="B26" i="23"/>
  <c r="D26" i="23"/>
  <c r="E26" i="23"/>
  <c r="M26" i="23"/>
  <c r="I15" i="18"/>
  <c r="I3" i="22" s="1"/>
  <c r="D15" i="18"/>
  <c r="B15" i="18"/>
  <c r="D17" i="23"/>
  <c r="D16" i="23"/>
  <c r="D18" i="23" s="1"/>
  <c r="K17" i="23"/>
  <c r="K16" i="23"/>
  <c r="K18" i="23" s="1"/>
  <c r="E17" i="23"/>
  <c r="E16" i="23"/>
  <c r="E18" i="23" s="1"/>
  <c r="I15" i="23"/>
  <c r="I17" i="23" s="1"/>
  <c r="F15" i="23"/>
  <c r="F17" i="23" s="1"/>
  <c r="J16" i="23"/>
  <c r="J18" i="23" s="1"/>
  <c r="J19" i="23" s="1"/>
  <c r="J28" i="23" s="1"/>
  <c r="G15" i="23"/>
  <c r="G17" i="23" s="1"/>
  <c r="B15" i="23"/>
  <c r="B17" i="23" s="1"/>
  <c r="M16" i="23"/>
  <c r="M18" i="23" s="1"/>
  <c r="M19" i="23" s="1"/>
  <c r="M28" i="23" s="1"/>
  <c r="C16" i="23" l="1"/>
  <c r="C18" i="23" s="1"/>
  <c r="C19" i="23" s="1"/>
  <c r="C28" i="23" s="1"/>
  <c r="C31" i="23" s="1"/>
  <c r="I16" i="23"/>
  <c r="I18" i="23" s="1"/>
  <c r="I19" i="23" s="1"/>
  <c r="I28" i="23" s="1"/>
  <c r="I31" i="23" s="1"/>
  <c r="K19" i="23"/>
  <c r="K28" i="23" s="1"/>
  <c r="K31" i="23" s="1"/>
  <c r="G16" i="23"/>
  <c r="G18" i="23" s="1"/>
  <c r="G19" i="23" s="1"/>
  <c r="G28" i="23" s="1"/>
  <c r="G31" i="23" s="1"/>
  <c r="D19" i="23"/>
  <c r="D28" i="23" s="1"/>
  <c r="D31" i="23" s="1"/>
  <c r="J31" i="23"/>
  <c r="M31" i="23"/>
  <c r="H3" i="22"/>
  <c r="J3" i="22" s="1"/>
  <c r="H2" i="22"/>
  <c r="I2" i="22" s="1"/>
  <c r="E19" i="23"/>
  <c r="E28" i="23" s="1"/>
  <c r="E31" i="23" s="1"/>
  <c r="F16" i="23"/>
  <c r="F18" i="23" s="1"/>
  <c r="F19" i="23" s="1"/>
  <c r="F28" i="23" s="1"/>
  <c r="F31" i="23" s="1"/>
  <c r="B16" i="23"/>
  <c r="B18" i="23" s="1"/>
  <c r="B19" i="23" s="1"/>
  <c r="B28" i="23" s="1"/>
  <c r="B31" i="23" s="1"/>
  <c r="H31" i="23" l="1"/>
  <c r="P3" i="22" s="1"/>
  <c r="K3" i="22"/>
  <c r="A31" i="23"/>
  <c r="P2" i="22" s="1"/>
  <c r="J2" i="22"/>
  <c r="K2" i="22"/>
</calcChain>
</file>

<file path=xl/comments1.xml><?xml version="1.0" encoding="utf-8"?>
<comments xmlns="http://schemas.openxmlformats.org/spreadsheetml/2006/main">
  <authors>
    <author>notz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The GM from the legume-based rotations increased compared to the standard GM as the given legume prices were exchanged here with their actual feed value - calculation details see sheet "GM"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comments2.xml><?xml version="1.0" encoding="utf-8"?>
<comments xmlns="http://schemas.openxmlformats.org/spreadsheetml/2006/main">
  <authors>
    <author>Sheila Alves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This is the ratio of totals C:N. Not sure about this value in SOM.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Varies from 0.8 to 1.3 g/cm3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Not known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Use the average of 2013-2019 for the bean growing area</t>
        </r>
      </text>
    </comment>
  </commentList>
</comments>
</file>

<file path=xl/comments3.xml><?xml version="1.0" encoding="utf-8"?>
<comments xmlns="http://schemas.openxmlformats.org/spreadsheetml/2006/main">
  <authors>
    <author>Sheila Alves</author>
  </authors>
  <commentList>
    <comment ref="S36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One appl of each combination 3 weeks apart</t>
        </r>
      </text>
    </comment>
    <comment ref="AN36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One appl of each combination 3 weeks apart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Includes cost of hiring machinery for plough, till, sow, roll, spray, fertiliser spreading and harvesting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Insurance, drying and cleaning costs are not included  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Includes other/miscellaneous such as interest and transport added to materials and machinery</t>
        </r>
      </text>
    </comment>
  </commentList>
</comments>
</file>

<file path=xl/comments4.xml><?xml version="1.0" encoding="utf-8"?>
<comments xmlns="http://schemas.openxmlformats.org/spreadsheetml/2006/main">
  <authors>
    <author>Sheila Alves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One appl of each combination 3 weeks apart</t>
        </r>
      </text>
    </comment>
    <comment ref="AF31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One appl of each combination 3 weeks apart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Includes cost of hiring machinery for plough, till, sow, roll, spray, fertiliser spreading and harvesting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Insurance, drying and cleaning costs are not included  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Includes other/miscellaneous such as interest and transport added to materials and machinery</t>
        </r>
      </text>
    </comment>
  </commentList>
</comments>
</file>

<file path=xl/comments5.xml><?xml version="1.0" encoding="utf-8"?>
<comments xmlns="http://schemas.openxmlformats.org/spreadsheetml/2006/main">
  <authors>
    <author>Sheila Alves</author>
  </authors>
  <commentList>
    <comment ref="C49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Includes cost of hiring machinery for plough, till, sow, roll, spray, fertiliser spreading and harvesting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Insurance, drying and cleaning costs are not included  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Sheila Alves:</t>
        </r>
        <r>
          <rPr>
            <sz val="9"/>
            <color indexed="81"/>
            <rFont val="Tahoma"/>
            <family val="2"/>
          </rPr>
          <t xml:space="preserve">
Includes other/miscellaneous such as interest and transport added to materials and machinery</t>
        </r>
      </text>
    </comment>
  </commentList>
</comments>
</file>

<file path=xl/comments6.xml><?xml version="1.0" encoding="utf-8"?>
<comments xmlns="http://schemas.openxmlformats.org/spreadsheetml/2006/main">
  <authors>
    <author>Michael Hennessy</author>
  </authors>
  <commentList>
    <comment ref="H47" authorId="0" shapeId="0">
      <text>
        <r>
          <rPr>
            <b/>
            <sz val="9"/>
            <color indexed="81"/>
            <rFont val="Tahoma"/>
            <family val="2"/>
          </rPr>
          <t>Michael Hennessy:</t>
        </r>
        <r>
          <rPr>
            <sz val="9"/>
            <color indexed="81"/>
            <rFont val="Tahoma"/>
            <family val="2"/>
          </rPr>
          <t xml:space="preserve">
standard 1810 + yiekd allowance 0.7t = 14
</t>
        </r>
      </text>
    </comment>
    <comment ref="AA47" authorId="0" shapeId="0">
      <text>
        <r>
          <rPr>
            <b/>
            <sz val="9"/>
            <color indexed="81"/>
            <rFont val="Tahoma"/>
            <family val="2"/>
          </rPr>
          <t>Michael Hennessy:</t>
        </r>
        <r>
          <rPr>
            <sz val="9"/>
            <color indexed="81"/>
            <rFont val="Tahoma"/>
            <family val="2"/>
          </rPr>
          <t xml:space="preserve">
standard at 6.5 t = 135 + 16 = 151
</t>
        </r>
      </text>
    </comment>
  </commentList>
</comments>
</file>

<file path=xl/sharedStrings.xml><?xml version="1.0" encoding="utf-8"?>
<sst xmlns="http://schemas.openxmlformats.org/spreadsheetml/2006/main" count="2617" uniqueCount="556">
  <si>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</si>
  <si>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</si>
  <si>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</si>
  <si>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</si>
  <si>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</si>
  <si>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</si>
  <si>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</si>
  <si>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</si>
  <si>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</si>
  <si>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</si>
  <si>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</si>
  <si>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</si>
  <si>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</si>
  <si>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</si>
  <si>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</si>
  <si>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</si>
  <si>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</si>
  <si>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</si>
  <si>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</si>
  <si>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</si>
  <si>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</si>
  <si>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</si>
  <si>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</si>
  <si>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</si>
  <si>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</si>
  <si>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</si>
  <si>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</si>
  <si>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</si>
  <si>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</si>
  <si>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</si>
  <si>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</si>
  <si>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</si>
  <si>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</si>
  <si>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Other fertiliser used?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</si>
  <si>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</si>
  <si>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</si>
  <si>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</si>
  <si>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</si>
  <si>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</si>
  <si>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</si>
  <si>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</si>
  <si>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</si>
  <si>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</si>
  <si>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</si>
  <si>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</si>
  <si>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</si>
  <si>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</si>
  <si>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</si>
  <si>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</si>
  <si>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</si>
  <si>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>CROP 3</t>
  </si>
  <si>
    <t>CROP 4</t>
  </si>
  <si>
    <t>CROP 5</t>
  </si>
  <si>
    <t>CROP 6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</si>
  <si>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</si>
  <si>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</si>
  <si>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</si>
  <si>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</si>
  <si>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</si>
  <si>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</si>
  <si>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</si>
  <si>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Region</t>
  </si>
  <si>
    <t>Site</t>
  </si>
  <si>
    <t xml:space="preserve">If you do not have the following information we will help you and might use default values. </t>
  </si>
  <si>
    <t>Please indicate the average AZ (e.g. 49)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</si>
  <si>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</si>
  <si>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</si>
  <si>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</si>
  <si>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</si>
  <si>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</si>
  <si>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</si>
  <si>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</si>
  <si>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</si>
  <si>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Grain</t>
  </si>
  <si>
    <t>-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</si>
  <si>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</si>
  <si>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annual mineralisation rate [%] (e.g. 1,7%).</t>
  </si>
  <si>
    <t xml:space="preserve">Please indicate the water holding capacity in the root zone [mm] (e.g. 400mm). </t>
  </si>
  <si>
    <t xml:space="preserve">Amount [t/ha] </t>
  </si>
  <si>
    <t xml:space="preserve">Yield [t/ha] </t>
  </si>
  <si>
    <t>Number of year</t>
  </si>
  <si>
    <t>Organic fertilizers</t>
  </si>
  <si>
    <t>Composition</t>
  </si>
  <si>
    <t>Mineral fertilizers</t>
  </si>
  <si>
    <r>
      <t>Total amount [kg or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/ha]</t>
    </r>
  </si>
  <si>
    <t>Trailer sprayer</t>
  </si>
  <si>
    <t>Amount [kg or l/ha]</t>
  </si>
  <si>
    <t>Disc harrow</t>
  </si>
  <si>
    <t>Pneumatic seed drill</t>
  </si>
  <si>
    <t>None</t>
  </si>
  <si>
    <t>Total amount [kg or l/ha]</t>
  </si>
  <si>
    <t>Combine harvester</t>
  </si>
  <si>
    <t>Left on the field</t>
  </si>
  <si>
    <t>Ploughed before next crop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</si>
  <si>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</si>
  <si>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</si>
  <si>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</si>
  <si>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</si>
  <si>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</si>
  <si>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</si>
  <si>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</si>
  <si>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>Solid</t>
  </si>
  <si>
    <t>liquid</t>
  </si>
  <si>
    <t>Other fertiliser used</t>
  </si>
  <si>
    <t>Spreader</t>
  </si>
  <si>
    <t xml:space="preserve">Please indicate the specific costs of production, the total variable costs and subsidies. </t>
  </si>
  <si>
    <t>Date</t>
  </si>
  <si>
    <t>Date/ Period</t>
  </si>
  <si>
    <t>8 ha</t>
  </si>
  <si>
    <t>25 cm</t>
  </si>
  <si>
    <t>Plough (25 cm)</t>
  </si>
  <si>
    <t>Feed and Sold</t>
  </si>
  <si>
    <t>Straw</t>
  </si>
  <si>
    <t>Cassia</t>
  </si>
  <si>
    <t>Winter Barley</t>
  </si>
  <si>
    <t xml:space="preserve"> Winter Oats</t>
  </si>
  <si>
    <t>Winter Wheat</t>
  </si>
  <si>
    <t>Winter Oilseed Rape</t>
  </si>
  <si>
    <t>Spring Beans</t>
  </si>
  <si>
    <t>Date: March 2017</t>
  </si>
  <si>
    <t>Fuego</t>
  </si>
  <si>
    <t>Mar 2017 / Pre-emergence</t>
  </si>
  <si>
    <t>Mar 2017 / After sowing</t>
  </si>
  <si>
    <t>May 2017 (Early flowering)/ 3 weeks after</t>
  </si>
  <si>
    <t>75% maximum individual dose in each app</t>
  </si>
  <si>
    <t>75% maximum individual dose for each combination</t>
  </si>
  <si>
    <t>70%  maximum individual dose</t>
  </si>
  <si>
    <t>Trailer spreader</t>
  </si>
  <si>
    <r>
      <rPr>
        <strike/>
        <sz val="11"/>
        <color rgb="FFFF0000"/>
        <rFont val="Calibri"/>
        <family val="2"/>
        <scheme val="minor"/>
      </rPr>
      <t>Pesticide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Fungicide</t>
    </r>
  </si>
  <si>
    <t>10-10-20</t>
  </si>
  <si>
    <t>10% N, 10% P, 20% K</t>
  </si>
  <si>
    <t>370 kg/ha</t>
  </si>
  <si>
    <t>50% K</t>
  </si>
  <si>
    <t>70 kg/ha</t>
  </si>
  <si>
    <t>EXAMPLE - Crop [name of crop]: Winter Wheat</t>
  </si>
  <si>
    <t>Crop [name of crop]: Winter Barley</t>
  </si>
  <si>
    <t>Crop [name of crop]: Winter Oats</t>
  </si>
  <si>
    <t>Crop [name of crop]: Winter Oilseed Rape</t>
  </si>
  <si>
    <t>Crop [name of crop]: Spring Beans</t>
  </si>
  <si>
    <t>Ireland</t>
  </si>
  <si>
    <t>IE (IE05 and IE6)</t>
  </si>
  <si>
    <t>Date: Oct-2013</t>
  </si>
  <si>
    <t>JB Diego</t>
  </si>
  <si>
    <t>Sprayer</t>
  </si>
  <si>
    <t>Sulcan</t>
  </si>
  <si>
    <t>26% N + 5% S</t>
  </si>
  <si>
    <t>4.0 L/ha</t>
  </si>
  <si>
    <t>1.0 L/ha</t>
  </si>
  <si>
    <t>165 ml/ha</t>
  </si>
  <si>
    <t>Sumi-Alpha - insecticide (esfenvalerate)</t>
  </si>
  <si>
    <t>Siltra (bixafen + prothioconazole)</t>
  </si>
  <si>
    <t>Bontima (cyprodinil + isopyrazam) / Bravo (chlorothalonil)</t>
  </si>
  <si>
    <t>1 L/Ha</t>
  </si>
  <si>
    <t xml:space="preserve"> 480 g Ethephon (2-chloroethylphosphonic acid) per L</t>
  </si>
  <si>
    <t>0.3 L + 1.0 L/ha</t>
  </si>
  <si>
    <t>Huskey</t>
  </si>
  <si>
    <t>CCC750 (growth regulator)</t>
  </si>
  <si>
    <t>2.0 L/ha</t>
  </si>
  <si>
    <t>750 g/L chlormequat chloride</t>
  </si>
  <si>
    <t>50 g/ ha</t>
  </si>
  <si>
    <t>Lexus Class (carfentrazone-ethyl +
flupyrsulfuron-methyl)</t>
  </si>
  <si>
    <t>Tocata (metrafenone, epoxiconazole, fenpropimorph)</t>
  </si>
  <si>
    <t>250 kg/ha (35 seed/m2)</t>
  </si>
  <si>
    <t>Signum (Pyraclostrobin + boscalid)</t>
  </si>
  <si>
    <t>Nirvana (Pendimethalin + Imazamox) plus Lingo (Linuron + Clomazone)</t>
  </si>
  <si>
    <t>250 kg/ha</t>
  </si>
  <si>
    <r>
      <rPr>
        <strike/>
        <sz val="11"/>
        <color rgb="FFFF0000"/>
        <rFont val="Calibri"/>
        <family val="2"/>
        <scheme val="minor"/>
      </rPr>
      <t xml:space="preserve">Pesticide </t>
    </r>
    <r>
      <rPr>
        <sz val="11"/>
        <color theme="1"/>
        <rFont val="Calibri"/>
        <family val="2"/>
        <scheme val="minor"/>
      </rPr>
      <t>Herbicide</t>
    </r>
  </si>
  <si>
    <t>0.3L + 1.0L /Ha</t>
  </si>
  <si>
    <t>Ninja</t>
  </si>
  <si>
    <t>Axial (Pinoxaden)+ Adigor (adjuvant)</t>
  </si>
  <si>
    <t>192 (350 seeds/m2)</t>
  </si>
  <si>
    <t>Date: Oct-15</t>
  </si>
  <si>
    <t>27% N + 4% S</t>
  </si>
  <si>
    <t>Super Net (CAN+S)</t>
  </si>
  <si>
    <t>Potash Muriate</t>
  </si>
  <si>
    <t>Proline (prothioconazole)</t>
  </si>
  <si>
    <t>Mar, Apr-15</t>
  </si>
  <si>
    <t>1.5 L + 1.0 L/ha</t>
  </si>
  <si>
    <t>165 ml/ha (per appl)</t>
  </si>
  <si>
    <t>Axial / Adigor (wils oat control)</t>
  </si>
  <si>
    <t>Date: Oct-16</t>
  </si>
  <si>
    <t>152 kg/ha (300 seeds/m2)</t>
  </si>
  <si>
    <t>Super Can (CAN+S)</t>
  </si>
  <si>
    <t>1-Gleam/ Bravo ; 2- Bitrex/Bravo</t>
  </si>
  <si>
    <t>Prosaro</t>
  </si>
  <si>
    <t>Sumi Alpha</t>
  </si>
  <si>
    <t>165 mL/Ha</t>
  </si>
  <si>
    <t>1 - 2.5L + 1.0L /Ha; 2 - 1.25L+ 1 L/Ha</t>
  </si>
  <si>
    <t>183 (330 seeds/m2)</t>
  </si>
  <si>
    <t>0.6 L + 1.0 L/ha</t>
  </si>
  <si>
    <t>Cerone (growth regulator)</t>
  </si>
  <si>
    <t>1.6 L + 1.0 L/ha</t>
  </si>
  <si>
    <t>Date: Oct-14</t>
  </si>
  <si>
    <t>Date:  Sep-14</t>
  </si>
  <si>
    <t>110 kg/ha</t>
  </si>
  <si>
    <t>152 kg/ha (390 seeds/m2)</t>
  </si>
  <si>
    <t>0.5 L + 1.0 L/ha</t>
  </si>
  <si>
    <t>1.5 L/ha</t>
  </si>
  <si>
    <t>Jenton (pyraclostrobin + fenpropimorph)/ Folicur (tebuconazole)</t>
  </si>
  <si>
    <t>Date: Oct-2015</t>
  </si>
  <si>
    <t>Apr, May-16</t>
  </si>
  <si>
    <t>Date: Oct-18</t>
  </si>
  <si>
    <t>Urea</t>
  </si>
  <si>
    <t>ASN</t>
  </si>
  <si>
    <t>280 kg/ha</t>
  </si>
  <si>
    <t>26% N, 14% S</t>
  </si>
  <si>
    <t>46% N</t>
  </si>
  <si>
    <t>SY Harnas</t>
  </si>
  <si>
    <t>Date: Sep-17</t>
  </si>
  <si>
    <t>0.4 L/Ha</t>
  </si>
  <si>
    <t>Nov-17, Mar-18</t>
  </si>
  <si>
    <t>Butisan (Metazachlor)</t>
  </si>
  <si>
    <t>1.5 L/Ha</t>
  </si>
  <si>
    <t>2 L/Ha (total)</t>
  </si>
  <si>
    <t>Falcon (propaquizafop)</t>
  </si>
  <si>
    <t>Sep-17, Oct-17</t>
  </si>
  <si>
    <t>Cexiax / Bravo (chlorothalonil)</t>
  </si>
  <si>
    <t>50 ml/ha</t>
  </si>
  <si>
    <t>Jenton / Proline</t>
  </si>
  <si>
    <t>1.0 L + 0.4 L/ha</t>
  </si>
  <si>
    <t>10.3:1</t>
  </si>
  <si>
    <t>2013-2019</t>
  </si>
  <si>
    <r>
      <t xml:space="preserve"> 1.1 g/cm</t>
    </r>
    <r>
      <rPr>
        <vertAlign val="superscript"/>
        <sz val="11"/>
        <color theme="1"/>
        <rFont val="Calibri"/>
        <family val="2"/>
        <scheme val="minor"/>
      </rPr>
      <t>3</t>
    </r>
  </si>
  <si>
    <t>Loam</t>
  </si>
  <si>
    <t>0-7-30</t>
  </si>
  <si>
    <t>0% N, 7% P, 30% K</t>
  </si>
  <si>
    <t>Herbicides:</t>
  </si>
  <si>
    <t xml:space="preserve">Lime: </t>
  </si>
  <si>
    <t>Advise is based on the farm lime requirements over a 5 years liming period.</t>
  </si>
  <si>
    <t>Calculations on lime requirements were based on a soil pH = 5.4, a soil buffer pH = 6.0 (Shoemaker-Mclean Pratt Method), requiring a total of 11 ton/ha to be spread over the 5 years.</t>
  </si>
  <si>
    <t>Yields:</t>
  </si>
  <si>
    <t>Yields reported for spring beans includes winter and spring beans, and peas. But % of winter beans and peas is minimal.</t>
  </si>
  <si>
    <t>Yields reported for winter oilseed rape (WOSR) include also Spring OSR. WOSR represent 80-85% of the total acreage of OSR in Ireland.</t>
  </si>
  <si>
    <t>The estimated cost for lime is 20 euros/ha.</t>
  </si>
  <si>
    <t>Before ploughing and for all crops - Glyphosate (Roundup, Rosate, etc). Estimated costs is 18 euros/ha/y</t>
  </si>
  <si>
    <t>1.0 L/Ha</t>
  </si>
  <si>
    <t>apr-19, may-19</t>
  </si>
  <si>
    <t>Beans weevil</t>
  </si>
  <si>
    <t>150 kg/ha (300 seeds/m2)</t>
  </si>
  <si>
    <t>2.5 kg/ha (55 seeds/m2)</t>
  </si>
  <si>
    <t xml:space="preserve">Flight </t>
  </si>
  <si>
    <t>4.0 L</t>
  </si>
  <si>
    <t>4 L/Ha</t>
  </si>
  <si>
    <t>Flight</t>
  </si>
  <si>
    <t>April/May-2016</t>
  </si>
  <si>
    <t>April/May-2019</t>
  </si>
  <si>
    <t>1 L/ha</t>
  </si>
  <si>
    <t>Date:  Oct-18</t>
  </si>
  <si>
    <t xml:space="preserve">Contact person:
</t>
  </si>
  <si>
    <t xml:space="preserve">Acknowledgement to:
</t>
  </si>
  <si>
    <t>How representative are the data?</t>
  </si>
  <si>
    <t>Data representing practical farming?</t>
  </si>
  <si>
    <t>Yes</t>
  </si>
  <si>
    <t>The rotations are based on expert knowledge informed by regional statistics.</t>
  </si>
  <si>
    <t xml:space="preserve">The rotations are typical in terms of crop choice and management for the region. </t>
  </si>
  <si>
    <t>Data coming from averages over several years?</t>
  </si>
  <si>
    <t>Data for yield stability?</t>
  </si>
  <si>
    <t>Can differences between the rotations be traced back to the presence of the legume alone?</t>
  </si>
  <si>
    <t>Sheila Alves, Teagasc. Contact: sheila.alves@teagasc.ie</t>
  </si>
  <si>
    <t>Sheila Alves and Michael Hennessy (Teagasc)</t>
  </si>
  <si>
    <t>Average yields from this data can be compared with the data in the rotations!</t>
  </si>
  <si>
    <t>No</t>
  </si>
  <si>
    <t xml:space="preserve">Data are also coming from national means from Teagasc. </t>
  </si>
  <si>
    <t>Crop 1</t>
  </si>
  <si>
    <t>Crop 2</t>
  </si>
  <si>
    <t>Crop 3</t>
  </si>
  <si>
    <t>Crop 4</t>
  </si>
  <si>
    <t>Crop 5</t>
  </si>
  <si>
    <t>Crop 6</t>
  </si>
  <si>
    <t xml:space="preserve">Without legumes: </t>
  </si>
  <si>
    <t>Winter barley</t>
  </si>
  <si>
    <t>Winter oats</t>
  </si>
  <si>
    <t>Winter wheat</t>
  </si>
  <si>
    <t>Winter barely</t>
  </si>
  <si>
    <t>Winter rape</t>
  </si>
  <si>
    <t>Spring beans</t>
  </si>
  <si>
    <t>Super Can</t>
  </si>
  <si>
    <t>Content N</t>
  </si>
  <si>
    <t>NPK</t>
  </si>
  <si>
    <t>Soy</t>
  </si>
  <si>
    <t>Pea</t>
  </si>
  <si>
    <t>Wheat</t>
  </si>
  <si>
    <t>Faba bean</t>
  </si>
  <si>
    <t>Without legumes</t>
  </si>
  <si>
    <t>wwheat</t>
  </si>
  <si>
    <t>wrye</t>
  </si>
  <si>
    <t>With legumes option 1</t>
  </si>
  <si>
    <t>wbarley</t>
  </si>
  <si>
    <t>wrape</t>
  </si>
  <si>
    <t>Yield DM</t>
  </si>
  <si>
    <t>lupin</t>
  </si>
  <si>
    <t>Triticale</t>
  </si>
  <si>
    <t xml:space="preserve">With legumes option 1: 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</si>
  <si>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</si>
  <si>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</si>
  <si>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</si>
  <si>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</si>
  <si>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</si>
  <si>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</si>
  <si>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</si>
  <si>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</si>
  <si>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Cereal crop</t>
  </si>
  <si>
    <t>Leaf crop</t>
  </si>
  <si>
    <t>Legume</t>
  </si>
  <si>
    <t>Gross margin (prices feed calculator)</t>
  </si>
  <si>
    <t>GM with CO2 tax I</t>
  </si>
  <si>
    <t>GM with CO2 tax II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</si>
  <si>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</si>
  <si>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</si>
  <si>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</si>
  <si>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</si>
  <si>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Crop diversity</t>
  </si>
  <si>
    <t>DM content</t>
  </si>
  <si>
    <t>Protein yield [kg/ha]</t>
  </si>
  <si>
    <t>Coefficient of variation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</si>
  <si>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</si>
  <si>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</si>
  <si>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</si>
  <si>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</si>
  <si>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</si>
  <si>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</si>
  <si>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</si>
  <si>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</si>
  <si>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</si>
  <si>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</si>
  <si>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</si>
  <si>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</si>
  <si>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</si>
  <si>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</si>
  <si>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</si>
  <si>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</si>
  <si>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</si>
  <si>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</si>
  <si>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</si>
  <si>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</si>
  <si>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</si>
  <si>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</si>
  <si>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</si>
  <si>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</si>
  <si>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</si>
  <si>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</si>
  <si>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</si>
  <si>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</si>
  <si>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</si>
  <si>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</si>
  <si>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</si>
  <si>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</si>
  <si>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</si>
  <si>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</si>
  <si>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</si>
  <si>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</si>
  <si>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</si>
  <si>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</si>
  <si>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</si>
  <si>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</si>
  <si>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</si>
  <si>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</si>
  <si>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</si>
  <si>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</si>
  <si>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</si>
  <si>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</si>
  <si>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</si>
  <si>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</si>
  <si>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</si>
  <si>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</si>
  <si>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</si>
  <si>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</si>
  <si>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</si>
  <si>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</si>
  <si>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</si>
  <si>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</si>
  <si>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</si>
  <si>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</si>
  <si>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</si>
  <si>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Nutribor</t>
  </si>
  <si>
    <t>Default</t>
  </si>
  <si>
    <t>FYM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</si>
  <si>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</si>
  <si>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</si>
  <si>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</si>
  <si>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</si>
  <si>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</si>
  <si>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</si>
  <si>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</si>
  <si>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</si>
  <si>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</si>
  <si>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Other</t>
  </si>
  <si>
    <t>NP</t>
  </si>
  <si>
    <t>Anhydrous ammonia</t>
  </si>
  <si>
    <t>ammonium nitrate</t>
  </si>
  <si>
    <t>Diammofoska</t>
  </si>
  <si>
    <t>Ammonium sulfate</t>
  </si>
  <si>
    <t>Nitroamofoska</t>
  </si>
  <si>
    <t>Urea (carbamide)</t>
  </si>
  <si>
    <t>VK gelb</t>
  </si>
  <si>
    <t>NAC</t>
  </si>
  <si>
    <t>KAS</t>
  </si>
  <si>
    <t>Alzon</t>
  </si>
  <si>
    <t>Diammonium phosphate</t>
  </si>
  <si>
    <t>Yara tris</t>
  </si>
  <si>
    <t>UMOSTART G MAXI</t>
  </si>
  <si>
    <t>Harnstoff</t>
  </si>
  <si>
    <t>Gülle</t>
  </si>
  <si>
    <t>Entec</t>
  </si>
  <si>
    <t>Mischdünger</t>
  </si>
  <si>
    <t>N</t>
  </si>
  <si>
    <t>IPCCID</t>
  </si>
  <si>
    <t>Field pea</t>
  </si>
  <si>
    <t>Spring barley</t>
  </si>
  <si>
    <t>Winter oat</t>
  </si>
  <si>
    <t>Soya</t>
  </si>
  <si>
    <t>Sunflower</t>
  </si>
  <si>
    <t>Dry bean</t>
  </si>
  <si>
    <t>Forage pea</t>
  </si>
  <si>
    <t>Soybean</t>
  </si>
  <si>
    <t>Corn</t>
  </si>
  <si>
    <t>Sugar beet</t>
  </si>
  <si>
    <t>Winter rapeseed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</si>
  <si>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</si>
  <si>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</si>
  <si>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</si>
  <si>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</si>
  <si>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</si>
  <si>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</si>
  <si>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</si>
  <si>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</si>
  <si>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</si>
  <si>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</si>
  <si>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Crude protein [% DM]</t>
  </si>
  <si>
    <t>Gross energy [GJ/t DM]</t>
  </si>
  <si>
    <t xml:space="preserve">Rye </t>
  </si>
  <si>
    <t>Tritcale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</si>
  <si>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</si>
  <si>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</si>
  <si>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</si>
  <si>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</si>
  <si>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</si>
  <si>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</si>
  <si>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</si>
  <si>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</si>
  <si>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</si>
  <si>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</si>
  <si>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</si>
  <si>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</si>
  <si>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</si>
  <si>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</si>
  <si>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</si>
  <si>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</si>
  <si>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</si>
  <si>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</si>
  <si>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</si>
  <si>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</si>
  <si>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Yield FM [t/ha]</t>
  </si>
  <si>
    <t>Yield DM [t/ha]</t>
  </si>
  <si>
    <t>Protein output [t/ha]</t>
  </si>
  <si>
    <t>Protein output rotations [kg/ha]</t>
  </si>
  <si>
    <t xml:space="preserve">Energy output rotations [GJ/ha] </t>
  </si>
  <si>
    <t>Grain yield [t/ha]</t>
  </si>
  <si>
    <t>Price [€/t]</t>
  </si>
  <si>
    <t>Revenue [€/ha]</t>
  </si>
  <si>
    <t>Straw [t/ha]</t>
  </si>
  <si>
    <t>Revenue straw [€/ha]</t>
  </si>
  <si>
    <t>Variable costs [€/ha]</t>
  </si>
  <si>
    <t>Gross margin [€/ha]</t>
  </si>
  <si>
    <t>GM 'feed calculator' per crop [€/ha]</t>
  </si>
  <si>
    <t>Gross margin rotation [€/ha]</t>
  </si>
  <si>
    <t>GM 'feed calculator' per rotation [€/ha]</t>
  </si>
  <si>
    <t>Prices feed calculator*</t>
  </si>
  <si>
    <t>Output price [€/t]</t>
  </si>
  <si>
    <t>Input prices [€/t] (Eurostat: https://ec.europa.eu/eurostat/databrowser/view/APRI_AP_INA__custom_152018/default/table?lang=en)</t>
  </si>
  <si>
    <t>*Landesbetrieb Landwirtschaft Hessen (LLH) (2018) Berechnung der Preiswürdigkeit von</t>
  </si>
  <si>
    <t>Einzelfuttermitteln für Schweine nach der Austauschmethode Löhr. Excel-based calculation tool. Landesbetrieb</t>
  </si>
  <si>
    <t>Landwirtschaft Hessen. Available at: https://www.proteinmarkt.de/aktuelles/schweine/rationsberechnung</t>
  </si>
  <si>
    <t>Price [EUR/t]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</si>
  <si>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</si>
  <si>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</si>
  <si>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</si>
  <si>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</si>
  <si>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 xml:space="preserve">Soil pH in the beans growing area ranges from 5 to above 6.5, typically around 5.5-6.5. </t>
  </si>
  <si>
    <t>Nfix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</si>
  <si>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</si>
  <si>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</si>
  <si>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</si>
  <si>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</si>
  <si>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</si>
  <si>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</si>
  <si>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</si>
  <si>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</si>
  <si>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-&gt; N uptake is the N accumulated by the crop and N fix is BNF of grain and forage legumes</t>
  </si>
  <si>
    <t>(N input encloses additional N from seed)</t>
  </si>
  <si>
    <t>N dfs = N uptake - N fix</t>
  </si>
  <si>
    <t>27% N + 5% S</t>
  </si>
  <si>
    <t>580 kg/ha (total)</t>
  </si>
  <si>
    <t>420kg/ha</t>
  </si>
  <si>
    <t>732 kg/ha (213 kg N/ha)</t>
  </si>
  <si>
    <t>620 kg/ha (167 kg N/ha)</t>
  </si>
  <si>
    <t>Total N</t>
  </si>
  <si>
    <t>194 kg/ha</t>
  </si>
  <si>
    <t>150 kg/ha</t>
  </si>
  <si>
    <t>Total N = 235 kg/ha</t>
  </si>
  <si>
    <t>732 kg/ha (198 kg N/ha)</t>
  </si>
  <si>
    <t xml:space="preserve">Done </t>
  </si>
  <si>
    <t>done</t>
  </si>
  <si>
    <t xml:space="preserve">done </t>
  </si>
  <si>
    <t>Spring Malt Barley</t>
  </si>
  <si>
    <t>Spring Oats</t>
  </si>
  <si>
    <t>Spring Feed Barley</t>
  </si>
  <si>
    <t xml:space="preserve">March </t>
  </si>
  <si>
    <t>March</t>
  </si>
  <si>
    <t>Planet</t>
  </si>
  <si>
    <t>160 kg/ha (300 seeds/m2)</t>
  </si>
  <si>
    <t>282 kg/ha (78 kg/ha Nl)</t>
  </si>
  <si>
    <t>282 kg/ha (76 kg N/ha)</t>
  </si>
  <si>
    <t>322 kg/ha (86kg/ha)</t>
  </si>
  <si>
    <t>282 kg/ha (76 kg/ha Nl)</t>
  </si>
  <si>
    <t>13-6-20</t>
  </si>
  <si>
    <t>13% N, 6% P, 20% K</t>
  </si>
  <si>
    <t>490 kg/ha (63.7 kg/N)</t>
  </si>
  <si>
    <t>490 kg/ha (63 kg/N)</t>
  </si>
  <si>
    <t>490 kg/ha (64 N/ha)</t>
  </si>
  <si>
    <t xml:space="preserve">SU </t>
  </si>
  <si>
    <t>.075 rate</t>
  </si>
  <si>
    <t>April</t>
  </si>
  <si>
    <t>Non SU</t>
  </si>
  <si>
    <t>0.75 rate</t>
  </si>
  <si>
    <t xml:space="preserve">May </t>
  </si>
  <si>
    <t xml:space="preserve">Fungicide </t>
  </si>
  <si>
    <t>50% rate (mildewicide)</t>
  </si>
  <si>
    <t>not always used</t>
  </si>
  <si>
    <t>50 % rate (triazole/strop/mildewicide)</t>
  </si>
  <si>
    <t>May</t>
  </si>
  <si>
    <t>June</t>
  </si>
  <si>
    <t>Bontima (cyprodinil + isopyrazam) /Folpet</t>
  </si>
  <si>
    <t>August</t>
  </si>
  <si>
    <t xml:space="preserve">With legumes option 2: </t>
  </si>
  <si>
    <t>Spring oats</t>
  </si>
  <si>
    <t>Spring feed barley</t>
  </si>
  <si>
    <t>Spring malt barley</t>
  </si>
  <si>
    <t>With legumes option 2</t>
  </si>
  <si>
    <t>NO3-N leaching [kg/ha]</t>
  </si>
  <si>
    <t>Crop [name of crop]: Spring Oats</t>
  </si>
  <si>
    <t>Crop [name of crop]: Spring barley (Malt and Feed)</t>
  </si>
  <si>
    <t>W Wheat after oats/beans +1.0t/ha</t>
  </si>
  <si>
    <t>kg/ha</t>
  </si>
  <si>
    <t>index 1</t>
  </si>
  <si>
    <t>index 2</t>
  </si>
  <si>
    <t xml:space="preserve">N input </t>
  </si>
  <si>
    <t xml:space="preserve"> W barley</t>
  </si>
  <si>
    <t>W oats</t>
  </si>
  <si>
    <t>WOSR</t>
  </si>
  <si>
    <t>S oats</t>
  </si>
  <si>
    <t>s F Barley</t>
  </si>
  <si>
    <t>S M Barley</t>
  </si>
  <si>
    <t>Therefore they are expert-derived crop rotations that are representative for a longer time period.</t>
  </si>
  <si>
    <t>Management and yield data were compiled on the data basis of national means from Teagasc, referring to the average yields from the production years 2015-2019 and being adapted to pre-crop effects.</t>
  </si>
  <si>
    <t>There are no differences in the management and yield of the other crops.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</si>
</sst>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D0D7E5"/>
      </right>
      <top/>
      <bottom/>
      <diagonal/>
    </border>
  </borders>
  <cellStyleXfs count="7">
    <xf numFmtId="0" fontId="0" fillId="0" borderId="0"/>
    <xf numFmtId="0" fontId="9" fillId="0" borderId="0"/>
    <xf numFmtId="9" fontId="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</cellStyleXfs>
  <cellXfs count="36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10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1" fillId="8" borderId="7" xfId="0" applyFont="1" applyFill="1" applyBorder="1" applyAlignment="1"/>
    <xf numFmtId="0" fontId="0" fillId="0" borderId="21" xfId="0" applyBorder="1"/>
    <xf numFmtId="0" fontId="1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/>
    <xf numFmtId="0" fontId="0" fillId="8" borderId="7" xfId="0" applyFill="1" applyBorder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7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9" borderId="19" xfId="0" applyFont="1" applyFill="1" applyBorder="1"/>
    <xf numFmtId="0" fontId="3" fillId="9" borderId="14" xfId="0" applyFont="1" applyFill="1" applyBorder="1"/>
    <xf numFmtId="0" fontId="0" fillId="8" borderId="28" xfId="0" applyFill="1" applyBorder="1"/>
    <xf numFmtId="0" fontId="0" fillId="3" borderId="19" xfId="0" applyFill="1" applyBorder="1"/>
    <xf numFmtId="9" fontId="0" fillId="3" borderId="5" xfId="0" applyNumberFormat="1" applyFill="1" applyBorder="1" applyAlignment="1">
      <alignment horizontal="center"/>
    </xf>
    <xf numFmtId="0" fontId="0" fillId="3" borderId="32" xfId="0" applyFill="1" applyBorder="1"/>
    <xf numFmtId="0" fontId="0" fillId="3" borderId="34" xfId="0" applyFill="1" applyBorder="1" applyAlignment="1">
      <alignment horizontal="center"/>
    </xf>
    <xf numFmtId="0" fontId="0" fillId="3" borderId="8" xfId="0" applyFill="1" applyBorder="1"/>
    <xf numFmtId="0" fontId="0" fillId="3" borderId="37" xfId="0" applyFill="1" applyBorder="1" applyAlignment="1"/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6" borderId="44" xfId="0" applyFill="1" applyBorder="1"/>
    <xf numFmtId="0" fontId="0" fillId="6" borderId="32" xfId="0" applyFill="1" applyBorder="1"/>
    <xf numFmtId="0" fontId="3" fillId="4" borderId="44" xfId="0" applyFont="1" applyFill="1" applyBorder="1"/>
    <xf numFmtId="0" fontId="0" fillId="4" borderId="32" xfId="0" applyFill="1" applyBorder="1" applyAlignment="1">
      <alignment wrapText="1"/>
    </xf>
    <xf numFmtId="0" fontId="0" fillId="0" borderId="18" xfId="0" applyBorder="1" applyAlignment="1"/>
    <xf numFmtId="0" fontId="0" fillId="9" borderId="32" xfId="0" applyFill="1" applyBorder="1"/>
    <xf numFmtId="0" fontId="0" fillId="3" borderId="44" xfId="0" applyFill="1" applyBorder="1"/>
    <xf numFmtId="0" fontId="0" fillId="4" borderId="32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1" fillId="8" borderId="50" xfId="0" applyFont="1" applyFill="1" applyBorder="1" applyAlignment="1"/>
    <xf numFmtId="0" fontId="0" fillId="8" borderId="50" xfId="0" applyFill="1" applyBorder="1"/>
    <xf numFmtId="0" fontId="3" fillId="9" borderId="52" xfId="0" applyFont="1" applyFill="1" applyBorder="1"/>
    <xf numFmtId="0" fontId="0" fillId="9" borderId="51" xfId="0" applyFill="1" applyBorder="1"/>
    <xf numFmtId="0" fontId="0" fillId="8" borderId="1" xfId="0" applyFill="1" applyBorder="1" applyAlignment="1"/>
    <xf numFmtId="0" fontId="0" fillId="8" borderId="1" xfId="0" applyFill="1" applyBorder="1"/>
    <xf numFmtId="0" fontId="0" fillId="8" borderId="10" xfId="0" applyFill="1" applyBorder="1" applyAlignment="1"/>
    <xf numFmtId="0" fontId="0" fillId="8" borderId="34" xfId="0" applyFill="1" applyBorder="1" applyAlignment="1"/>
    <xf numFmtId="0" fontId="0" fillId="8" borderId="34" xfId="0" applyFill="1" applyBorder="1"/>
    <xf numFmtId="0" fontId="0" fillId="6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7" xfId="0" applyFill="1" applyBorder="1" applyAlignment="1">
      <alignment horizontal="center" wrapText="1"/>
    </xf>
    <xf numFmtId="0" fontId="0" fillId="3" borderId="37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6" borderId="34" xfId="0" applyFill="1" applyBorder="1" applyAlignment="1"/>
    <xf numFmtId="0" fontId="0" fillId="3" borderId="5" xfId="0" applyFill="1" applyBorder="1" applyAlignment="1"/>
    <xf numFmtId="0" fontId="0" fillId="3" borderId="1" xfId="0" applyFill="1" applyBorder="1" applyAlignment="1"/>
    <xf numFmtId="0" fontId="0" fillId="3" borderId="33" xfId="0" applyFill="1" applyBorder="1" applyAlignment="1"/>
    <xf numFmtId="0" fontId="0" fillId="3" borderId="34" xfId="0" applyFill="1" applyBorder="1" applyAlignment="1"/>
    <xf numFmtId="0" fontId="0" fillId="3" borderId="37" xfId="0" applyFill="1" applyBorder="1" applyAlignment="1">
      <alignment wrapText="1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6" borderId="5" xfId="0" applyFill="1" applyBorder="1" applyAlignment="1"/>
    <xf numFmtId="0" fontId="0" fillId="6" borderId="1" xfId="0" applyFill="1" applyBorder="1" applyAlignment="1"/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/>
    <xf numFmtId="0" fontId="0" fillId="3" borderId="57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5"/>
    </xf>
    <xf numFmtId="0" fontId="0" fillId="4" borderId="45" xfId="0" applyFill="1" applyBorder="1" applyAlignment="1">
      <alignment horizontal="left"/>
    </xf>
    <xf numFmtId="17" fontId="0" fillId="6" borderId="5" xfId="0" applyNumberFormat="1" applyFill="1" applyBorder="1" applyAlignment="1"/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4" fillId="0" borderId="0" xfId="0" applyFont="1"/>
    <xf numFmtId="0" fontId="4" fillId="8" borderId="0" xfId="0" applyFont="1" applyFill="1"/>
    <xf numFmtId="17" fontId="0" fillId="6" borderId="34" xfId="0" applyNumberFormat="1" applyFill="1" applyBorder="1" applyAlignment="1"/>
    <xf numFmtId="0" fontId="0" fillId="6" borderId="1" xfId="0" applyFill="1" applyBorder="1" applyAlignment="1">
      <alignment horizontal="right"/>
    </xf>
    <xf numFmtId="17" fontId="0" fillId="3" borderId="1" xfId="0" applyNumberFormat="1" applyFill="1" applyBorder="1" applyAlignment="1"/>
    <xf numFmtId="17" fontId="0" fillId="3" borderId="5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3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3" fillId="0" borderId="0" xfId="0" applyFont="1"/>
    <xf numFmtId="0" fontId="4" fillId="3" borderId="32" xfId="0" applyFont="1" applyFill="1" applyBorder="1"/>
    <xf numFmtId="49" fontId="0" fillId="3" borderId="41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1" fontId="0" fillId="3" borderId="5" xfId="0" applyNumberFormat="1" applyFill="1" applyBorder="1" applyAlignment="1">
      <alignment horizontal="center"/>
    </xf>
    <xf numFmtId="17" fontId="0" fillId="3" borderId="5" xfId="0" applyNumberFormat="1" applyFill="1" applyBorder="1" applyAlignment="1"/>
    <xf numFmtId="17" fontId="0" fillId="8" borderId="0" xfId="0" applyNumberFormat="1" applyFill="1" applyBorder="1"/>
    <xf numFmtId="0" fontId="3" fillId="4" borderId="45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34" xfId="0" applyFont="1" applyFill="1" applyBorder="1" applyAlignment="1">
      <alignment horizontal="right"/>
    </xf>
    <xf numFmtId="17" fontId="0" fillId="3" borderId="5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7" fontId="0" fillId="3" borderId="33" xfId="0" applyNumberFormat="1" applyFill="1" applyBorder="1" applyAlignment="1"/>
    <xf numFmtId="1" fontId="0" fillId="3" borderId="34" xfId="0" applyNumberFormat="1" applyFill="1" applyBorder="1" applyAlignment="1">
      <alignment horizontal="center"/>
    </xf>
    <xf numFmtId="17" fontId="0" fillId="3" borderId="34" xfId="0" applyNumberFormat="1" applyFill="1" applyBorder="1" applyAlignment="1"/>
    <xf numFmtId="0" fontId="0" fillId="3" borderId="6" xfId="0" applyFill="1" applyBorder="1" applyAlignment="1">
      <alignment horizontal="center" wrapText="1"/>
    </xf>
    <xf numFmtId="17" fontId="0" fillId="3" borderId="1" xfId="0" applyNumberFormat="1" applyFill="1" applyBorder="1" applyAlignment="1">
      <alignment horizontal="right"/>
    </xf>
    <xf numFmtId="17" fontId="0" fillId="3" borderId="4" xfId="0" applyNumberFormat="1" applyFill="1" applyBorder="1" applyAlignment="1"/>
    <xf numFmtId="17" fontId="0" fillId="3" borderId="34" xfId="0" applyNumberFormat="1" applyFill="1" applyBorder="1" applyAlignment="1">
      <alignment horizontal="right"/>
    </xf>
    <xf numFmtId="0" fontId="0" fillId="0" borderId="0" xfId="0" applyAlignment="1"/>
    <xf numFmtId="0" fontId="1" fillId="11" borderId="0" xfId="0" applyFont="1" applyFill="1"/>
    <xf numFmtId="0" fontId="1" fillId="12" borderId="0" xfId="0" applyFont="1" applyFill="1"/>
    <xf numFmtId="9" fontId="0" fillId="0" borderId="0" xfId="0" applyNumberFormat="1" applyFill="1" applyAlignment="1">
      <alignment horizontal="center" vertical="center"/>
    </xf>
    <xf numFmtId="0" fontId="1" fillId="13" borderId="0" xfId="0" applyFont="1" applyFill="1"/>
    <xf numFmtId="9" fontId="0" fillId="3" borderId="3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1" fillId="0" borderId="0" xfId="0" applyFont="1" applyAlignment="1"/>
    <xf numFmtId="0" fontId="10" fillId="0" borderId="0" xfId="0" applyFont="1"/>
    <xf numFmtId="0" fontId="3" fillId="3" borderId="4" xfId="0" applyFont="1" applyFill="1" applyBorder="1" applyAlignment="1">
      <alignment horizontal="left"/>
    </xf>
    <xf numFmtId="0" fontId="0" fillId="0" borderId="0" xfId="0"/>
    <xf numFmtId="9" fontId="0" fillId="0" borderId="0" xfId="0" applyNumberFormat="1"/>
    <xf numFmtId="10" fontId="0" fillId="0" borderId="0" xfId="0" applyNumberFormat="1"/>
    <xf numFmtId="9" fontId="0" fillId="0" borderId="0" xfId="2" applyFont="1"/>
    <xf numFmtId="0" fontId="12" fillId="0" borderId="0" xfId="4" applyFont="1" applyFill="1" applyBorder="1" applyAlignment="1">
      <alignment wrapText="1"/>
    </xf>
    <xf numFmtId="0" fontId="12" fillId="0" borderId="0" xfId="3" applyFont="1" applyFill="1" applyBorder="1" applyAlignment="1"/>
    <xf numFmtId="0" fontId="12" fillId="0" borderId="0" xfId="3" applyFont="1" applyFill="1" applyBorder="1" applyAlignment="1">
      <alignment wrapText="1"/>
    </xf>
    <xf numFmtId="0" fontId="12" fillId="0" borderId="3" xfId="6" applyFont="1" applyFill="1" applyBorder="1" applyAlignment="1">
      <alignment horizontal="left" wrapText="1"/>
    </xf>
    <xf numFmtId="0" fontId="12" fillId="0" borderId="3" xfId="6" applyFont="1" applyFill="1" applyBorder="1" applyAlignment="1">
      <alignment horizontal="right" wrapText="1"/>
    </xf>
    <xf numFmtId="2" fontId="0" fillId="0" borderId="0" xfId="0" applyNumberFormat="1"/>
    <xf numFmtId="2" fontId="12" fillId="0" borderId="0" xfId="5" applyNumberFormat="1" applyFont="1" applyFill="1" applyBorder="1" applyAlignment="1">
      <alignment horizontal="right" wrapText="1"/>
    </xf>
    <xf numFmtId="0" fontId="0" fillId="0" borderId="7" xfId="0" applyBorder="1"/>
    <xf numFmtId="0" fontId="0" fillId="0" borderId="28" xfId="0" applyBorder="1"/>
    <xf numFmtId="0" fontId="1" fillId="0" borderId="6" xfId="0" applyFont="1" applyBorder="1"/>
    <xf numFmtId="0" fontId="1" fillId="0" borderId="28" xfId="0" applyFont="1" applyBorder="1"/>
    <xf numFmtId="0" fontId="0" fillId="0" borderId="0" xfId="0" applyAlignment="1">
      <alignment wrapText="1"/>
    </xf>
    <xf numFmtId="0" fontId="0" fillId="11" borderId="0" xfId="0" applyFill="1"/>
    <xf numFmtId="0" fontId="1" fillId="0" borderId="0" xfId="0" applyFont="1" applyBorder="1"/>
    <xf numFmtId="0" fontId="0" fillId="0" borderId="27" xfId="0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 wrapText="1"/>
    </xf>
    <xf numFmtId="164" fontId="0" fillId="0" borderId="59" xfId="0" applyNumberFormat="1" applyFill="1" applyBorder="1" applyAlignment="1">
      <alignment horizontal="center" vertical="center" wrapText="1"/>
    </xf>
    <xf numFmtId="0" fontId="0" fillId="14" borderId="0" xfId="0" applyFill="1"/>
    <xf numFmtId="0" fontId="16" fillId="0" borderId="0" xfId="0" applyFont="1" applyBorder="1"/>
    <xf numFmtId="0" fontId="1" fillId="0" borderId="0" xfId="0" applyFont="1" applyFill="1" applyBorder="1"/>
    <xf numFmtId="0" fontId="12" fillId="0" borderId="60" xfId="6" applyFont="1" applyFill="1" applyBorder="1" applyAlignment="1">
      <alignment horizontal="right" wrapText="1"/>
    </xf>
    <xf numFmtId="0" fontId="12" fillId="0" borderId="61" xfId="3" applyFont="1" applyFill="1" applyBorder="1" applyAlignment="1">
      <alignment wrapText="1"/>
    </xf>
    <xf numFmtId="1" fontId="0" fillId="0" borderId="0" xfId="0" applyNumberFormat="1"/>
    <xf numFmtId="0" fontId="1" fillId="15" borderId="0" xfId="0" applyFont="1" applyFill="1"/>
    <xf numFmtId="2" fontId="17" fillId="0" borderId="63" xfId="0" applyNumberFormat="1" applyFont="1" applyFill="1" applyBorder="1" applyAlignment="1" applyProtection="1">
      <alignment horizontal="right" vertical="center" wrapText="1"/>
    </xf>
    <xf numFmtId="165" fontId="0" fillId="0" borderId="0" xfId="0" applyNumberFormat="1"/>
    <xf numFmtId="166" fontId="0" fillId="0" borderId="0" xfId="0" applyNumberFormat="1"/>
    <xf numFmtId="0" fontId="12" fillId="0" borderId="61" xfId="4" applyFont="1" applyFill="1" applyBorder="1" applyAlignment="1">
      <alignment wrapText="1"/>
    </xf>
    <xf numFmtId="165" fontId="0" fillId="0" borderId="0" xfId="0" applyNumberFormat="1" applyFill="1" applyBorder="1"/>
    <xf numFmtId="0" fontId="0" fillId="9" borderId="0" xfId="0" applyFill="1"/>
    <xf numFmtId="1" fontId="17" fillId="0" borderId="62" xfId="0" applyNumberFormat="1" applyFont="1" applyFill="1" applyBorder="1" applyAlignment="1" applyProtection="1">
      <alignment horizontal="right" vertical="center" wrapText="1"/>
    </xf>
    <xf numFmtId="2" fontId="12" fillId="0" borderId="64" xfId="5" applyNumberFormat="1" applyFont="1" applyFill="1" applyBorder="1" applyAlignment="1">
      <alignment horizontal="right" wrapText="1"/>
    </xf>
    <xf numFmtId="2" fontId="12" fillId="0" borderId="65" xfId="5" applyNumberFormat="1" applyFont="1" applyFill="1" applyBorder="1" applyAlignment="1">
      <alignment horizontal="right" wrapText="1"/>
    </xf>
    <xf numFmtId="0" fontId="0" fillId="3" borderId="3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9" fontId="0" fillId="10" borderId="5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quotePrefix="1" applyFill="1" applyBorder="1" applyAlignment="1"/>
    <xf numFmtId="0" fontId="3" fillId="0" borderId="0" xfId="0" quotePrefix="1" applyFont="1" applyFill="1" applyBorder="1" applyAlignment="1"/>
    <xf numFmtId="0" fontId="3" fillId="0" borderId="0" xfId="0" applyFont="1" applyFill="1" applyBorder="1" applyAlignment="1"/>
    <xf numFmtId="0" fontId="0" fillId="0" borderId="31" xfId="0" applyBorder="1"/>
    <xf numFmtId="2" fontId="12" fillId="0" borderId="66" xfId="5" applyNumberFormat="1" applyFont="1" applyFill="1" applyBorder="1" applyAlignment="1">
      <alignment horizontal="right" wrapText="1"/>
    </xf>
    <xf numFmtId="0" fontId="6" fillId="0" borderId="0" xfId="0" applyFont="1" applyFill="1" applyAlignment="1">
      <alignment horizontal="left" vertical="center" indent="5"/>
    </xf>
    <xf numFmtId="2" fontId="0" fillId="0" borderId="0" xfId="0" applyNumberFormat="1" applyFill="1"/>
    <xf numFmtId="0" fontId="4" fillId="0" borderId="0" xfId="0" applyFont="1" applyFill="1"/>
    <xf numFmtId="0" fontId="0" fillId="0" borderId="0" xfId="0" applyFont="1" applyBorder="1"/>
    <xf numFmtId="0" fontId="0" fillId="0" borderId="0" xfId="0" applyAlignment="1" applyProtection="1">
      <alignment horizontal="right"/>
      <protection locked="0"/>
    </xf>
    <xf numFmtId="0" fontId="9" fillId="0" borderId="0" xfId="1" applyAlignment="1" applyProtection="1">
      <alignment horizontal="right"/>
      <protection locked="0"/>
    </xf>
    <xf numFmtId="0" fontId="9" fillId="0" borderId="0" xfId="1"/>
    <xf numFmtId="1" fontId="0" fillId="0" borderId="0" xfId="0" applyNumberFormat="1" applyBorder="1"/>
    <xf numFmtId="1" fontId="17" fillId="0" borderId="73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3" fillId="10" borderId="35" xfId="0" quotePrefix="1" applyFont="1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10" borderId="35" xfId="0" quotePrefix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33" xfId="0" quotePrefix="1" applyFill="1" applyBorder="1" applyAlignment="1">
      <alignment horizontal="center"/>
    </xf>
    <xf numFmtId="0" fontId="0" fillId="3" borderId="34" xfId="0" quotePrefix="1" applyFill="1" applyBorder="1" applyAlignment="1">
      <alignment horizontal="center"/>
    </xf>
    <xf numFmtId="0" fontId="0" fillId="4" borderId="35" xfId="0" quotePrefix="1" applyFill="1" applyBorder="1" applyAlignment="1">
      <alignment horizontal="center"/>
    </xf>
    <xf numFmtId="0" fontId="1" fillId="7" borderId="25" xfId="0" applyFont="1" applyFill="1" applyBorder="1" applyAlignment="1">
      <alignment horizontal="center" textRotation="90"/>
    </xf>
    <xf numFmtId="0" fontId="1" fillId="7" borderId="13" xfId="0" applyFont="1" applyFill="1" applyBorder="1" applyAlignment="1">
      <alignment horizontal="center" textRotation="90"/>
    </xf>
    <xf numFmtId="0" fontId="1" fillId="7" borderId="23" xfId="0" applyFont="1" applyFill="1" applyBorder="1" applyAlignment="1">
      <alignment horizontal="center" textRotation="90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8" xfId="0" applyFill="1" applyBorder="1" applyAlignment="1">
      <alignment horizontal="left" wrapText="1"/>
    </xf>
    <xf numFmtId="0" fontId="0" fillId="4" borderId="3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" fillId="2" borderId="15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1" fillId="7" borderId="15" xfId="0" applyFont="1" applyFill="1" applyBorder="1" applyAlignment="1">
      <alignment horizontal="center" textRotation="90"/>
    </xf>
    <xf numFmtId="0" fontId="1" fillId="7" borderId="17" xfId="0" applyFont="1" applyFill="1" applyBorder="1" applyAlignment="1">
      <alignment horizontal="center" textRotation="90"/>
    </xf>
    <xf numFmtId="0" fontId="1" fillId="7" borderId="9" xfId="0" applyFont="1" applyFill="1" applyBorder="1" applyAlignment="1">
      <alignment horizontal="center" textRotation="90"/>
    </xf>
    <xf numFmtId="0" fontId="1" fillId="5" borderId="15" xfId="0" applyFont="1" applyFill="1" applyBorder="1" applyAlignment="1">
      <alignment horizontal="center" textRotation="90"/>
    </xf>
    <xf numFmtId="0" fontId="1" fillId="5" borderId="17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1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9" borderId="54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4" borderId="35" xfId="0" quotePrefix="1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0" fillId="3" borderId="68" xfId="0" quotePrefix="1" applyFill="1" applyBorder="1" applyAlignment="1">
      <alignment horizontal="center"/>
    </xf>
    <xf numFmtId="0" fontId="0" fillId="3" borderId="69" xfId="0" quotePrefix="1" applyFill="1" applyBorder="1" applyAlignment="1">
      <alignment horizontal="center"/>
    </xf>
    <xf numFmtId="0" fontId="0" fillId="3" borderId="70" xfId="0" quotePrefix="1" applyFill="1" applyBorder="1" applyAlignment="1">
      <alignment horizontal="center"/>
    </xf>
    <xf numFmtId="0" fontId="0" fillId="3" borderId="71" xfId="0" quotePrefix="1" applyFill="1" applyBorder="1" applyAlignment="1">
      <alignment horizontal="center"/>
    </xf>
    <xf numFmtId="0" fontId="0" fillId="3" borderId="10" xfId="0" quotePrefix="1" applyFill="1" applyBorder="1" applyAlignment="1">
      <alignment horizontal="center"/>
    </xf>
    <xf numFmtId="0" fontId="0" fillId="3" borderId="72" xfId="0" quotePrefix="1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7">
    <cellStyle name="Normal 2" xfId="1"/>
    <cellStyle name="Prozent" xfId="2" builtinId="5"/>
    <cellStyle name="Standard" xfId="0" builtinId="0"/>
    <cellStyle name="Standard_arable-legume" xfId="6"/>
    <cellStyle name="Standard_Input data crop_1" xfId="5"/>
    <cellStyle name="Standard_Tabelle1" xfId="3"/>
    <cellStyle name="Standard_Tabelle1_1" xfId="4"/>
  </cellStyles>
  <dxfs count="0"/>
  <tableStyles count="0" defaultTableStyle="TableStyleMedium2" defaultPivotStyle="PivotStyleLight16"/>
  <colors>
    <mruColors>
      <color rgb="FFCC9900"/>
      <color rgb="FF996600"/>
      <color rgb="FFCCCCFF"/>
      <color rgb="FFCC99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0" y="0"/>
          <a:ext cx="24831524" cy="925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14432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159021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F23" sqref="F23"/>
    </sheetView>
  </sheetViews>
  <sheetFormatPr baseColWidth="10" defaultColWidth="11.42578125" defaultRowHeight="15" x14ac:dyDescent="0.25"/>
  <cols>
    <col min="1" max="1" width="22.28515625" style="152" bestFit="1" customWidth="1"/>
    <col min="2" max="2" width="13.140625" style="152" bestFit="1" customWidth="1"/>
    <col min="3" max="3" width="11.42578125" style="152"/>
    <col min="4" max="7" width="13.140625" style="152" bestFit="1" customWidth="1"/>
    <col min="8" max="11" width="11.42578125" style="152"/>
    <col min="12" max="12" width="11.42578125" style="152" hidden="1" customWidth="1"/>
    <col min="13" max="14" width="11.42578125" style="152"/>
    <col min="15" max="15" width="11.42578125" style="152" hidden="1" customWidth="1"/>
    <col min="16" max="19" width="11.42578125" style="152"/>
    <col min="20" max="20" width="13" style="152" customWidth="1"/>
    <col min="21" max="16384" width="11.42578125" style="152"/>
  </cols>
  <sheetData>
    <row r="1" spans="1:20" ht="76.5" x14ac:dyDescent="0.35">
      <c r="B1" s="152" t="s">
        <v>263</v>
      </c>
      <c r="C1" s="152" t="s">
        <v>264</v>
      </c>
      <c r="D1" s="152" t="s">
        <v>265</v>
      </c>
      <c r="E1" s="152" t="s">
        <v>266</v>
      </c>
      <c r="F1" s="152" t="s">
        <v>267</v>
      </c>
      <c r="G1" s="152" t="s">
        <v>268</v>
      </c>
      <c r="H1" s="159" t="s">
        <v>480</v>
      </c>
      <c r="I1" s="159" t="s">
        <v>304</v>
      </c>
      <c r="J1" s="160" t="s">
        <v>305</v>
      </c>
      <c r="K1" s="160" t="s">
        <v>306</v>
      </c>
      <c r="L1" s="160" t="s">
        <v>309</v>
      </c>
      <c r="M1" s="160" t="s">
        <v>539</v>
      </c>
      <c r="N1" s="160" t="s">
        <v>307</v>
      </c>
      <c r="O1" s="160" t="s">
        <v>308</v>
      </c>
      <c r="P1" s="160" t="s">
        <v>310</v>
      </c>
      <c r="Q1" s="160" t="s">
        <v>316</v>
      </c>
      <c r="R1" s="160" t="s">
        <v>313</v>
      </c>
      <c r="S1" s="177" t="s">
        <v>427</v>
      </c>
      <c r="T1" s="160" t="s">
        <v>311</v>
      </c>
    </row>
    <row r="2" spans="1:20" x14ac:dyDescent="0.25">
      <c r="A2" s="152" t="s">
        <v>269</v>
      </c>
      <c r="B2" s="152" t="s">
        <v>270</v>
      </c>
      <c r="C2" s="152" t="s">
        <v>271</v>
      </c>
      <c r="D2" s="152" t="s">
        <v>272</v>
      </c>
      <c r="E2" s="152" t="s">
        <v>273</v>
      </c>
      <c r="F2" s="152" t="s">
        <v>274</v>
      </c>
      <c r="G2" s="152" t="s">
        <v>272</v>
      </c>
      <c r="H2" s="179">
        <f>GM!B19</f>
        <v>600.46666666666658</v>
      </c>
      <c r="I2" s="179">
        <f>H2</f>
        <v>600.46666666666658</v>
      </c>
      <c r="J2" s="179">
        <f>H2-(0.15*L2)</f>
        <v>431.66434666666657</v>
      </c>
      <c r="K2" s="179">
        <f>H2-(0.05*L2)</f>
        <v>544.19922666666662</v>
      </c>
      <c r="L2" s="179">
        <f>O2*5.62</f>
        <v>1125.3488</v>
      </c>
      <c r="M2" s="179">
        <f>'NO3-N'!K9</f>
        <v>61.606780416666673</v>
      </c>
      <c r="N2" s="179">
        <f>'N fertilizer'!B28</f>
        <v>200.24</v>
      </c>
      <c r="O2" s="179">
        <f>N2</f>
        <v>200.24</v>
      </c>
      <c r="P2" s="182">
        <f>'N2O calculations'!A31/6</f>
        <v>7.1549949537261917</v>
      </c>
      <c r="Q2" s="153">
        <f>'Data for yield stability'!L52</f>
        <v>0.13845229479660365</v>
      </c>
      <c r="R2" s="179">
        <f>'Protein &amp; Energy Output'!C16</f>
        <v>1096.5266666666666</v>
      </c>
      <c r="S2" s="179">
        <f>'Protein &amp; Energy Output'!C21</f>
        <v>147.75671666666665</v>
      </c>
      <c r="T2" s="161">
        <f>'Crop Diversity'!E16</f>
        <v>0.45588621302735838</v>
      </c>
    </row>
    <row r="3" spans="1:20" x14ac:dyDescent="0.25">
      <c r="A3" s="152" t="s">
        <v>292</v>
      </c>
      <c r="B3" s="152" t="s">
        <v>270</v>
      </c>
      <c r="C3" s="152" t="s">
        <v>271</v>
      </c>
      <c r="D3" s="152" t="s">
        <v>272</v>
      </c>
      <c r="E3" s="152" t="s">
        <v>275</v>
      </c>
      <c r="F3" s="152" t="s">
        <v>272</v>
      </c>
      <c r="H3" s="179">
        <f>GM!I19</f>
        <v>583.12</v>
      </c>
      <c r="I3" s="179">
        <f>GM!I21</f>
        <v>707.428</v>
      </c>
      <c r="J3" s="179">
        <f>H3-(0.15*L3)</f>
        <v>451.09945600000003</v>
      </c>
      <c r="K3" s="179">
        <f>H3-(0.05*L3)</f>
        <v>539.11315200000001</v>
      </c>
      <c r="L3" s="179">
        <f>O3*5.62</f>
        <v>880.13696000000004</v>
      </c>
      <c r="M3" s="179">
        <f>'NO3-N'!K16</f>
        <v>47.167901628738193</v>
      </c>
      <c r="N3" s="179">
        <f>'N fertilizer'!I28</f>
        <v>156.608</v>
      </c>
      <c r="O3" s="179">
        <f>N3</f>
        <v>156.608</v>
      </c>
      <c r="P3" s="182">
        <f>'N2O calculations'!H31/5</f>
        <v>5.8051017135824754</v>
      </c>
      <c r="Q3" s="153">
        <f>'Data for yield stability'!L53</f>
        <v>0.13243693661204012</v>
      </c>
      <c r="R3" s="179">
        <f>'Protein &amp; Energy Output'!J16</f>
        <v>1240.68</v>
      </c>
      <c r="S3" s="179">
        <f>'Protein &amp; Energy Output'!J21</f>
        <v>145.44721999999999</v>
      </c>
      <c r="T3" s="161">
        <f>'Crop Diversity'!E22</f>
        <v>0.50040242353818787</v>
      </c>
    </row>
    <row r="4" spans="1:20" x14ac:dyDescent="0.25">
      <c r="A4" s="152" t="s">
        <v>534</v>
      </c>
      <c r="B4" s="152" t="s">
        <v>537</v>
      </c>
      <c r="C4" s="152" t="s">
        <v>275</v>
      </c>
      <c r="D4" s="152" t="s">
        <v>535</v>
      </c>
      <c r="E4" s="152" t="s">
        <v>536</v>
      </c>
      <c r="F4" s="152" t="s">
        <v>537</v>
      </c>
      <c r="H4" s="179">
        <f>GM!P19</f>
        <v>359.55</v>
      </c>
      <c r="I4" s="179">
        <f>GM!P21</f>
        <v>483.858</v>
      </c>
      <c r="J4" s="179">
        <f>H4-(0.15*L4)</f>
        <v>263.42102399999999</v>
      </c>
      <c r="K4" s="179">
        <f>H4-(0.05*L4)</f>
        <v>327.50700799999998</v>
      </c>
      <c r="L4" s="179">
        <f>O4*5.62</f>
        <v>640.85984000000008</v>
      </c>
      <c r="M4" s="179">
        <f>'NO3-N'!K23</f>
        <v>47.951946628738199</v>
      </c>
      <c r="N4" s="179">
        <f>'N fertilizer'!P28</f>
        <v>114.03200000000001</v>
      </c>
      <c r="O4" s="179">
        <f>N4</f>
        <v>114.03200000000001</v>
      </c>
      <c r="P4" s="182">
        <f>'N2O calculations'!O31/5</f>
        <v>4.558364606582475</v>
      </c>
      <c r="Q4" s="153">
        <f>'Data for yield stability'!L54</f>
        <v>0.13383332172991289</v>
      </c>
      <c r="R4" s="179">
        <f>'Protein &amp; Energy Output'!C32</f>
        <v>981.67999999999984</v>
      </c>
      <c r="S4" s="179">
        <f>'Protein &amp; Energy Output'!C37</f>
        <v>114.07472</v>
      </c>
      <c r="T4" s="161">
        <f>'Crop Diversity'!E29</f>
        <v>0.50040242353818787</v>
      </c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O29" sqref="O29"/>
    </sheetView>
  </sheetViews>
  <sheetFormatPr baseColWidth="10" defaultColWidth="11.42578125" defaultRowHeight="15" x14ac:dyDescent="0.25"/>
  <cols>
    <col min="1" max="1" width="23" style="152" bestFit="1" customWidth="1"/>
    <col min="2" max="18" width="11.42578125" style="152"/>
    <col min="19" max="19" width="17.28515625" style="152" bestFit="1" customWidth="1"/>
    <col min="20" max="16384" width="11.42578125" style="152"/>
  </cols>
  <sheetData>
    <row r="1" spans="1:21" x14ac:dyDescent="0.25">
      <c r="B1" s="152" t="s">
        <v>263</v>
      </c>
      <c r="C1" s="152" t="s">
        <v>264</v>
      </c>
      <c r="D1" s="152" t="s">
        <v>265</v>
      </c>
      <c r="E1" s="152" t="s">
        <v>266</v>
      </c>
      <c r="F1" s="152" t="s">
        <v>267</v>
      </c>
      <c r="G1" s="152" t="s">
        <v>268</v>
      </c>
    </row>
    <row r="2" spans="1:21" x14ac:dyDescent="0.25">
      <c r="A2" s="152" t="s">
        <v>269</v>
      </c>
      <c r="B2" s="152" t="s">
        <v>270</v>
      </c>
      <c r="C2" s="152" t="s">
        <v>271</v>
      </c>
      <c r="D2" s="152" t="s">
        <v>272</v>
      </c>
      <c r="E2" s="152" t="s">
        <v>273</v>
      </c>
      <c r="F2" s="152" t="s">
        <v>274</v>
      </c>
      <c r="G2" s="152" t="s">
        <v>272</v>
      </c>
    </row>
    <row r="3" spans="1:21" x14ac:dyDescent="0.25">
      <c r="A3" s="152" t="s">
        <v>292</v>
      </c>
      <c r="B3" s="152" t="s">
        <v>270</v>
      </c>
      <c r="C3" s="152" t="s">
        <v>271</v>
      </c>
      <c r="D3" s="152" t="s">
        <v>272</v>
      </c>
      <c r="E3" s="152" t="s">
        <v>275</v>
      </c>
      <c r="F3" s="152" t="s">
        <v>272</v>
      </c>
    </row>
    <row r="4" spans="1:21" x14ac:dyDescent="0.25">
      <c r="A4" s="152" t="s">
        <v>534</v>
      </c>
      <c r="B4" s="152" t="s">
        <v>537</v>
      </c>
      <c r="C4" s="152" t="s">
        <v>275</v>
      </c>
      <c r="D4" s="152" t="s">
        <v>535</v>
      </c>
      <c r="E4" s="152" t="s">
        <v>536</v>
      </c>
      <c r="F4" s="152" t="s">
        <v>537</v>
      </c>
    </row>
    <row r="7" spans="1:21" x14ac:dyDescent="0.25">
      <c r="A7" s="164"/>
      <c r="B7" s="6" t="s">
        <v>270</v>
      </c>
      <c r="C7" s="6" t="s">
        <v>271</v>
      </c>
      <c r="D7" s="6" t="s">
        <v>272</v>
      </c>
      <c r="E7" s="6" t="s">
        <v>270</v>
      </c>
      <c r="F7" s="6" t="s">
        <v>274</v>
      </c>
      <c r="G7" s="6" t="s">
        <v>272</v>
      </c>
      <c r="H7" s="6"/>
      <c r="I7" s="6" t="s">
        <v>270</v>
      </c>
      <c r="J7" s="6" t="s">
        <v>271</v>
      </c>
      <c r="K7" s="6" t="s">
        <v>272</v>
      </c>
      <c r="L7" s="6" t="s">
        <v>275</v>
      </c>
      <c r="M7" s="6" t="s">
        <v>272</v>
      </c>
      <c r="P7" s="6" t="s">
        <v>537</v>
      </c>
      <c r="Q7" s="6" t="s">
        <v>275</v>
      </c>
      <c r="R7" s="6" t="s">
        <v>535</v>
      </c>
      <c r="S7" s="6" t="s">
        <v>536</v>
      </c>
      <c r="T7" s="6" t="s">
        <v>537</v>
      </c>
      <c r="U7" s="6"/>
    </row>
    <row r="8" spans="1:21" x14ac:dyDescent="0.25">
      <c r="A8" s="165" t="s">
        <v>418</v>
      </c>
      <c r="B8" s="203">
        <v>9.3000000000000007</v>
      </c>
      <c r="C8" s="163">
        <v>8.6999999999999993</v>
      </c>
      <c r="D8" s="163">
        <v>10.25</v>
      </c>
      <c r="E8" s="163">
        <v>9.3000000000000007</v>
      </c>
      <c r="F8" s="163">
        <v>4.04</v>
      </c>
      <c r="G8" s="163">
        <v>10.25</v>
      </c>
      <c r="H8" s="163"/>
      <c r="I8" s="163">
        <v>9.3000000000000007</v>
      </c>
      <c r="J8" s="163">
        <v>8.6999999999999993</v>
      </c>
      <c r="K8" s="163">
        <v>10.25</v>
      </c>
      <c r="L8" s="163">
        <v>5.4</v>
      </c>
      <c r="M8" s="163">
        <v>10.25</v>
      </c>
      <c r="N8" s="163"/>
      <c r="O8" s="163"/>
      <c r="P8" s="163">
        <v>7.2</v>
      </c>
      <c r="Q8" s="163">
        <v>5.4</v>
      </c>
      <c r="R8" s="163">
        <v>7</v>
      </c>
      <c r="S8" s="163">
        <v>7.4</v>
      </c>
      <c r="T8" s="163">
        <v>7.2</v>
      </c>
    </row>
    <row r="9" spans="1:21" x14ac:dyDescent="0.25">
      <c r="A9" s="166" t="s">
        <v>315</v>
      </c>
    </row>
    <row r="10" spans="1:21" x14ac:dyDescent="0.25">
      <c r="A10" s="164" t="s">
        <v>32</v>
      </c>
      <c r="B10" s="152" t="s">
        <v>144</v>
      </c>
      <c r="C10" s="152" t="s">
        <v>144</v>
      </c>
      <c r="D10" s="152" t="s">
        <v>276</v>
      </c>
      <c r="E10" s="152" t="s">
        <v>144</v>
      </c>
      <c r="F10" s="152" t="s">
        <v>202</v>
      </c>
      <c r="G10" s="152" t="s">
        <v>276</v>
      </c>
      <c r="I10" s="152" t="s">
        <v>144</v>
      </c>
      <c r="J10" s="152" t="s">
        <v>144</v>
      </c>
      <c r="K10" s="152" t="s">
        <v>276</v>
      </c>
      <c r="M10" s="152" t="s">
        <v>276</v>
      </c>
      <c r="P10" s="152" t="s">
        <v>144</v>
      </c>
      <c r="R10" s="152" t="s">
        <v>276</v>
      </c>
      <c r="S10" s="152" t="s">
        <v>144</v>
      </c>
      <c r="T10" s="152" t="s">
        <v>144</v>
      </c>
    </row>
    <row r="11" spans="1:21" x14ac:dyDescent="0.25">
      <c r="A11" s="164" t="s">
        <v>277</v>
      </c>
      <c r="B11" s="153">
        <v>0.27</v>
      </c>
      <c r="C11" s="153">
        <v>0.27</v>
      </c>
      <c r="D11" s="153">
        <v>0.27</v>
      </c>
      <c r="E11" s="153">
        <v>0.27</v>
      </c>
      <c r="F11" s="153">
        <v>0.46</v>
      </c>
      <c r="G11" s="153">
        <v>0.27</v>
      </c>
      <c r="H11" s="153"/>
      <c r="I11" s="153">
        <v>0.27</v>
      </c>
      <c r="J11" s="153">
        <v>0.27</v>
      </c>
      <c r="K11" s="153">
        <v>0.27</v>
      </c>
      <c r="L11" s="153"/>
      <c r="M11" s="153">
        <v>0.27</v>
      </c>
      <c r="N11" s="153"/>
      <c r="P11" s="153">
        <v>0.27</v>
      </c>
      <c r="R11" s="153">
        <v>0.27</v>
      </c>
      <c r="S11" s="153">
        <v>0.27</v>
      </c>
      <c r="T11" s="153">
        <v>0.27</v>
      </c>
    </row>
    <row r="12" spans="1:21" x14ac:dyDescent="0.25">
      <c r="A12" s="164" t="s">
        <v>474</v>
      </c>
      <c r="B12" s="152">
        <v>580</v>
      </c>
      <c r="C12" s="152">
        <v>420</v>
      </c>
      <c r="D12" s="152">
        <v>732</v>
      </c>
      <c r="E12" s="152">
        <v>580</v>
      </c>
      <c r="F12" s="152">
        <v>250</v>
      </c>
      <c r="G12" s="152">
        <v>620</v>
      </c>
      <c r="I12" s="152">
        <v>580</v>
      </c>
      <c r="J12" s="152">
        <v>420</v>
      </c>
      <c r="K12" s="152">
        <v>732</v>
      </c>
      <c r="M12" s="152">
        <v>620</v>
      </c>
      <c r="P12" s="152">
        <v>282</v>
      </c>
      <c r="R12" s="152">
        <v>282</v>
      </c>
      <c r="S12" s="152">
        <v>322</v>
      </c>
      <c r="T12" s="152">
        <v>282</v>
      </c>
    </row>
    <row r="13" spans="1:21" x14ac:dyDescent="0.25">
      <c r="A13" s="164" t="s">
        <v>475</v>
      </c>
      <c r="B13" s="152">
        <f t="shared" ref="B13:E13" si="0">B11*B12</f>
        <v>156.60000000000002</v>
      </c>
      <c r="C13" s="152">
        <f t="shared" si="0"/>
        <v>113.4</v>
      </c>
      <c r="D13" s="152">
        <f t="shared" si="0"/>
        <v>197.64000000000001</v>
      </c>
      <c r="E13" s="152">
        <f t="shared" si="0"/>
        <v>156.60000000000002</v>
      </c>
      <c r="F13" s="152">
        <f t="shared" ref="F13:G13" si="1">F11*F12</f>
        <v>115</v>
      </c>
      <c r="G13" s="152">
        <f t="shared" si="1"/>
        <v>167.4</v>
      </c>
      <c r="I13" s="152">
        <f>I11*I12</f>
        <v>156.60000000000002</v>
      </c>
      <c r="J13" s="152">
        <f>J11*J12</f>
        <v>113.4</v>
      </c>
      <c r="K13" s="152">
        <f>K11*K12</f>
        <v>197.64000000000001</v>
      </c>
      <c r="M13" s="152">
        <f>M11*M12</f>
        <v>167.4</v>
      </c>
      <c r="P13" s="152">
        <f t="shared" ref="P13" si="2">P11*P12</f>
        <v>76.14</v>
      </c>
      <c r="R13" s="152">
        <f>R11*R12</f>
        <v>76.14</v>
      </c>
      <c r="S13" s="152">
        <f>S11*S12</f>
        <v>86.940000000000012</v>
      </c>
      <c r="T13" s="152">
        <f t="shared" ref="T13" si="3">T11*T12</f>
        <v>76.14</v>
      </c>
    </row>
    <row r="14" spans="1:21" x14ac:dyDescent="0.25">
      <c r="A14" s="164"/>
    </row>
    <row r="15" spans="1:21" x14ac:dyDescent="0.25">
      <c r="A15" s="164" t="s">
        <v>32</v>
      </c>
      <c r="B15" s="152" t="s">
        <v>278</v>
      </c>
      <c r="C15" s="152" t="s">
        <v>278</v>
      </c>
      <c r="D15" s="152" t="s">
        <v>278</v>
      </c>
      <c r="E15" s="152" t="s">
        <v>278</v>
      </c>
      <c r="F15" s="152" t="s">
        <v>203</v>
      </c>
      <c r="G15" s="152" t="s">
        <v>278</v>
      </c>
      <c r="I15" s="152" t="s">
        <v>278</v>
      </c>
      <c r="J15" s="152" t="s">
        <v>278</v>
      </c>
      <c r="K15" s="152" t="s">
        <v>278</v>
      </c>
      <c r="M15" s="152" t="s">
        <v>278</v>
      </c>
      <c r="P15" s="152" t="s">
        <v>278</v>
      </c>
      <c r="R15" s="152" t="s">
        <v>278</v>
      </c>
      <c r="S15" s="152" t="s">
        <v>278</v>
      </c>
      <c r="T15" s="152" t="s">
        <v>278</v>
      </c>
    </row>
    <row r="16" spans="1:21" x14ac:dyDescent="0.25">
      <c r="A16" s="164" t="s">
        <v>277</v>
      </c>
      <c r="B16" s="153">
        <v>0.1</v>
      </c>
      <c r="C16" s="153">
        <v>0.1</v>
      </c>
      <c r="D16" s="153">
        <v>0.1</v>
      </c>
      <c r="E16" s="153">
        <v>0.1</v>
      </c>
      <c r="F16" s="153">
        <v>0.26</v>
      </c>
      <c r="G16" s="153">
        <v>0.1</v>
      </c>
      <c r="H16" s="153"/>
      <c r="I16" s="153">
        <v>0.1</v>
      </c>
      <c r="J16" s="153">
        <v>0.1</v>
      </c>
      <c r="K16" s="153">
        <v>0.1</v>
      </c>
      <c r="L16" s="153"/>
      <c r="M16" s="153">
        <v>0.1</v>
      </c>
      <c r="N16" s="153"/>
      <c r="P16" s="153">
        <v>0.13</v>
      </c>
      <c r="R16" s="153">
        <v>0.13</v>
      </c>
      <c r="S16" s="153">
        <v>0.13</v>
      </c>
      <c r="T16" s="153">
        <v>0.13</v>
      </c>
    </row>
    <row r="17" spans="1:20" x14ac:dyDescent="0.25">
      <c r="A17" s="164" t="s">
        <v>474</v>
      </c>
      <c r="B17" s="152">
        <v>370</v>
      </c>
      <c r="C17" s="152">
        <v>370</v>
      </c>
      <c r="D17" s="152">
        <v>370</v>
      </c>
      <c r="E17" s="152">
        <v>370</v>
      </c>
      <c r="F17" s="152">
        <v>280</v>
      </c>
      <c r="G17" s="152">
        <v>370</v>
      </c>
      <c r="I17" s="152">
        <v>370</v>
      </c>
      <c r="J17" s="152">
        <v>370</v>
      </c>
      <c r="K17" s="152">
        <v>370</v>
      </c>
      <c r="M17" s="152">
        <v>370</v>
      </c>
      <c r="P17" s="152">
        <v>490</v>
      </c>
      <c r="R17" s="152">
        <v>490</v>
      </c>
      <c r="S17" s="152">
        <v>490</v>
      </c>
      <c r="T17" s="152">
        <v>490</v>
      </c>
    </row>
    <row r="18" spans="1:20" x14ac:dyDescent="0.25">
      <c r="A18" s="164" t="s">
        <v>475</v>
      </c>
      <c r="B18" s="152">
        <f t="shared" ref="B18:G18" si="4">B16*B17</f>
        <v>37</v>
      </c>
      <c r="C18" s="152">
        <f t="shared" si="4"/>
        <v>37</v>
      </c>
      <c r="D18" s="152">
        <f t="shared" si="4"/>
        <v>37</v>
      </c>
      <c r="E18" s="152">
        <f t="shared" si="4"/>
        <v>37</v>
      </c>
      <c r="F18" s="152">
        <f t="shared" si="4"/>
        <v>72.8</v>
      </c>
      <c r="G18" s="152">
        <f t="shared" si="4"/>
        <v>37</v>
      </c>
      <c r="I18" s="152">
        <f>I16*I17</f>
        <v>37</v>
      </c>
      <c r="J18" s="152">
        <f>J16*J17</f>
        <v>37</v>
      </c>
      <c r="K18" s="152">
        <f>K16*K17</f>
        <v>37</v>
      </c>
      <c r="M18" s="152">
        <f>M16*M17</f>
        <v>37</v>
      </c>
      <c r="P18" s="152">
        <f t="shared" ref="P18" si="5">P16*P17</f>
        <v>63.7</v>
      </c>
      <c r="R18" s="152">
        <f>R16*R17</f>
        <v>63.7</v>
      </c>
      <c r="S18" s="152">
        <f>S16*S17</f>
        <v>63.7</v>
      </c>
      <c r="T18" s="152">
        <f t="shared" ref="T18" si="6">T16*T17</f>
        <v>63.7</v>
      </c>
    </row>
    <row r="19" spans="1:20" x14ac:dyDescent="0.25">
      <c r="A19" s="164"/>
    </row>
    <row r="20" spans="1:20" x14ac:dyDescent="0.25">
      <c r="A20" s="164" t="s">
        <v>32</v>
      </c>
      <c r="F20" s="152" t="s">
        <v>278</v>
      </c>
    </row>
    <row r="21" spans="1:20" x14ac:dyDescent="0.25">
      <c r="A21" s="164" t="s">
        <v>277</v>
      </c>
      <c r="B21" s="154"/>
      <c r="F21" s="153">
        <v>0.1</v>
      </c>
      <c r="I21" s="154"/>
      <c r="M21" s="153"/>
    </row>
    <row r="22" spans="1:20" x14ac:dyDescent="0.25">
      <c r="A22" s="164" t="s">
        <v>474</v>
      </c>
      <c r="F22" s="152">
        <v>370</v>
      </c>
    </row>
    <row r="23" spans="1:20" x14ac:dyDescent="0.25">
      <c r="A23" s="164" t="s">
        <v>475</v>
      </c>
      <c r="B23" s="117"/>
      <c r="F23" s="152">
        <f>F21*F22</f>
        <v>37</v>
      </c>
      <c r="I23" s="117"/>
    </row>
    <row r="24" spans="1:20" x14ac:dyDescent="0.25">
      <c r="A24" s="164"/>
    </row>
    <row r="25" spans="1:20" x14ac:dyDescent="0.25">
      <c r="A25" s="164"/>
    </row>
    <row r="26" spans="1:20" x14ac:dyDescent="0.25">
      <c r="A26" s="164" t="s">
        <v>476</v>
      </c>
      <c r="B26" s="152">
        <f>B13+B18+B23</f>
        <v>193.60000000000002</v>
      </c>
      <c r="C26" s="152">
        <f>C13+C18</f>
        <v>150.4</v>
      </c>
      <c r="D26" s="152">
        <f>D13+D18</f>
        <v>234.64000000000001</v>
      </c>
      <c r="E26" s="152">
        <f>E13+E18</f>
        <v>193.60000000000002</v>
      </c>
      <c r="F26" s="152">
        <f>F13+F18+F23</f>
        <v>224.8</v>
      </c>
      <c r="G26" s="152">
        <f>G13+G18</f>
        <v>204.4</v>
      </c>
      <c r="I26" s="152">
        <f>I13+I18+I23</f>
        <v>193.60000000000002</v>
      </c>
      <c r="J26" s="152">
        <f>J13+J18</f>
        <v>150.4</v>
      </c>
      <c r="K26" s="152">
        <f>K13+K18</f>
        <v>234.64000000000001</v>
      </c>
      <c r="L26" s="152">
        <f>L13+L18</f>
        <v>0</v>
      </c>
      <c r="M26" s="152">
        <f>M13+M18+M23</f>
        <v>204.4</v>
      </c>
      <c r="P26" s="152">
        <f>P13+P18+P23</f>
        <v>139.84</v>
      </c>
      <c r="Q26" s="152">
        <f>Q13+Q18</f>
        <v>0</v>
      </c>
      <c r="R26" s="152">
        <f>R13+R18</f>
        <v>139.84</v>
      </c>
      <c r="S26" s="152">
        <f>S13+S18</f>
        <v>150.64000000000001</v>
      </c>
      <c r="T26" s="152">
        <f>T13+T18+T23</f>
        <v>139.84</v>
      </c>
    </row>
    <row r="27" spans="1:20" x14ac:dyDescent="0.25">
      <c r="A27" s="164"/>
    </row>
    <row r="28" spans="1:20" x14ac:dyDescent="0.25">
      <c r="A28" s="164" t="s">
        <v>477</v>
      </c>
      <c r="B28" s="179">
        <f>(B26+C26+D26+E26+F26+G26)/6</f>
        <v>200.24</v>
      </c>
      <c r="C28" s="179"/>
      <c r="D28" s="179"/>
      <c r="E28" s="179"/>
      <c r="F28" s="179"/>
      <c r="G28" s="179"/>
      <c r="H28" s="179"/>
      <c r="I28" s="179">
        <f>(I26+J26+K26+L26+M26)/5</f>
        <v>156.608</v>
      </c>
      <c r="J28" s="179"/>
      <c r="K28" s="179"/>
      <c r="P28" s="179">
        <f>(P26+Q26+R26+S26+T26)/5</f>
        <v>114.03200000000001</v>
      </c>
      <c r="Q28" s="179"/>
      <c r="R28" s="179"/>
    </row>
    <row r="29" spans="1:20" x14ac:dyDescent="0.25">
      <c r="B29" s="179"/>
      <c r="C29" s="179"/>
      <c r="D29" s="179"/>
      <c r="E29" s="179"/>
      <c r="F29" s="179"/>
      <c r="G29" s="179"/>
      <c r="H29" s="179"/>
      <c r="I29" s="179"/>
      <c r="J29" s="179"/>
      <c r="K29" s="17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K31" sqref="K31"/>
    </sheetView>
  </sheetViews>
  <sheetFormatPr baseColWidth="10" defaultColWidth="11.42578125" defaultRowHeight="15" x14ac:dyDescent="0.25"/>
  <cols>
    <col min="1" max="1" width="23.7109375" style="152" bestFit="1" customWidth="1"/>
    <col min="2" max="15" width="11.42578125" style="152"/>
    <col min="16" max="16" width="15.85546875" style="152" customWidth="1"/>
    <col min="17" max="17" width="21.85546875" style="152" customWidth="1"/>
    <col min="18" max="18" width="22.5703125" style="152" customWidth="1"/>
    <col min="19" max="16384" width="11.42578125" style="152"/>
  </cols>
  <sheetData>
    <row r="1" spans="1:21" x14ac:dyDescent="0.25">
      <c r="B1" s="152" t="s">
        <v>263</v>
      </c>
      <c r="C1" s="152" t="s">
        <v>264</v>
      </c>
      <c r="D1" s="152" t="s">
        <v>265</v>
      </c>
      <c r="E1" s="152" t="s">
        <v>266</v>
      </c>
      <c r="F1" s="152" t="s">
        <v>267</v>
      </c>
      <c r="G1" s="152" t="s">
        <v>268</v>
      </c>
      <c r="P1" s="6" t="s">
        <v>317</v>
      </c>
      <c r="Q1" s="6" t="s">
        <v>428</v>
      </c>
      <c r="R1" s="6" t="s">
        <v>429</v>
      </c>
      <c r="S1" s="6"/>
      <c r="T1" s="6" t="s">
        <v>317</v>
      </c>
      <c r="U1" s="149" t="s">
        <v>318</v>
      </c>
    </row>
    <row r="2" spans="1:21" x14ac:dyDescent="0.25">
      <c r="A2" s="152" t="s">
        <v>269</v>
      </c>
      <c r="B2" s="152" t="s">
        <v>270</v>
      </c>
      <c r="C2" s="152" t="s">
        <v>271</v>
      </c>
      <c r="D2" s="152" t="s">
        <v>272</v>
      </c>
      <c r="E2" s="152" t="s">
        <v>273</v>
      </c>
      <c r="F2" s="152" t="s">
        <v>274</v>
      </c>
      <c r="G2" s="152" t="s">
        <v>272</v>
      </c>
      <c r="P2" s="178" t="s">
        <v>430</v>
      </c>
      <c r="Q2" s="183">
        <v>0.10299999999999999</v>
      </c>
      <c r="R2" s="143">
        <v>18</v>
      </c>
      <c r="S2" s="143"/>
      <c r="T2" s="135" t="s">
        <v>319</v>
      </c>
      <c r="U2" s="167">
        <v>0.85</v>
      </c>
    </row>
    <row r="3" spans="1:21" x14ac:dyDescent="0.25">
      <c r="A3" s="152" t="s">
        <v>292</v>
      </c>
      <c r="B3" s="152" t="s">
        <v>270</v>
      </c>
      <c r="C3" s="152" t="s">
        <v>271</v>
      </c>
      <c r="D3" s="152" t="s">
        <v>272</v>
      </c>
      <c r="E3" s="152" t="s">
        <v>275</v>
      </c>
      <c r="F3" s="152" t="s">
        <v>272</v>
      </c>
      <c r="P3" s="184" t="s">
        <v>431</v>
      </c>
      <c r="Q3" s="183">
        <v>0.11700000000000001</v>
      </c>
      <c r="R3" s="152">
        <v>18.100000000000001</v>
      </c>
      <c r="T3" s="152" t="s">
        <v>320</v>
      </c>
      <c r="U3" s="152">
        <v>0.88</v>
      </c>
    </row>
    <row r="4" spans="1:21" x14ac:dyDescent="0.25">
      <c r="A4" s="152" t="s">
        <v>534</v>
      </c>
      <c r="B4" s="152" t="s">
        <v>537</v>
      </c>
      <c r="C4" s="152" t="s">
        <v>275</v>
      </c>
      <c r="D4" s="152" t="s">
        <v>535</v>
      </c>
      <c r="E4" s="152" t="s">
        <v>536</v>
      </c>
      <c r="F4" s="152" t="s">
        <v>537</v>
      </c>
      <c r="P4" s="156" t="s">
        <v>281</v>
      </c>
      <c r="Q4" s="183">
        <v>0.126</v>
      </c>
      <c r="R4" s="152">
        <v>18.2</v>
      </c>
      <c r="T4" s="152" t="s">
        <v>116</v>
      </c>
      <c r="U4" s="152">
        <v>0.89</v>
      </c>
    </row>
    <row r="5" spans="1:21" x14ac:dyDescent="0.25">
      <c r="P5" s="156" t="s">
        <v>322</v>
      </c>
      <c r="Q5" s="183">
        <v>0.11799999999999999</v>
      </c>
      <c r="R5" s="143">
        <v>18.399999999999999</v>
      </c>
      <c r="T5" s="152" t="s">
        <v>321</v>
      </c>
      <c r="U5" s="152">
        <v>0.89</v>
      </c>
    </row>
    <row r="6" spans="1:21" x14ac:dyDescent="0.25">
      <c r="P6" s="178" t="s">
        <v>282</v>
      </c>
      <c r="Q6" s="183">
        <v>0.28999999999999998</v>
      </c>
      <c r="R6" s="143">
        <v>18.7</v>
      </c>
      <c r="S6" s="143"/>
      <c r="T6" s="152" t="s">
        <v>322</v>
      </c>
      <c r="U6" s="152">
        <v>0.89</v>
      </c>
    </row>
    <row r="7" spans="1:21" x14ac:dyDescent="0.25">
      <c r="P7" s="152" t="s">
        <v>432</v>
      </c>
      <c r="Q7" s="183">
        <v>0.20899999999999999</v>
      </c>
      <c r="R7" s="152">
        <v>28.8</v>
      </c>
      <c r="T7" s="152" t="s">
        <v>323</v>
      </c>
      <c r="U7" s="152">
        <v>0.89</v>
      </c>
    </row>
    <row r="8" spans="1:21" x14ac:dyDescent="0.25">
      <c r="P8" s="152" t="s">
        <v>433</v>
      </c>
      <c r="Q8" s="183">
        <v>0.33700000000000002</v>
      </c>
      <c r="R8" s="143">
        <v>20.3</v>
      </c>
      <c r="S8" s="143"/>
      <c r="T8" s="152" t="s">
        <v>324</v>
      </c>
      <c r="U8" s="152">
        <v>0.87</v>
      </c>
    </row>
    <row r="9" spans="1:21" x14ac:dyDescent="0.25">
      <c r="B9" s="152" t="s">
        <v>270</v>
      </c>
      <c r="C9" s="152" t="s">
        <v>271</v>
      </c>
      <c r="D9" s="152" t="s">
        <v>272</v>
      </c>
      <c r="E9" s="152" t="s">
        <v>273</v>
      </c>
      <c r="F9" s="152" t="s">
        <v>274</v>
      </c>
      <c r="G9" s="152" t="s">
        <v>272</v>
      </c>
      <c r="I9" s="152" t="s">
        <v>270</v>
      </c>
      <c r="J9" s="152" t="s">
        <v>271</v>
      </c>
      <c r="K9" s="152" t="s">
        <v>272</v>
      </c>
      <c r="L9" s="152" t="s">
        <v>275</v>
      </c>
      <c r="M9" s="152" t="s">
        <v>272</v>
      </c>
      <c r="P9" s="152" t="s">
        <v>434</v>
      </c>
      <c r="Q9" s="183">
        <v>0.23899999999999999</v>
      </c>
      <c r="R9" s="143">
        <v>18.3</v>
      </c>
      <c r="T9" s="152" t="s">
        <v>325</v>
      </c>
      <c r="U9" s="152">
        <v>0.88</v>
      </c>
    </row>
    <row r="10" spans="1:21" x14ac:dyDescent="0.25">
      <c r="A10" s="152" t="s">
        <v>452</v>
      </c>
      <c r="B10" s="34">
        <v>9.3000000000000007</v>
      </c>
      <c r="C10" s="34">
        <v>8.6999999999999993</v>
      </c>
      <c r="D10" s="34">
        <v>10.25</v>
      </c>
      <c r="E10" s="34">
        <v>9.3000000000000007</v>
      </c>
      <c r="F10" s="34">
        <v>4.04</v>
      </c>
      <c r="G10" s="34">
        <v>10.25</v>
      </c>
      <c r="H10" s="34"/>
      <c r="I10" s="34">
        <v>9.3000000000000007</v>
      </c>
      <c r="J10" s="34">
        <v>8.6999999999999993</v>
      </c>
      <c r="K10" s="34">
        <v>10.25</v>
      </c>
      <c r="L10" s="34">
        <v>5.4</v>
      </c>
      <c r="M10" s="34">
        <v>10.25</v>
      </c>
      <c r="N10" s="204"/>
      <c r="P10" s="152" t="s">
        <v>435</v>
      </c>
      <c r="Q10" s="183">
        <v>0.11</v>
      </c>
      <c r="R10" s="143">
        <v>19.5</v>
      </c>
      <c r="S10" s="143"/>
      <c r="T10" s="152" t="s">
        <v>326</v>
      </c>
      <c r="U10" s="152">
        <v>0.89</v>
      </c>
    </row>
    <row r="11" spans="1:21" x14ac:dyDescent="0.25">
      <c r="A11" s="152" t="s">
        <v>312</v>
      </c>
      <c r="B11" s="153">
        <v>0.89</v>
      </c>
      <c r="C11" s="153">
        <v>0.89</v>
      </c>
      <c r="D11" s="153">
        <v>0.89</v>
      </c>
      <c r="E11" s="153">
        <v>0.89</v>
      </c>
      <c r="F11" s="153">
        <v>0.85</v>
      </c>
      <c r="G11" s="153">
        <v>0.89</v>
      </c>
      <c r="H11" s="153"/>
      <c r="I11" s="153">
        <v>0.89</v>
      </c>
      <c r="J11" s="153">
        <v>0.89</v>
      </c>
      <c r="K11" s="153">
        <v>0.89</v>
      </c>
      <c r="L11" s="153">
        <v>0.91</v>
      </c>
      <c r="M11" s="153">
        <v>0.89</v>
      </c>
      <c r="N11" s="162"/>
      <c r="P11" s="178" t="s">
        <v>436</v>
      </c>
      <c r="Q11" s="183">
        <v>0.08</v>
      </c>
      <c r="R11" s="182">
        <v>18.899999999999999</v>
      </c>
      <c r="S11" s="143"/>
      <c r="T11" s="152" t="s">
        <v>327</v>
      </c>
      <c r="U11" s="161">
        <v>0.9</v>
      </c>
    </row>
    <row r="12" spans="1:21" x14ac:dyDescent="0.25">
      <c r="A12" s="152" t="s">
        <v>453</v>
      </c>
      <c r="B12" s="152">
        <f>B10*B11</f>
        <v>8.277000000000001</v>
      </c>
      <c r="C12" s="152">
        <f t="shared" ref="C12:G12" si="0">C10*C11</f>
        <v>7.7429999999999994</v>
      </c>
      <c r="D12" s="152">
        <f t="shared" si="0"/>
        <v>9.1225000000000005</v>
      </c>
      <c r="E12" s="152">
        <f t="shared" si="0"/>
        <v>8.277000000000001</v>
      </c>
      <c r="F12" s="152">
        <f t="shared" si="0"/>
        <v>3.4339999999999997</v>
      </c>
      <c r="G12" s="152">
        <f t="shared" si="0"/>
        <v>9.1225000000000005</v>
      </c>
      <c r="I12" s="152">
        <f>I10*I11</f>
        <v>8.277000000000001</v>
      </c>
      <c r="J12" s="152">
        <f t="shared" ref="J12" si="1">J10*J11</f>
        <v>7.7429999999999994</v>
      </c>
      <c r="K12" s="152">
        <f t="shared" ref="K12" si="2">K10*K11</f>
        <v>9.1225000000000005</v>
      </c>
      <c r="L12" s="152">
        <f t="shared" ref="L12" si="3">L10*L11</f>
        <v>4.9140000000000006</v>
      </c>
      <c r="M12" s="152">
        <f t="shared" ref="M12" si="4">M10*M11</f>
        <v>9.1225000000000005</v>
      </c>
      <c r="N12" s="162"/>
      <c r="P12" s="178" t="s">
        <v>437</v>
      </c>
      <c r="Q12" s="183">
        <v>0.191</v>
      </c>
      <c r="R12" s="152">
        <v>18.2</v>
      </c>
      <c r="T12" s="152" t="s">
        <v>328</v>
      </c>
      <c r="U12" s="152">
        <v>0.89</v>
      </c>
    </row>
    <row r="13" spans="1:21" x14ac:dyDescent="0.25">
      <c r="A13" s="152" t="s">
        <v>428</v>
      </c>
      <c r="B13" s="154">
        <v>0.11799999999999999</v>
      </c>
      <c r="C13" s="154">
        <v>0.11</v>
      </c>
      <c r="D13" s="154">
        <v>0.126</v>
      </c>
      <c r="E13" s="154">
        <v>0.11799999999999999</v>
      </c>
      <c r="F13" s="154">
        <v>0.20899999999999999</v>
      </c>
      <c r="G13" s="154">
        <v>0.126</v>
      </c>
      <c r="I13" s="154">
        <v>0.11799999999999999</v>
      </c>
      <c r="J13" s="154">
        <v>0.11</v>
      </c>
      <c r="K13" s="154">
        <v>0.126</v>
      </c>
      <c r="L13" s="154">
        <v>0.28999999999999998</v>
      </c>
      <c r="M13" s="154">
        <v>0.126</v>
      </c>
      <c r="N13" s="154"/>
      <c r="P13" s="158" t="s">
        <v>414</v>
      </c>
      <c r="Q13" s="183">
        <v>0.39600000000000002</v>
      </c>
      <c r="R13" s="143">
        <v>23.6</v>
      </c>
      <c r="T13" s="152" t="s">
        <v>329</v>
      </c>
      <c r="U13" s="152">
        <v>0.91</v>
      </c>
    </row>
    <row r="14" spans="1:21" x14ac:dyDescent="0.25">
      <c r="A14" s="152" t="s">
        <v>454</v>
      </c>
      <c r="B14" s="117">
        <f>B10*B13</f>
        <v>1.0973999999999999</v>
      </c>
      <c r="C14" s="117">
        <f t="shared" ref="C14:G14" si="5">C10*C13</f>
        <v>0.95699999999999996</v>
      </c>
      <c r="D14" s="117">
        <f t="shared" si="5"/>
        <v>1.2915000000000001</v>
      </c>
      <c r="E14" s="117">
        <f t="shared" si="5"/>
        <v>1.0973999999999999</v>
      </c>
      <c r="F14" s="117">
        <f t="shared" si="5"/>
        <v>0.84436</v>
      </c>
      <c r="G14" s="117">
        <f t="shared" si="5"/>
        <v>1.2915000000000001</v>
      </c>
      <c r="I14" s="117">
        <f>I10*I13</f>
        <v>1.0973999999999999</v>
      </c>
      <c r="J14" s="117">
        <f t="shared" ref="J14:M14" si="6">J10*J13</f>
        <v>0.95699999999999996</v>
      </c>
      <c r="K14" s="117">
        <f t="shared" si="6"/>
        <v>1.2915000000000001</v>
      </c>
      <c r="L14" s="117">
        <f t="shared" si="6"/>
        <v>1.5660000000000001</v>
      </c>
      <c r="M14" s="117">
        <f t="shared" si="6"/>
        <v>1.2915000000000001</v>
      </c>
      <c r="P14" s="152" t="s">
        <v>438</v>
      </c>
      <c r="Q14" s="183">
        <v>9.4E-2</v>
      </c>
      <c r="R14" s="152">
        <v>18.7</v>
      </c>
      <c r="S14" s="143"/>
      <c r="T14" s="152" t="s">
        <v>330</v>
      </c>
      <c r="U14" s="152">
        <v>0.91</v>
      </c>
    </row>
    <row r="15" spans="1:21" x14ac:dyDescent="0.25">
      <c r="C15" s="179"/>
      <c r="D15" s="179"/>
      <c r="E15" s="179"/>
      <c r="F15" s="179"/>
      <c r="G15" s="179"/>
      <c r="H15" s="179"/>
      <c r="I15" s="179"/>
      <c r="J15" s="179"/>
      <c r="N15" s="154"/>
      <c r="P15" s="158" t="s">
        <v>411</v>
      </c>
      <c r="Q15" s="183">
        <v>0.16600000000000001</v>
      </c>
      <c r="R15" s="152">
        <v>28.7</v>
      </c>
      <c r="T15" s="152" t="s">
        <v>331</v>
      </c>
      <c r="U15" s="152">
        <v>0.22</v>
      </c>
    </row>
    <row r="16" spans="1:21" x14ac:dyDescent="0.25">
      <c r="A16" s="152" t="s">
        <v>455</v>
      </c>
      <c r="C16" s="179">
        <f>AVERAGE(B14:G14)*1000</f>
        <v>1096.5266666666666</v>
      </c>
      <c r="D16" s="179"/>
      <c r="E16" s="179"/>
      <c r="F16" s="179"/>
      <c r="G16" s="179"/>
      <c r="H16" s="179"/>
      <c r="I16" s="179"/>
      <c r="J16" s="179">
        <f>AVERAGE(I14:M14)*1000</f>
        <v>1240.68</v>
      </c>
      <c r="P16" s="157" t="s">
        <v>439</v>
      </c>
      <c r="Q16" s="183">
        <v>0.248</v>
      </c>
      <c r="R16" s="152">
        <v>18.600000000000001</v>
      </c>
      <c r="T16" s="152" t="s">
        <v>332</v>
      </c>
      <c r="U16" s="152">
        <v>0.94</v>
      </c>
    </row>
    <row r="17" spans="1:21" x14ac:dyDescent="0.25">
      <c r="P17" s="152" t="s">
        <v>440</v>
      </c>
      <c r="Q17" s="183">
        <v>0.17699999999999999</v>
      </c>
      <c r="R17" s="152">
        <v>18.5</v>
      </c>
      <c r="S17" s="143"/>
      <c r="T17" s="152" t="s">
        <v>333</v>
      </c>
      <c r="U17" s="152">
        <v>0.9</v>
      </c>
    </row>
    <row r="18" spans="1:21" x14ac:dyDescent="0.25">
      <c r="A18" s="152" t="s">
        <v>429</v>
      </c>
      <c r="B18" s="143">
        <v>18.399999999999999</v>
      </c>
      <c r="C18" s="143">
        <v>19.5</v>
      </c>
      <c r="D18" s="152">
        <v>18.2</v>
      </c>
      <c r="E18" s="143">
        <v>18.399999999999999</v>
      </c>
      <c r="F18" s="152">
        <v>28.8</v>
      </c>
      <c r="G18" s="152">
        <v>18.2</v>
      </c>
      <c r="I18" s="143">
        <v>18.399999999999999</v>
      </c>
      <c r="J18" s="143">
        <v>19.5</v>
      </c>
      <c r="K18" s="152">
        <v>18.2</v>
      </c>
      <c r="L18" s="143">
        <v>18.7</v>
      </c>
      <c r="M18" s="152">
        <v>18.2</v>
      </c>
      <c r="P18" s="152" t="s">
        <v>441</v>
      </c>
      <c r="Q18" s="183">
        <v>7.8E-2</v>
      </c>
      <c r="R18" s="152">
        <v>16.899999999999999</v>
      </c>
      <c r="T18" s="152" t="s">
        <v>334</v>
      </c>
      <c r="U18" s="152">
        <v>0.9</v>
      </c>
    </row>
    <row r="19" spans="1:21" x14ac:dyDescent="0.25">
      <c r="A19" s="152" t="s">
        <v>427</v>
      </c>
      <c r="B19" s="161">
        <f>B18*B12</f>
        <v>152.29680000000002</v>
      </c>
      <c r="C19" s="161">
        <f t="shared" ref="C19:G19" si="7">C18*C12</f>
        <v>150.98849999999999</v>
      </c>
      <c r="D19" s="161">
        <f t="shared" si="7"/>
        <v>166.02950000000001</v>
      </c>
      <c r="E19" s="161">
        <f t="shared" si="7"/>
        <v>152.29680000000002</v>
      </c>
      <c r="F19" s="161">
        <f t="shared" si="7"/>
        <v>98.899199999999993</v>
      </c>
      <c r="G19" s="161">
        <f t="shared" si="7"/>
        <v>166.02950000000001</v>
      </c>
      <c r="H19" s="161"/>
      <c r="I19" s="161">
        <f>I18*I12</f>
        <v>152.29680000000002</v>
      </c>
      <c r="J19" s="161">
        <f t="shared" ref="J19" si="8">J18*J12</f>
        <v>150.98849999999999</v>
      </c>
      <c r="K19" s="161">
        <f t="shared" ref="K19" si="9">K18*K12</f>
        <v>166.02950000000001</v>
      </c>
      <c r="L19" s="161">
        <f t="shared" ref="L19" si="10">L18*L12</f>
        <v>91.891800000000003</v>
      </c>
      <c r="M19" s="161">
        <f t="shared" ref="M19" si="11">M18*M12</f>
        <v>166.02950000000001</v>
      </c>
      <c r="P19" s="152" t="s">
        <v>442</v>
      </c>
      <c r="Q19" s="183">
        <v>0.189</v>
      </c>
      <c r="R19" s="152">
        <v>18.899999999999999</v>
      </c>
      <c r="T19" s="152" t="s">
        <v>335</v>
      </c>
      <c r="U19" s="152">
        <v>0.9</v>
      </c>
    </row>
    <row r="20" spans="1:21" x14ac:dyDescent="0.25"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P20" s="152" t="s">
        <v>443</v>
      </c>
      <c r="Q20" s="183">
        <v>0.16200000000000001</v>
      </c>
      <c r="R20" s="152">
        <v>18.7</v>
      </c>
      <c r="T20" s="152" t="s">
        <v>336</v>
      </c>
      <c r="U20" s="152">
        <v>0.9</v>
      </c>
    </row>
    <row r="21" spans="1:21" x14ac:dyDescent="0.25">
      <c r="A21" s="152" t="s">
        <v>456</v>
      </c>
      <c r="B21" s="161"/>
      <c r="C21" s="161">
        <f>AVERAGE(B19:G19)</f>
        <v>147.75671666666665</v>
      </c>
      <c r="D21" s="161"/>
      <c r="E21" s="161"/>
      <c r="F21" s="161"/>
      <c r="G21" s="161"/>
      <c r="H21" s="161"/>
      <c r="I21" s="161"/>
      <c r="J21" s="161">
        <f>AVERAGE(I19:M19)</f>
        <v>145.44721999999999</v>
      </c>
      <c r="K21" s="161"/>
      <c r="L21" s="161"/>
      <c r="M21" s="161"/>
      <c r="P21" s="152" t="s">
        <v>444</v>
      </c>
      <c r="Q21" s="183">
        <v>0.10199999999999999</v>
      </c>
      <c r="R21" s="152">
        <v>17.7</v>
      </c>
      <c r="T21" s="152" t="s">
        <v>337</v>
      </c>
      <c r="U21" s="152">
        <v>0.9</v>
      </c>
    </row>
    <row r="22" spans="1:21" x14ac:dyDescent="0.25">
      <c r="P22" s="152" t="s">
        <v>445</v>
      </c>
      <c r="Q22" s="183">
        <v>0.14699999999999999</v>
      </c>
      <c r="R22" s="182">
        <v>18.18</v>
      </c>
      <c r="T22" s="152" t="s">
        <v>338</v>
      </c>
      <c r="U22" s="152">
        <v>0.9</v>
      </c>
    </row>
    <row r="23" spans="1:21" x14ac:dyDescent="0.25">
      <c r="P23" s="152" t="s">
        <v>446</v>
      </c>
      <c r="Q23" s="183">
        <v>0.11</v>
      </c>
      <c r="R23" s="152">
        <v>17.899999999999999</v>
      </c>
    </row>
    <row r="24" spans="1:21" x14ac:dyDescent="0.25">
      <c r="P24" s="184" t="s">
        <v>447</v>
      </c>
      <c r="Q24" s="183">
        <v>0.17280000000000001</v>
      </c>
      <c r="R24" s="185">
        <v>18.78</v>
      </c>
      <c r="T24" s="152" t="s">
        <v>448</v>
      </c>
    </row>
    <row r="25" spans="1:21" x14ac:dyDescent="0.25">
      <c r="B25" s="208" t="s">
        <v>537</v>
      </c>
      <c r="C25" s="208" t="s">
        <v>275</v>
      </c>
      <c r="D25" s="208" t="s">
        <v>535</v>
      </c>
      <c r="E25" s="208" t="s">
        <v>536</v>
      </c>
      <c r="F25" s="208" t="s">
        <v>537</v>
      </c>
    </row>
    <row r="26" spans="1:21" x14ac:dyDescent="0.25">
      <c r="A26" s="152" t="s">
        <v>452</v>
      </c>
      <c r="B26" s="208">
        <v>7.2</v>
      </c>
      <c r="C26" s="208">
        <v>5.4</v>
      </c>
      <c r="D26" s="208">
        <v>7</v>
      </c>
      <c r="E26" s="208">
        <v>7.4</v>
      </c>
      <c r="F26" s="208">
        <v>7.2</v>
      </c>
      <c r="P26" s="143" t="s">
        <v>449</v>
      </c>
      <c r="Q26" s="152" t="s">
        <v>450</v>
      </c>
    </row>
    <row r="27" spans="1:21" x14ac:dyDescent="0.25">
      <c r="A27" s="152" t="s">
        <v>312</v>
      </c>
      <c r="B27" s="153">
        <v>0.89</v>
      </c>
      <c r="C27" s="153">
        <v>0.91</v>
      </c>
      <c r="D27" s="153">
        <v>0.89</v>
      </c>
      <c r="E27" s="153">
        <v>0.89</v>
      </c>
      <c r="F27" s="153">
        <v>0.89</v>
      </c>
      <c r="Q27" s="152" t="s">
        <v>451</v>
      </c>
    </row>
    <row r="28" spans="1:21" x14ac:dyDescent="0.25">
      <c r="A28" s="152" t="s">
        <v>453</v>
      </c>
      <c r="B28" s="152">
        <f>B26*B27</f>
        <v>6.4080000000000004</v>
      </c>
      <c r="C28" s="152">
        <f t="shared" ref="C28:F28" si="12">C26*C27</f>
        <v>4.9140000000000006</v>
      </c>
      <c r="D28" s="152">
        <f t="shared" si="12"/>
        <v>6.23</v>
      </c>
      <c r="E28" s="152">
        <f t="shared" si="12"/>
        <v>6.5860000000000003</v>
      </c>
      <c r="F28" s="152">
        <f t="shared" si="12"/>
        <v>6.4080000000000004</v>
      </c>
    </row>
    <row r="29" spans="1:21" x14ac:dyDescent="0.25">
      <c r="A29" s="152" t="s">
        <v>428</v>
      </c>
      <c r="B29" s="154">
        <v>0.11799999999999999</v>
      </c>
      <c r="C29" s="154">
        <v>0.28999999999999998</v>
      </c>
      <c r="D29" s="154">
        <v>0.11</v>
      </c>
      <c r="E29" s="154">
        <v>0.11799999999999999</v>
      </c>
      <c r="F29" s="154">
        <v>0.11799999999999999</v>
      </c>
    </row>
    <row r="30" spans="1:21" x14ac:dyDescent="0.25">
      <c r="A30" s="152" t="s">
        <v>454</v>
      </c>
      <c r="B30" s="117">
        <f>B26*B29</f>
        <v>0.84960000000000002</v>
      </c>
      <c r="C30" s="117">
        <f t="shared" ref="C30:F30" si="13">C26*C29</f>
        <v>1.5660000000000001</v>
      </c>
      <c r="D30" s="117">
        <f t="shared" si="13"/>
        <v>0.77</v>
      </c>
      <c r="E30" s="117">
        <f t="shared" si="13"/>
        <v>0.87319999999999998</v>
      </c>
      <c r="F30" s="117">
        <f t="shared" si="13"/>
        <v>0.84960000000000002</v>
      </c>
    </row>
    <row r="31" spans="1:21" x14ac:dyDescent="0.25">
      <c r="C31" s="179"/>
      <c r="D31" s="179"/>
      <c r="E31" s="179"/>
      <c r="F31" s="179"/>
    </row>
    <row r="32" spans="1:21" x14ac:dyDescent="0.25">
      <c r="A32" s="152" t="s">
        <v>455</v>
      </c>
      <c r="C32" s="179">
        <f>AVERAGE(B30:G30)*1000</f>
        <v>981.67999999999984</v>
      </c>
      <c r="D32" s="179"/>
      <c r="E32" s="179"/>
      <c r="F32" s="179"/>
    </row>
    <row r="34" spans="1:6" x14ac:dyDescent="0.25">
      <c r="A34" s="152" t="s">
        <v>429</v>
      </c>
      <c r="B34" s="143">
        <v>18.399999999999999</v>
      </c>
      <c r="C34" s="143">
        <v>18.7</v>
      </c>
      <c r="D34" s="143">
        <v>19.5</v>
      </c>
      <c r="E34" s="143">
        <v>18.399999999999999</v>
      </c>
      <c r="F34" s="143">
        <v>18.399999999999999</v>
      </c>
    </row>
    <row r="35" spans="1:6" x14ac:dyDescent="0.25">
      <c r="A35" s="152" t="s">
        <v>427</v>
      </c>
      <c r="B35" s="161">
        <f>B34*B28</f>
        <v>117.9072</v>
      </c>
      <c r="C35" s="161">
        <f t="shared" ref="C35:F35" si="14">C34*C28</f>
        <v>91.891800000000003</v>
      </c>
      <c r="D35" s="161">
        <f t="shared" si="14"/>
        <v>121.48500000000001</v>
      </c>
      <c r="E35" s="161">
        <f t="shared" si="14"/>
        <v>121.1824</v>
      </c>
      <c r="F35" s="161">
        <f t="shared" si="14"/>
        <v>117.9072</v>
      </c>
    </row>
    <row r="36" spans="1:6" x14ac:dyDescent="0.25">
      <c r="B36" s="161"/>
      <c r="C36" s="161"/>
      <c r="D36" s="161"/>
      <c r="E36" s="161"/>
      <c r="F36" s="161"/>
    </row>
    <row r="37" spans="1:6" x14ac:dyDescent="0.25">
      <c r="A37" s="152" t="s">
        <v>456</v>
      </c>
      <c r="B37" s="161"/>
      <c r="C37" s="161">
        <f>AVERAGE(B35:G35)</f>
        <v>114.07472</v>
      </c>
      <c r="D37" s="161"/>
      <c r="E37" s="161"/>
      <c r="F37" s="16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L24" sqref="L24"/>
    </sheetView>
  </sheetViews>
  <sheetFormatPr baseColWidth="10" defaultColWidth="11.42578125" defaultRowHeight="15" x14ac:dyDescent="0.25"/>
  <cols>
    <col min="1" max="1" width="17.42578125" style="152" bestFit="1" customWidth="1"/>
    <col min="2" max="2" width="20.140625" style="152" bestFit="1" customWidth="1"/>
    <col min="3" max="5" width="13.140625" style="152" bestFit="1" customWidth="1"/>
    <col min="6" max="6" width="11.42578125" style="152"/>
    <col min="7" max="7" width="13.140625" style="152" bestFit="1" customWidth="1"/>
    <col min="8" max="16384" width="11.42578125" style="152"/>
  </cols>
  <sheetData>
    <row r="1" spans="1:7" x14ac:dyDescent="0.25">
      <c r="B1" s="152" t="s">
        <v>263</v>
      </c>
      <c r="C1" s="152" t="s">
        <v>264</v>
      </c>
      <c r="D1" s="152" t="s">
        <v>265</v>
      </c>
      <c r="E1" s="152" t="s">
        <v>266</v>
      </c>
      <c r="F1" s="152" t="s">
        <v>267</v>
      </c>
      <c r="G1" s="152" t="s">
        <v>268</v>
      </c>
    </row>
    <row r="2" spans="1:7" x14ac:dyDescent="0.25">
      <c r="A2" s="152" t="s">
        <v>269</v>
      </c>
      <c r="B2" s="152" t="s">
        <v>270</v>
      </c>
      <c r="C2" s="152" t="s">
        <v>271</v>
      </c>
      <c r="D2" s="152" t="s">
        <v>272</v>
      </c>
      <c r="E2" s="152" t="s">
        <v>273</v>
      </c>
      <c r="F2" s="152" t="s">
        <v>274</v>
      </c>
      <c r="G2" s="152" t="s">
        <v>272</v>
      </c>
    </row>
    <row r="3" spans="1:7" x14ac:dyDescent="0.25">
      <c r="A3" s="152" t="s">
        <v>292</v>
      </c>
      <c r="B3" s="152" t="s">
        <v>270</v>
      </c>
      <c r="C3" s="152" t="s">
        <v>271</v>
      </c>
      <c r="D3" s="152" t="s">
        <v>272</v>
      </c>
      <c r="E3" s="152" t="s">
        <v>275</v>
      </c>
      <c r="F3" s="152" t="s">
        <v>272</v>
      </c>
    </row>
    <row r="4" spans="1:7" x14ac:dyDescent="0.25">
      <c r="A4" s="152" t="s">
        <v>534</v>
      </c>
      <c r="B4" s="152" t="s">
        <v>537</v>
      </c>
      <c r="C4" s="152" t="s">
        <v>275</v>
      </c>
      <c r="D4" s="152" t="s">
        <v>535</v>
      </c>
      <c r="E4" s="152" t="s">
        <v>536</v>
      </c>
      <c r="F4" s="152" t="s">
        <v>537</v>
      </c>
    </row>
    <row r="7" spans="1:7" ht="18" x14ac:dyDescent="0.35">
      <c r="A7" s="152" t="s">
        <v>293</v>
      </c>
      <c r="C7" s="152" t="s">
        <v>294</v>
      </c>
      <c r="E7" s="152" t="s">
        <v>295</v>
      </c>
      <c r="F7" s="152">
        <f>LN(3)</f>
        <v>1.0986122886681098</v>
      </c>
    </row>
    <row r="11" spans="1:7" ht="18" x14ac:dyDescent="0.35">
      <c r="A11" s="152" t="s">
        <v>296</v>
      </c>
      <c r="B11" s="152" t="s">
        <v>297</v>
      </c>
      <c r="C11" s="152" t="s">
        <v>298</v>
      </c>
      <c r="D11" s="152" t="s">
        <v>299</v>
      </c>
      <c r="E11" s="152" t="s">
        <v>300</v>
      </c>
    </row>
    <row r="12" spans="1:7" x14ac:dyDescent="0.25">
      <c r="A12" s="152" t="s">
        <v>283</v>
      </c>
    </row>
    <row r="13" spans="1:7" x14ac:dyDescent="0.25">
      <c r="A13" s="152" t="s">
        <v>301</v>
      </c>
      <c r="B13" s="153">
        <f>5/6</f>
        <v>0.83333333333333337</v>
      </c>
      <c r="C13" s="152">
        <v>0.83</v>
      </c>
      <c r="D13" s="152">
        <f>LN(C13)</f>
        <v>-0.18632957819149348</v>
      </c>
      <c r="E13" s="152">
        <f>C13*D13</f>
        <v>-0.15465354989893959</v>
      </c>
    </row>
    <row r="14" spans="1:7" x14ac:dyDescent="0.25">
      <c r="A14" s="152" t="s">
        <v>302</v>
      </c>
      <c r="B14" s="153">
        <f>1/6</f>
        <v>0.16666666666666666</v>
      </c>
      <c r="C14" s="152">
        <v>0.17</v>
      </c>
      <c r="D14" s="152">
        <f>LN(C14)</f>
        <v>-1.7719568419318752</v>
      </c>
      <c r="E14" s="152">
        <f>C14*D14</f>
        <v>-0.30123266312841879</v>
      </c>
    </row>
    <row r="15" spans="1:7" x14ac:dyDescent="0.25">
      <c r="A15" s="152" t="s">
        <v>303</v>
      </c>
    </row>
    <row r="16" spans="1:7" x14ac:dyDescent="0.25">
      <c r="E16" s="152">
        <f>-(E13+E14+E15)</f>
        <v>0.45588621302735838</v>
      </c>
    </row>
    <row r="18" spans="1:5" x14ac:dyDescent="0.25">
      <c r="A18" s="152" t="s">
        <v>292</v>
      </c>
    </row>
    <row r="19" spans="1:5" x14ac:dyDescent="0.25">
      <c r="A19" s="152" t="s">
        <v>301</v>
      </c>
      <c r="B19" s="153">
        <f>4/5</f>
        <v>0.8</v>
      </c>
      <c r="C19" s="152">
        <v>0.8</v>
      </c>
      <c r="D19" s="152">
        <f>LN(C19)</f>
        <v>-0.22314355131420971</v>
      </c>
      <c r="E19" s="152">
        <f>C19*D19</f>
        <v>-0.17851484105136778</v>
      </c>
    </row>
    <row r="20" spans="1:5" x14ac:dyDescent="0.25">
      <c r="A20" s="152" t="s">
        <v>302</v>
      </c>
      <c r="B20" s="153"/>
    </row>
    <row r="21" spans="1:5" x14ac:dyDescent="0.25">
      <c r="A21" s="152" t="s">
        <v>303</v>
      </c>
      <c r="B21" s="153">
        <f>1/5</f>
        <v>0.2</v>
      </c>
      <c r="C21" s="152">
        <v>0.2</v>
      </c>
      <c r="D21" s="152">
        <f>LN(C21)</f>
        <v>-1.6094379124341003</v>
      </c>
      <c r="E21" s="152">
        <f>C21*D21</f>
        <v>-0.32188758248682009</v>
      </c>
    </row>
    <row r="22" spans="1:5" x14ac:dyDescent="0.25">
      <c r="E22" s="152">
        <f>-(E19+E20+E21)</f>
        <v>0.50040242353818787</v>
      </c>
    </row>
    <row r="25" spans="1:5" x14ac:dyDescent="0.25">
      <c r="A25" s="152" t="s">
        <v>534</v>
      </c>
    </row>
    <row r="26" spans="1:5" x14ac:dyDescent="0.25">
      <c r="A26" s="152" t="s">
        <v>301</v>
      </c>
      <c r="B26" s="153">
        <f>4/5</f>
        <v>0.8</v>
      </c>
      <c r="C26" s="152">
        <v>0.8</v>
      </c>
      <c r="D26" s="152">
        <f>LN(C26)</f>
        <v>-0.22314355131420971</v>
      </c>
      <c r="E26" s="152">
        <f>C26*D26</f>
        <v>-0.17851484105136778</v>
      </c>
    </row>
    <row r="27" spans="1:5" x14ac:dyDescent="0.25">
      <c r="A27" s="152" t="s">
        <v>302</v>
      </c>
      <c r="B27" s="153"/>
    </row>
    <row r="28" spans="1:5" x14ac:dyDescent="0.25">
      <c r="A28" s="152" t="s">
        <v>303</v>
      </c>
      <c r="B28" s="153">
        <f>1/5</f>
        <v>0.2</v>
      </c>
      <c r="C28" s="152">
        <v>0.2</v>
      </c>
      <c r="D28" s="152">
        <f>LN(C28)</f>
        <v>-1.6094379124341003</v>
      </c>
      <c r="E28" s="152">
        <f>C28*D28</f>
        <v>-0.32188758248682009</v>
      </c>
    </row>
    <row r="29" spans="1:5" x14ac:dyDescent="0.25">
      <c r="E29" s="152">
        <f>-(E26+E27+E28)</f>
        <v>0.50040242353818787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N28" sqref="N28"/>
    </sheetView>
  </sheetViews>
  <sheetFormatPr baseColWidth="10" defaultColWidth="10.85546875" defaultRowHeight="15" x14ac:dyDescent="0.25"/>
  <cols>
    <col min="1" max="1" width="22.28515625" bestFit="1" customWidth="1"/>
    <col min="3" max="3" width="17.5703125" bestFit="1" customWidth="1"/>
    <col min="4" max="4" width="18.28515625" bestFit="1" customWidth="1"/>
    <col min="5" max="5" width="14.42578125" bestFit="1" customWidth="1"/>
    <col min="6" max="6" width="22.85546875" bestFit="1" customWidth="1"/>
    <col min="7" max="7" width="12.5703125" bestFit="1" customWidth="1"/>
    <col min="8" max="8" width="16.28515625" bestFit="1" customWidth="1"/>
    <col min="10" max="10" width="19" bestFit="1" customWidth="1"/>
    <col min="11" max="11" width="17.28515625" bestFit="1" customWidth="1"/>
  </cols>
  <sheetData>
    <row r="1" spans="1:15" x14ac:dyDescent="0.25">
      <c r="B1" s="180" t="s">
        <v>418</v>
      </c>
      <c r="C1" s="180" t="s">
        <v>419</v>
      </c>
      <c r="D1" s="180" t="s">
        <v>420</v>
      </c>
      <c r="E1" s="180" t="s">
        <v>421</v>
      </c>
      <c r="F1" s="180" t="s">
        <v>422</v>
      </c>
      <c r="G1" s="180" t="s">
        <v>423</v>
      </c>
      <c r="H1" s="180" t="s">
        <v>424</v>
      </c>
      <c r="I1" s="180" t="s">
        <v>479</v>
      </c>
      <c r="J1" s="180" t="s">
        <v>426</v>
      </c>
      <c r="K1" s="180" t="s">
        <v>425</v>
      </c>
    </row>
    <row r="2" spans="1:15" x14ac:dyDescent="0.25">
      <c r="A2" s="6" t="s">
        <v>283</v>
      </c>
      <c r="B2" s="152"/>
    </row>
    <row r="3" spans="1:15" x14ac:dyDescent="0.25">
      <c r="A3" s="152" t="s">
        <v>270</v>
      </c>
      <c r="B3" s="34">
        <v>9.3000000000000007</v>
      </c>
      <c r="C3" s="212">
        <v>193.60000000000002</v>
      </c>
      <c r="D3" s="179"/>
      <c r="E3" s="187">
        <v>195.57112000000001</v>
      </c>
      <c r="F3" s="187">
        <v>84</v>
      </c>
      <c r="G3" s="187">
        <v>185.31180000000001</v>
      </c>
      <c r="H3" s="187">
        <v>92.288200000000003</v>
      </c>
      <c r="I3" s="179">
        <v>0</v>
      </c>
      <c r="J3" s="181">
        <v>0.625</v>
      </c>
      <c r="K3" s="187">
        <v>57.680124999999997</v>
      </c>
    </row>
    <row r="4" spans="1:15" x14ac:dyDescent="0.25">
      <c r="A4" s="152" t="s">
        <v>271</v>
      </c>
      <c r="B4" s="34">
        <v>8.6999999999999993</v>
      </c>
      <c r="C4" s="212">
        <v>150.4</v>
      </c>
      <c r="D4" s="179"/>
      <c r="E4" s="187">
        <v>151.88694000000001</v>
      </c>
      <c r="F4" s="187">
        <v>84</v>
      </c>
      <c r="G4" s="187">
        <v>147.24575999999999</v>
      </c>
      <c r="H4" s="187">
        <v>87.154240000000001</v>
      </c>
      <c r="I4" s="179">
        <v>0</v>
      </c>
      <c r="J4" s="181">
        <v>0.625</v>
      </c>
      <c r="K4" s="187">
        <v>54.471400000000003</v>
      </c>
    </row>
    <row r="5" spans="1:15" x14ac:dyDescent="0.25">
      <c r="A5" s="152" t="s">
        <v>272</v>
      </c>
      <c r="B5" s="34">
        <v>10.25</v>
      </c>
      <c r="C5" s="212">
        <v>234.64000000000001</v>
      </c>
      <c r="D5" s="179"/>
      <c r="E5" s="187">
        <v>237.71019999999999</v>
      </c>
      <c r="F5" s="187">
        <v>84</v>
      </c>
      <c r="G5" s="187">
        <v>226.11500000000001</v>
      </c>
      <c r="H5" s="187">
        <v>92.525000000000006</v>
      </c>
      <c r="I5" s="179">
        <v>0</v>
      </c>
      <c r="J5" s="181">
        <v>0.625</v>
      </c>
      <c r="K5" s="187">
        <v>57.828125</v>
      </c>
      <c r="M5" s="152"/>
      <c r="N5" s="152"/>
      <c r="O5" s="152"/>
    </row>
    <row r="6" spans="1:15" x14ac:dyDescent="0.25">
      <c r="A6" s="152" t="s">
        <v>273</v>
      </c>
      <c r="B6" s="34">
        <v>9.3000000000000007</v>
      </c>
      <c r="C6" s="212">
        <v>193.60000000000002</v>
      </c>
      <c r="D6" s="179"/>
      <c r="E6" s="187">
        <v>195.57112000000001</v>
      </c>
      <c r="F6" s="187">
        <v>84</v>
      </c>
      <c r="G6" s="187">
        <v>185.31180000000001</v>
      </c>
      <c r="H6" s="187">
        <v>92.288200000000003</v>
      </c>
      <c r="I6" s="179">
        <v>0</v>
      </c>
      <c r="J6" s="181">
        <v>0.625</v>
      </c>
      <c r="K6" s="187">
        <v>57.680124999999997</v>
      </c>
      <c r="M6" s="152"/>
      <c r="N6" s="152"/>
      <c r="O6" s="152"/>
    </row>
    <row r="7" spans="1:15" x14ac:dyDescent="0.25">
      <c r="A7" s="152" t="s">
        <v>274</v>
      </c>
      <c r="B7" s="34">
        <v>4.04</v>
      </c>
      <c r="C7" s="212">
        <v>224.8</v>
      </c>
      <c r="D7" s="179"/>
      <c r="E7" s="187">
        <v>224.900464</v>
      </c>
      <c r="F7" s="187">
        <v>100.8</v>
      </c>
      <c r="G7" s="187">
        <v>185.915548</v>
      </c>
      <c r="H7" s="187">
        <v>139.68445199999999</v>
      </c>
      <c r="I7" s="179">
        <v>0</v>
      </c>
      <c r="J7" s="181">
        <v>0.625</v>
      </c>
      <c r="K7" s="187">
        <v>87.302782500000006</v>
      </c>
      <c r="M7" s="152"/>
      <c r="N7" s="152"/>
      <c r="O7" s="152"/>
    </row>
    <row r="8" spans="1:15" x14ac:dyDescent="0.25">
      <c r="A8" s="152" t="s">
        <v>272</v>
      </c>
      <c r="B8" s="34">
        <v>10.25</v>
      </c>
      <c r="C8" s="212">
        <v>204.4</v>
      </c>
      <c r="D8" s="179"/>
      <c r="E8" s="187">
        <v>207.47020000000001</v>
      </c>
      <c r="F8" s="187">
        <v>109.2</v>
      </c>
      <c r="G8" s="187">
        <v>226.11500000000001</v>
      </c>
      <c r="H8" s="187">
        <v>87.484999999999999</v>
      </c>
      <c r="I8" s="179">
        <v>0</v>
      </c>
      <c r="J8" s="181">
        <v>0.625</v>
      </c>
      <c r="K8" s="187">
        <v>54.678125000000001</v>
      </c>
      <c r="M8" s="152"/>
      <c r="N8" s="152"/>
      <c r="O8" s="152"/>
    </row>
    <row r="9" spans="1:15" x14ac:dyDescent="0.25">
      <c r="B9" s="152"/>
      <c r="C9" s="179"/>
      <c r="D9" s="179"/>
      <c r="E9" s="179"/>
      <c r="F9" s="179"/>
      <c r="G9" s="179"/>
      <c r="H9" s="179"/>
      <c r="I9" s="179"/>
      <c r="J9" s="152"/>
      <c r="K9" s="179">
        <f>AVERAGE(K3:K8)</f>
        <v>61.606780416666673</v>
      </c>
      <c r="M9" s="152"/>
      <c r="N9" s="152"/>
      <c r="O9" s="152"/>
    </row>
    <row r="10" spans="1:15" x14ac:dyDescent="0.25">
      <c r="A10" s="6" t="s">
        <v>286</v>
      </c>
      <c r="B10" s="152"/>
      <c r="C10" s="179"/>
      <c r="D10" s="179"/>
      <c r="E10" s="179"/>
      <c r="F10" s="179"/>
      <c r="G10" s="179"/>
      <c r="H10" s="179"/>
      <c r="I10" s="179"/>
      <c r="J10" s="152"/>
      <c r="K10" s="179"/>
      <c r="L10" s="179"/>
      <c r="M10" s="152"/>
      <c r="N10" s="152"/>
      <c r="O10" s="152"/>
    </row>
    <row r="11" spans="1:15" x14ac:dyDescent="0.25">
      <c r="A11" s="152" t="s">
        <v>270</v>
      </c>
      <c r="B11" s="34">
        <v>9.3000000000000007</v>
      </c>
      <c r="C11" s="212">
        <v>193.60000000000002</v>
      </c>
      <c r="D11" s="179"/>
      <c r="E11" s="187">
        <v>195.57112000000001</v>
      </c>
      <c r="F11" s="187">
        <v>84</v>
      </c>
      <c r="G11" s="187">
        <v>185.31180000000001</v>
      </c>
      <c r="H11" s="187">
        <v>92.288200000000003</v>
      </c>
      <c r="I11" s="179">
        <v>0</v>
      </c>
      <c r="J11" s="181">
        <v>0.625</v>
      </c>
      <c r="K11" s="187">
        <v>57.680124999999997</v>
      </c>
    </row>
    <row r="12" spans="1:15" x14ac:dyDescent="0.25">
      <c r="A12" s="152" t="s">
        <v>271</v>
      </c>
      <c r="B12" s="34">
        <v>8.6999999999999993</v>
      </c>
      <c r="C12" s="212">
        <v>150.4</v>
      </c>
      <c r="D12" s="179"/>
      <c r="E12" s="187">
        <v>151.88694000000001</v>
      </c>
      <c r="F12" s="187">
        <v>84</v>
      </c>
      <c r="G12" s="187">
        <v>147.24575999999999</v>
      </c>
      <c r="H12" s="187">
        <v>87.154240000000001</v>
      </c>
      <c r="I12" s="179">
        <v>0</v>
      </c>
      <c r="J12" s="181">
        <v>0.625</v>
      </c>
      <c r="K12" s="187">
        <v>54.471400000000003</v>
      </c>
    </row>
    <row r="13" spans="1:15" x14ac:dyDescent="0.25">
      <c r="A13" s="152" t="s">
        <v>272</v>
      </c>
      <c r="B13" s="34">
        <v>10.25</v>
      </c>
      <c r="C13" s="212">
        <v>234.64000000000001</v>
      </c>
      <c r="D13" s="179"/>
      <c r="E13" s="187">
        <v>237.71019999999999</v>
      </c>
      <c r="F13" s="187">
        <v>84</v>
      </c>
      <c r="G13" s="187">
        <v>226.11500000000001</v>
      </c>
      <c r="H13" s="187">
        <v>92.525000000000006</v>
      </c>
      <c r="I13" s="179">
        <v>0</v>
      </c>
      <c r="J13" s="181">
        <v>0.625</v>
      </c>
      <c r="K13" s="187">
        <v>57.828125</v>
      </c>
    </row>
    <row r="14" spans="1:15" x14ac:dyDescent="0.25">
      <c r="A14" s="152" t="s">
        <v>275</v>
      </c>
      <c r="B14" s="34">
        <v>5.4</v>
      </c>
      <c r="C14" s="212">
        <v>0</v>
      </c>
      <c r="D14" s="179"/>
      <c r="E14" s="187">
        <v>268.52922143716802</v>
      </c>
      <c r="F14" s="187">
        <v>92.4</v>
      </c>
      <c r="G14" s="187">
        <v>74.509226970094403</v>
      </c>
      <c r="H14" s="187">
        <v>17.890773029905599</v>
      </c>
      <c r="I14" s="187">
        <v>258.27922143716802</v>
      </c>
      <c r="J14" s="181">
        <v>0.625</v>
      </c>
      <c r="K14" s="187">
        <v>11.181733143691</v>
      </c>
    </row>
    <row r="15" spans="1:15" x14ac:dyDescent="0.25">
      <c r="A15" s="152" t="s">
        <v>272</v>
      </c>
      <c r="B15" s="34">
        <v>10.25</v>
      </c>
      <c r="C15" s="212">
        <v>204.4</v>
      </c>
      <c r="D15" s="179"/>
      <c r="E15" s="187">
        <v>207.47020000000001</v>
      </c>
      <c r="F15" s="187">
        <v>109.2</v>
      </c>
      <c r="G15" s="187">
        <v>226.11500000000001</v>
      </c>
      <c r="H15" s="187">
        <v>87.484999999999999</v>
      </c>
      <c r="I15" s="179">
        <v>0</v>
      </c>
      <c r="J15" s="181">
        <v>0.625</v>
      </c>
      <c r="K15" s="187">
        <v>54.678125000000001</v>
      </c>
    </row>
    <row r="16" spans="1:15" x14ac:dyDescent="0.25">
      <c r="B16" s="152"/>
      <c r="C16" s="179"/>
      <c r="D16" s="179"/>
      <c r="E16" s="179"/>
      <c r="F16" s="179"/>
      <c r="G16" s="179"/>
      <c r="H16" s="179"/>
      <c r="I16" s="179"/>
      <c r="K16" s="179">
        <f>AVERAGE(K11:K15)</f>
        <v>47.167901628738193</v>
      </c>
    </row>
    <row r="17" spans="1:12" x14ac:dyDescent="0.25">
      <c r="A17" s="6" t="s">
        <v>538</v>
      </c>
      <c r="C17" s="179"/>
      <c r="D17" s="179"/>
      <c r="E17" s="179"/>
      <c r="F17" s="179"/>
      <c r="G17" s="179"/>
      <c r="H17" s="179"/>
      <c r="I17" s="179"/>
      <c r="K17" s="179"/>
      <c r="L17" s="179"/>
    </row>
    <row r="18" spans="1:12" s="152" customFormat="1" x14ac:dyDescent="0.25">
      <c r="A18" s="152" t="s">
        <v>537</v>
      </c>
      <c r="B18" s="152">
        <v>7.2</v>
      </c>
      <c r="C18" s="179">
        <v>139.84</v>
      </c>
      <c r="D18" s="179"/>
      <c r="E18" s="187">
        <v>141.98656</v>
      </c>
      <c r="F18" s="187">
        <v>84</v>
      </c>
      <c r="G18" s="187">
        <v>147.68639999999999</v>
      </c>
      <c r="H18" s="187">
        <v>76.153599999999997</v>
      </c>
      <c r="I18" s="213">
        <v>0</v>
      </c>
      <c r="J18" s="181">
        <v>0.625</v>
      </c>
      <c r="K18" s="187">
        <v>47.595999999999997</v>
      </c>
      <c r="L18" s="179"/>
    </row>
    <row r="19" spans="1:12" s="152" customFormat="1" x14ac:dyDescent="0.25">
      <c r="A19" s="152" t="s">
        <v>275</v>
      </c>
      <c r="B19" s="152">
        <v>5.4</v>
      </c>
      <c r="C19" s="179">
        <v>0</v>
      </c>
      <c r="D19" s="179"/>
      <c r="E19" s="187">
        <v>268.52922143716802</v>
      </c>
      <c r="F19" s="187">
        <v>92.4</v>
      </c>
      <c r="G19" s="187">
        <v>74.509226970094403</v>
      </c>
      <c r="H19" s="187">
        <v>17.890773029905599</v>
      </c>
      <c r="I19" s="187">
        <v>258.27922143716802</v>
      </c>
      <c r="J19" s="181">
        <v>0.625</v>
      </c>
      <c r="K19" s="187">
        <v>11.181733143691</v>
      </c>
      <c r="L19" s="179"/>
    </row>
    <row r="20" spans="1:12" s="152" customFormat="1" x14ac:dyDescent="0.25">
      <c r="A20" s="152" t="s">
        <v>535</v>
      </c>
      <c r="B20" s="152">
        <v>7</v>
      </c>
      <c r="C20" s="179">
        <v>139.84</v>
      </c>
      <c r="D20" s="179"/>
      <c r="E20" s="187">
        <v>141.32694000000001</v>
      </c>
      <c r="F20" s="187">
        <v>109.2</v>
      </c>
      <c r="G20" s="187">
        <v>118.4736</v>
      </c>
      <c r="H20" s="187">
        <v>130.56639999999999</v>
      </c>
      <c r="I20" s="213">
        <v>0</v>
      </c>
      <c r="J20" s="181">
        <v>0.625</v>
      </c>
      <c r="K20" s="187">
        <v>81.603999999999999</v>
      </c>
      <c r="L20" s="179"/>
    </row>
    <row r="21" spans="1:12" s="152" customFormat="1" x14ac:dyDescent="0.25">
      <c r="A21" s="152" t="s">
        <v>536</v>
      </c>
      <c r="B21" s="152">
        <v>7.4</v>
      </c>
      <c r="C21" s="179">
        <v>150.64000000000001</v>
      </c>
      <c r="D21" s="179"/>
      <c r="E21" s="187">
        <v>152.78656000000001</v>
      </c>
      <c r="F21" s="187">
        <v>84</v>
      </c>
      <c r="G21" s="187">
        <v>151.78880000000001</v>
      </c>
      <c r="H21" s="187">
        <v>82.851200000000006</v>
      </c>
      <c r="I21" s="213">
        <v>0</v>
      </c>
      <c r="J21" s="181">
        <v>0.625</v>
      </c>
      <c r="K21" s="187">
        <v>51.781999999999996</v>
      </c>
      <c r="L21" s="179"/>
    </row>
    <row r="22" spans="1:12" s="152" customFormat="1" x14ac:dyDescent="0.25">
      <c r="A22" s="152" t="s">
        <v>537</v>
      </c>
      <c r="B22" s="152">
        <v>7.2</v>
      </c>
      <c r="C22" s="179">
        <v>139.84</v>
      </c>
      <c r="D22" s="179"/>
      <c r="E22" s="187">
        <v>141.98656</v>
      </c>
      <c r="F22" s="187">
        <v>84</v>
      </c>
      <c r="G22" s="187">
        <v>147.68639999999999</v>
      </c>
      <c r="H22" s="187">
        <v>76.153599999999997</v>
      </c>
      <c r="I22" s="213">
        <v>0</v>
      </c>
      <c r="J22" s="181">
        <v>0.625</v>
      </c>
      <c r="K22" s="187">
        <v>47.595999999999997</v>
      </c>
      <c r="L22" s="179"/>
    </row>
    <row r="23" spans="1:12" s="152" customFormat="1" x14ac:dyDescent="0.25">
      <c r="I23" s="179"/>
      <c r="K23" s="179">
        <f>AVERAGE(K18:K22)</f>
        <v>47.951946628738199</v>
      </c>
      <c r="L23" s="179"/>
    </row>
    <row r="24" spans="1:12" s="152" customFormat="1" x14ac:dyDescent="0.25">
      <c r="K24" s="179"/>
      <c r="L24" s="179"/>
    </row>
    <row r="26" spans="1:12" x14ac:dyDescent="0.25">
      <c r="A26" s="6" t="s">
        <v>481</v>
      </c>
      <c r="B26" s="152"/>
      <c r="C26" s="152"/>
      <c r="D26" s="152"/>
      <c r="E26" s="152"/>
      <c r="F26" s="152"/>
      <c r="G26" s="152"/>
      <c r="H26" s="152"/>
    </row>
    <row r="27" spans="1:12" x14ac:dyDescent="0.25">
      <c r="A27" s="152"/>
      <c r="B27" s="152"/>
      <c r="C27" s="152"/>
      <c r="D27" s="152"/>
      <c r="E27" s="152"/>
      <c r="F27" s="152"/>
      <c r="G27" s="152"/>
      <c r="H27" s="152"/>
    </row>
    <row r="28" spans="1:12" x14ac:dyDescent="0.25">
      <c r="A28" s="152" t="s">
        <v>482</v>
      </c>
      <c r="B28" s="152"/>
      <c r="C28" s="152"/>
      <c r="D28" s="152"/>
      <c r="E28" s="152"/>
      <c r="F28" s="152"/>
      <c r="G28" s="152"/>
      <c r="H28" s="152"/>
    </row>
    <row r="29" spans="1:12" x14ac:dyDescent="0.25">
      <c r="A29" s="152"/>
      <c r="B29" s="152"/>
      <c r="C29" s="152"/>
      <c r="D29" s="152"/>
      <c r="E29" s="152"/>
      <c r="F29" s="152"/>
      <c r="G29" s="152"/>
      <c r="H29" s="152"/>
    </row>
    <row r="30" spans="1:12" x14ac:dyDescent="0.25">
      <c r="A30" s="152" t="s">
        <v>483</v>
      </c>
      <c r="B30" s="152"/>
      <c r="C30" s="152"/>
      <c r="D30" s="27" t="s">
        <v>484</v>
      </c>
      <c r="E30" s="152"/>
      <c r="F30" s="152"/>
      <c r="G30" s="152"/>
      <c r="H30" s="152"/>
    </row>
    <row r="31" spans="1:12" x14ac:dyDescent="0.25">
      <c r="A31" s="152"/>
      <c r="B31" s="152"/>
      <c r="C31" s="152"/>
      <c r="D31" s="152"/>
      <c r="E31" s="152"/>
      <c r="F31" s="152"/>
      <c r="G31" s="152"/>
      <c r="H31" s="152"/>
    </row>
    <row r="32" spans="1:12" x14ac:dyDescent="0.25">
      <c r="A32" s="152" t="s">
        <v>485</v>
      </c>
      <c r="B32" s="152"/>
      <c r="C32" s="152"/>
      <c r="D32" s="27" t="s">
        <v>486</v>
      </c>
      <c r="E32" s="152"/>
      <c r="F32" s="152"/>
      <c r="G32" s="152"/>
      <c r="H32" s="152"/>
    </row>
    <row r="33" spans="1:8" x14ac:dyDescent="0.25">
      <c r="A33" s="152"/>
      <c r="B33" s="152"/>
      <c r="C33" s="152"/>
      <c r="D33" s="152"/>
      <c r="E33" s="152"/>
      <c r="F33" s="152"/>
      <c r="G33" s="152"/>
      <c r="H33" s="152"/>
    </row>
    <row r="34" spans="1:8" x14ac:dyDescent="0.25">
      <c r="A34" s="152" t="s">
        <v>487</v>
      </c>
      <c r="B34" s="152"/>
      <c r="C34" s="152"/>
      <c r="D34" s="152"/>
      <c r="E34" s="152"/>
      <c r="F34" s="152"/>
      <c r="G34" s="152"/>
      <c r="H34" s="152"/>
    </row>
    <row r="35" spans="1:8" x14ac:dyDescent="0.25">
      <c r="A35" s="152" t="s">
        <v>490</v>
      </c>
      <c r="B35" s="152"/>
      <c r="C35" s="152"/>
      <c r="D35" s="27" t="s">
        <v>488</v>
      </c>
      <c r="E35" s="152"/>
      <c r="F35" s="152"/>
      <c r="G35" s="152"/>
      <c r="H35" s="152"/>
    </row>
    <row r="36" spans="1:8" x14ac:dyDescent="0.25">
      <c r="A36" s="188"/>
      <c r="B36" s="189"/>
      <c r="C36" s="189"/>
      <c r="D36" s="189"/>
      <c r="E36" s="189"/>
      <c r="F36" s="152"/>
      <c r="G36" s="152"/>
      <c r="H36" s="152"/>
    </row>
    <row r="37" spans="1:8" x14ac:dyDescent="0.25">
      <c r="A37" s="152" t="s">
        <v>489</v>
      </c>
      <c r="B37" s="152"/>
      <c r="C37" s="152"/>
      <c r="D37" s="152"/>
      <c r="E37" s="152"/>
      <c r="F37" s="152"/>
      <c r="G37" s="152"/>
      <c r="H37" s="152"/>
    </row>
    <row r="38" spans="1:8" x14ac:dyDescent="0.25">
      <c r="A38" s="152"/>
      <c r="B38" s="152"/>
      <c r="C38" s="152"/>
      <c r="D38" s="152"/>
      <c r="E38" s="152"/>
      <c r="F38" s="152"/>
      <c r="G38" s="152"/>
      <c r="H38" s="152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W21" sqref="W21"/>
    </sheetView>
  </sheetViews>
  <sheetFormatPr baseColWidth="10" defaultColWidth="9.140625" defaultRowHeight="15" x14ac:dyDescent="0.25"/>
  <cols>
    <col min="1" max="1" width="17.42578125" style="152" bestFit="1" customWidth="1"/>
    <col min="2" max="18" width="9.140625" style="152"/>
    <col min="19" max="19" width="15.42578125" style="152" bestFit="1" customWidth="1"/>
    <col min="20" max="16384" width="9.140625" style="152"/>
  </cols>
  <sheetData>
    <row r="1" spans="1:20" x14ac:dyDescent="0.25">
      <c r="A1" s="152">
        <f>'N fertilizer'!A1</f>
        <v>0</v>
      </c>
      <c r="B1" s="152" t="str">
        <f>'N fertilizer'!B1</f>
        <v>Crop 1</v>
      </c>
      <c r="C1" s="152" t="str">
        <f>'N fertilizer'!C1</f>
        <v>Crop 2</v>
      </c>
      <c r="D1" s="152" t="str">
        <f>'N fertilizer'!D1</f>
        <v>Crop 3</v>
      </c>
      <c r="E1" s="152" t="str">
        <f>'N fertilizer'!E1</f>
        <v>Crop 4</v>
      </c>
      <c r="F1" s="152" t="str">
        <f>'N fertilizer'!F1</f>
        <v>Crop 5</v>
      </c>
      <c r="G1" s="152" t="str">
        <f>'N fertilizer'!G1</f>
        <v>Crop 6</v>
      </c>
    </row>
    <row r="2" spans="1:20" x14ac:dyDescent="0.25">
      <c r="A2" s="152" t="str">
        <f>'N fertilizer'!A2</f>
        <v xml:space="preserve">Without legumes: </v>
      </c>
      <c r="B2" s="152" t="str">
        <f>'N fertilizer'!B2</f>
        <v>Winter barley</v>
      </c>
      <c r="C2" s="152" t="str">
        <f>'N fertilizer'!C2</f>
        <v>Winter oats</v>
      </c>
      <c r="D2" s="152" t="str">
        <f>'N fertilizer'!D2</f>
        <v>Winter wheat</v>
      </c>
      <c r="E2" s="152" t="str">
        <f>'N fertilizer'!E2</f>
        <v>Winter barely</v>
      </c>
      <c r="F2" s="152" t="str">
        <f>'N fertilizer'!F2</f>
        <v>Winter rape</v>
      </c>
      <c r="G2" s="152" t="str">
        <f>'N fertilizer'!G2</f>
        <v>Winter wheat</v>
      </c>
    </row>
    <row r="3" spans="1:20" x14ac:dyDescent="0.25">
      <c r="A3" s="152" t="str">
        <f>'N fertilizer'!A3</f>
        <v xml:space="preserve">With legumes option 1: </v>
      </c>
      <c r="B3" s="152" t="str">
        <f>'N fertilizer'!B3</f>
        <v>Winter barley</v>
      </c>
      <c r="C3" s="152" t="str">
        <f>'N fertilizer'!C3</f>
        <v>Winter oats</v>
      </c>
      <c r="D3" s="152" t="str">
        <f>'N fertilizer'!D3</f>
        <v>Winter wheat</v>
      </c>
      <c r="E3" s="152" t="str">
        <f>'N fertilizer'!E3</f>
        <v>Spring beans</v>
      </c>
      <c r="F3" s="152" t="str">
        <f>'N fertilizer'!F3</f>
        <v>Winter wheat</v>
      </c>
      <c r="G3" s="152">
        <f>'N fertilizer'!G3</f>
        <v>0</v>
      </c>
    </row>
    <row r="4" spans="1:20" x14ac:dyDescent="0.25">
      <c r="A4" s="152" t="str">
        <f>'N fertilizer'!A4</f>
        <v xml:space="preserve">With legumes option 2: </v>
      </c>
      <c r="B4" s="152" t="str">
        <f>'N fertilizer'!B4</f>
        <v>Spring malt barley</v>
      </c>
      <c r="C4" s="152" t="str">
        <f>'N fertilizer'!C4</f>
        <v>Spring beans</v>
      </c>
      <c r="D4" s="152" t="str">
        <f>'N fertilizer'!D4</f>
        <v>Spring oats</v>
      </c>
      <c r="E4" s="152" t="str">
        <f>'N fertilizer'!E4</f>
        <v>Spring feed barley</v>
      </c>
      <c r="F4" s="152" t="str">
        <f>'N fertilizer'!F4</f>
        <v>Spring malt barley</v>
      </c>
    </row>
    <row r="6" spans="1:20" x14ac:dyDescent="0.25">
      <c r="A6" s="168" t="s">
        <v>339</v>
      </c>
      <c r="B6" s="152" t="s">
        <v>340</v>
      </c>
    </row>
    <row r="7" spans="1:20" x14ac:dyDescent="0.25">
      <c r="B7" s="34" t="str">
        <f>'N fertilizer'!B7</f>
        <v>Winter barley</v>
      </c>
      <c r="C7" s="34" t="str">
        <f>'N fertilizer'!C7</f>
        <v>Winter oats</v>
      </c>
      <c r="D7" s="34" t="str">
        <f>'N fertilizer'!D7</f>
        <v>Winter wheat</v>
      </c>
      <c r="E7" s="34" t="str">
        <f>'N fertilizer'!E7</f>
        <v>Winter barley</v>
      </c>
      <c r="F7" s="34" t="str">
        <f>'N fertilizer'!F7</f>
        <v>Winter rape</v>
      </c>
      <c r="G7" s="34" t="str">
        <f>'N fertilizer'!G7</f>
        <v>Winter wheat</v>
      </c>
      <c r="I7" s="34" t="str">
        <f>'N fertilizer'!I7</f>
        <v>Winter barley</v>
      </c>
      <c r="J7" s="34" t="str">
        <f>'N fertilizer'!J7</f>
        <v>Winter oats</v>
      </c>
      <c r="K7" s="34" t="str">
        <f>'N fertilizer'!K7</f>
        <v>Winter wheat</v>
      </c>
      <c r="L7" s="34" t="str">
        <f>'N fertilizer'!L7</f>
        <v>Spring beans</v>
      </c>
      <c r="M7" s="34" t="str">
        <f>'N fertilizer'!M7</f>
        <v>Winter wheat</v>
      </c>
      <c r="N7" s="34"/>
      <c r="P7" s="152" t="str">
        <f>'N fertilizer'!P7</f>
        <v>Spring malt barley</v>
      </c>
      <c r="Q7" s="152" t="str">
        <f>'N fertilizer'!Q7</f>
        <v>Spring beans</v>
      </c>
      <c r="R7" s="152" t="str">
        <f>'N fertilizer'!R7</f>
        <v>Spring oats</v>
      </c>
      <c r="S7" s="152" t="str">
        <f>'N fertilizer'!S7</f>
        <v>Spring feed barley</v>
      </c>
      <c r="T7" s="152" t="str">
        <f>'N fertilizer'!T7</f>
        <v>Spring malt barley</v>
      </c>
    </row>
    <row r="8" spans="1:20" x14ac:dyDescent="0.25">
      <c r="A8" s="34"/>
      <c r="B8" s="169">
        <f>VLOOKUP(B7,'Mapping crops'!$A:$B,2,FALSE)</f>
        <v>5</v>
      </c>
      <c r="C8" s="169">
        <f>VLOOKUP(C7,'Mapping crops'!$A:$B,2,FALSE)</f>
        <v>6</v>
      </c>
      <c r="D8" s="169">
        <f>VLOOKUP(D7,'Mapping crops'!$A:$B,2,FALSE)</f>
        <v>3</v>
      </c>
      <c r="E8" s="169">
        <f>VLOOKUP(E7,'Mapping crops'!$A:$B,2,FALSE)</f>
        <v>5</v>
      </c>
      <c r="F8" s="169">
        <f>VLOOKUP(F7,'Mapping crops'!$A:$B,2,FALSE)</f>
        <v>1</v>
      </c>
      <c r="G8" s="169">
        <f>VLOOKUP(G7,'Mapping crops'!$A:$B,2,FALSE)</f>
        <v>3</v>
      </c>
      <c r="H8" s="169"/>
      <c r="I8" s="169">
        <f>VLOOKUP(I7,'Mapping crops'!$A:$B,2,FALSE)</f>
        <v>5</v>
      </c>
      <c r="J8" s="169">
        <f>VLOOKUP(J7,'Mapping crops'!$A:$B,2,FALSE)</f>
        <v>6</v>
      </c>
      <c r="K8" s="169">
        <f>VLOOKUP(K7,'Mapping crops'!$A:$B,2,FALSE)</f>
        <v>3</v>
      </c>
      <c r="L8" s="169">
        <f>VLOOKUP(L7,'Mapping crops'!$A:$B,2,FALSE)</f>
        <v>12</v>
      </c>
      <c r="M8" s="169">
        <f>VLOOKUP(M7,'Mapping crops'!$A:$B,2,FALSE)</f>
        <v>3</v>
      </c>
      <c r="N8" s="169"/>
      <c r="O8" s="169"/>
      <c r="P8" s="169">
        <f>VLOOKUP(P7,'Mapping crops'!$A:$B,2,FALSE)</f>
        <v>5</v>
      </c>
      <c r="Q8" s="169">
        <f>VLOOKUP(Q7,'Mapping crops'!$A:$B,2,FALSE)</f>
        <v>12</v>
      </c>
      <c r="R8" s="169">
        <f>VLOOKUP(R7,'Mapping crops'!$A:$B,2,FALSE)</f>
        <v>6</v>
      </c>
      <c r="S8" s="169">
        <f>VLOOKUP(S7,'Mapping crops'!$A:$B,2,FALSE)</f>
        <v>5</v>
      </c>
      <c r="T8" s="169">
        <f>VLOOKUP(T7,'Mapping crops'!$A:$B,2,FALSE)</f>
        <v>5</v>
      </c>
    </row>
    <row r="9" spans="1:20" x14ac:dyDescent="0.25">
      <c r="A9" s="143" t="s">
        <v>341</v>
      </c>
      <c r="B9" s="152">
        <f>IF(ISBLANK('N fertilizer'!B10),0,VLOOKUP('N fertilizer'!B10,'N2O default values'!$I:$J,2,FALSE)*'N fertilizer'!B13)</f>
        <v>7.8300000000000018</v>
      </c>
      <c r="C9" s="152">
        <f>IF(ISBLANK('N fertilizer'!C10),0,VLOOKUP('N fertilizer'!C10,'N2O default values'!$I:$J,2,FALSE)*'N fertilizer'!C13)</f>
        <v>5.6700000000000008</v>
      </c>
      <c r="D9" s="152">
        <f>IF(ISBLANK('N fertilizer'!D10),0,VLOOKUP('N fertilizer'!D10,'N2O default values'!$I:$J,2,FALSE)*'N fertilizer'!D13)</f>
        <v>9.8820000000000014</v>
      </c>
      <c r="E9" s="152">
        <f>IF(ISBLANK('N fertilizer'!E10),0,VLOOKUP('N fertilizer'!E10,'N2O default values'!$I:$J,2,FALSE)*'N fertilizer'!E13)</f>
        <v>7.8300000000000018</v>
      </c>
      <c r="F9" s="152">
        <f>IF(ISBLANK('N fertilizer'!F10),0,VLOOKUP('N fertilizer'!F10,'N2O default values'!$I:$J,2,FALSE)*'N fertilizer'!F13)</f>
        <v>17.25</v>
      </c>
      <c r="G9" s="152">
        <f>IF(ISBLANK('N fertilizer'!G10),0,VLOOKUP('N fertilizer'!G10,'N2O default values'!$I:$J,2,FALSE)*'N fertilizer'!G13)</f>
        <v>8.370000000000001</v>
      </c>
      <c r="I9" s="152">
        <f>IF(ISBLANK('N fertilizer'!I10),0,VLOOKUP('N fertilizer'!I10,'N2O default values'!$I:$J,2,FALSE)*'N fertilizer'!I13)</f>
        <v>7.8300000000000018</v>
      </c>
      <c r="J9" s="152">
        <f>IF(ISBLANK('N fertilizer'!J10),0,VLOOKUP('N fertilizer'!J10,'N2O default values'!$I:$J,2,FALSE)*'N fertilizer'!J13)</f>
        <v>5.6700000000000008</v>
      </c>
      <c r="K9" s="152">
        <f>IF(ISBLANK('N fertilizer'!K10),0,VLOOKUP('N fertilizer'!K10,'N2O default values'!$I:$J,2,FALSE)*'N fertilizer'!K13)</f>
        <v>9.8820000000000014</v>
      </c>
      <c r="L9" s="152">
        <f>IF(ISBLANK('N fertilizer'!L10),0,VLOOKUP('N fertilizer'!L10,'N2O default values'!$I:$J,2,FALSE)*'N fertilizer'!L13)</f>
        <v>0</v>
      </c>
      <c r="M9" s="152">
        <f>IF(ISBLANK('N fertilizer'!M10),0,VLOOKUP('N fertilizer'!M10,'N2O default values'!$I:$J,2,FALSE)*'N fertilizer'!M13)</f>
        <v>8.370000000000001</v>
      </c>
      <c r="P9" s="152">
        <f>IF(ISBLANK('N fertilizer'!P10),0,VLOOKUP('N fertilizer'!P10,'N2O default values'!$I:$J,2,FALSE)*'N fertilizer'!P13)</f>
        <v>3.8070000000000004</v>
      </c>
      <c r="Q9" s="152">
        <f>IF(ISBLANK('N fertilizer'!Q10),0,VLOOKUP('N fertilizer'!Q10,'N2O default values'!$I:$J,2,FALSE)*'N fertilizer'!Q13)</f>
        <v>0</v>
      </c>
      <c r="R9" s="152">
        <f>IF(ISBLANK('N fertilizer'!R10),0,VLOOKUP('N fertilizer'!R10,'N2O default values'!$I:$J,2,FALSE)*'N fertilizer'!R13)</f>
        <v>3.8070000000000004</v>
      </c>
      <c r="S9" s="152">
        <f>IF(ISBLANK('N fertilizer'!S10),0,VLOOKUP('N fertilizer'!S10,'N2O default values'!$I:$J,2,FALSE)*'N fertilizer'!S13)</f>
        <v>4.3470000000000004</v>
      </c>
      <c r="T9" s="152">
        <f>IF(ISBLANK('N fertilizer'!T10),0,VLOOKUP('N fertilizer'!T10,'N2O default values'!$I:$J,2,FALSE)*'N fertilizer'!T13)</f>
        <v>3.8070000000000004</v>
      </c>
    </row>
    <row r="10" spans="1:20" x14ac:dyDescent="0.25">
      <c r="A10" s="143" t="s">
        <v>341</v>
      </c>
      <c r="B10" s="152">
        <f>IF(ISBLANK('N fertilizer'!B15),0,VLOOKUP('N fertilizer'!B15,'N2O default values'!$I:$J,2,FALSE)*'N fertilizer'!B18)</f>
        <v>1.85</v>
      </c>
      <c r="C10" s="152">
        <f>IF(ISBLANK('N fertilizer'!C15),0,VLOOKUP('N fertilizer'!C15,'N2O default values'!$I:$J,2,FALSE)*'N fertilizer'!C18)</f>
        <v>1.85</v>
      </c>
      <c r="D10" s="152">
        <f>IF(ISBLANK('N fertilizer'!D15),0,VLOOKUP('N fertilizer'!D15,'N2O default values'!$I:$J,2,FALSE)*'N fertilizer'!D18)</f>
        <v>1.85</v>
      </c>
      <c r="E10" s="152">
        <f>IF(ISBLANK('N fertilizer'!E15),0,VLOOKUP('N fertilizer'!E15,'N2O default values'!$I:$J,2,FALSE)*'N fertilizer'!E18)</f>
        <v>1.85</v>
      </c>
      <c r="F10" s="152">
        <f>IF(ISBLANK('N fertilizer'!F15),0,VLOOKUP('N fertilizer'!F15,'N2O default values'!$I:$J,2,FALSE)*'N fertilizer'!F18)</f>
        <v>5.8239999999999998</v>
      </c>
      <c r="G10" s="152">
        <f>IF(ISBLANK('N fertilizer'!G15),0,VLOOKUP('N fertilizer'!G15,'N2O default values'!$I:$J,2,FALSE)*'N fertilizer'!G18)</f>
        <v>1.85</v>
      </c>
      <c r="I10" s="152">
        <f>IF(ISBLANK('N fertilizer'!I15),0,VLOOKUP('N fertilizer'!I15,'N2O default values'!$I:$J,2,FALSE)*'N fertilizer'!I18)</f>
        <v>1.85</v>
      </c>
      <c r="J10" s="152">
        <f>IF(ISBLANK('N fertilizer'!J15),0,VLOOKUP('N fertilizer'!J15,'N2O default values'!$I:$J,2,FALSE)*'N fertilizer'!J18)</f>
        <v>1.85</v>
      </c>
      <c r="K10" s="152">
        <f>IF(ISBLANK('N fertilizer'!K15),0,VLOOKUP('N fertilizer'!K15,'N2O default values'!$I:$J,2,FALSE)*'N fertilizer'!K18)</f>
        <v>1.85</v>
      </c>
      <c r="L10" s="152">
        <f>IF(ISBLANK('N fertilizer'!L15),0,VLOOKUP('N fertilizer'!L15,'N2O default values'!$I:$J,2,FALSE)*'N fertilizer'!L18)</f>
        <v>0</v>
      </c>
      <c r="M10" s="152">
        <f>IF(ISBLANK('N fertilizer'!M15),0,VLOOKUP('N fertilizer'!M15,'N2O default values'!$I:$J,2,FALSE)*'N fertilizer'!M18)</f>
        <v>1.85</v>
      </c>
      <c r="P10" s="152">
        <f>IF(ISBLANK('N fertilizer'!P15),0,VLOOKUP('N fertilizer'!P15,'N2O default values'!$I:$J,2,FALSE)*'N fertilizer'!P18)</f>
        <v>3.1850000000000005</v>
      </c>
      <c r="Q10" s="152">
        <f>IF(ISBLANK('N fertilizer'!Q15),0,VLOOKUP('N fertilizer'!Q15,'N2O default values'!$I:$J,2,FALSE)*'N fertilizer'!Q18)</f>
        <v>0</v>
      </c>
      <c r="R10" s="152">
        <f>IF(ISBLANK('N fertilizer'!R15),0,VLOOKUP('N fertilizer'!R15,'N2O default values'!$I:$J,2,FALSE)*'N fertilizer'!R18)</f>
        <v>3.1850000000000005</v>
      </c>
      <c r="S10" s="152">
        <f>IF(ISBLANK('N fertilizer'!S15),0,VLOOKUP('N fertilizer'!S15,'N2O default values'!$I:$J,2,FALSE)*'N fertilizer'!S18)</f>
        <v>3.1850000000000005</v>
      </c>
      <c r="T10" s="152">
        <f>IF(ISBLANK('N fertilizer'!T15),0,VLOOKUP('N fertilizer'!T15,'N2O default values'!$I:$J,2,FALSE)*'N fertilizer'!T18)</f>
        <v>3.1850000000000005</v>
      </c>
    </row>
    <row r="11" spans="1:20" x14ac:dyDescent="0.25">
      <c r="A11" s="143" t="s">
        <v>341</v>
      </c>
      <c r="B11" s="152">
        <f>IF(ISBLANK('N fertilizer'!B20),0,VLOOKUP('N fertilizer'!B20,'N2O default values'!$I:$J,2,FALSE)*'N fertilizer'!B23)</f>
        <v>0</v>
      </c>
      <c r="C11" s="152">
        <f>IF(ISBLANK('N fertilizer'!C20),0,VLOOKUP('N fertilizer'!C20,'N2O default values'!$I:$J,2,FALSE)*'N fertilizer'!C23)</f>
        <v>0</v>
      </c>
      <c r="D11" s="152">
        <f>IF(ISBLANK('N fertilizer'!D20),0,VLOOKUP('N fertilizer'!D20,'N2O default values'!$I:$J,2,FALSE)*'N fertilizer'!D23)</f>
        <v>0</v>
      </c>
      <c r="E11" s="152">
        <f>IF(ISBLANK('N fertilizer'!E20),0,VLOOKUP('N fertilizer'!E20,'N2O default values'!$I:$J,2,FALSE)*'N fertilizer'!E23)</f>
        <v>0</v>
      </c>
      <c r="F11" s="152">
        <f>IF(ISBLANK('N fertilizer'!F20),0,VLOOKUP('N fertilizer'!F20,'N2O default values'!$I:$J,2,FALSE)*'N fertilizer'!F23)</f>
        <v>1.85</v>
      </c>
      <c r="G11" s="152">
        <f>IF(ISBLANK('N fertilizer'!G20),0,VLOOKUP('N fertilizer'!G20,'N2O default values'!$I:$J,2,FALSE)*'N fertilizer'!G23)</f>
        <v>0</v>
      </c>
      <c r="I11" s="152">
        <f>IF(ISBLANK('N fertilizer'!I20),0,VLOOKUP('N fertilizer'!I20,'N2O default values'!$I:$J,2,FALSE)*'N fertilizer'!I23)</f>
        <v>0</v>
      </c>
      <c r="J11" s="152">
        <f>IF(ISBLANK('N fertilizer'!J20),0,VLOOKUP('N fertilizer'!J20,'N2O default values'!$I:$J,2,FALSE)*'N fertilizer'!J23)</f>
        <v>0</v>
      </c>
      <c r="K11" s="152">
        <f>IF(ISBLANK('N fertilizer'!K20),0,VLOOKUP('N fertilizer'!K20,'N2O default values'!$I:$J,2,FALSE)*'N fertilizer'!K23)</f>
        <v>0</v>
      </c>
      <c r="L11" s="152">
        <f>IF(ISBLANK('N fertilizer'!L20),0,VLOOKUP('N fertilizer'!L20,'N2O default values'!$I:$J,2,FALSE)*'N fertilizer'!L23)</f>
        <v>0</v>
      </c>
      <c r="M11" s="152">
        <f>IF(ISBLANK('N fertilizer'!M20),0,VLOOKUP('N fertilizer'!M20,'N2O default values'!$I:$J,2,FALSE)*'N fertilizer'!M23)</f>
        <v>0</v>
      </c>
      <c r="P11" s="152">
        <f>IF(ISBLANK('N fertilizer'!P20),0,VLOOKUP('N fertilizer'!P20,'N2O default values'!$I:$J,2,FALSE)*'N fertilizer'!P23)</f>
        <v>0</v>
      </c>
      <c r="Q11" s="152">
        <f>IF(ISBLANK('N fertilizer'!Q20),0,VLOOKUP('N fertilizer'!Q20,'N2O default values'!$I:$J,2,FALSE)*'N fertilizer'!Q23)</f>
        <v>0</v>
      </c>
      <c r="R11" s="152">
        <f>IF(ISBLANK('N fertilizer'!R20),0,VLOOKUP('N fertilizer'!R20,'N2O default values'!$I:$J,2,FALSE)*'N fertilizer'!R23)</f>
        <v>0</v>
      </c>
      <c r="S11" s="152">
        <f>IF(ISBLANK('N fertilizer'!S20),0,VLOOKUP('N fertilizer'!S20,'N2O default values'!$I:$J,2,FALSE)*'N fertilizer'!S23)</f>
        <v>0</v>
      </c>
      <c r="T11" s="152">
        <f>IF(ISBLANK('N fertilizer'!T20),0,VLOOKUP('N fertilizer'!T20,'N2O default values'!$I:$J,2,FALSE)*'N fertilizer'!T23)</f>
        <v>0</v>
      </c>
    </row>
    <row r="12" spans="1:20" x14ac:dyDescent="0.25">
      <c r="A12" s="143" t="s">
        <v>342</v>
      </c>
      <c r="B12" s="187">
        <v>57.680124999999997</v>
      </c>
      <c r="C12" s="187">
        <v>54.471400000000003</v>
      </c>
      <c r="D12" s="187">
        <v>57.828125</v>
      </c>
      <c r="E12" s="187">
        <v>57.680124999999997</v>
      </c>
      <c r="F12" s="187">
        <v>87.302782500000006</v>
      </c>
      <c r="G12" s="187">
        <v>54.678125000000001</v>
      </c>
      <c r="I12" s="187">
        <v>57.680124999999997</v>
      </c>
      <c r="J12" s="187">
        <v>54.471400000000003</v>
      </c>
      <c r="K12" s="187">
        <v>57.828125</v>
      </c>
      <c r="L12" s="187">
        <v>11.181733143691</v>
      </c>
      <c r="M12" s="187">
        <v>54.678125000000001</v>
      </c>
      <c r="P12" s="187">
        <v>47.595999999999997</v>
      </c>
      <c r="Q12" s="187">
        <v>11.181733143691</v>
      </c>
      <c r="R12" s="187">
        <v>81.603999999999999</v>
      </c>
      <c r="S12" s="187">
        <v>51.781999999999996</v>
      </c>
      <c r="T12" s="187">
        <v>47.595999999999997</v>
      </c>
    </row>
    <row r="13" spans="1:20" x14ac:dyDescent="0.25">
      <c r="A13" s="143" t="s">
        <v>343</v>
      </c>
    </row>
    <row r="14" spans="1:20" x14ac:dyDescent="0.25">
      <c r="A14" s="143" t="s">
        <v>289</v>
      </c>
      <c r="B14" s="152">
        <f>GM!B$8*VLOOKUP(B8,'N2O default values'!$M:$U,7)</f>
        <v>8.277000000000001</v>
      </c>
      <c r="C14" s="152">
        <f>GM!C$8*VLOOKUP(C8,'N2O default values'!$M:$U,7)</f>
        <v>7.7429999999999994</v>
      </c>
      <c r="D14" s="152">
        <f>GM!D$8*VLOOKUP(D8,'N2O default values'!$M:$U,7)</f>
        <v>9.1225000000000005</v>
      </c>
      <c r="E14" s="152">
        <f>GM!E$8*VLOOKUP(E8,'N2O default values'!$M:$U,7)</f>
        <v>8.277000000000001</v>
      </c>
      <c r="F14" s="152">
        <f>GM!F$8*VLOOKUP(F8,'N2O default values'!$M:$U,7)</f>
        <v>3.4339999999999997</v>
      </c>
      <c r="G14" s="152">
        <f>GM!G$8*VLOOKUP(G8,'N2O default values'!$M:$U,7)</f>
        <v>9.1225000000000005</v>
      </c>
      <c r="I14" s="152">
        <f>GM!I$8*VLOOKUP(I8,'N2O default values'!$M:$U,7)</f>
        <v>8.277000000000001</v>
      </c>
      <c r="J14" s="152">
        <f>GM!J$8*VLOOKUP(J8,'N2O default values'!$M:$U,7)</f>
        <v>7.7429999999999994</v>
      </c>
      <c r="K14" s="152">
        <f>GM!K$8*VLOOKUP(K8,'N2O default values'!$M:$U,7)</f>
        <v>9.1225000000000005</v>
      </c>
      <c r="L14" s="152">
        <f>GM!L$8*VLOOKUP(L8,'N2O default values'!$M:$U,7)</f>
        <v>4.9140000000000006</v>
      </c>
      <c r="M14" s="152">
        <f>GM!M$8*VLOOKUP(M8,'N2O default values'!$M:$U,7)</f>
        <v>9.1225000000000005</v>
      </c>
      <c r="P14" s="152">
        <f>GM!P$8*VLOOKUP(P8,'N2O default values'!$M:$U,7)</f>
        <v>6.4080000000000004</v>
      </c>
      <c r="Q14" s="152">
        <f>GM!Q$8*VLOOKUP(Q8,'N2O default values'!$M:$U,7)</f>
        <v>4.9140000000000006</v>
      </c>
      <c r="R14" s="152">
        <f>GM!R$8*VLOOKUP(R8,'N2O default values'!$M:$U,7)</f>
        <v>6.23</v>
      </c>
      <c r="S14" s="152">
        <f>GM!S$8*VLOOKUP(S8,'N2O default values'!$M:$U,7)</f>
        <v>6.5860000000000003</v>
      </c>
      <c r="T14" s="152">
        <f>GM!T$8*VLOOKUP(T8,'N2O default values'!$M:$U,7)</f>
        <v>6.4080000000000004</v>
      </c>
    </row>
    <row r="15" spans="1:20" x14ac:dyDescent="0.25">
      <c r="A15" s="143" t="s">
        <v>344</v>
      </c>
      <c r="B15" s="152">
        <f>B14*VLOOKUP(B$8,'N2O default values'!$M:$U,5)*VLOOKUP(B$8,'N2O default values'!$M:$U,8)</f>
        <v>9.9324000000000012</v>
      </c>
      <c r="C15" s="152">
        <f>C14*VLOOKUP(C$8,'N2O default values'!$M:$U,5)*VLOOKUP(C$8,'N2O default values'!$M:$U,8)</f>
        <v>10.065899999999999</v>
      </c>
      <c r="D15" s="152">
        <f>D14*VLOOKUP(D$8,'N2O default values'!$M:$U,5)*VLOOKUP(D$8,'N2O default values'!$M:$U,8)</f>
        <v>11.859250000000001</v>
      </c>
      <c r="E15" s="152">
        <f>E14*VLOOKUP(E$8,'N2O default values'!$M:$U,5)*VLOOKUP(E$8,'N2O default values'!$M:$U,8)</f>
        <v>9.9324000000000012</v>
      </c>
      <c r="F15" s="152">
        <f>F14*VLOOKUP(F$8,'N2O default values'!$M:$U,5)*VLOOKUP(F$8,'N2O default values'!$M:$U,8)</f>
        <v>3.4339999999999997</v>
      </c>
      <c r="G15" s="152">
        <f>G14*VLOOKUP(G$8,'N2O default values'!$M:$U,5)*VLOOKUP(G$8,'N2O default values'!$M:$U,8)</f>
        <v>11.859250000000001</v>
      </c>
      <c r="I15" s="152">
        <f>I14*VLOOKUP(I$8,'N2O default values'!$M:$U,5)*VLOOKUP(I$8,'N2O default values'!$M:$U,8)</f>
        <v>9.9324000000000012</v>
      </c>
      <c r="J15" s="152">
        <f>J14*VLOOKUP(J$8,'N2O default values'!$M:$U,5)*VLOOKUP(J$8,'N2O default values'!$M:$U,8)</f>
        <v>10.065899999999999</v>
      </c>
      <c r="K15" s="152">
        <f>K14*VLOOKUP(K$8,'N2O default values'!$M:$U,5)*VLOOKUP(K$8,'N2O default values'!$M:$U,8)</f>
        <v>11.859250000000001</v>
      </c>
      <c r="L15" s="152">
        <f>L14*VLOOKUP(L$8,'N2O default values'!$M:$U,5)*VLOOKUP(L$8,'N2O default values'!$M:$U,8)</f>
        <v>10.319400000000002</v>
      </c>
      <c r="M15" s="152">
        <f>M14*VLOOKUP(M$8,'N2O default values'!$M:$U,5)*VLOOKUP(M$8,'N2O default values'!$M:$U,8)</f>
        <v>11.859250000000001</v>
      </c>
      <c r="P15" s="152">
        <f>P14*VLOOKUP(P$8,'N2O default values'!$M:$U,5)*VLOOKUP(P$8,'N2O default values'!$M:$U,8)</f>
        <v>7.6896000000000004</v>
      </c>
      <c r="Q15" s="152">
        <f>Q14*VLOOKUP(Q$8,'N2O default values'!$M:$U,5)*VLOOKUP(Q$8,'N2O default values'!$M:$U,8)</f>
        <v>10.319400000000002</v>
      </c>
      <c r="R15" s="152">
        <f>R14*VLOOKUP(R$8,'N2O default values'!$M:$U,5)*VLOOKUP(R$8,'N2O default values'!$M:$U,8)</f>
        <v>8.0990000000000002</v>
      </c>
      <c r="S15" s="152">
        <f>S14*VLOOKUP(S$8,'N2O default values'!$M:$U,5)*VLOOKUP(S$8,'N2O default values'!$M:$U,8)</f>
        <v>7.9032</v>
      </c>
      <c r="T15" s="152">
        <f>T14*VLOOKUP(T$8,'N2O default values'!$M:$U,5)*VLOOKUP(T$8,'N2O default values'!$M:$U,8)</f>
        <v>7.6896000000000004</v>
      </c>
    </row>
    <row r="16" spans="1:20" x14ac:dyDescent="0.25">
      <c r="A16" s="143" t="s">
        <v>345</v>
      </c>
      <c r="B16" s="152">
        <f>SUM(B14:B15)*VLOOKUP(B$8,'N2O default values'!$M:$U,6)</f>
        <v>4.0060680000000009</v>
      </c>
      <c r="C16" s="152">
        <f>SUM(C14:C15)*VLOOKUP(C$8,'N2O default values'!$M:$U,6)</f>
        <v>4.4522249999999994</v>
      </c>
      <c r="D16" s="152">
        <f>SUM(D14:D15)*VLOOKUP(D$8,'N2O default values'!$M:$U,6)</f>
        <v>4.8258025000000009</v>
      </c>
      <c r="E16" s="152">
        <f>SUM(E14:E15)*VLOOKUP(E$8,'N2O default values'!$M:$U,6)</f>
        <v>4.0060680000000009</v>
      </c>
      <c r="F16" s="152">
        <f>SUM(F14:F15)*VLOOKUP(F$8,'N2O default values'!$M:$U,6)</f>
        <v>1.5109599999999999</v>
      </c>
      <c r="G16" s="152">
        <f>SUM(G14:G15)*VLOOKUP(G$8,'N2O default values'!$M:$U,6)</f>
        <v>4.8258025000000009</v>
      </c>
      <c r="I16" s="152">
        <f>SUM(I14:I15)*VLOOKUP(I$8,'N2O default values'!$M:$U,6)</f>
        <v>4.0060680000000009</v>
      </c>
      <c r="J16" s="152">
        <f>SUM(J14:J15)*VLOOKUP(J$8,'N2O default values'!$M:$U,6)</f>
        <v>4.4522249999999994</v>
      </c>
      <c r="K16" s="152">
        <f>SUM(K14:K15)*VLOOKUP(K$8,'N2O default values'!$M:$U,6)</f>
        <v>4.8258025000000009</v>
      </c>
      <c r="L16" s="152">
        <f>SUM(L14:L15)*VLOOKUP(L$8,'N2O default values'!$M:$U,6)</f>
        <v>2.8943460000000005</v>
      </c>
      <c r="M16" s="152">
        <f>SUM(M14:M15)*VLOOKUP(M$8,'N2O default values'!$M:$U,6)</f>
        <v>4.8258025000000009</v>
      </c>
      <c r="P16" s="152">
        <f>SUM(P14:P15)*VLOOKUP(P$8,'N2O default values'!$M:$U,6)</f>
        <v>3.1014719999999998</v>
      </c>
      <c r="Q16" s="152">
        <f>SUM(Q14:Q15)*VLOOKUP(Q$8,'N2O default values'!$M:$U,6)</f>
        <v>2.8943460000000005</v>
      </c>
      <c r="R16" s="152">
        <f>SUM(R14:R15)*VLOOKUP(R$8,'N2O default values'!$M:$U,6)</f>
        <v>3.5822500000000002</v>
      </c>
      <c r="S16" s="152">
        <f>SUM(S14:S15)*VLOOKUP(S$8,'N2O default values'!$M:$U,6)</f>
        <v>3.187624</v>
      </c>
      <c r="T16" s="152">
        <f>SUM(T14:T15)*VLOOKUP(T$8,'N2O default values'!$M:$U,6)</f>
        <v>3.1014719999999998</v>
      </c>
    </row>
    <row r="17" spans="1:20" x14ac:dyDescent="0.25">
      <c r="A17" s="143" t="s">
        <v>346</v>
      </c>
      <c r="B17" s="152">
        <f>(B15-GM!B11*VLOOKUP('N2O calculations'!B$8,'N2O default values'!$M:$U,9))*VLOOKUP('N2O calculations'!B$8,'N2O default values'!$M:$U,3)*1000</f>
        <v>41.491800000000012</v>
      </c>
      <c r="C17" s="152">
        <f>(C15-GM!C11*VLOOKUP('N2O calculations'!C$8,'N2O default values'!$M:$U,9))*VLOOKUP('N2O calculations'!C$8,'N2O default values'!$M:$U,3)*1000</f>
        <v>41.8033</v>
      </c>
      <c r="D17" s="152">
        <f>(D15-GM!D11*VLOOKUP('N2O calculations'!D$8,'N2O default values'!$M:$U,9))*VLOOKUP('N2O calculations'!D$8,'N2O default values'!$M:$U,3)*1000</f>
        <v>49.528500000000008</v>
      </c>
      <c r="E17" s="152">
        <f>(E15-GM!E11*VLOOKUP('N2O calculations'!E$8,'N2O default values'!$M:$U,9))*VLOOKUP('N2O calculations'!E$8,'N2O default values'!$M:$U,3)*1000</f>
        <v>41.491800000000012</v>
      </c>
      <c r="F17" s="152">
        <f>(F15-GM!F11*VLOOKUP('N2O calculations'!F$8,'N2O default values'!$M:$U,9))*VLOOKUP('N2O calculations'!F$8,'N2O default values'!$M:$U,3)*1000</f>
        <v>27.472000000000001</v>
      </c>
      <c r="G17" s="152">
        <f>(G15-GM!G11*VLOOKUP('N2O calculations'!G$8,'N2O default values'!$M:$U,9))*VLOOKUP('N2O calculations'!G$8,'N2O default values'!$M:$U,3)*1000</f>
        <v>49.528500000000008</v>
      </c>
      <c r="I17" s="152">
        <f>(I15-GM!I11*VLOOKUP('N2O calculations'!I$8,'N2O default values'!$M:$U,9))*VLOOKUP('N2O calculations'!I$8,'N2O default values'!$M:$U,3)*1000</f>
        <v>41.491800000000012</v>
      </c>
      <c r="J17" s="152">
        <f>(J15-GM!J11*VLOOKUP('N2O calculations'!J$8,'N2O default values'!$M:$U,9))*VLOOKUP('N2O calculations'!J$8,'N2O default values'!$M:$U,3)*1000</f>
        <v>41.8033</v>
      </c>
      <c r="K17" s="152">
        <f>(K15-GM!K11*VLOOKUP('N2O calculations'!K$8,'N2O default values'!$M:$U,9))*VLOOKUP('N2O calculations'!K$8,'N2O default values'!$M:$U,3)*1000</f>
        <v>49.528500000000008</v>
      </c>
      <c r="L17" s="152">
        <f>(L15-GM!L11*VLOOKUP('N2O calculations'!L$8,'N2O default values'!$M:$U,9))*VLOOKUP('N2O calculations'!L$8,'N2O default values'!$M:$U,3)*1000</f>
        <v>82.555200000000013</v>
      </c>
      <c r="M17" s="152">
        <f>(M15-GM!M11*VLOOKUP('N2O calculations'!M$8,'N2O default values'!$M:$U,9))*VLOOKUP('N2O calculations'!M$8,'N2O default values'!$M:$U,3)*1000</f>
        <v>49.528500000000008</v>
      </c>
      <c r="P17" s="152">
        <f>(P15-GM!P11*VLOOKUP('N2O calculations'!P$8,'N2O default values'!$M:$U,9))*VLOOKUP('N2O calculations'!P$8,'N2O default values'!$M:$U,3)*1000</f>
        <v>30.776200000000003</v>
      </c>
      <c r="Q17" s="152">
        <f>(Q15-GM!Q11*VLOOKUP('N2O calculations'!Q$8,'N2O default values'!$M:$U,9))*VLOOKUP('N2O calculations'!Q$8,'N2O default values'!$M:$U,3)*1000</f>
        <v>82.555200000000013</v>
      </c>
      <c r="R17" s="152">
        <f>(R15-GM!R11*VLOOKUP('N2O calculations'!R$8,'N2O default values'!$M:$U,9))*VLOOKUP('N2O calculations'!R$8,'N2O default values'!$M:$U,3)*1000</f>
        <v>31.461500000000004</v>
      </c>
      <c r="S17" s="152">
        <f>(S15-GM!S11*VLOOKUP('N2O calculations'!S$8,'N2O default values'!$M:$U,9))*VLOOKUP('N2O calculations'!S$8,'N2O default values'!$M:$U,3)*1000</f>
        <v>31.959900000000001</v>
      </c>
      <c r="T17" s="152">
        <f>(T15-GM!T11*VLOOKUP('N2O calculations'!T$8,'N2O default values'!$M:$U,9))*VLOOKUP('N2O calculations'!T$8,'N2O default values'!$M:$U,3)*1000</f>
        <v>30.776200000000003</v>
      </c>
    </row>
    <row r="18" spans="1:20" x14ac:dyDescent="0.25">
      <c r="A18" s="143" t="s">
        <v>347</v>
      </c>
      <c r="B18" s="152">
        <f>B16*VLOOKUP(B$8,'N2O default values'!$M:$U,4)*1000</f>
        <v>56.084952000000015</v>
      </c>
      <c r="C18" s="152">
        <f>C16*VLOOKUP(C$8,'N2O default values'!$M:$U,4)*1000</f>
        <v>35.617799999999995</v>
      </c>
      <c r="D18" s="152">
        <f>D16*VLOOKUP(D$8,'N2O default values'!$M:$U,4)*1000</f>
        <v>43.432222500000009</v>
      </c>
      <c r="E18" s="152">
        <f>E16*VLOOKUP(E$8,'N2O default values'!$M:$U,4)*1000</f>
        <v>56.084952000000015</v>
      </c>
      <c r="F18" s="152">
        <f>F16*VLOOKUP(F$8,'N2O default values'!$M:$U,4)*1000</f>
        <v>13.598639999999996</v>
      </c>
      <c r="G18" s="152">
        <f>G16*VLOOKUP(G$8,'N2O default values'!$M:$U,4)*1000</f>
        <v>43.432222500000009</v>
      </c>
      <c r="I18" s="152">
        <f>I16*VLOOKUP(I$8,'N2O default values'!$M:$U,4)*1000</f>
        <v>56.084952000000015</v>
      </c>
      <c r="J18" s="152">
        <f>J16*VLOOKUP(J$8,'N2O default values'!$M:$U,4)*1000</f>
        <v>35.617799999999995</v>
      </c>
      <c r="K18" s="152">
        <f>K16*VLOOKUP(K$8,'N2O default values'!$M:$U,4)*1000</f>
        <v>43.432222500000009</v>
      </c>
      <c r="L18" s="152">
        <f>L16*VLOOKUP(L$8,'N2O default values'!$M:$U,4)*1000</f>
        <v>23.154768000000008</v>
      </c>
      <c r="M18" s="152">
        <f>M16*VLOOKUP(M$8,'N2O default values'!$M:$U,4)*1000</f>
        <v>43.432222500000009</v>
      </c>
      <c r="P18" s="152">
        <f>P16*VLOOKUP(P$8,'N2O default values'!$M:$U,4)*1000</f>
        <v>43.420608000000001</v>
      </c>
      <c r="Q18" s="152">
        <f>Q16*VLOOKUP(Q$8,'N2O default values'!$M:$U,4)*1000</f>
        <v>23.154768000000008</v>
      </c>
      <c r="R18" s="152">
        <f>R16*VLOOKUP(R$8,'N2O default values'!$M:$U,4)*1000</f>
        <v>28.658000000000001</v>
      </c>
      <c r="S18" s="152">
        <f>S16*VLOOKUP(S$8,'N2O default values'!$M:$U,4)*1000</f>
        <v>44.626736000000001</v>
      </c>
      <c r="T18" s="152">
        <f>T16*VLOOKUP(T$8,'N2O default values'!$M:$U,4)*1000</f>
        <v>43.420608000000001</v>
      </c>
    </row>
    <row r="19" spans="1:20" x14ac:dyDescent="0.25">
      <c r="A19" s="143" t="s">
        <v>348</v>
      </c>
      <c r="B19" s="152">
        <f>SUM(B17:B18)</f>
        <v>97.576752000000027</v>
      </c>
      <c r="C19" s="152">
        <f t="shared" ref="C19:F19" si="0">SUM(C17:C18)</f>
        <v>77.421099999999996</v>
      </c>
      <c r="D19" s="152">
        <f t="shared" si="0"/>
        <v>92.960722500000017</v>
      </c>
      <c r="E19" s="152">
        <f t="shared" si="0"/>
        <v>97.576752000000027</v>
      </c>
      <c r="F19" s="152">
        <f t="shared" si="0"/>
        <v>41.070639999999997</v>
      </c>
      <c r="G19" s="152">
        <f t="shared" ref="G19" si="1">SUM(G17:G18)</f>
        <v>92.960722500000017</v>
      </c>
      <c r="I19" s="152">
        <f>SUM(I17:I18)</f>
        <v>97.576752000000027</v>
      </c>
      <c r="J19" s="152">
        <f t="shared" ref="J19:M19" si="2">SUM(J17:J18)</f>
        <v>77.421099999999996</v>
      </c>
      <c r="K19" s="152">
        <f t="shared" si="2"/>
        <v>92.960722500000017</v>
      </c>
      <c r="L19" s="152">
        <f t="shared" si="2"/>
        <v>105.70996800000002</v>
      </c>
      <c r="M19" s="152">
        <f t="shared" si="2"/>
        <v>92.960722500000017</v>
      </c>
      <c r="P19" s="152">
        <f>SUM(P17:P18)</f>
        <v>74.196808000000004</v>
      </c>
      <c r="Q19" s="152">
        <f t="shared" ref="Q19:T19" si="3">SUM(Q17:Q18)</f>
        <v>105.70996800000002</v>
      </c>
      <c r="R19" s="152">
        <f t="shared" si="3"/>
        <v>60.119500000000002</v>
      </c>
      <c r="S19" s="152">
        <f t="shared" si="3"/>
        <v>76.586635999999999</v>
      </c>
      <c r="T19" s="152">
        <f t="shared" si="3"/>
        <v>74.196808000000004</v>
      </c>
    </row>
    <row r="20" spans="1:20" x14ac:dyDescent="0.25">
      <c r="A20" s="143"/>
    </row>
    <row r="23" spans="1:20" x14ac:dyDescent="0.25">
      <c r="A23" s="152" t="s">
        <v>349</v>
      </c>
    </row>
    <row r="24" spans="1:20" x14ac:dyDescent="0.25">
      <c r="B24" s="34" t="str">
        <f>B7</f>
        <v>Winter barley</v>
      </c>
      <c r="C24" s="34" t="str">
        <f t="shared" ref="C24:F24" si="4">C7</f>
        <v>Winter oats</v>
      </c>
      <c r="D24" s="34" t="str">
        <f t="shared" si="4"/>
        <v>Winter wheat</v>
      </c>
      <c r="E24" s="34" t="str">
        <f t="shared" si="4"/>
        <v>Winter barley</v>
      </c>
      <c r="F24" s="34" t="str">
        <f t="shared" si="4"/>
        <v>Winter rape</v>
      </c>
      <c r="G24" s="34" t="str">
        <f t="shared" ref="G24" si="5">G7</f>
        <v>Winter wheat</v>
      </c>
      <c r="I24" s="34" t="str">
        <f>I7</f>
        <v>Winter barley</v>
      </c>
      <c r="J24" s="34" t="str">
        <f t="shared" ref="J24:M24" si="6">J7</f>
        <v>Winter oats</v>
      </c>
      <c r="K24" s="34" t="str">
        <f t="shared" si="6"/>
        <v>Winter wheat</v>
      </c>
      <c r="L24" s="34" t="str">
        <f t="shared" si="6"/>
        <v>Spring beans</v>
      </c>
      <c r="M24" s="34" t="str">
        <f t="shared" si="6"/>
        <v>Winter wheat</v>
      </c>
      <c r="N24" s="34"/>
      <c r="P24" s="34" t="str">
        <f>P7</f>
        <v>Spring malt barley</v>
      </c>
      <c r="Q24" s="34" t="str">
        <f t="shared" ref="Q24:T24" si="7">Q7</f>
        <v>Spring beans</v>
      </c>
      <c r="R24" s="34" t="str">
        <f t="shared" si="7"/>
        <v>Spring oats</v>
      </c>
      <c r="S24" s="34" t="str">
        <f t="shared" si="7"/>
        <v>Spring feed barley</v>
      </c>
      <c r="T24" s="34" t="str">
        <f t="shared" si="7"/>
        <v>Spring malt barley</v>
      </c>
    </row>
    <row r="25" spans="1:20" x14ac:dyDescent="0.25">
      <c r="A25" s="143" t="s">
        <v>350</v>
      </c>
      <c r="B25" s="152">
        <f>'N fertilizer'!B13*'N2O default values'!$E$2+'N fertilizer'!B18*'N2O default values'!$E$2+'N fertilizer'!B23*'N2O default values'!$E$2</f>
        <v>3.0976000000000004</v>
      </c>
      <c r="C25" s="152">
        <f>'N fertilizer'!C13*'N2O default values'!$E$2+'N fertilizer'!C18*'N2O default values'!$E$2+'N fertilizer'!C23*'N2O default values'!$E$2</f>
        <v>2.4064000000000001</v>
      </c>
      <c r="D25" s="152">
        <f>'N fertilizer'!D13*'N2O default values'!$E$2+'N fertilizer'!D18*'N2O default values'!$E$2+'N fertilizer'!D23*'N2O default values'!$E$2</f>
        <v>3.7542400000000002</v>
      </c>
      <c r="E25" s="152">
        <f>'N fertilizer'!E13*'N2O default values'!$E$2+'N fertilizer'!E18*'N2O default values'!$E$2+'N fertilizer'!E23*'N2O default values'!$E$2</f>
        <v>3.0976000000000004</v>
      </c>
      <c r="F25" s="152">
        <f>'N fertilizer'!F13*'N2O default values'!$E$2+'N fertilizer'!F18*'N2O default values'!$E$2+'N fertilizer'!F23*'N2O default values'!$E$2</f>
        <v>3.5968000000000004</v>
      </c>
      <c r="G25" s="152">
        <f>'N fertilizer'!G13*'N2O default values'!$E$2+'N fertilizer'!G18*'N2O default values'!$E$2+'N fertilizer'!G23*'N2O default values'!$E$2</f>
        <v>3.2704000000000004</v>
      </c>
      <c r="I25" s="152">
        <f>'N fertilizer'!I13*'N2O default values'!$E$2+'N fertilizer'!I18*'N2O default values'!$E$2+'N fertilizer'!I23*'N2O default values'!$E$2</f>
        <v>3.0976000000000004</v>
      </c>
      <c r="J25" s="152">
        <f>'N fertilizer'!J13*'N2O default values'!$E$2+'N fertilizer'!J18*'N2O default values'!$E$2+'N fertilizer'!J23*'N2O default values'!$E$2</f>
        <v>2.4064000000000001</v>
      </c>
      <c r="K25" s="152">
        <f>'N fertilizer'!K13*'N2O default values'!$E$2+'N fertilizer'!K18*'N2O default values'!$E$2+'N fertilizer'!K23*'N2O default values'!$E$2</f>
        <v>3.7542400000000002</v>
      </c>
      <c r="L25" s="152">
        <f>'N fertilizer'!L13*'N2O default values'!$E$2+'N fertilizer'!L18*'N2O default values'!$E$2+'N fertilizer'!L23*'N2O default values'!$E$2</f>
        <v>0</v>
      </c>
      <c r="M25" s="152">
        <f>'N fertilizer'!M13*'N2O default values'!$E$2+'N fertilizer'!M18*'N2O default values'!$E$2+'N fertilizer'!M23*'N2O default values'!$E$2</f>
        <v>3.2704000000000004</v>
      </c>
      <c r="P25" s="152">
        <f>'N fertilizer'!P13*'N2O default values'!$E$2+'N fertilizer'!P18*'N2O default values'!$E$2+'N fertilizer'!P23*'N2O default values'!$E$2</f>
        <v>2.2374400000000003</v>
      </c>
      <c r="Q25" s="152">
        <f>'N fertilizer'!Q13*'N2O default values'!$E$2+'N fertilizer'!Q18*'N2O default values'!$E$2+'N fertilizer'!Q23*'N2O default values'!$E$2</f>
        <v>0</v>
      </c>
      <c r="R25" s="152">
        <f>'N fertilizer'!R13*'N2O default values'!$E$2+'N fertilizer'!R18*'N2O default values'!$E$2+'N fertilizer'!R23*'N2O default values'!$E$2</f>
        <v>2.2374400000000003</v>
      </c>
      <c r="S25" s="152">
        <f>'N fertilizer'!S13*'N2O default values'!$E$2+'N fertilizer'!S18*'N2O default values'!$E$2+'N fertilizer'!S23*'N2O default values'!$E$2</f>
        <v>2.4102400000000004</v>
      </c>
      <c r="T25" s="152">
        <f>'N fertilizer'!T13*'N2O default values'!$E$2+'N fertilizer'!T18*'N2O default values'!$E$2+'N fertilizer'!T23*'N2O default values'!$E$2</f>
        <v>2.2374400000000003</v>
      </c>
    </row>
    <row r="26" spans="1:20" x14ac:dyDescent="0.25">
      <c r="A26" s="152" t="s">
        <v>351</v>
      </c>
      <c r="B26" s="152">
        <f>(SUM(B9:B11)*'N2O default values'!$E$4)</f>
        <v>0.13552000000000003</v>
      </c>
      <c r="C26" s="152">
        <f>(SUM(C9:C11)*'N2O default values'!$E$4)</f>
        <v>0.10528000000000003</v>
      </c>
      <c r="D26" s="152">
        <f>(SUM(D9:D11)*'N2O default values'!$E$4)</f>
        <v>0.16424800000000001</v>
      </c>
      <c r="E26" s="152">
        <f>(SUM(E9:E11)*'N2O default values'!$E$4)</f>
        <v>0.13552000000000003</v>
      </c>
      <c r="F26" s="152">
        <f>(SUM(F9:F11)*'N2O default values'!$E$4)</f>
        <v>0.34893600000000002</v>
      </c>
      <c r="G26" s="152">
        <f>(SUM(G9:G11)*'N2O default values'!$E$4)</f>
        <v>0.14308000000000001</v>
      </c>
      <c r="I26" s="152">
        <f>(SUM(I9:I11)*'N2O default values'!$E$4)</f>
        <v>0.13552000000000003</v>
      </c>
      <c r="J26" s="152">
        <f>(SUM(J9:J11)*'N2O default values'!$E$4)</f>
        <v>0.10528000000000003</v>
      </c>
      <c r="K26" s="152">
        <f>(SUM(K9:K11)*'N2O default values'!$E$4)</f>
        <v>0.16424800000000001</v>
      </c>
      <c r="L26" s="152">
        <f>(SUM(L9:L11)*'N2O default values'!$E$4)</f>
        <v>0</v>
      </c>
      <c r="M26" s="152">
        <f>(SUM(M9:M11)*'N2O default values'!$E$4)</f>
        <v>0.14308000000000001</v>
      </c>
      <c r="P26" s="152">
        <f>(SUM(P9:P11)*'N2O default values'!$E$4)</f>
        <v>9.7888000000000017E-2</v>
      </c>
      <c r="Q26" s="152">
        <f>(SUM(Q9:Q11)*'N2O default values'!$E$4)</f>
        <v>0</v>
      </c>
      <c r="R26" s="152">
        <f>(SUM(R9:R11)*'N2O default values'!$E$4)</f>
        <v>9.7888000000000017E-2</v>
      </c>
      <c r="S26" s="152">
        <f>(SUM(S9:S11)*'N2O default values'!$E$4)</f>
        <v>0.10544800000000001</v>
      </c>
      <c r="T26" s="152">
        <f>(SUM(T9:T11)*'N2O default values'!$E$4)</f>
        <v>9.7888000000000017E-2</v>
      </c>
    </row>
    <row r="27" spans="1:20" x14ac:dyDescent="0.25">
      <c r="A27" s="152" t="s">
        <v>342</v>
      </c>
      <c r="B27" s="152">
        <f>B12*'N2O default values'!$E$5</f>
        <v>0.6344813749999999</v>
      </c>
      <c r="C27" s="152">
        <f>C12*'N2O default values'!$E$5</f>
        <v>0.59918539999999998</v>
      </c>
      <c r="D27" s="152">
        <f>D12*'N2O default values'!$E$5</f>
        <v>0.63610937499999998</v>
      </c>
      <c r="E27" s="152">
        <f>E12*'N2O default values'!$E$5</f>
        <v>0.6344813749999999</v>
      </c>
      <c r="F27" s="152">
        <f>F12*'N2O default values'!$E$5</f>
        <v>0.96033060749999999</v>
      </c>
      <c r="G27" s="152">
        <f>G12*'N2O default values'!$E$5</f>
        <v>0.60145937500000002</v>
      </c>
      <c r="I27" s="152">
        <f>I12*'N2O default values'!$E$5</f>
        <v>0.6344813749999999</v>
      </c>
      <c r="J27" s="152">
        <f>J12*'N2O default values'!$E$5</f>
        <v>0.59918539999999998</v>
      </c>
      <c r="K27" s="152">
        <f>K12*'N2O default values'!$E$5</f>
        <v>0.63610937499999998</v>
      </c>
      <c r="L27" s="152">
        <f>L12*'N2O default values'!$E$5</f>
        <v>0.12299906458060099</v>
      </c>
      <c r="M27" s="152">
        <f>M12*'N2O default values'!$E$5</f>
        <v>0.60145937500000002</v>
      </c>
      <c r="P27" s="152">
        <f>P12*'N2O default values'!$E$5</f>
        <v>0.52355599999999991</v>
      </c>
      <c r="Q27" s="152">
        <f>Q12*'N2O default values'!$E$5</f>
        <v>0.12299906458060099</v>
      </c>
      <c r="R27" s="152">
        <f>R12*'N2O default values'!$E$5</f>
        <v>0.89764399999999989</v>
      </c>
      <c r="S27" s="152">
        <f>S12*'N2O default values'!$E$5</f>
        <v>0.56960199999999994</v>
      </c>
      <c r="T27" s="152">
        <f>T12*'N2O default values'!$E$5</f>
        <v>0.52355599999999991</v>
      </c>
    </row>
    <row r="28" spans="1:20" x14ac:dyDescent="0.25">
      <c r="A28" s="152" t="s">
        <v>352</v>
      </c>
      <c r="B28" s="152">
        <f>B19*'N2O default values'!$E$3</f>
        <v>0.58546051200000016</v>
      </c>
      <c r="C28" s="152">
        <f>C19*'N2O default values'!$E$3</f>
        <v>0.46452659999999996</v>
      </c>
      <c r="D28" s="152">
        <f>D19*'N2O default values'!$E$3</f>
        <v>0.55776433500000011</v>
      </c>
      <c r="E28" s="152">
        <f>E19*'N2O default values'!$E$3</f>
        <v>0.58546051200000016</v>
      </c>
      <c r="F28" s="152">
        <f>F19*'N2O default values'!$E$3</f>
        <v>0.24642383999999998</v>
      </c>
      <c r="G28" s="152">
        <f>G19*'N2O default values'!$E$3</f>
        <v>0.55776433500000011</v>
      </c>
      <c r="I28" s="152">
        <f>I19*'N2O default values'!$E$3</f>
        <v>0.58546051200000016</v>
      </c>
      <c r="J28" s="152">
        <f>J19*'N2O default values'!$E$3</f>
        <v>0.46452659999999996</v>
      </c>
      <c r="K28" s="152">
        <f>K19*'N2O default values'!$E$3</f>
        <v>0.55776433500000011</v>
      </c>
      <c r="L28" s="152">
        <f>L19*'N2O default values'!$E$3</f>
        <v>0.63425980800000015</v>
      </c>
      <c r="M28" s="152">
        <f>M19*'N2O default values'!$E$3</f>
        <v>0.55776433500000011</v>
      </c>
      <c r="P28" s="152">
        <f>P19*'N2O default values'!$E$3</f>
        <v>0.44518084800000002</v>
      </c>
      <c r="Q28" s="152">
        <f>Q19*'N2O default values'!$E$3</f>
        <v>0.63425980800000015</v>
      </c>
      <c r="R28" s="152">
        <f>R19*'N2O default values'!$E$3</f>
        <v>0.36071700000000001</v>
      </c>
      <c r="S28" s="152">
        <f>S19*'N2O default values'!$E$3</f>
        <v>0.45951981600000003</v>
      </c>
      <c r="T28" s="152">
        <f>T19*'N2O default values'!$E$3</f>
        <v>0.44518084800000002</v>
      </c>
    </row>
    <row r="30" spans="1:20" x14ac:dyDescent="0.25">
      <c r="A30" s="152" t="s">
        <v>353</v>
      </c>
    </row>
    <row r="31" spans="1:20" x14ac:dyDescent="0.25">
      <c r="A31" s="152">
        <f>SUM(B31:G31)</f>
        <v>42.92996972235715</v>
      </c>
      <c r="B31" s="152">
        <f>SUM(B25:B28)*'N2O default values'!$G$2</f>
        <v>6.9976686795714294</v>
      </c>
      <c r="C31" s="152">
        <f>SUM(C25:C28)*'N2O default values'!$G$2</f>
        <v>5.6184731428571437</v>
      </c>
      <c r="D31" s="152">
        <f>SUM(D25:D28)*'N2O default values'!$G$2</f>
        <v>8.0337112585714276</v>
      </c>
      <c r="E31" s="152">
        <f>SUM(E25:E28)*'N2O default values'!$G$2</f>
        <v>6.9976686795714294</v>
      </c>
      <c r="F31" s="152">
        <f>SUM(F25:F28)*'N2O default values'!$G$2</f>
        <v>8.0967707032142862</v>
      </c>
      <c r="G31" s="152">
        <f>SUM(G25:G28)*'N2O default values'!$G$2</f>
        <v>7.1856772585714284</v>
      </c>
      <c r="H31" s="152">
        <f>SUM(I31:M31)</f>
        <v>29.025508567912375</v>
      </c>
      <c r="I31" s="152">
        <f>SUM(I25:I28)*'N2O default values'!$G$2</f>
        <v>6.9976686795714294</v>
      </c>
      <c r="J31" s="152">
        <f>SUM(J25:J28)*'N2O default values'!$G$2</f>
        <v>5.6184731428571437</v>
      </c>
      <c r="K31" s="152">
        <f>SUM(K25:K28)*'N2O default values'!$G$2</f>
        <v>8.0337112585714276</v>
      </c>
      <c r="L31" s="152">
        <f>SUM(L25:L28)*'N2O default values'!$G$2</f>
        <v>1.1899782283409446</v>
      </c>
      <c r="M31" s="152">
        <f>SUM(M25:M28)*'N2O default values'!$G$2</f>
        <v>7.1856772585714284</v>
      </c>
      <c r="O31" s="152">
        <f>SUM(P31:T31)</f>
        <v>22.791823032912376</v>
      </c>
      <c r="P31" s="152">
        <f>SUM(P25:P28)*'N2O default values'!$G$2</f>
        <v>5.1921019040000012</v>
      </c>
      <c r="Q31" s="152">
        <f>SUM(Q25:Q28)*'N2O default values'!$G$2</f>
        <v>1.1899782283409446</v>
      </c>
      <c r="R31" s="152">
        <f>SUM(R25:R28)*'N2O default values'!$G$2</f>
        <v>5.6472255714285717</v>
      </c>
      <c r="S31" s="152">
        <f>SUM(S25:S28)*'N2O default values'!$G$2</f>
        <v>5.5704154251428584</v>
      </c>
      <c r="T31" s="152">
        <f>SUM(T25:T28)*'N2O default values'!$G$2</f>
        <v>5.1921019040000012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K23" sqref="K23"/>
    </sheetView>
  </sheetViews>
  <sheetFormatPr baseColWidth="10" defaultColWidth="9.140625" defaultRowHeight="15" x14ac:dyDescent="0.25"/>
  <cols>
    <col min="1" max="1" width="9.140625" style="152"/>
    <col min="2" max="2" width="17.7109375" style="152" bestFit="1" customWidth="1"/>
    <col min="3" max="8" width="9.140625" style="152"/>
    <col min="9" max="9" width="18.85546875" style="152" customWidth="1"/>
    <col min="10" max="10" width="9.140625" style="152"/>
    <col min="11" max="11" width="41.7109375" style="152" customWidth="1"/>
    <col min="12" max="12" width="7" style="152" customWidth="1"/>
    <col min="13" max="13" width="14.140625" style="152" bestFit="1" customWidth="1"/>
    <col min="14" max="14" width="41.85546875" style="152" customWidth="1"/>
    <col min="15" max="19" width="30.7109375" style="152" customWidth="1"/>
    <col min="20" max="16384" width="9.140625" style="152"/>
  </cols>
  <sheetData>
    <row r="1" spans="1:21" ht="45" x14ac:dyDescent="0.25">
      <c r="A1" s="152">
        <v>1</v>
      </c>
      <c r="C1" s="152" t="s">
        <v>340</v>
      </c>
      <c r="D1" s="152" t="s">
        <v>354</v>
      </c>
      <c r="G1" s="152" t="s">
        <v>355</v>
      </c>
      <c r="I1" s="152" t="s">
        <v>356</v>
      </c>
      <c r="K1" s="6"/>
      <c r="M1" s="152" t="s">
        <v>357</v>
      </c>
      <c r="N1" s="152" t="s">
        <v>317</v>
      </c>
      <c r="O1" s="167" t="s">
        <v>358</v>
      </c>
      <c r="P1" s="167" t="s">
        <v>359</v>
      </c>
      <c r="Q1" s="167" t="s">
        <v>360</v>
      </c>
      <c r="R1" s="167" t="s">
        <v>361</v>
      </c>
      <c r="S1" s="167" t="s">
        <v>318</v>
      </c>
      <c r="T1" s="167" t="s">
        <v>362</v>
      </c>
      <c r="U1" s="167" t="s">
        <v>363</v>
      </c>
    </row>
    <row r="2" spans="1:21" x14ac:dyDescent="0.25">
      <c r="A2" s="152">
        <v>2</v>
      </c>
      <c r="B2" s="152" t="s">
        <v>364</v>
      </c>
      <c r="C2" s="152">
        <v>1.6E-2</v>
      </c>
      <c r="D2" s="152">
        <v>5.0000000000000001E-3</v>
      </c>
      <c r="E2" s="152">
        <f>HLOOKUP('N2O calculations'!$B$6,$B$1:$D$10,A2)</f>
        <v>1.6E-2</v>
      </c>
      <c r="G2" s="152">
        <f>44/28</f>
        <v>1.5714285714285714</v>
      </c>
      <c r="I2" s="186" t="s">
        <v>202</v>
      </c>
      <c r="J2" s="186">
        <v>0.15</v>
      </c>
      <c r="K2" s="170" t="s">
        <v>365</v>
      </c>
      <c r="L2" s="171">
        <v>0.15</v>
      </c>
      <c r="M2" s="152">
        <v>1</v>
      </c>
      <c r="N2" s="167" t="s">
        <v>319</v>
      </c>
      <c r="O2" s="167">
        <v>8.0000000000000002E-3</v>
      </c>
      <c r="P2" s="167">
        <v>8.9999999999999993E-3</v>
      </c>
      <c r="Q2" s="167">
        <v>1</v>
      </c>
      <c r="R2" s="167">
        <v>0.22</v>
      </c>
      <c r="S2" s="167">
        <v>0.85</v>
      </c>
      <c r="T2" s="167">
        <v>1</v>
      </c>
      <c r="U2" s="152">
        <f>S2</f>
        <v>0.85</v>
      </c>
    </row>
    <row r="3" spans="1:21" x14ac:dyDescent="0.25">
      <c r="A3" s="152">
        <v>3</v>
      </c>
      <c r="B3" s="152" t="s">
        <v>366</v>
      </c>
      <c r="C3" s="152">
        <v>6.0000000000000001E-3</v>
      </c>
      <c r="D3" s="152">
        <v>5.0000000000000001E-3</v>
      </c>
      <c r="E3" s="152">
        <f>HLOOKUP('N2O calculations'!$B$6,$B$1:$D$10,A3)</f>
        <v>6.0000000000000001E-3</v>
      </c>
      <c r="I3" s="152" t="s">
        <v>367</v>
      </c>
      <c r="J3" s="152">
        <v>0.08</v>
      </c>
      <c r="K3" s="172" t="s">
        <v>368</v>
      </c>
      <c r="L3" s="171">
        <v>0.08</v>
      </c>
      <c r="M3" s="152">
        <v>2</v>
      </c>
      <c r="N3" s="152" t="s">
        <v>320</v>
      </c>
      <c r="O3" s="152">
        <v>6.0000000000000001E-3</v>
      </c>
      <c r="P3" s="152">
        <v>8.9999999999999993E-3</v>
      </c>
      <c r="Q3" s="152">
        <v>1.3</v>
      </c>
      <c r="R3" s="152">
        <v>0.22</v>
      </c>
      <c r="S3" s="152">
        <v>0.88</v>
      </c>
      <c r="T3" s="167">
        <v>1</v>
      </c>
      <c r="U3" s="152">
        <f t="shared" ref="U3:U22" si="0">S3</f>
        <v>0.88</v>
      </c>
    </row>
    <row r="4" spans="1:21" x14ac:dyDescent="0.25">
      <c r="A4" s="152">
        <v>4</v>
      </c>
      <c r="B4" s="152" t="s">
        <v>369</v>
      </c>
      <c r="C4" s="152">
        <v>1.4E-2</v>
      </c>
      <c r="D4" s="152">
        <v>5.0000000000000001E-3</v>
      </c>
      <c r="E4" s="152">
        <f>HLOOKUP('N2O calculations'!$B$6,$B$1:$D$10,A4)</f>
        <v>1.4E-2</v>
      </c>
      <c r="I4" s="152" t="s">
        <v>370</v>
      </c>
      <c r="J4" s="152">
        <v>0.01</v>
      </c>
      <c r="K4" s="172" t="s">
        <v>371</v>
      </c>
      <c r="L4" s="171">
        <v>0.01</v>
      </c>
      <c r="M4" s="152">
        <v>3</v>
      </c>
      <c r="N4" s="152" t="s">
        <v>116</v>
      </c>
      <c r="O4" s="152">
        <v>6.0000000000000001E-3</v>
      </c>
      <c r="P4" s="152">
        <v>8.9999999999999993E-3</v>
      </c>
      <c r="Q4" s="152">
        <v>1.3</v>
      </c>
      <c r="R4" s="152">
        <v>0.23</v>
      </c>
      <c r="S4" s="152">
        <v>0.89</v>
      </c>
      <c r="T4" s="167">
        <v>1</v>
      </c>
      <c r="U4" s="152">
        <f t="shared" si="0"/>
        <v>0.89</v>
      </c>
    </row>
    <row r="5" spans="1:21" x14ac:dyDescent="0.25">
      <c r="A5" s="152">
        <v>5</v>
      </c>
      <c r="B5" s="152" t="s">
        <v>342</v>
      </c>
      <c r="E5" s="152">
        <v>1.0999999999999999E-2</v>
      </c>
      <c r="I5" s="152" t="s">
        <v>372</v>
      </c>
      <c r="J5" s="152">
        <v>0.05</v>
      </c>
      <c r="K5" s="173" t="s">
        <v>373</v>
      </c>
      <c r="L5" s="173">
        <v>0.05</v>
      </c>
      <c r="M5" s="152">
        <v>4</v>
      </c>
      <c r="N5" s="152" t="s">
        <v>321</v>
      </c>
      <c r="O5" s="152">
        <v>6.0000000000000001E-3</v>
      </c>
      <c r="P5" s="152">
        <v>8.9999999999999993E-3</v>
      </c>
      <c r="Q5" s="152">
        <v>1.3</v>
      </c>
      <c r="R5" s="152">
        <v>0.28000000000000003</v>
      </c>
      <c r="S5" s="152">
        <v>0.89</v>
      </c>
      <c r="T5" s="167">
        <v>1</v>
      </c>
      <c r="U5" s="152">
        <f t="shared" si="0"/>
        <v>0.89</v>
      </c>
    </row>
    <row r="6" spans="1:21" x14ac:dyDescent="0.25">
      <c r="A6" s="152">
        <v>6</v>
      </c>
      <c r="I6" s="152" t="s">
        <v>374</v>
      </c>
      <c r="J6" s="152">
        <v>0.05</v>
      </c>
      <c r="K6" s="173" t="s">
        <v>375</v>
      </c>
      <c r="L6" s="173">
        <v>0.11</v>
      </c>
      <c r="M6" s="152">
        <v>5</v>
      </c>
      <c r="N6" s="152" t="s">
        <v>322</v>
      </c>
      <c r="O6" s="152">
        <v>7.0000000000000001E-3</v>
      </c>
      <c r="P6" s="152">
        <v>1.4E-2</v>
      </c>
      <c r="Q6" s="152">
        <v>1.2</v>
      </c>
      <c r="R6" s="152">
        <v>0.22</v>
      </c>
      <c r="S6" s="152">
        <v>0.89</v>
      </c>
      <c r="T6" s="167">
        <v>1</v>
      </c>
      <c r="U6" s="152">
        <f t="shared" si="0"/>
        <v>0.89</v>
      </c>
    </row>
    <row r="7" spans="1:21" x14ac:dyDescent="0.25">
      <c r="A7" s="152">
        <v>7</v>
      </c>
      <c r="I7" s="152" t="s">
        <v>376</v>
      </c>
      <c r="J7" s="152">
        <v>0.21</v>
      </c>
      <c r="M7" s="152">
        <v>6</v>
      </c>
      <c r="N7" s="152" t="s">
        <v>323</v>
      </c>
      <c r="O7" s="152">
        <v>7.0000000000000001E-3</v>
      </c>
      <c r="P7" s="152">
        <v>8.0000000000000002E-3</v>
      </c>
      <c r="Q7" s="152">
        <v>1.3</v>
      </c>
      <c r="R7" s="152">
        <v>0.25</v>
      </c>
      <c r="S7" s="152">
        <v>0.89</v>
      </c>
      <c r="T7" s="167">
        <v>1</v>
      </c>
      <c r="U7" s="152">
        <f t="shared" si="0"/>
        <v>0.89</v>
      </c>
    </row>
    <row r="8" spans="1:21" x14ac:dyDescent="0.25">
      <c r="A8" s="152">
        <v>8</v>
      </c>
      <c r="I8" s="186" t="s">
        <v>278</v>
      </c>
      <c r="J8" s="186">
        <v>0.05</v>
      </c>
      <c r="M8" s="152">
        <v>7</v>
      </c>
      <c r="N8" s="152" t="s">
        <v>324</v>
      </c>
      <c r="O8" s="152">
        <v>6.0000000000000001E-3</v>
      </c>
      <c r="P8" s="152">
        <v>7.0000000000000001E-3</v>
      </c>
      <c r="Q8" s="152">
        <v>1</v>
      </c>
      <c r="R8" s="152">
        <v>0.22</v>
      </c>
      <c r="S8" s="152">
        <v>0.87</v>
      </c>
      <c r="T8" s="167">
        <v>1</v>
      </c>
      <c r="U8" s="152">
        <f t="shared" si="0"/>
        <v>0.87</v>
      </c>
    </row>
    <row r="9" spans="1:21" x14ac:dyDescent="0.25">
      <c r="A9" s="152">
        <v>9</v>
      </c>
      <c r="I9" s="152" t="s">
        <v>377</v>
      </c>
      <c r="J9" s="152">
        <v>0.05</v>
      </c>
      <c r="M9" s="152">
        <v>8</v>
      </c>
      <c r="N9" s="152" t="s">
        <v>325</v>
      </c>
      <c r="O9" s="152">
        <v>5.0000000000000001E-3</v>
      </c>
      <c r="P9" s="152">
        <v>1.0999999999999999E-2</v>
      </c>
      <c r="Q9" s="152">
        <v>1.6</v>
      </c>
      <c r="R9" s="174">
        <f>R2</f>
        <v>0.22</v>
      </c>
      <c r="S9" s="152">
        <v>0.88</v>
      </c>
      <c r="T9" s="167">
        <v>1</v>
      </c>
      <c r="U9" s="152">
        <f t="shared" si="0"/>
        <v>0.88</v>
      </c>
    </row>
    <row r="10" spans="1:21" x14ac:dyDescent="0.25">
      <c r="A10" s="152">
        <v>10</v>
      </c>
      <c r="I10" s="152" t="s">
        <v>378</v>
      </c>
      <c r="J10" s="152">
        <v>0.05</v>
      </c>
      <c r="M10" s="152">
        <v>9</v>
      </c>
      <c r="N10" s="152" t="s">
        <v>326</v>
      </c>
      <c r="O10" s="152">
        <v>7.0000000000000001E-3</v>
      </c>
      <c r="P10" s="174">
        <f>P2</f>
        <v>8.9999999999999993E-3</v>
      </c>
      <c r="Q10" s="152">
        <v>1.4</v>
      </c>
      <c r="R10" s="152">
        <v>0.16</v>
      </c>
      <c r="S10" s="152">
        <v>0.89</v>
      </c>
      <c r="T10" s="167">
        <v>1</v>
      </c>
      <c r="U10" s="152">
        <f t="shared" si="0"/>
        <v>0.89</v>
      </c>
    </row>
    <row r="11" spans="1:21" x14ac:dyDescent="0.25">
      <c r="I11" s="152" t="s">
        <v>379</v>
      </c>
      <c r="J11" s="143">
        <v>0.11</v>
      </c>
      <c r="M11" s="152">
        <v>10</v>
      </c>
      <c r="N11" s="152" t="s">
        <v>327</v>
      </c>
      <c r="O11" s="152">
        <v>7.0000000000000001E-3</v>
      </c>
      <c r="P11" s="174">
        <f>P2</f>
        <v>8.9999999999999993E-3</v>
      </c>
      <c r="Q11" s="152">
        <v>1.4</v>
      </c>
      <c r="R11" s="174">
        <f>R2</f>
        <v>0.22</v>
      </c>
      <c r="S11" s="161">
        <v>0.9</v>
      </c>
      <c r="T11" s="167">
        <v>1</v>
      </c>
      <c r="U11" s="152">
        <f t="shared" si="0"/>
        <v>0.9</v>
      </c>
    </row>
    <row r="12" spans="1:21" x14ac:dyDescent="0.25">
      <c r="I12" s="152" t="s">
        <v>380</v>
      </c>
      <c r="J12" s="143">
        <v>0.08</v>
      </c>
      <c r="M12" s="152">
        <v>11</v>
      </c>
      <c r="N12" s="152" t="s">
        <v>328</v>
      </c>
      <c r="O12" s="152">
        <v>7.0000000000000001E-3</v>
      </c>
      <c r="P12" s="152">
        <v>6.0000000000000001E-3</v>
      </c>
      <c r="Q12" s="152">
        <v>1.4</v>
      </c>
      <c r="R12" s="174">
        <f>R2</f>
        <v>0.22</v>
      </c>
      <c r="S12" s="152">
        <v>0.89</v>
      </c>
      <c r="T12" s="167">
        <v>1</v>
      </c>
      <c r="U12" s="152">
        <f t="shared" si="0"/>
        <v>0.89</v>
      </c>
    </row>
    <row r="13" spans="1:21" x14ac:dyDescent="0.25">
      <c r="I13" s="152" t="s">
        <v>381</v>
      </c>
      <c r="J13" s="152">
        <v>0.11</v>
      </c>
      <c r="M13" s="152">
        <v>12</v>
      </c>
      <c r="N13" s="152" t="s">
        <v>329</v>
      </c>
      <c r="O13" s="152">
        <v>8.0000000000000002E-3</v>
      </c>
      <c r="P13" s="152">
        <v>8.0000000000000002E-3</v>
      </c>
      <c r="Q13" s="152">
        <v>2.1</v>
      </c>
      <c r="R13" s="152">
        <v>0.19</v>
      </c>
      <c r="S13" s="152">
        <v>0.91</v>
      </c>
      <c r="T13" s="167">
        <v>1</v>
      </c>
      <c r="U13" s="152">
        <f t="shared" si="0"/>
        <v>0.91</v>
      </c>
    </row>
    <row r="14" spans="1:21" x14ac:dyDescent="0.25">
      <c r="I14" s="152" t="s">
        <v>382</v>
      </c>
      <c r="J14" s="152">
        <v>0.05</v>
      </c>
      <c r="M14" s="152">
        <v>13</v>
      </c>
      <c r="N14" s="152" t="s">
        <v>330</v>
      </c>
      <c r="O14" s="152">
        <v>8.0000000000000002E-3</v>
      </c>
      <c r="P14" s="152">
        <v>8.0000000000000002E-3</v>
      </c>
      <c r="Q14" s="152">
        <v>2.1</v>
      </c>
      <c r="R14" s="152">
        <v>0.19</v>
      </c>
      <c r="S14" s="152">
        <v>0.91</v>
      </c>
      <c r="T14" s="167">
        <v>1</v>
      </c>
      <c r="U14" s="152">
        <f t="shared" si="0"/>
        <v>0.91</v>
      </c>
    </row>
    <row r="15" spans="1:21" x14ac:dyDescent="0.25">
      <c r="I15" s="152" t="s">
        <v>383</v>
      </c>
      <c r="J15" s="152">
        <v>0.15</v>
      </c>
      <c r="M15" s="152">
        <v>14</v>
      </c>
      <c r="N15" s="152" t="s">
        <v>331</v>
      </c>
      <c r="O15" s="152">
        <v>1.9E-2</v>
      </c>
      <c r="P15" s="152">
        <v>1.4E-2</v>
      </c>
      <c r="Q15" s="152">
        <v>0.4</v>
      </c>
      <c r="R15" s="152">
        <v>0.2</v>
      </c>
      <c r="S15" s="152">
        <v>0.22</v>
      </c>
      <c r="T15" s="167">
        <v>1</v>
      </c>
      <c r="U15" s="152">
        <f t="shared" si="0"/>
        <v>0.22</v>
      </c>
    </row>
    <row r="16" spans="1:21" x14ac:dyDescent="0.25">
      <c r="I16" s="152" t="s">
        <v>384</v>
      </c>
      <c r="J16" s="152">
        <v>0.11</v>
      </c>
      <c r="M16" s="152">
        <v>15</v>
      </c>
      <c r="N16" s="152" t="s">
        <v>332</v>
      </c>
      <c r="O16" s="152">
        <v>1.6E-2</v>
      </c>
      <c r="P16" s="174">
        <f>P2</f>
        <v>8.9999999999999993E-3</v>
      </c>
      <c r="Q16" s="152">
        <v>1</v>
      </c>
      <c r="R16" s="174">
        <f>R2</f>
        <v>0.22</v>
      </c>
      <c r="S16" s="152">
        <v>0.94</v>
      </c>
      <c r="T16" s="167">
        <v>1</v>
      </c>
      <c r="U16" s="152">
        <f t="shared" si="0"/>
        <v>0.94</v>
      </c>
    </row>
    <row r="17" spans="9:21" x14ac:dyDescent="0.25">
      <c r="I17" s="152" t="s">
        <v>385</v>
      </c>
      <c r="J17" s="152">
        <v>0.08</v>
      </c>
      <c r="M17" s="152">
        <v>16</v>
      </c>
      <c r="N17" s="152" t="s">
        <v>333</v>
      </c>
      <c r="O17" s="152">
        <v>2.7E-2</v>
      </c>
      <c r="P17" s="152">
        <v>1.9E-2</v>
      </c>
      <c r="Q17" s="174">
        <f>Q$2</f>
        <v>1</v>
      </c>
      <c r="R17" s="152">
        <v>0.4</v>
      </c>
      <c r="S17" s="152">
        <v>0.9</v>
      </c>
      <c r="T17" s="167">
        <v>1</v>
      </c>
      <c r="U17" s="152">
        <f t="shared" si="0"/>
        <v>0.9</v>
      </c>
    </row>
    <row r="18" spans="9:21" x14ac:dyDescent="0.25">
      <c r="I18" s="152" t="s">
        <v>386</v>
      </c>
      <c r="J18" s="152">
        <v>0.11</v>
      </c>
      <c r="M18" s="152">
        <v>17</v>
      </c>
      <c r="N18" s="152" t="s">
        <v>334</v>
      </c>
      <c r="O18" s="152">
        <v>1.4999999999999999E-2</v>
      </c>
      <c r="P18" s="152">
        <v>1.2E-2</v>
      </c>
      <c r="Q18" s="174">
        <f>Q$2</f>
        <v>1</v>
      </c>
      <c r="R18" s="152">
        <v>0.54</v>
      </c>
      <c r="S18" s="152">
        <v>0.9</v>
      </c>
      <c r="T18" s="167"/>
      <c r="U18" s="152">
        <f t="shared" si="0"/>
        <v>0.9</v>
      </c>
    </row>
    <row r="19" spans="9:21" x14ac:dyDescent="0.25">
      <c r="I19" s="152" t="s">
        <v>387</v>
      </c>
      <c r="J19" s="152">
        <v>0.05</v>
      </c>
      <c r="M19" s="152">
        <v>18</v>
      </c>
      <c r="N19" s="152" t="s">
        <v>335</v>
      </c>
      <c r="O19" s="152">
        <v>2.7E-2</v>
      </c>
      <c r="P19" s="152">
        <v>2.1999999999999999E-2</v>
      </c>
      <c r="Q19" s="152">
        <v>0.3</v>
      </c>
      <c r="R19" s="152">
        <v>0.4</v>
      </c>
      <c r="S19" s="152">
        <v>0.9</v>
      </c>
      <c r="T19" s="167"/>
      <c r="U19" s="152">
        <f t="shared" si="0"/>
        <v>0.9</v>
      </c>
    </row>
    <row r="20" spans="9:21" x14ac:dyDescent="0.25">
      <c r="I20" s="152" t="s">
        <v>388</v>
      </c>
      <c r="J20" s="152">
        <v>0.08</v>
      </c>
      <c r="M20" s="152">
        <v>19</v>
      </c>
      <c r="N20" s="152" t="s">
        <v>336</v>
      </c>
      <c r="O20" s="152">
        <v>1.4999999999999999E-2</v>
      </c>
      <c r="P20" s="152">
        <v>1.2E-2</v>
      </c>
      <c r="Q20" s="152">
        <v>0.3</v>
      </c>
      <c r="R20" s="152">
        <v>0.54</v>
      </c>
      <c r="S20" s="152">
        <v>0.9</v>
      </c>
      <c r="T20" s="167"/>
      <c r="U20" s="152">
        <f t="shared" si="0"/>
        <v>0.9</v>
      </c>
    </row>
    <row r="21" spans="9:21" x14ac:dyDescent="0.25">
      <c r="I21" s="152" t="s">
        <v>389</v>
      </c>
      <c r="J21" s="152">
        <v>0.05</v>
      </c>
      <c r="M21" s="152">
        <v>20</v>
      </c>
      <c r="N21" s="152" t="s">
        <v>337</v>
      </c>
      <c r="O21" s="152">
        <v>1.4999999999999999E-2</v>
      </c>
      <c r="P21" s="152">
        <v>1.2E-2</v>
      </c>
      <c r="Q21" s="152">
        <v>0.3</v>
      </c>
      <c r="R21" s="152">
        <v>0.8</v>
      </c>
      <c r="S21" s="152">
        <v>0.9</v>
      </c>
      <c r="T21" s="167"/>
      <c r="U21" s="152">
        <f t="shared" si="0"/>
        <v>0.9</v>
      </c>
    </row>
    <row r="22" spans="9:21" x14ac:dyDescent="0.25">
      <c r="I22" s="152" t="s">
        <v>390</v>
      </c>
      <c r="J22" s="152">
        <v>0.11</v>
      </c>
      <c r="M22" s="152">
        <v>21</v>
      </c>
      <c r="N22" s="152" t="s">
        <v>338</v>
      </c>
      <c r="O22" s="152">
        <v>2.5000000000000001E-2</v>
      </c>
      <c r="P22" s="152">
        <v>1.6E-2</v>
      </c>
      <c r="Q22" s="152">
        <v>0.3</v>
      </c>
      <c r="R22" s="152">
        <v>0.8</v>
      </c>
      <c r="S22" s="152">
        <v>0.9</v>
      </c>
      <c r="T22" s="167"/>
      <c r="U22" s="152">
        <f t="shared" si="0"/>
        <v>0.9</v>
      </c>
    </row>
    <row r="23" spans="9:21" x14ac:dyDescent="0.25">
      <c r="I23" s="152" t="s">
        <v>391</v>
      </c>
      <c r="J23" s="152">
        <v>0.08</v>
      </c>
    </row>
    <row r="24" spans="9:21" x14ac:dyDescent="0.25">
      <c r="I24" s="152" t="s">
        <v>392</v>
      </c>
      <c r="J24" s="152">
        <v>0.01</v>
      </c>
    </row>
    <row r="25" spans="9:21" x14ac:dyDescent="0.25">
      <c r="I25" s="152" t="s">
        <v>393</v>
      </c>
      <c r="J25" s="152">
        <v>0.15</v>
      </c>
    </row>
    <row r="26" spans="9:21" x14ac:dyDescent="0.25">
      <c r="I26" s="152" t="s">
        <v>394</v>
      </c>
      <c r="J26" s="152">
        <v>0.05</v>
      </c>
    </row>
    <row r="27" spans="9:21" x14ac:dyDescent="0.25">
      <c r="I27" s="152" t="s">
        <v>395</v>
      </c>
      <c r="J27" s="152">
        <v>0.05</v>
      </c>
    </row>
    <row r="28" spans="9:21" x14ac:dyDescent="0.25">
      <c r="I28" s="152" t="s">
        <v>396</v>
      </c>
      <c r="J28" s="152">
        <v>0.08</v>
      </c>
    </row>
    <row r="29" spans="9:21" x14ac:dyDescent="0.25">
      <c r="I29" s="152" t="s">
        <v>397</v>
      </c>
      <c r="J29" s="152">
        <v>0.11</v>
      </c>
    </row>
    <row r="30" spans="9:21" x14ac:dyDescent="0.25">
      <c r="I30" s="152" t="s">
        <v>19</v>
      </c>
      <c r="J30" s="152">
        <v>0.21</v>
      </c>
    </row>
    <row r="31" spans="9:21" x14ac:dyDescent="0.25">
      <c r="I31" s="152" t="s">
        <v>398</v>
      </c>
      <c r="J31" s="152">
        <v>0.08</v>
      </c>
    </row>
    <row r="32" spans="9:21" x14ac:dyDescent="0.25">
      <c r="I32" s="152" t="s">
        <v>399</v>
      </c>
      <c r="J32" s="152">
        <v>0.05</v>
      </c>
    </row>
    <row r="33" spans="9:10" x14ac:dyDescent="0.25">
      <c r="I33" s="152" t="s">
        <v>400</v>
      </c>
      <c r="J33" s="152">
        <v>0.08</v>
      </c>
    </row>
    <row r="34" spans="9:10" x14ac:dyDescent="0.25">
      <c r="I34" s="152" t="s">
        <v>401</v>
      </c>
      <c r="J34" s="152">
        <v>0.15</v>
      </c>
    </row>
    <row r="35" spans="9:10" x14ac:dyDescent="0.25">
      <c r="I35" s="152" t="s">
        <v>402</v>
      </c>
      <c r="J35" s="152">
        <v>0.21</v>
      </c>
    </row>
    <row r="36" spans="9:10" x14ac:dyDescent="0.25">
      <c r="I36" s="152" t="s">
        <v>403</v>
      </c>
      <c r="J36" s="152">
        <v>0.11</v>
      </c>
    </row>
    <row r="37" spans="9:10" x14ac:dyDescent="0.25">
      <c r="I37" s="152" t="s">
        <v>404</v>
      </c>
      <c r="J37" s="152">
        <v>0.11</v>
      </c>
    </row>
    <row r="38" spans="9:10" x14ac:dyDescent="0.25">
      <c r="I38" s="152" t="s">
        <v>405</v>
      </c>
      <c r="J38" s="152">
        <v>0.11</v>
      </c>
    </row>
    <row r="39" spans="9:10" x14ac:dyDescent="0.25">
      <c r="I39" s="186" t="s">
        <v>144</v>
      </c>
      <c r="J39" s="186">
        <v>0.05</v>
      </c>
    </row>
    <row r="40" spans="9:10" x14ac:dyDescent="0.25">
      <c r="I40" s="186" t="s">
        <v>276</v>
      </c>
      <c r="J40" s="186">
        <v>0.05</v>
      </c>
    </row>
    <row r="41" spans="9:10" x14ac:dyDescent="0.25">
      <c r="I41" s="186" t="s">
        <v>203</v>
      </c>
      <c r="J41" s="186">
        <v>0.08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32" sqref="B32"/>
    </sheetView>
  </sheetViews>
  <sheetFormatPr baseColWidth="10" defaultColWidth="9.140625" defaultRowHeight="15" x14ac:dyDescent="0.25"/>
  <cols>
    <col min="1" max="1" width="18" style="152" customWidth="1"/>
    <col min="2" max="16384" width="9.140625" style="152"/>
  </cols>
  <sheetData>
    <row r="1" spans="1:6" x14ac:dyDescent="0.25">
      <c r="A1" s="152" t="s">
        <v>317</v>
      </c>
      <c r="B1" s="152" t="s">
        <v>406</v>
      </c>
      <c r="E1" s="6"/>
    </row>
    <row r="2" spans="1:6" x14ac:dyDescent="0.25">
      <c r="A2" s="175" t="s">
        <v>282</v>
      </c>
      <c r="B2" s="152">
        <v>12</v>
      </c>
      <c r="C2" s="154"/>
      <c r="D2" s="167"/>
      <c r="E2" s="154"/>
    </row>
    <row r="3" spans="1:6" x14ac:dyDescent="0.25">
      <c r="A3" s="169" t="s">
        <v>407</v>
      </c>
      <c r="B3" s="152">
        <v>12</v>
      </c>
      <c r="C3" s="154"/>
      <c r="E3" s="154"/>
    </row>
    <row r="4" spans="1:6" x14ac:dyDescent="0.25">
      <c r="A4" s="169" t="s">
        <v>408</v>
      </c>
      <c r="B4" s="152">
        <v>5</v>
      </c>
      <c r="E4" s="154"/>
    </row>
    <row r="5" spans="1:6" x14ac:dyDescent="0.25">
      <c r="A5" s="169" t="s">
        <v>270</v>
      </c>
      <c r="B5" s="152">
        <v>5</v>
      </c>
      <c r="E5" s="153"/>
    </row>
    <row r="6" spans="1:6" x14ac:dyDescent="0.25">
      <c r="A6" s="169" t="s">
        <v>409</v>
      </c>
      <c r="B6" s="152">
        <v>6</v>
      </c>
      <c r="E6" s="154"/>
    </row>
    <row r="7" spans="1:6" x14ac:dyDescent="0.25">
      <c r="A7" s="169" t="s">
        <v>274</v>
      </c>
      <c r="B7" s="152">
        <v>1</v>
      </c>
      <c r="E7" s="154"/>
      <c r="F7" s="157"/>
    </row>
    <row r="8" spans="1:6" x14ac:dyDescent="0.25">
      <c r="A8" s="169" t="s">
        <v>272</v>
      </c>
      <c r="B8" s="152">
        <v>3</v>
      </c>
      <c r="E8" s="154"/>
      <c r="F8" s="157"/>
    </row>
    <row r="9" spans="1:6" x14ac:dyDescent="0.25">
      <c r="A9" s="176" t="s">
        <v>410</v>
      </c>
      <c r="B9" s="152">
        <v>13</v>
      </c>
      <c r="C9" s="154"/>
      <c r="E9" s="154"/>
    </row>
    <row r="10" spans="1:6" x14ac:dyDescent="0.25">
      <c r="A10" s="6" t="s">
        <v>324</v>
      </c>
      <c r="B10" s="152">
        <v>7</v>
      </c>
      <c r="C10" s="154"/>
      <c r="E10" s="154"/>
    </row>
    <row r="11" spans="1:6" x14ac:dyDescent="0.25">
      <c r="A11" s="169" t="s">
        <v>411</v>
      </c>
      <c r="B11" s="152">
        <v>1</v>
      </c>
      <c r="E11" s="154"/>
    </row>
    <row r="12" spans="1:6" x14ac:dyDescent="0.25">
      <c r="A12" s="34" t="s">
        <v>412</v>
      </c>
      <c r="B12" s="152">
        <v>12</v>
      </c>
      <c r="E12" s="154"/>
    </row>
    <row r="13" spans="1:6" x14ac:dyDescent="0.25">
      <c r="A13" s="169" t="s">
        <v>413</v>
      </c>
      <c r="B13" s="152">
        <v>12</v>
      </c>
      <c r="E13" s="154"/>
    </row>
    <row r="14" spans="1:6" x14ac:dyDescent="0.25">
      <c r="A14" s="167" t="s">
        <v>414</v>
      </c>
      <c r="B14" s="152">
        <v>13</v>
      </c>
      <c r="E14" s="154"/>
    </row>
    <row r="15" spans="1:6" x14ac:dyDescent="0.25">
      <c r="A15" s="167" t="s">
        <v>415</v>
      </c>
      <c r="B15" s="152">
        <v>7</v>
      </c>
      <c r="E15" s="154"/>
    </row>
    <row r="16" spans="1:6" x14ac:dyDescent="0.25">
      <c r="A16" s="152" t="s">
        <v>280</v>
      </c>
      <c r="B16" s="152">
        <v>12</v>
      </c>
      <c r="E16" s="154"/>
    </row>
    <row r="17" spans="1:5" x14ac:dyDescent="0.25">
      <c r="A17" s="152" t="s">
        <v>291</v>
      </c>
      <c r="B17" s="152">
        <v>2</v>
      </c>
      <c r="E17" s="154"/>
    </row>
    <row r="18" spans="1:5" x14ac:dyDescent="0.25">
      <c r="A18" s="152" t="s">
        <v>322</v>
      </c>
      <c r="B18" s="152">
        <v>5</v>
      </c>
    </row>
    <row r="19" spans="1:5" x14ac:dyDescent="0.25">
      <c r="A19" s="152" t="s">
        <v>281</v>
      </c>
      <c r="B19" s="152">
        <v>3</v>
      </c>
    </row>
    <row r="20" spans="1:5" x14ac:dyDescent="0.25">
      <c r="A20" s="152" t="s">
        <v>416</v>
      </c>
      <c r="B20" s="152">
        <v>14</v>
      </c>
    </row>
    <row r="21" spans="1:5" x14ac:dyDescent="0.25">
      <c r="A21" s="152" t="s">
        <v>417</v>
      </c>
      <c r="B21" s="152">
        <v>1</v>
      </c>
    </row>
    <row r="22" spans="1:5" x14ac:dyDescent="0.25">
      <c r="A22" s="152" t="s">
        <v>284</v>
      </c>
      <c r="B22" s="152">
        <v>3</v>
      </c>
    </row>
    <row r="23" spans="1:5" x14ac:dyDescent="0.25">
      <c r="A23" s="152" t="s">
        <v>288</v>
      </c>
      <c r="B23" s="152">
        <v>1</v>
      </c>
    </row>
    <row r="24" spans="1:5" x14ac:dyDescent="0.25">
      <c r="A24" s="152" t="s">
        <v>287</v>
      </c>
      <c r="B24" s="152">
        <v>5</v>
      </c>
    </row>
    <row r="25" spans="1:5" x14ac:dyDescent="0.25">
      <c r="A25" s="152" t="s">
        <v>285</v>
      </c>
      <c r="B25" s="152">
        <v>2</v>
      </c>
    </row>
    <row r="26" spans="1:5" x14ac:dyDescent="0.25">
      <c r="A26" s="152" t="s">
        <v>290</v>
      </c>
      <c r="B26" s="152">
        <v>12</v>
      </c>
    </row>
    <row r="27" spans="1:5" x14ac:dyDescent="0.25">
      <c r="A27" s="34" t="s">
        <v>271</v>
      </c>
      <c r="B27" s="152">
        <v>6</v>
      </c>
    </row>
    <row r="28" spans="1:5" x14ac:dyDescent="0.25">
      <c r="A28" s="34" t="s">
        <v>275</v>
      </c>
      <c r="B28" s="152">
        <v>12</v>
      </c>
    </row>
    <row r="29" spans="1:5" x14ac:dyDescent="0.25">
      <c r="A29" s="152" t="s">
        <v>537</v>
      </c>
      <c r="B29" s="152">
        <v>5</v>
      </c>
    </row>
    <row r="30" spans="1:5" x14ac:dyDescent="0.25">
      <c r="A30" s="152" t="s">
        <v>535</v>
      </c>
      <c r="B30" s="152">
        <v>6</v>
      </c>
    </row>
    <row r="31" spans="1:5" x14ac:dyDescent="0.25">
      <c r="A31" s="152" t="s">
        <v>536</v>
      </c>
      <c r="B31" s="15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2" sqref="A22"/>
    </sheetView>
  </sheetViews>
  <sheetFormatPr baseColWidth="10" defaultColWidth="11.42578125" defaultRowHeight="15" x14ac:dyDescent="0.25"/>
  <sheetData>
    <row r="1" spans="1:7" x14ac:dyDescent="0.25">
      <c r="A1" s="149" t="s">
        <v>248</v>
      </c>
      <c r="B1" s="5"/>
      <c r="C1" s="5"/>
      <c r="D1" s="5"/>
      <c r="E1" s="5"/>
      <c r="F1" s="5"/>
      <c r="G1" s="5"/>
    </row>
    <row r="2" spans="1:7" x14ac:dyDescent="0.25">
      <c r="A2" s="5" t="s">
        <v>258</v>
      </c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149" t="s">
        <v>249</v>
      </c>
      <c r="B4" s="5"/>
      <c r="C4" s="5"/>
      <c r="D4" s="5"/>
      <c r="E4" s="5"/>
      <c r="F4" s="5"/>
      <c r="G4" s="5"/>
    </row>
    <row r="5" spans="1:7" x14ac:dyDescent="0.25">
      <c r="A5" s="5" t="s">
        <v>259</v>
      </c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6" t="s">
        <v>250</v>
      </c>
      <c r="B7" s="5"/>
      <c r="C7" s="5"/>
      <c r="D7" s="5"/>
      <c r="E7" s="5"/>
      <c r="F7" s="5"/>
      <c r="G7" s="5"/>
    </row>
    <row r="8" spans="1:7" x14ac:dyDescent="0.25">
      <c r="A8" s="5" t="s">
        <v>251</v>
      </c>
      <c r="B8" s="5"/>
      <c r="C8" s="5"/>
      <c r="D8" s="5"/>
      <c r="E8" s="5"/>
      <c r="F8" s="5"/>
      <c r="G8" s="5"/>
    </row>
    <row r="9" spans="1:7" x14ac:dyDescent="0.25">
      <c r="A9" s="5" t="s">
        <v>252</v>
      </c>
      <c r="B9" s="5" t="s">
        <v>253</v>
      </c>
      <c r="C9" s="5"/>
      <c r="D9" s="5"/>
      <c r="E9" s="5"/>
      <c r="F9" s="5"/>
      <c r="G9" s="5"/>
    </row>
    <row r="10" spans="1:7" x14ac:dyDescent="0.25">
      <c r="A10" s="5"/>
      <c r="B10" s="5" t="s">
        <v>254</v>
      </c>
      <c r="C10" s="5"/>
      <c r="D10" s="5"/>
      <c r="E10" s="5"/>
      <c r="F10" s="5"/>
      <c r="G10" s="5"/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 t="s">
        <v>255</v>
      </c>
      <c r="B12" s="5"/>
      <c r="C12" s="5"/>
      <c r="D12" s="5"/>
      <c r="E12" s="5"/>
      <c r="F12" s="5"/>
      <c r="G12" s="5"/>
    </row>
    <row r="13" spans="1:7" x14ac:dyDescent="0.25">
      <c r="A13" s="5" t="s">
        <v>261</v>
      </c>
      <c r="B13" s="150" t="s">
        <v>554</v>
      </c>
      <c r="C13" s="5"/>
      <c r="D13" s="5"/>
      <c r="E13" s="5"/>
      <c r="F13" s="5"/>
      <c r="G13" s="5"/>
    </row>
    <row r="14" spans="1:7" s="5" customFormat="1" x14ac:dyDescent="0.25">
      <c r="B14" s="5" t="s">
        <v>553</v>
      </c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A16" s="5" t="s">
        <v>256</v>
      </c>
      <c r="B16" s="5"/>
      <c r="C16" s="5"/>
      <c r="D16" s="5"/>
      <c r="E16" s="5"/>
      <c r="F16" s="5"/>
      <c r="G16" s="5"/>
    </row>
    <row r="17" spans="1:13" x14ac:dyDescent="0.25">
      <c r="A17" s="5"/>
      <c r="B17" s="5" t="s">
        <v>262</v>
      </c>
      <c r="C17" s="5"/>
      <c r="D17" s="5"/>
      <c r="E17" s="5"/>
      <c r="F17" s="5"/>
      <c r="G17" s="5"/>
    </row>
    <row r="18" spans="1:13" x14ac:dyDescent="0.25">
      <c r="A18" s="5"/>
      <c r="B18" s="5" t="s">
        <v>260</v>
      </c>
      <c r="C18" s="5"/>
      <c r="D18" s="5"/>
      <c r="E18" s="5"/>
      <c r="F18" s="5"/>
      <c r="G18" s="5"/>
    </row>
    <row r="19" spans="1:13" x14ac:dyDescent="0.25">
      <c r="A19" s="5"/>
      <c r="B19" s="5"/>
      <c r="C19" s="5"/>
      <c r="D19" s="5"/>
      <c r="E19" s="5"/>
      <c r="F19" s="5"/>
      <c r="G19" s="5"/>
      <c r="M19" s="119"/>
    </row>
    <row r="20" spans="1:13" x14ac:dyDescent="0.25">
      <c r="A20" s="6" t="s">
        <v>257</v>
      </c>
      <c r="B20" s="5"/>
      <c r="C20" s="5"/>
      <c r="D20" s="5"/>
      <c r="E20" s="5"/>
      <c r="F20" s="5"/>
      <c r="G20" s="5"/>
    </row>
    <row r="21" spans="1:13" x14ac:dyDescent="0.25">
      <c r="A21" s="5" t="s">
        <v>252</v>
      </c>
      <c r="B21" s="152" t="s">
        <v>555</v>
      </c>
      <c r="C21" s="5"/>
      <c r="D21" s="5"/>
      <c r="E21" s="5"/>
      <c r="F21" s="5"/>
      <c r="G21" s="5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2"/>
  <sheetViews>
    <sheetView workbookViewId="0">
      <selection activeCell="G28" sqref="G28"/>
    </sheetView>
  </sheetViews>
  <sheetFormatPr baseColWidth="10" defaultColWidth="9.140625" defaultRowHeight="15" x14ac:dyDescent="0.25"/>
  <sheetData>
    <row r="1" spans="1:18" s="5" customFormat="1" x14ac:dyDescent="0.25">
      <c r="A1" s="139" t="s">
        <v>230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</row>
    <row r="2" spans="1:18" s="5" customFormat="1" x14ac:dyDescent="0.25">
      <c r="A2" s="5" t="s">
        <v>231</v>
      </c>
    </row>
    <row r="3" spans="1:18" s="5" customFormat="1" x14ac:dyDescent="0.25">
      <c r="A3" s="5" t="s">
        <v>232</v>
      </c>
    </row>
    <row r="5" spans="1:18" x14ac:dyDescent="0.25">
      <c r="A5" s="136" t="s">
        <v>226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</row>
    <row r="6" spans="1:18" x14ac:dyDescent="0.25">
      <c r="A6" t="s">
        <v>234</v>
      </c>
    </row>
    <row r="8" spans="1:18" x14ac:dyDescent="0.25">
      <c r="A8" s="137" t="s">
        <v>227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 x14ac:dyDescent="0.25">
      <c r="A9" t="s">
        <v>228</v>
      </c>
    </row>
    <row r="10" spans="1:18" x14ac:dyDescent="0.25">
      <c r="A10" t="s">
        <v>478</v>
      </c>
    </row>
    <row r="11" spans="1:18" x14ac:dyDescent="0.25">
      <c r="A11" t="s">
        <v>229</v>
      </c>
    </row>
    <row r="12" spans="1:18" x14ac:dyDescent="0.25">
      <c r="A12" t="s">
        <v>233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N39"/>
  <sheetViews>
    <sheetView zoomScale="80" zoomScaleNormal="80" workbookViewId="0">
      <selection activeCell="I33" sqref="I33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14.7109375" bestFit="1" customWidth="1"/>
    <col min="4" max="4" width="15.85546875" customWidth="1"/>
    <col min="11" max="11" width="12.28515625" bestFit="1" customWidth="1"/>
  </cols>
  <sheetData>
    <row r="4" spans="1:9" s="5" customFormat="1" x14ac:dyDescent="0.25"/>
    <row r="5" spans="1:9" ht="15" customHeight="1" x14ac:dyDescent="0.25">
      <c r="A5" s="217" t="s">
        <v>61</v>
      </c>
      <c r="B5" s="216" t="s">
        <v>140</v>
      </c>
      <c r="C5" s="214"/>
      <c r="D5" s="215"/>
      <c r="I5" s="27"/>
    </row>
    <row r="6" spans="1:9" s="5" customFormat="1" ht="18.75" customHeight="1" x14ac:dyDescent="0.25">
      <c r="A6" s="217"/>
      <c r="B6" s="216"/>
      <c r="C6" s="214"/>
      <c r="D6" s="215"/>
      <c r="E6" s="25"/>
      <c r="F6" s="25"/>
    </row>
    <row r="7" spans="1:9" s="5" customFormat="1" ht="18.75" customHeight="1" x14ac:dyDescent="0.25">
      <c r="A7" s="217"/>
      <c r="B7" s="216"/>
      <c r="C7" s="26"/>
      <c r="D7" s="25"/>
      <c r="E7" s="25"/>
      <c r="F7" s="25"/>
    </row>
    <row r="8" spans="1:9" s="5" customFormat="1" ht="18.75" customHeight="1" x14ac:dyDescent="0.25">
      <c r="A8" s="30"/>
      <c r="B8" s="25"/>
      <c r="C8" s="26"/>
      <c r="D8" s="25"/>
      <c r="E8" s="25"/>
      <c r="F8" s="25"/>
    </row>
    <row r="9" spans="1:9" s="5" customFormat="1" ht="18.75" customHeight="1" x14ac:dyDescent="0.25">
      <c r="A9" s="90" t="s">
        <v>62</v>
      </c>
      <c r="B9" s="216" t="s">
        <v>139</v>
      </c>
      <c r="C9" s="26"/>
      <c r="D9" s="25"/>
      <c r="E9" s="25"/>
      <c r="F9" s="25"/>
    </row>
    <row r="10" spans="1:9" x14ac:dyDescent="0.25">
      <c r="A10" s="119"/>
      <c r="B10" s="216"/>
    </row>
    <row r="11" spans="1:9" s="5" customFormat="1" ht="15" customHeight="1" x14ac:dyDescent="0.25">
      <c r="A11" s="217" t="s">
        <v>0</v>
      </c>
      <c r="B11" s="216" t="s">
        <v>223</v>
      </c>
      <c r="C11" s="215"/>
    </row>
    <row r="12" spans="1:9" x14ac:dyDescent="0.25">
      <c r="A12" s="217"/>
      <c r="B12" s="216"/>
      <c r="C12" s="215"/>
    </row>
    <row r="13" spans="1:9" s="5" customFormat="1" x14ac:dyDescent="0.25">
      <c r="A13" s="6"/>
      <c r="B13" s="135"/>
    </row>
    <row r="14" spans="1:9" x14ac:dyDescent="0.25">
      <c r="A14" s="7" t="s">
        <v>1</v>
      </c>
      <c r="B14" s="119" t="s">
        <v>108</v>
      </c>
    </row>
    <row r="15" spans="1:9" x14ac:dyDescent="0.25">
      <c r="A15" s="6"/>
      <c r="B15" s="135"/>
    </row>
    <row r="16" spans="1:9" s="5" customFormat="1" x14ac:dyDescent="0.25">
      <c r="A16" s="37" t="s">
        <v>72</v>
      </c>
      <c r="B16" s="135" t="s">
        <v>221</v>
      </c>
    </row>
    <row r="17" spans="1:14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1" t="s">
        <v>63</v>
      </c>
      <c r="B18" s="31"/>
      <c r="C18" s="5"/>
      <c r="D18" s="3"/>
      <c r="E18" s="3"/>
      <c r="F18" s="3"/>
      <c r="G18" s="3"/>
      <c r="I18" s="3"/>
      <c r="J18" s="3"/>
      <c r="L18" s="3"/>
      <c r="M18" s="3"/>
      <c r="N18" s="3"/>
    </row>
    <row r="19" spans="1:14" s="5" customFormat="1" x14ac:dyDescent="0.25">
      <c r="A19" s="221" t="s">
        <v>65</v>
      </c>
    </row>
    <row r="20" spans="1:14" ht="15" customHeight="1" x14ac:dyDescent="0.25">
      <c r="A20" s="221"/>
      <c r="B20" s="29" t="s">
        <v>64</v>
      </c>
    </row>
    <row r="21" spans="1:14" x14ac:dyDescent="0.25">
      <c r="A21" s="221"/>
      <c r="B21" s="5"/>
    </row>
    <row r="23" spans="1:14" ht="30" x14ac:dyDescent="0.25">
      <c r="A23" s="28" t="s">
        <v>54</v>
      </c>
      <c r="B23" s="138">
        <v>7.0000000000000007E-2</v>
      </c>
      <c r="C23" s="38"/>
    </row>
    <row r="24" spans="1:14" x14ac:dyDescent="0.25">
      <c r="A24" s="6"/>
      <c r="B24" s="5"/>
    </row>
    <row r="25" spans="1:14" ht="15" customHeight="1" x14ac:dyDescent="0.25">
      <c r="A25" s="220" t="s">
        <v>4</v>
      </c>
      <c r="B25" s="218" t="s">
        <v>220</v>
      </c>
      <c r="C25" s="219"/>
    </row>
    <row r="26" spans="1:14" s="5" customFormat="1" x14ac:dyDescent="0.25">
      <c r="A26" s="220"/>
      <c r="B26" s="218"/>
      <c r="C26" s="219"/>
    </row>
    <row r="27" spans="1:14" x14ac:dyDescent="0.25">
      <c r="A27" s="220"/>
      <c r="B27" s="218"/>
      <c r="C27" s="219"/>
    </row>
    <row r="28" spans="1:14" s="5" customFormat="1" x14ac:dyDescent="0.25">
      <c r="A28" s="6"/>
      <c r="B28" s="145"/>
      <c r="C28" s="4"/>
    </row>
    <row r="29" spans="1:14" ht="30" x14ac:dyDescent="0.25">
      <c r="A29" s="28" t="s">
        <v>55</v>
      </c>
      <c r="B29" s="146" t="s">
        <v>222</v>
      </c>
    </row>
    <row r="30" spans="1:14" x14ac:dyDescent="0.25">
      <c r="A30" s="6"/>
      <c r="B30" s="147"/>
    </row>
    <row r="31" spans="1:14" x14ac:dyDescent="0.25">
      <c r="A31" s="7" t="s">
        <v>56</v>
      </c>
      <c r="B31" s="147" t="s">
        <v>109</v>
      </c>
    </row>
    <row r="32" spans="1:14" x14ac:dyDescent="0.25">
      <c r="A32" s="6"/>
      <c r="B32" s="147"/>
    </row>
    <row r="33" spans="1:2" ht="30" x14ac:dyDescent="0.25">
      <c r="A33" s="28" t="s">
        <v>57</v>
      </c>
      <c r="B33" s="147" t="s">
        <v>76</v>
      </c>
    </row>
    <row r="34" spans="1:2" x14ac:dyDescent="0.25">
      <c r="A34" s="28"/>
      <c r="B34" s="147"/>
    </row>
    <row r="35" spans="1:2" ht="45" x14ac:dyDescent="0.25">
      <c r="A35" s="28" t="s">
        <v>58</v>
      </c>
      <c r="B35" s="148" t="s">
        <v>77</v>
      </c>
    </row>
    <row r="36" spans="1:2" x14ac:dyDescent="0.25">
      <c r="A36" s="28"/>
      <c r="B36" s="5"/>
    </row>
    <row r="37" spans="1:2" ht="30" x14ac:dyDescent="0.25">
      <c r="A37" s="28" t="s">
        <v>60</v>
      </c>
      <c r="B37" s="5">
        <v>900</v>
      </c>
    </row>
    <row r="38" spans="1:2" x14ac:dyDescent="0.25">
      <c r="A38" s="28"/>
      <c r="B38" s="5"/>
    </row>
    <row r="39" spans="1:2" ht="30" x14ac:dyDescent="0.25">
      <c r="A39" s="28" t="s">
        <v>59</v>
      </c>
      <c r="B39" s="118">
        <v>500</v>
      </c>
    </row>
  </sheetData>
  <mergeCells count="12">
    <mergeCell ref="B25:B27"/>
    <mergeCell ref="C25:C27"/>
    <mergeCell ref="A25:A27"/>
    <mergeCell ref="B11:B12"/>
    <mergeCell ref="A11:A12"/>
    <mergeCell ref="C11:C12"/>
    <mergeCell ref="A19:A21"/>
    <mergeCell ref="C5:C6"/>
    <mergeCell ref="D5:D6"/>
    <mergeCell ref="B5:B7"/>
    <mergeCell ref="A5:A7"/>
    <mergeCell ref="B9:B1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T73"/>
  <sheetViews>
    <sheetView topLeftCell="A7" zoomScale="60" zoomScaleNormal="60" workbookViewId="0">
      <pane xSplit="3" topLeftCell="S1" activePane="topRight" state="frozen"/>
      <selection pane="topRight" activeCell="AN22" sqref="AN22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1.5703125" style="5" bestFit="1" customWidth="1"/>
    <col min="4" max="4" width="1.7109375" style="8" customWidth="1"/>
    <col min="5" max="5" width="11.42578125" style="5"/>
    <col min="6" max="6" width="35" style="5" bestFit="1" customWidth="1"/>
    <col min="7" max="7" width="20.28515625" style="5" customWidth="1"/>
    <col min="8" max="8" width="11.42578125" style="5"/>
    <col min="9" max="9" width="25.85546875" style="5" bestFit="1" customWidth="1"/>
    <col min="10" max="10" width="28.140625" style="5" bestFit="1" customWidth="1"/>
    <col min="11" max="11" width="1.7109375" style="23" customWidth="1"/>
    <col min="12" max="12" width="8.5703125" style="5" bestFit="1" customWidth="1"/>
    <col min="13" max="13" width="35" style="5" bestFit="1" customWidth="1"/>
    <col min="14" max="14" width="9.28515625" style="5" customWidth="1"/>
    <col min="15" max="15" width="11.42578125" style="5" customWidth="1"/>
    <col min="16" max="16" width="25.85546875" style="5" bestFit="1" customWidth="1"/>
    <col min="17" max="17" width="28.140625" style="5" bestFit="1" customWidth="1"/>
    <col min="18" max="18" width="1.7109375" style="23" customWidth="1"/>
    <col min="19" max="20" width="11.42578125" style="5"/>
    <col min="21" max="21" width="34.28515625" style="5" bestFit="1" customWidth="1"/>
    <col min="22" max="22" width="11.42578125" style="5"/>
    <col min="23" max="23" width="25.85546875" style="5" bestFit="1" customWidth="1"/>
    <col min="24" max="24" width="28.140625" style="5" bestFit="1" customWidth="1"/>
    <col min="25" max="25" width="1.7109375" style="8" customWidth="1"/>
    <col min="26" max="26" width="11.42578125" style="5"/>
    <col min="27" max="27" width="34.28515625" style="5" bestFit="1" customWidth="1"/>
    <col min="28" max="28" width="34.28515625" style="5" customWidth="1"/>
    <col min="29" max="29" width="11.42578125" style="5"/>
    <col min="30" max="30" width="25.85546875" style="5" bestFit="1" customWidth="1"/>
    <col min="31" max="31" width="28.140625" style="5" bestFit="1" customWidth="1"/>
    <col min="32" max="32" width="1.7109375" style="8" customWidth="1"/>
    <col min="33" max="33" width="11.42578125" style="5"/>
    <col min="34" max="34" width="37.7109375" style="5" bestFit="1" customWidth="1"/>
    <col min="35" max="35" width="34.28515625" style="5" bestFit="1" customWidth="1"/>
    <col min="36" max="36" width="11.42578125" style="5"/>
    <col min="37" max="37" width="25.85546875" style="5" bestFit="1" customWidth="1"/>
    <col min="38" max="38" width="28.140625" style="5" bestFit="1" customWidth="1"/>
    <col min="39" max="39" width="1.7109375" style="8" customWidth="1"/>
    <col min="40" max="40" width="11.42578125" style="5"/>
    <col min="41" max="41" width="37.7109375" style="5" customWidth="1"/>
    <col min="42" max="42" width="34.28515625" style="5" customWidth="1"/>
    <col min="43" max="43" width="11.42578125" style="5"/>
    <col min="44" max="44" width="25.85546875" style="5" customWidth="1"/>
    <col min="45" max="45" width="28.140625" style="5" customWidth="1"/>
    <col min="46" max="46" width="1.7109375" style="5" customWidth="1"/>
    <col min="47" max="16384" width="11.42578125" style="5"/>
  </cols>
  <sheetData>
    <row r="6" spans="1:46" ht="15.75" thickBot="1" x14ac:dyDescent="0.3">
      <c r="A6" s="10"/>
      <c r="B6" s="10"/>
      <c r="C6" s="10"/>
    </row>
    <row r="7" spans="1:46" ht="15.75" thickBot="1" x14ac:dyDescent="0.3">
      <c r="A7" s="21"/>
      <c r="B7" s="22" t="s">
        <v>40</v>
      </c>
      <c r="C7" s="22" t="s">
        <v>41</v>
      </c>
      <c r="D7" s="20"/>
      <c r="E7" s="337" t="s">
        <v>48</v>
      </c>
      <c r="F7" s="338"/>
      <c r="G7" s="338"/>
      <c r="H7" s="338"/>
      <c r="I7" s="338"/>
      <c r="J7" s="338"/>
      <c r="K7" s="62"/>
      <c r="L7" s="337" t="s">
        <v>49</v>
      </c>
      <c r="M7" s="338"/>
      <c r="N7" s="338"/>
      <c r="O7" s="338"/>
      <c r="P7" s="338"/>
      <c r="Q7" s="338"/>
      <c r="R7" s="62"/>
      <c r="S7" s="337" t="s">
        <v>50</v>
      </c>
      <c r="T7" s="338"/>
      <c r="U7" s="338"/>
      <c r="V7" s="338"/>
      <c r="W7" s="338"/>
      <c r="X7" s="338"/>
      <c r="Y7" s="63"/>
      <c r="Z7" s="337" t="s">
        <v>51</v>
      </c>
      <c r="AA7" s="338"/>
      <c r="AB7" s="338"/>
      <c r="AC7" s="338"/>
      <c r="AD7" s="338"/>
      <c r="AE7" s="338"/>
      <c r="AF7" s="63"/>
      <c r="AG7" s="337" t="s">
        <v>52</v>
      </c>
      <c r="AH7" s="338"/>
      <c r="AI7" s="338"/>
      <c r="AJ7" s="338"/>
      <c r="AK7" s="338"/>
      <c r="AL7" s="338"/>
      <c r="AM7" s="63"/>
      <c r="AN7" s="337" t="s">
        <v>53</v>
      </c>
      <c r="AO7" s="338"/>
      <c r="AP7" s="338"/>
      <c r="AQ7" s="338"/>
      <c r="AR7" s="338"/>
      <c r="AS7" s="338"/>
      <c r="AT7" s="20"/>
    </row>
    <row r="8" spans="1:46" ht="15" customHeight="1" x14ac:dyDescent="0.25">
      <c r="A8" s="328" t="s">
        <v>39</v>
      </c>
      <c r="B8" s="331" t="s">
        <v>38</v>
      </c>
      <c r="C8" s="39" t="s">
        <v>2</v>
      </c>
      <c r="D8" s="9"/>
      <c r="E8" s="323" t="s">
        <v>114</v>
      </c>
      <c r="F8" s="324"/>
      <c r="G8" s="324"/>
      <c r="H8" s="324"/>
      <c r="I8" s="324"/>
      <c r="J8" s="324"/>
      <c r="K8" s="24"/>
      <c r="L8" s="323" t="s">
        <v>115</v>
      </c>
      <c r="M8" s="324"/>
      <c r="N8" s="324"/>
      <c r="O8" s="324"/>
      <c r="P8" s="324"/>
      <c r="Q8" s="324"/>
      <c r="R8" s="24"/>
      <c r="S8" s="343" t="s">
        <v>116</v>
      </c>
      <c r="T8" s="344"/>
      <c r="U8" s="344"/>
      <c r="V8" s="344"/>
      <c r="W8" s="344"/>
      <c r="X8" s="345"/>
      <c r="Z8" s="323" t="s">
        <v>114</v>
      </c>
      <c r="AA8" s="324"/>
      <c r="AB8" s="324"/>
      <c r="AC8" s="324"/>
      <c r="AD8" s="324"/>
      <c r="AE8" s="324"/>
      <c r="AG8" s="323" t="s">
        <v>117</v>
      </c>
      <c r="AH8" s="324"/>
      <c r="AI8" s="324"/>
      <c r="AJ8" s="324"/>
      <c r="AK8" s="324"/>
      <c r="AL8" s="324"/>
      <c r="AN8" s="323" t="s">
        <v>116</v>
      </c>
      <c r="AO8" s="324"/>
      <c r="AP8" s="324"/>
      <c r="AQ8" s="324"/>
      <c r="AR8" s="324"/>
      <c r="AS8" s="324"/>
      <c r="AT8" s="9"/>
    </row>
    <row r="9" spans="1:46" x14ac:dyDescent="0.25">
      <c r="A9" s="329"/>
      <c r="B9" s="332"/>
      <c r="C9" s="64" t="s">
        <v>3</v>
      </c>
      <c r="D9" s="9"/>
      <c r="E9" s="339" t="s">
        <v>73</v>
      </c>
      <c r="F9" s="340"/>
      <c r="G9" s="340"/>
      <c r="H9" s="340"/>
      <c r="I9" s="340"/>
      <c r="J9" s="340"/>
      <c r="K9" s="24"/>
      <c r="L9" s="325" t="s">
        <v>73</v>
      </c>
      <c r="M9" s="326"/>
      <c r="N9" s="326"/>
      <c r="O9" s="326"/>
      <c r="P9" s="326"/>
      <c r="Q9" s="327"/>
      <c r="R9" s="24"/>
      <c r="S9" s="325" t="s">
        <v>73</v>
      </c>
      <c r="T9" s="326"/>
      <c r="U9" s="326"/>
      <c r="V9" s="326"/>
      <c r="W9" s="326"/>
      <c r="X9" s="327"/>
      <c r="Z9" s="339" t="s">
        <v>73</v>
      </c>
      <c r="AA9" s="340"/>
      <c r="AB9" s="340"/>
      <c r="AC9" s="340"/>
      <c r="AD9" s="340"/>
      <c r="AE9" s="340"/>
      <c r="AG9" s="339" t="s">
        <v>73</v>
      </c>
      <c r="AH9" s="340"/>
      <c r="AI9" s="340"/>
      <c r="AJ9" s="340"/>
      <c r="AK9" s="340"/>
      <c r="AL9" s="340"/>
      <c r="AN9" s="339" t="s">
        <v>73</v>
      </c>
      <c r="AO9" s="340"/>
      <c r="AP9" s="340"/>
      <c r="AQ9" s="340"/>
      <c r="AR9" s="340"/>
      <c r="AS9" s="340"/>
      <c r="AT9" s="9"/>
    </row>
    <row r="10" spans="1:46" x14ac:dyDescent="0.25">
      <c r="A10" s="329"/>
      <c r="B10" s="332"/>
      <c r="C10" s="64" t="s">
        <v>100</v>
      </c>
      <c r="D10" s="9"/>
      <c r="E10" s="322" t="s">
        <v>111</v>
      </c>
      <c r="F10" s="322"/>
      <c r="G10" s="322"/>
      <c r="H10" s="322"/>
      <c r="I10" s="322"/>
      <c r="J10" s="322"/>
      <c r="K10" s="66"/>
      <c r="L10" s="319" t="s">
        <v>111</v>
      </c>
      <c r="M10" s="320"/>
      <c r="N10" s="320"/>
      <c r="O10" s="320"/>
      <c r="P10" s="320"/>
      <c r="Q10" s="321"/>
      <c r="R10" s="66"/>
      <c r="S10" s="319" t="s">
        <v>111</v>
      </c>
      <c r="T10" s="320"/>
      <c r="U10" s="320"/>
      <c r="V10" s="320"/>
      <c r="W10" s="320"/>
      <c r="X10" s="321"/>
      <c r="Y10" s="67"/>
      <c r="Z10" s="322" t="s">
        <v>111</v>
      </c>
      <c r="AA10" s="322"/>
      <c r="AB10" s="322"/>
      <c r="AC10" s="322"/>
      <c r="AD10" s="322"/>
      <c r="AE10" s="322"/>
      <c r="AF10" s="67"/>
      <c r="AG10" s="322" t="s">
        <v>111</v>
      </c>
      <c r="AH10" s="322"/>
      <c r="AI10" s="322"/>
      <c r="AJ10" s="322"/>
      <c r="AK10" s="322"/>
      <c r="AL10" s="322"/>
      <c r="AM10" s="67"/>
      <c r="AN10" s="322" t="s">
        <v>111</v>
      </c>
      <c r="AO10" s="322"/>
      <c r="AP10" s="322"/>
      <c r="AQ10" s="322"/>
      <c r="AR10" s="322"/>
      <c r="AS10" s="322"/>
      <c r="AT10" s="9"/>
    </row>
    <row r="11" spans="1:46" ht="15.75" thickBot="1" x14ac:dyDescent="0.3">
      <c r="A11" s="330"/>
      <c r="B11" s="333"/>
      <c r="C11" s="65" t="s">
        <v>66</v>
      </c>
      <c r="D11" s="68"/>
      <c r="E11" s="334" t="s">
        <v>74</v>
      </c>
      <c r="F11" s="335"/>
      <c r="G11" s="335"/>
      <c r="H11" s="335"/>
      <c r="I11" s="335"/>
      <c r="J11" s="336"/>
      <c r="K11" s="69"/>
      <c r="L11" s="334" t="s">
        <v>74</v>
      </c>
      <c r="M11" s="335"/>
      <c r="N11" s="335"/>
      <c r="O11" s="335"/>
      <c r="P11" s="335"/>
      <c r="Q11" s="336"/>
      <c r="R11" s="69"/>
      <c r="S11" s="334" t="s">
        <v>74</v>
      </c>
      <c r="T11" s="335"/>
      <c r="U11" s="335"/>
      <c r="V11" s="335"/>
      <c r="W11" s="335"/>
      <c r="X11" s="336"/>
      <c r="Y11" s="70"/>
      <c r="Z11" s="334" t="s">
        <v>74</v>
      </c>
      <c r="AA11" s="335"/>
      <c r="AB11" s="335"/>
      <c r="AC11" s="335"/>
      <c r="AD11" s="335"/>
      <c r="AE11" s="336"/>
      <c r="AF11" s="70"/>
      <c r="AG11" s="334" t="s">
        <v>74</v>
      </c>
      <c r="AH11" s="335"/>
      <c r="AI11" s="335"/>
      <c r="AJ11" s="335"/>
      <c r="AK11" s="335"/>
      <c r="AL11" s="336"/>
      <c r="AM11" s="70"/>
      <c r="AN11" s="334" t="s">
        <v>74</v>
      </c>
      <c r="AO11" s="335"/>
      <c r="AP11" s="335"/>
      <c r="AQ11" s="335"/>
      <c r="AR11" s="335"/>
      <c r="AS11" s="336"/>
      <c r="AT11" s="68"/>
    </row>
    <row r="12" spans="1:46" ht="15.75" thickBot="1" x14ac:dyDescent="0.3">
      <c r="A12" s="11"/>
      <c r="B12" s="13"/>
      <c r="C12" s="55"/>
      <c r="E12" s="223"/>
      <c r="F12" s="224"/>
      <c r="G12" s="224"/>
      <c r="H12" s="224"/>
      <c r="I12" s="224"/>
      <c r="J12" s="224"/>
      <c r="L12" s="223"/>
      <c r="M12" s="224"/>
      <c r="N12" s="224"/>
      <c r="O12" s="224"/>
      <c r="P12" s="224"/>
      <c r="Q12" s="224"/>
      <c r="S12" s="235"/>
      <c r="T12" s="236"/>
      <c r="U12" s="236"/>
      <c r="V12" s="236"/>
      <c r="W12" s="236"/>
      <c r="X12" s="236"/>
      <c r="Z12" s="223"/>
      <c r="AA12" s="224"/>
      <c r="AB12" s="224"/>
      <c r="AC12" s="224"/>
      <c r="AD12" s="224"/>
      <c r="AE12" s="224"/>
      <c r="AG12" s="223"/>
      <c r="AH12" s="224"/>
      <c r="AI12" s="224"/>
      <c r="AJ12" s="224"/>
      <c r="AK12" s="224"/>
      <c r="AL12" s="224"/>
      <c r="AN12" s="223"/>
      <c r="AO12" s="224"/>
      <c r="AP12" s="224"/>
      <c r="AQ12" s="224"/>
      <c r="AR12" s="224"/>
      <c r="AS12" s="224"/>
      <c r="AT12" s="8"/>
    </row>
    <row r="13" spans="1:46" ht="15" customHeight="1" x14ac:dyDescent="0.25">
      <c r="A13" s="317" t="s">
        <v>37</v>
      </c>
      <c r="B13" s="318" t="s">
        <v>94</v>
      </c>
      <c r="C13" s="53" t="s">
        <v>5</v>
      </c>
      <c r="E13" s="241" t="s">
        <v>110</v>
      </c>
      <c r="F13" s="242"/>
      <c r="G13" s="242"/>
      <c r="H13" s="242"/>
      <c r="I13" s="243"/>
      <c r="J13" s="123" t="s">
        <v>141</v>
      </c>
      <c r="L13" s="241" t="s">
        <v>110</v>
      </c>
      <c r="M13" s="242"/>
      <c r="N13" s="242"/>
      <c r="O13" s="242"/>
      <c r="P13" s="243"/>
      <c r="Q13" s="92" t="s">
        <v>192</v>
      </c>
      <c r="S13" s="241" t="s">
        <v>110</v>
      </c>
      <c r="T13" s="242"/>
      <c r="U13" s="242"/>
      <c r="V13" s="242"/>
      <c r="W13" s="243"/>
      <c r="X13" s="92" t="s">
        <v>171</v>
      </c>
      <c r="Z13" s="241" t="s">
        <v>110</v>
      </c>
      <c r="AA13" s="242"/>
      <c r="AB13" s="242"/>
      <c r="AC13" s="242"/>
      <c r="AD13" s="243"/>
      <c r="AE13" s="92" t="s">
        <v>180</v>
      </c>
      <c r="AG13" s="241" t="s">
        <v>110</v>
      </c>
      <c r="AH13" s="242"/>
      <c r="AI13" s="242"/>
      <c r="AJ13" s="242"/>
      <c r="AK13" s="243"/>
      <c r="AL13" s="92" t="s">
        <v>208</v>
      </c>
      <c r="AN13" s="241" t="s">
        <v>110</v>
      </c>
      <c r="AO13" s="242"/>
      <c r="AP13" s="242"/>
      <c r="AQ13" s="242"/>
      <c r="AR13" s="243"/>
      <c r="AS13" s="92" t="s">
        <v>201</v>
      </c>
      <c r="AT13" s="8"/>
    </row>
    <row r="14" spans="1:46" x14ac:dyDescent="0.25">
      <c r="A14" s="317"/>
      <c r="B14" s="318"/>
      <c r="C14" s="14" t="s">
        <v>6</v>
      </c>
      <c r="E14" s="244" t="s">
        <v>87</v>
      </c>
      <c r="F14" s="245"/>
      <c r="G14" s="245"/>
      <c r="H14" s="245"/>
      <c r="I14" s="246"/>
      <c r="J14" s="124" t="s">
        <v>141</v>
      </c>
      <c r="L14" s="244" t="s">
        <v>87</v>
      </c>
      <c r="M14" s="245"/>
      <c r="N14" s="245"/>
      <c r="O14" s="245"/>
      <c r="P14" s="246"/>
      <c r="Q14" s="94" t="s">
        <v>192</v>
      </c>
      <c r="S14" s="244" t="s">
        <v>87</v>
      </c>
      <c r="T14" s="245"/>
      <c r="U14" s="245"/>
      <c r="V14" s="245"/>
      <c r="W14" s="246"/>
      <c r="X14" s="94" t="s">
        <v>171</v>
      </c>
      <c r="Z14" s="244" t="s">
        <v>87</v>
      </c>
      <c r="AA14" s="245"/>
      <c r="AB14" s="245"/>
      <c r="AC14" s="245"/>
      <c r="AD14" s="246"/>
      <c r="AE14" s="94" t="s">
        <v>180</v>
      </c>
      <c r="AG14" s="244" t="s">
        <v>87</v>
      </c>
      <c r="AH14" s="245"/>
      <c r="AI14" s="245"/>
      <c r="AJ14" s="245"/>
      <c r="AK14" s="246"/>
      <c r="AL14" s="94" t="s">
        <v>208</v>
      </c>
      <c r="AN14" s="244" t="s">
        <v>87</v>
      </c>
      <c r="AO14" s="245"/>
      <c r="AP14" s="245"/>
      <c r="AQ14" s="245"/>
      <c r="AR14" s="246"/>
      <c r="AS14" s="94" t="s">
        <v>201</v>
      </c>
      <c r="AT14" s="8"/>
    </row>
    <row r="15" spans="1:46" ht="15.75" thickBot="1" x14ac:dyDescent="0.3">
      <c r="A15" s="317"/>
      <c r="B15" s="318"/>
      <c r="C15" s="54" t="s">
        <v>7</v>
      </c>
      <c r="E15" s="247" t="s">
        <v>88</v>
      </c>
      <c r="F15" s="248"/>
      <c r="G15" s="248"/>
      <c r="H15" s="248"/>
      <c r="I15" s="249"/>
      <c r="J15" s="125" t="s">
        <v>141</v>
      </c>
      <c r="L15" s="247" t="s">
        <v>88</v>
      </c>
      <c r="M15" s="248"/>
      <c r="N15" s="248"/>
      <c r="O15" s="248"/>
      <c r="P15" s="249"/>
      <c r="Q15" s="95" t="s">
        <v>192</v>
      </c>
      <c r="S15" s="247" t="s">
        <v>88</v>
      </c>
      <c r="T15" s="248"/>
      <c r="U15" s="248"/>
      <c r="V15" s="248"/>
      <c r="W15" s="249"/>
      <c r="X15" s="95" t="s">
        <v>171</v>
      </c>
      <c r="Z15" s="247" t="s">
        <v>88</v>
      </c>
      <c r="AA15" s="248"/>
      <c r="AB15" s="248"/>
      <c r="AC15" s="248"/>
      <c r="AD15" s="249"/>
      <c r="AE15" s="95" t="s">
        <v>180</v>
      </c>
      <c r="AG15" s="247" t="s">
        <v>88</v>
      </c>
      <c r="AH15" s="248"/>
      <c r="AI15" s="248"/>
      <c r="AJ15" s="248"/>
      <c r="AK15" s="249"/>
      <c r="AL15" s="95" t="s">
        <v>208</v>
      </c>
      <c r="AN15" s="247" t="s">
        <v>88</v>
      </c>
      <c r="AO15" s="248"/>
      <c r="AP15" s="248"/>
      <c r="AQ15" s="248"/>
      <c r="AR15" s="249"/>
      <c r="AS15" s="95" t="s">
        <v>201</v>
      </c>
      <c r="AT15" s="8"/>
    </row>
    <row r="16" spans="1:46" ht="15.75" thickBot="1" x14ac:dyDescent="0.3">
      <c r="A16" s="12"/>
      <c r="B16" s="15"/>
      <c r="C16" s="15"/>
      <c r="E16" s="223"/>
      <c r="F16" s="224"/>
      <c r="G16" s="224"/>
      <c r="H16" s="224"/>
      <c r="I16" s="224"/>
      <c r="J16" s="224"/>
      <c r="L16" s="223"/>
      <c r="M16" s="224"/>
      <c r="N16" s="224"/>
      <c r="O16" s="224"/>
      <c r="P16" s="224"/>
      <c r="Q16" s="224"/>
      <c r="S16" s="341"/>
      <c r="T16" s="342"/>
      <c r="U16" s="342"/>
      <c r="V16" s="342"/>
      <c r="W16" s="342"/>
      <c r="X16" s="342"/>
      <c r="Z16" s="223"/>
      <c r="AA16" s="224"/>
      <c r="AB16" s="224"/>
      <c r="AC16" s="224"/>
      <c r="AD16" s="224"/>
      <c r="AE16" s="224"/>
      <c r="AG16" s="223"/>
      <c r="AH16" s="224"/>
      <c r="AI16" s="224"/>
      <c r="AJ16" s="224"/>
      <c r="AK16" s="224"/>
      <c r="AL16" s="224"/>
      <c r="AN16" s="223"/>
      <c r="AO16" s="224"/>
      <c r="AP16" s="224"/>
      <c r="AQ16" s="224"/>
      <c r="AR16" s="224"/>
      <c r="AS16" s="224"/>
      <c r="AT16" s="8"/>
    </row>
    <row r="17" spans="1:46" x14ac:dyDescent="0.25">
      <c r="A17" s="304" t="s">
        <v>8</v>
      </c>
      <c r="B17" s="307" t="s">
        <v>95</v>
      </c>
      <c r="C17" s="51" t="s">
        <v>67</v>
      </c>
      <c r="E17" s="312" t="s">
        <v>113</v>
      </c>
      <c r="F17" s="313"/>
      <c r="G17" s="313"/>
      <c r="H17" s="313"/>
      <c r="I17" s="313"/>
      <c r="J17" s="313"/>
      <c r="L17" s="312" t="s">
        <v>155</v>
      </c>
      <c r="M17" s="313"/>
      <c r="N17" s="313"/>
      <c r="O17" s="313"/>
      <c r="P17" s="313"/>
      <c r="Q17" s="313"/>
      <c r="S17" s="310" t="s">
        <v>142</v>
      </c>
      <c r="T17" s="311"/>
      <c r="U17" s="311"/>
      <c r="V17" s="311"/>
      <c r="W17" s="311"/>
      <c r="X17" s="311"/>
      <c r="Z17" s="312" t="s">
        <v>113</v>
      </c>
      <c r="AA17" s="313"/>
      <c r="AB17" s="313"/>
      <c r="AC17" s="313"/>
      <c r="AD17" s="313"/>
      <c r="AE17" s="313"/>
      <c r="AG17" s="312" t="s">
        <v>207</v>
      </c>
      <c r="AH17" s="313"/>
      <c r="AI17" s="313"/>
      <c r="AJ17" s="313"/>
      <c r="AK17" s="313"/>
      <c r="AL17" s="313"/>
      <c r="AN17" s="312" t="s">
        <v>142</v>
      </c>
      <c r="AO17" s="313"/>
      <c r="AP17" s="313"/>
      <c r="AQ17" s="313"/>
      <c r="AR17" s="313"/>
      <c r="AS17" s="313"/>
      <c r="AT17" s="8"/>
    </row>
    <row r="18" spans="1:46" x14ac:dyDescent="0.25">
      <c r="A18" s="305"/>
      <c r="B18" s="308"/>
      <c r="C18" s="16" t="s">
        <v>75</v>
      </c>
      <c r="E18" s="346" t="s">
        <v>170</v>
      </c>
      <c r="F18" s="347"/>
      <c r="G18" s="347"/>
      <c r="H18" s="347"/>
      <c r="I18" s="347"/>
      <c r="J18" s="347"/>
      <c r="L18" s="314" t="s">
        <v>195</v>
      </c>
      <c r="M18" s="315"/>
      <c r="N18" s="315"/>
      <c r="O18" s="315"/>
      <c r="P18" s="315"/>
      <c r="Q18" s="315"/>
      <c r="S18" s="314" t="s">
        <v>181</v>
      </c>
      <c r="T18" s="315"/>
      <c r="U18" s="315"/>
      <c r="V18" s="315"/>
      <c r="W18" s="315"/>
      <c r="X18" s="315"/>
      <c r="Z18" s="314" t="s">
        <v>188</v>
      </c>
      <c r="AA18" s="315"/>
      <c r="AB18" s="315"/>
      <c r="AC18" s="315"/>
      <c r="AD18" s="315"/>
      <c r="AE18" s="315"/>
      <c r="AG18" s="314" t="s">
        <v>239</v>
      </c>
      <c r="AH18" s="315"/>
      <c r="AI18" s="315"/>
      <c r="AJ18" s="315"/>
      <c r="AK18" s="315"/>
      <c r="AL18" s="315"/>
      <c r="AN18" s="314" t="s">
        <v>238</v>
      </c>
      <c r="AO18" s="315"/>
      <c r="AP18" s="315"/>
      <c r="AQ18" s="315"/>
      <c r="AR18" s="315"/>
      <c r="AS18" s="315"/>
      <c r="AT18" s="8"/>
    </row>
    <row r="19" spans="1:46" ht="15.75" thickBot="1" x14ac:dyDescent="0.3">
      <c r="A19" s="306"/>
      <c r="B19" s="309"/>
      <c r="C19" s="52" t="s">
        <v>10</v>
      </c>
      <c r="E19" s="316" t="s">
        <v>88</v>
      </c>
      <c r="F19" s="231"/>
      <c r="G19" s="231"/>
      <c r="H19" s="231"/>
      <c r="I19" s="232"/>
      <c r="J19" s="52" t="s">
        <v>141</v>
      </c>
      <c r="L19" s="316" t="s">
        <v>88</v>
      </c>
      <c r="M19" s="231"/>
      <c r="N19" s="231"/>
      <c r="O19" s="231"/>
      <c r="P19" s="232"/>
      <c r="Q19" s="77" t="s">
        <v>193</v>
      </c>
      <c r="S19" s="316" t="s">
        <v>88</v>
      </c>
      <c r="T19" s="231"/>
      <c r="U19" s="231"/>
      <c r="V19" s="231"/>
      <c r="W19" s="232"/>
      <c r="X19" s="77" t="s">
        <v>199</v>
      </c>
      <c r="Z19" s="316" t="s">
        <v>88</v>
      </c>
      <c r="AA19" s="231"/>
      <c r="AB19" s="231"/>
      <c r="AC19" s="231"/>
      <c r="AD19" s="232"/>
      <c r="AE19" s="77" t="s">
        <v>180</v>
      </c>
      <c r="AG19" s="316" t="s">
        <v>88</v>
      </c>
      <c r="AH19" s="231"/>
      <c r="AI19" s="231"/>
      <c r="AJ19" s="231"/>
      <c r="AK19" s="232"/>
      <c r="AL19" s="77" t="s">
        <v>208</v>
      </c>
      <c r="AN19" s="316" t="s">
        <v>88</v>
      </c>
      <c r="AO19" s="231"/>
      <c r="AP19" s="231"/>
      <c r="AQ19" s="231"/>
      <c r="AR19" s="232"/>
      <c r="AS19" s="77" t="s">
        <v>247</v>
      </c>
      <c r="AT19" s="8"/>
    </row>
    <row r="20" spans="1:46" ht="15.75" thickBot="1" x14ac:dyDescent="0.3">
      <c r="A20" s="12"/>
      <c r="B20" s="15"/>
      <c r="C20" s="15"/>
      <c r="E20" s="235"/>
      <c r="F20" s="236"/>
      <c r="G20" s="236"/>
      <c r="H20" s="236"/>
      <c r="I20" s="236"/>
      <c r="J20" s="236"/>
      <c r="L20" s="235"/>
      <c r="M20" s="236"/>
      <c r="N20" s="236"/>
      <c r="O20" s="236"/>
      <c r="P20" s="236"/>
      <c r="Q20" s="236"/>
      <c r="S20" s="235"/>
      <c r="T20" s="236"/>
      <c r="U20" s="236"/>
      <c r="V20" s="236"/>
      <c r="W20" s="236"/>
      <c r="X20" s="236"/>
      <c r="Z20" s="235"/>
      <c r="AA20" s="236"/>
      <c r="AB20" s="236"/>
      <c r="AC20" s="236"/>
      <c r="AD20" s="236"/>
      <c r="AE20" s="236"/>
      <c r="AG20" s="235"/>
      <c r="AH20" s="236"/>
      <c r="AI20" s="236"/>
      <c r="AJ20" s="236"/>
      <c r="AK20" s="236"/>
      <c r="AL20" s="236"/>
      <c r="AN20" s="235"/>
      <c r="AO20" s="236"/>
      <c r="AP20" s="236"/>
      <c r="AQ20" s="236"/>
      <c r="AR20" s="236"/>
      <c r="AS20" s="236"/>
      <c r="AT20" s="8"/>
    </row>
    <row r="21" spans="1:46" ht="15.75" thickBot="1" x14ac:dyDescent="0.3">
      <c r="A21" s="301" t="s">
        <v>11</v>
      </c>
      <c r="B21" s="285" t="s">
        <v>96</v>
      </c>
      <c r="C21" s="46" t="s">
        <v>83</v>
      </c>
      <c r="E21" s="87" t="s">
        <v>32</v>
      </c>
      <c r="F21" s="88" t="s">
        <v>71</v>
      </c>
      <c r="G21" s="88" t="s">
        <v>20</v>
      </c>
      <c r="H21" s="88" t="s">
        <v>106</v>
      </c>
      <c r="I21" s="89" t="s">
        <v>90</v>
      </c>
      <c r="J21" s="89" t="s">
        <v>23</v>
      </c>
      <c r="L21" s="87" t="s">
        <v>32</v>
      </c>
      <c r="M21" s="88" t="s">
        <v>71</v>
      </c>
      <c r="N21" s="88" t="s">
        <v>20</v>
      </c>
      <c r="O21" s="88" t="s">
        <v>106</v>
      </c>
      <c r="P21" s="89" t="s">
        <v>90</v>
      </c>
      <c r="Q21" s="89" t="s">
        <v>23</v>
      </c>
      <c r="S21" s="87" t="s">
        <v>32</v>
      </c>
      <c r="T21" s="88" t="s">
        <v>71</v>
      </c>
      <c r="U21" s="88" t="s">
        <v>20</v>
      </c>
      <c r="V21" s="88" t="s">
        <v>106</v>
      </c>
      <c r="W21" s="89" t="s">
        <v>90</v>
      </c>
      <c r="X21" s="89" t="s">
        <v>23</v>
      </c>
      <c r="Z21" s="87" t="s">
        <v>32</v>
      </c>
      <c r="AA21" s="88" t="s">
        <v>71</v>
      </c>
      <c r="AB21" s="88" t="s">
        <v>20</v>
      </c>
      <c r="AC21" s="88" t="s">
        <v>106</v>
      </c>
      <c r="AD21" s="89" t="s">
        <v>90</v>
      </c>
      <c r="AE21" s="89" t="s">
        <v>23</v>
      </c>
      <c r="AG21" s="87" t="s">
        <v>32</v>
      </c>
      <c r="AH21" s="88" t="s">
        <v>71</v>
      </c>
      <c r="AI21" s="88" t="s">
        <v>20</v>
      </c>
      <c r="AJ21" s="88" t="s">
        <v>106</v>
      </c>
      <c r="AK21" s="89" t="s">
        <v>90</v>
      </c>
      <c r="AL21" s="89" t="s">
        <v>23</v>
      </c>
      <c r="AN21" s="87" t="s">
        <v>32</v>
      </c>
      <c r="AO21" s="88" t="s">
        <v>71</v>
      </c>
      <c r="AP21" s="88" t="s">
        <v>20</v>
      </c>
      <c r="AQ21" s="88" t="s">
        <v>106</v>
      </c>
      <c r="AR21" s="89" t="s">
        <v>90</v>
      </c>
      <c r="AS21" s="89" t="s">
        <v>23</v>
      </c>
      <c r="AT21" s="8"/>
    </row>
    <row r="22" spans="1:46" ht="15" customHeight="1" x14ac:dyDescent="0.25">
      <c r="A22" s="302"/>
      <c r="B22" s="286"/>
      <c r="C22" s="42" t="s">
        <v>12</v>
      </c>
      <c r="E22" s="48" t="s">
        <v>144</v>
      </c>
      <c r="F22" s="197" t="s">
        <v>491</v>
      </c>
      <c r="G22" s="79" t="s">
        <v>104</v>
      </c>
      <c r="H22" s="121">
        <v>41730</v>
      </c>
      <c r="I22" s="198" t="s">
        <v>492</v>
      </c>
      <c r="J22" s="73">
        <v>2</v>
      </c>
      <c r="L22" s="48" t="s">
        <v>144</v>
      </c>
      <c r="M22" s="197" t="s">
        <v>491</v>
      </c>
      <c r="N22" s="79" t="s">
        <v>104</v>
      </c>
      <c r="O22" s="78" t="s">
        <v>176</v>
      </c>
      <c r="P22" s="198" t="s">
        <v>493</v>
      </c>
      <c r="Q22" s="73">
        <v>2</v>
      </c>
      <c r="S22" s="48" t="s">
        <v>182</v>
      </c>
      <c r="T22" s="43" t="s">
        <v>172</v>
      </c>
      <c r="U22" s="78" t="s">
        <v>104</v>
      </c>
      <c r="V22" s="78" t="s">
        <v>200</v>
      </c>
      <c r="W22" s="198" t="s">
        <v>500</v>
      </c>
      <c r="X22" s="120">
        <v>2</v>
      </c>
      <c r="Z22" s="48" t="s">
        <v>144</v>
      </c>
      <c r="AA22" s="197" t="s">
        <v>491</v>
      </c>
      <c r="AB22" s="79" t="s">
        <v>104</v>
      </c>
      <c r="AC22" s="121">
        <v>41730</v>
      </c>
      <c r="AD22" s="198" t="s">
        <v>492</v>
      </c>
      <c r="AE22" s="73">
        <v>2</v>
      </c>
      <c r="AG22" s="48" t="s">
        <v>202</v>
      </c>
      <c r="AH22" s="43" t="s">
        <v>206</v>
      </c>
      <c r="AI22" s="78" t="s">
        <v>104</v>
      </c>
      <c r="AJ22" s="121">
        <v>43191</v>
      </c>
      <c r="AK22" s="73" t="s">
        <v>165</v>
      </c>
      <c r="AL22" s="120">
        <v>1</v>
      </c>
      <c r="AN22" s="48" t="s">
        <v>173</v>
      </c>
      <c r="AO22" s="43" t="s">
        <v>172</v>
      </c>
      <c r="AP22" s="78" t="s">
        <v>104</v>
      </c>
      <c r="AQ22" s="78" t="s">
        <v>200</v>
      </c>
      <c r="AR22" s="198" t="s">
        <v>495</v>
      </c>
      <c r="AS22" s="120">
        <v>2</v>
      </c>
      <c r="AT22" s="8"/>
    </row>
    <row r="23" spans="1:46" x14ac:dyDescent="0.25">
      <c r="A23" s="302"/>
      <c r="B23" s="286"/>
      <c r="C23" s="17" t="s">
        <v>13</v>
      </c>
      <c r="E23" s="48" t="s">
        <v>74</v>
      </c>
      <c r="F23" s="43" t="s">
        <v>74</v>
      </c>
      <c r="G23" s="79" t="s">
        <v>74</v>
      </c>
      <c r="H23" s="79" t="s">
        <v>74</v>
      </c>
      <c r="I23" s="113" t="s">
        <v>74</v>
      </c>
      <c r="J23" s="113" t="s">
        <v>74</v>
      </c>
      <c r="L23" s="48"/>
      <c r="M23" s="43"/>
      <c r="N23" s="79"/>
      <c r="O23" s="79"/>
      <c r="P23" s="113"/>
      <c r="Q23" s="113"/>
      <c r="S23" s="48" t="s">
        <v>74</v>
      </c>
      <c r="T23" s="43" t="s">
        <v>74</v>
      </c>
      <c r="U23" s="78" t="s">
        <v>74</v>
      </c>
      <c r="V23" s="78" t="s">
        <v>74</v>
      </c>
      <c r="W23" s="73" t="s">
        <v>74</v>
      </c>
      <c r="X23" s="120" t="s">
        <v>74</v>
      </c>
      <c r="Z23" s="48" t="s">
        <v>74</v>
      </c>
      <c r="AA23" s="43" t="s">
        <v>74</v>
      </c>
      <c r="AB23" s="79" t="s">
        <v>74</v>
      </c>
      <c r="AC23" s="79" t="s">
        <v>74</v>
      </c>
      <c r="AD23" s="113" t="s">
        <v>74</v>
      </c>
      <c r="AE23" s="113" t="s">
        <v>74</v>
      </c>
      <c r="AG23" s="48" t="s">
        <v>203</v>
      </c>
      <c r="AH23" s="43" t="s">
        <v>205</v>
      </c>
      <c r="AI23" s="78" t="s">
        <v>104</v>
      </c>
      <c r="AJ23" s="121">
        <v>43160</v>
      </c>
      <c r="AK23" s="73" t="s">
        <v>204</v>
      </c>
      <c r="AL23" s="120">
        <v>1</v>
      </c>
      <c r="AN23" s="48" t="s">
        <v>74</v>
      </c>
      <c r="AO23" s="43" t="s">
        <v>74</v>
      </c>
      <c r="AP23" s="78" t="s">
        <v>74</v>
      </c>
      <c r="AQ23" s="78" t="s">
        <v>74</v>
      </c>
      <c r="AR23" s="73" t="s">
        <v>74</v>
      </c>
      <c r="AS23" s="120" t="s">
        <v>74</v>
      </c>
      <c r="AT23" s="8"/>
    </row>
    <row r="24" spans="1:46" x14ac:dyDescent="0.25">
      <c r="A24" s="302"/>
      <c r="B24" s="286"/>
      <c r="C24" s="17" t="s">
        <v>14</v>
      </c>
      <c r="E24" s="49" t="s">
        <v>74</v>
      </c>
      <c r="F24" s="113" t="s">
        <v>74</v>
      </c>
      <c r="G24" s="79" t="s">
        <v>74</v>
      </c>
      <c r="H24" s="79" t="s">
        <v>74</v>
      </c>
      <c r="I24" s="113" t="s">
        <v>74</v>
      </c>
      <c r="J24" s="113" t="s">
        <v>74</v>
      </c>
      <c r="L24" s="49" t="s">
        <v>174</v>
      </c>
      <c r="M24" s="113" t="s">
        <v>132</v>
      </c>
      <c r="N24" s="79" t="s">
        <v>104</v>
      </c>
      <c r="O24" s="100">
        <v>42064</v>
      </c>
      <c r="P24" s="113" t="s">
        <v>194</v>
      </c>
      <c r="Q24" s="113">
        <v>1</v>
      </c>
      <c r="S24" s="49" t="s">
        <v>174</v>
      </c>
      <c r="T24" s="113" t="s">
        <v>132</v>
      </c>
      <c r="U24" s="78" t="s">
        <v>104</v>
      </c>
      <c r="V24" s="100">
        <v>42430</v>
      </c>
      <c r="W24" s="113" t="s">
        <v>133</v>
      </c>
      <c r="X24" s="113">
        <v>1</v>
      </c>
      <c r="Z24" s="49" t="s">
        <v>74</v>
      </c>
      <c r="AA24" s="113" t="s">
        <v>74</v>
      </c>
      <c r="AB24" s="79" t="s">
        <v>74</v>
      </c>
      <c r="AC24" s="79" t="s">
        <v>74</v>
      </c>
      <c r="AD24" s="113" t="s">
        <v>74</v>
      </c>
      <c r="AE24" s="113" t="s">
        <v>74</v>
      </c>
      <c r="AG24" s="49" t="s">
        <v>74</v>
      </c>
      <c r="AH24" s="113" t="s">
        <v>74</v>
      </c>
      <c r="AI24" s="78" t="s">
        <v>74</v>
      </c>
      <c r="AJ24" s="100" t="s">
        <v>74</v>
      </c>
      <c r="AK24" s="113" t="s">
        <v>74</v>
      </c>
      <c r="AL24" s="113" t="s">
        <v>74</v>
      </c>
      <c r="AN24" s="49" t="s">
        <v>174</v>
      </c>
      <c r="AO24" s="113" t="s">
        <v>132</v>
      </c>
      <c r="AP24" s="78" t="s">
        <v>104</v>
      </c>
      <c r="AQ24" s="100">
        <v>43525</v>
      </c>
      <c r="AR24" s="113" t="s">
        <v>133</v>
      </c>
      <c r="AS24" s="113">
        <v>1</v>
      </c>
      <c r="AT24" s="8"/>
    </row>
    <row r="25" spans="1:46" x14ac:dyDescent="0.25">
      <c r="A25" s="302"/>
      <c r="B25" s="286"/>
      <c r="C25" s="17" t="s">
        <v>15</v>
      </c>
      <c r="E25" s="108" t="s">
        <v>129</v>
      </c>
      <c r="F25" s="113" t="s">
        <v>130</v>
      </c>
      <c r="G25" s="79" t="s">
        <v>104</v>
      </c>
      <c r="H25" s="100">
        <v>41699</v>
      </c>
      <c r="I25" s="113" t="s">
        <v>131</v>
      </c>
      <c r="J25" s="113">
        <v>1</v>
      </c>
      <c r="L25" s="108" t="s">
        <v>129</v>
      </c>
      <c r="M25" s="113" t="s">
        <v>130</v>
      </c>
      <c r="N25" s="79" t="s">
        <v>104</v>
      </c>
      <c r="O25" s="100">
        <v>42064</v>
      </c>
      <c r="P25" s="113" t="s">
        <v>131</v>
      </c>
      <c r="Q25" s="113">
        <v>1</v>
      </c>
      <c r="S25" s="108" t="s">
        <v>129</v>
      </c>
      <c r="T25" s="113" t="s">
        <v>130</v>
      </c>
      <c r="U25" s="79" t="s">
        <v>104</v>
      </c>
      <c r="V25" s="100">
        <v>42430</v>
      </c>
      <c r="W25" s="113" t="s">
        <v>131</v>
      </c>
      <c r="X25" s="113">
        <v>1</v>
      </c>
      <c r="Z25" s="108" t="s">
        <v>129</v>
      </c>
      <c r="AA25" s="113" t="s">
        <v>130</v>
      </c>
      <c r="AB25" s="79" t="s">
        <v>104</v>
      </c>
      <c r="AC25" s="100">
        <v>42795</v>
      </c>
      <c r="AD25" s="113" t="s">
        <v>131</v>
      </c>
      <c r="AE25" s="113">
        <v>1</v>
      </c>
      <c r="AG25" s="108" t="s">
        <v>129</v>
      </c>
      <c r="AH25" s="113" t="s">
        <v>130</v>
      </c>
      <c r="AI25" s="79" t="s">
        <v>104</v>
      </c>
      <c r="AJ25" s="100">
        <v>43132</v>
      </c>
      <c r="AK25" s="113" t="s">
        <v>131</v>
      </c>
      <c r="AL25" s="113">
        <v>1</v>
      </c>
      <c r="AN25" s="108" t="s">
        <v>129</v>
      </c>
      <c r="AO25" s="113" t="s">
        <v>130</v>
      </c>
      <c r="AP25" s="79" t="s">
        <v>104</v>
      </c>
      <c r="AQ25" s="100">
        <v>43525</v>
      </c>
      <c r="AR25" s="113" t="s">
        <v>131</v>
      </c>
      <c r="AS25" s="113">
        <v>1</v>
      </c>
      <c r="AT25" s="8"/>
    </row>
    <row r="26" spans="1:46" x14ac:dyDescent="0.25">
      <c r="A26" s="302"/>
      <c r="B26" s="286"/>
      <c r="C26" s="17" t="s">
        <v>16</v>
      </c>
      <c r="E26" s="49" t="s">
        <v>74</v>
      </c>
      <c r="F26" s="113" t="s">
        <v>74</v>
      </c>
      <c r="G26" s="79" t="s">
        <v>74</v>
      </c>
      <c r="H26" s="79" t="s">
        <v>74</v>
      </c>
      <c r="I26" s="113" t="s">
        <v>74</v>
      </c>
      <c r="J26" s="113" t="s">
        <v>74</v>
      </c>
      <c r="L26" s="49"/>
      <c r="M26" s="113"/>
      <c r="N26" s="79"/>
      <c r="O26" s="79"/>
      <c r="P26" s="113"/>
      <c r="Q26" s="113"/>
      <c r="S26" s="49" t="s">
        <v>74</v>
      </c>
      <c r="T26" s="113" t="s">
        <v>74</v>
      </c>
      <c r="U26" s="79" t="s">
        <v>74</v>
      </c>
      <c r="V26" s="79" t="s">
        <v>74</v>
      </c>
      <c r="W26" s="113" t="s">
        <v>74</v>
      </c>
      <c r="X26" s="113" t="s">
        <v>74</v>
      </c>
      <c r="Z26" s="49" t="s">
        <v>74</v>
      </c>
      <c r="AA26" s="113" t="s">
        <v>74</v>
      </c>
      <c r="AB26" s="79" t="s">
        <v>74</v>
      </c>
      <c r="AC26" s="79" t="s">
        <v>74</v>
      </c>
      <c r="AD26" s="113" t="s">
        <v>74</v>
      </c>
      <c r="AE26" s="113" t="s">
        <v>74</v>
      </c>
      <c r="AG26" s="49" t="s">
        <v>74</v>
      </c>
      <c r="AH26" s="113" t="s">
        <v>74</v>
      </c>
      <c r="AI26" s="79" t="s">
        <v>74</v>
      </c>
      <c r="AJ26" s="79" t="s">
        <v>74</v>
      </c>
      <c r="AK26" s="113" t="s">
        <v>74</v>
      </c>
      <c r="AL26" s="113" t="s">
        <v>74</v>
      </c>
      <c r="AN26" s="49" t="s">
        <v>74</v>
      </c>
      <c r="AO26" s="113" t="s">
        <v>74</v>
      </c>
      <c r="AP26" s="79" t="s">
        <v>74</v>
      </c>
      <c r="AQ26" s="79" t="s">
        <v>74</v>
      </c>
      <c r="AR26" s="113" t="s">
        <v>74</v>
      </c>
      <c r="AS26" s="113" t="s">
        <v>74</v>
      </c>
      <c r="AT26" s="8"/>
    </row>
    <row r="27" spans="1:46" x14ac:dyDescent="0.25">
      <c r="A27" s="302"/>
      <c r="B27" s="286"/>
      <c r="C27" s="17" t="s">
        <v>17</v>
      </c>
      <c r="E27" s="49" t="s">
        <v>74</v>
      </c>
      <c r="F27" s="113" t="s">
        <v>74</v>
      </c>
      <c r="G27" s="79" t="s">
        <v>74</v>
      </c>
      <c r="H27" s="79" t="s">
        <v>74</v>
      </c>
      <c r="I27" s="113" t="s">
        <v>74</v>
      </c>
      <c r="J27" s="113" t="s">
        <v>74</v>
      </c>
      <c r="L27" s="49"/>
      <c r="M27" s="113"/>
      <c r="N27" s="79"/>
      <c r="O27" s="79"/>
      <c r="P27" s="113"/>
      <c r="Q27" s="113"/>
      <c r="S27" s="49" t="s">
        <v>74</v>
      </c>
      <c r="T27" s="113" t="s">
        <v>74</v>
      </c>
      <c r="U27" s="79" t="s">
        <v>74</v>
      </c>
      <c r="V27" s="79" t="s">
        <v>74</v>
      </c>
      <c r="W27" s="113" t="s">
        <v>74</v>
      </c>
      <c r="X27" s="113" t="s">
        <v>74</v>
      </c>
      <c r="Z27" s="49" t="s">
        <v>74</v>
      </c>
      <c r="AA27" s="113" t="s">
        <v>74</v>
      </c>
      <c r="AB27" s="79" t="s">
        <v>74</v>
      </c>
      <c r="AC27" s="79" t="s">
        <v>74</v>
      </c>
      <c r="AD27" s="113" t="s">
        <v>74</v>
      </c>
      <c r="AE27" s="113" t="s">
        <v>74</v>
      </c>
      <c r="AG27" s="49" t="s">
        <v>74</v>
      </c>
      <c r="AH27" s="113" t="s">
        <v>74</v>
      </c>
      <c r="AI27" s="79" t="s">
        <v>74</v>
      </c>
      <c r="AJ27" s="79" t="s">
        <v>74</v>
      </c>
      <c r="AK27" s="113" t="s">
        <v>74</v>
      </c>
      <c r="AL27" s="113" t="s">
        <v>74</v>
      </c>
      <c r="AN27" s="49" t="s">
        <v>74</v>
      </c>
      <c r="AO27" s="113" t="s">
        <v>74</v>
      </c>
      <c r="AP27" s="79" t="s">
        <v>74</v>
      </c>
      <c r="AQ27" s="79" t="s">
        <v>74</v>
      </c>
      <c r="AR27" s="113" t="s">
        <v>74</v>
      </c>
      <c r="AS27" s="113" t="s">
        <v>74</v>
      </c>
      <c r="AT27" s="8"/>
    </row>
    <row r="28" spans="1:46" ht="15.75" thickBot="1" x14ac:dyDescent="0.3">
      <c r="A28" s="302"/>
      <c r="B28" s="286"/>
      <c r="C28" s="33" t="s">
        <v>103</v>
      </c>
      <c r="E28" s="50" t="s">
        <v>190</v>
      </c>
      <c r="F28" s="45" t="s">
        <v>153</v>
      </c>
      <c r="G28" s="81" t="s">
        <v>143</v>
      </c>
      <c r="H28" s="134">
        <v>41760</v>
      </c>
      <c r="I28" s="45" t="s">
        <v>246</v>
      </c>
      <c r="J28" s="129">
        <v>1</v>
      </c>
      <c r="L28" s="50" t="s">
        <v>156</v>
      </c>
      <c r="M28" s="45" t="s">
        <v>158</v>
      </c>
      <c r="N28" s="81" t="s">
        <v>143</v>
      </c>
      <c r="O28" s="130">
        <v>42095</v>
      </c>
      <c r="P28" s="45" t="s">
        <v>157</v>
      </c>
      <c r="Q28" s="45">
        <v>1</v>
      </c>
      <c r="S28" s="50" t="s">
        <v>156</v>
      </c>
      <c r="T28" s="45" t="s">
        <v>158</v>
      </c>
      <c r="U28" s="81" t="s">
        <v>143</v>
      </c>
      <c r="V28" s="130">
        <v>42461</v>
      </c>
      <c r="W28" s="45" t="s">
        <v>157</v>
      </c>
      <c r="X28" s="45">
        <v>1</v>
      </c>
      <c r="Z28" s="50" t="s">
        <v>190</v>
      </c>
      <c r="AA28" s="45" t="s">
        <v>153</v>
      </c>
      <c r="AB28" s="81" t="s">
        <v>143</v>
      </c>
      <c r="AC28" s="134">
        <v>42856</v>
      </c>
      <c r="AD28" s="45" t="s">
        <v>152</v>
      </c>
      <c r="AE28" s="129">
        <v>1</v>
      </c>
      <c r="AG28" s="50"/>
      <c r="AH28" s="45"/>
      <c r="AI28" s="81"/>
      <c r="AJ28" s="130"/>
      <c r="AK28" s="45"/>
      <c r="AL28" s="45"/>
      <c r="AN28" s="50" t="s">
        <v>156</v>
      </c>
      <c r="AO28" s="45" t="s">
        <v>158</v>
      </c>
      <c r="AP28" s="81" t="s">
        <v>143</v>
      </c>
      <c r="AQ28" s="130">
        <v>43556</v>
      </c>
      <c r="AR28" s="45" t="s">
        <v>157</v>
      </c>
      <c r="AS28" s="45">
        <v>1</v>
      </c>
      <c r="AT28" s="8"/>
    </row>
    <row r="29" spans="1:46" ht="18" thickBot="1" x14ac:dyDescent="0.3">
      <c r="A29" s="302"/>
      <c r="B29" s="286"/>
      <c r="C29" s="46" t="s">
        <v>81</v>
      </c>
      <c r="E29" s="87" t="s">
        <v>32</v>
      </c>
      <c r="F29" s="89" t="s">
        <v>82</v>
      </c>
      <c r="G29" s="88" t="s">
        <v>20</v>
      </c>
      <c r="H29" s="88" t="s">
        <v>106</v>
      </c>
      <c r="I29" s="89" t="s">
        <v>84</v>
      </c>
      <c r="J29" s="89" t="s">
        <v>23</v>
      </c>
      <c r="L29" s="87" t="s">
        <v>32</v>
      </c>
      <c r="M29" s="89" t="s">
        <v>82</v>
      </c>
      <c r="N29" s="88" t="s">
        <v>20</v>
      </c>
      <c r="O29" s="88" t="s">
        <v>106</v>
      </c>
      <c r="P29" s="89" t="s">
        <v>84</v>
      </c>
      <c r="Q29" s="89" t="s">
        <v>23</v>
      </c>
      <c r="S29" s="87" t="s">
        <v>32</v>
      </c>
      <c r="T29" s="89" t="s">
        <v>82</v>
      </c>
      <c r="U29" s="88" t="s">
        <v>20</v>
      </c>
      <c r="V29" s="88" t="s">
        <v>106</v>
      </c>
      <c r="W29" s="89" t="s">
        <v>84</v>
      </c>
      <c r="X29" s="89" t="s">
        <v>23</v>
      </c>
      <c r="Z29" s="87" t="s">
        <v>32</v>
      </c>
      <c r="AA29" s="89" t="s">
        <v>82</v>
      </c>
      <c r="AB29" s="88" t="s">
        <v>20</v>
      </c>
      <c r="AC29" s="88" t="s">
        <v>106</v>
      </c>
      <c r="AD29" s="89" t="s">
        <v>84</v>
      </c>
      <c r="AE29" s="89" t="s">
        <v>23</v>
      </c>
      <c r="AG29" s="87" t="s">
        <v>32</v>
      </c>
      <c r="AH29" s="89" t="s">
        <v>82</v>
      </c>
      <c r="AI29" s="88" t="s">
        <v>20</v>
      </c>
      <c r="AJ29" s="88" t="s">
        <v>106</v>
      </c>
      <c r="AK29" s="89" t="s">
        <v>84</v>
      </c>
      <c r="AL29" s="89" t="s">
        <v>23</v>
      </c>
      <c r="AN29" s="87" t="s">
        <v>32</v>
      </c>
      <c r="AO29" s="89" t="s">
        <v>82</v>
      </c>
      <c r="AP29" s="88" t="s">
        <v>20</v>
      </c>
      <c r="AQ29" s="88" t="s">
        <v>106</v>
      </c>
      <c r="AR29" s="89" t="s">
        <v>84</v>
      </c>
      <c r="AS29" s="89" t="s">
        <v>23</v>
      </c>
      <c r="AT29" s="8"/>
    </row>
    <row r="30" spans="1:46" x14ac:dyDescent="0.25">
      <c r="A30" s="302"/>
      <c r="B30" s="286"/>
      <c r="C30" s="42" t="s">
        <v>101</v>
      </c>
      <c r="E30" s="48" t="s">
        <v>74</v>
      </c>
      <c r="F30" s="43" t="s">
        <v>74</v>
      </c>
      <c r="G30" s="78" t="s">
        <v>74</v>
      </c>
      <c r="H30" s="78" t="s">
        <v>74</v>
      </c>
      <c r="I30" s="73" t="s">
        <v>74</v>
      </c>
      <c r="J30" s="73" t="s">
        <v>74</v>
      </c>
      <c r="L30" s="48" t="s">
        <v>74</v>
      </c>
      <c r="M30" s="43" t="s">
        <v>74</v>
      </c>
      <c r="N30" s="78" t="s">
        <v>74</v>
      </c>
      <c r="O30" s="78" t="s">
        <v>74</v>
      </c>
      <c r="P30" s="73" t="s">
        <v>74</v>
      </c>
      <c r="Q30" s="73" t="s">
        <v>74</v>
      </c>
      <c r="S30" s="48" t="s">
        <v>74</v>
      </c>
      <c r="T30" s="43" t="s">
        <v>74</v>
      </c>
      <c r="U30" s="78" t="s">
        <v>74</v>
      </c>
      <c r="V30" s="78" t="s">
        <v>74</v>
      </c>
      <c r="W30" s="73" t="s">
        <v>74</v>
      </c>
      <c r="X30" s="73" t="s">
        <v>74</v>
      </c>
      <c r="Z30" s="48"/>
      <c r="AA30" s="73"/>
      <c r="AB30" s="78"/>
      <c r="AC30" s="78"/>
      <c r="AD30" s="73"/>
      <c r="AE30" s="73"/>
      <c r="AG30" s="48"/>
      <c r="AH30" s="73"/>
      <c r="AI30" s="78"/>
      <c r="AJ30" s="78"/>
      <c r="AK30" s="73"/>
      <c r="AL30" s="73"/>
      <c r="AN30" s="48"/>
      <c r="AO30" s="73"/>
      <c r="AP30" s="78"/>
      <c r="AQ30" s="78"/>
      <c r="AR30" s="73"/>
      <c r="AS30" s="73"/>
      <c r="AT30" s="8"/>
    </row>
    <row r="31" spans="1:46" ht="15.75" thickBot="1" x14ac:dyDescent="0.3">
      <c r="A31" s="303"/>
      <c r="B31" s="287"/>
      <c r="C31" s="44" t="s">
        <v>102</v>
      </c>
      <c r="E31" s="50" t="s">
        <v>74</v>
      </c>
      <c r="F31" s="45" t="s">
        <v>74</v>
      </c>
      <c r="G31" s="79" t="s">
        <v>74</v>
      </c>
      <c r="H31" s="79" t="s">
        <v>74</v>
      </c>
      <c r="I31" s="45" t="s">
        <v>74</v>
      </c>
      <c r="J31" s="45" t="s">
        <v>74</v>
      </c>
      <c r="L31" s="50" t="s">
        <v>74</v>
      </c>
      <c r="M31" s="45" t="s">
        <v>74</v>
      </c>
      <c r="N31" s="79" t="s">
        <v>74</v>
      </c>
      <c r="O31" s="79" t="s">
        <v>74</v>
      </c>
      <c r="P31" s="45" t="s">
        <v>74</v>
      </c>
      <c r="Q31" s="45" t="s">
        <v>74</v>
      </c>
      <c r="S31" s="50" t="s">
        <v>74</v>
      </c>
      <c r="T31" s="45" t="s">
        <v>74</v>
      </c>
      <c r="U31" s="79" t="s">
        <v>74</v>
      </c>
      <c r="V31" s="79" t="s">
        <v>74</v>
      </c>
      <c r="W31" s="45" t="s">
        <v>74</v>
      </c>
      <c r="X31" s="45" t="s">
        <v>74</v>
      </c>
      <c r="Z31" s="50"/>
      <c r="AA31" s="45"/>
      <c r="AB31" s="79"/>
      <c r="AC31" s="79"/>
      <c r="AD31" s="45"/>
      <c r="AE31" s="45"/>
      <c r="AG31" s="50"/>
      <c r="AH31" s="45"/>
      <c r="AI31" s="79"/>
      <c r="AJ31" s="79"/>
      <c r="AK31" s="45"/>
      <c r="AL31" s="45"/>
      <c r="AN31" s="50"/>
      <c r="AO31" s="45"/>
      <c r="AP31" s="79"/>
      <c r="AQ31" s="79"/>
      <c r="AR31" s="45"/>
      <c r="AS31" s="45"/>
      <c r="AT31" s="8"/>
    </row>
    <row r="32" spans="1:46" ht="15.75" thickBot="1" x14ac:dyDescent="0.3">
      <c r="A32" s="18"/>
      <c r="B32" s="15"/>
      <c r="C32" s="15"/>
      <c r="E32" s="223"/>
      <c r="F32" s="224"/>
      <c r="G32" s="224"/>
      <c r="H32" s="224"/>
      <c r="I32" s="224"/>
      <c r="J32" s="224"/>
      <c r="L32" s="223"/>
      <c r="M32" s="224"/>
      <c r="N32" s="224"/>
      <c r="O32" s="224"/>
      <c r="P32" s="224"/>
      <c r="Q32" s="224"/>
      <c r="S32" s="223"/>
      <c r="T32" s="224"/>
      <c r="U32" s="224"/>
      <c r="V32" s="224"/>
      <c r="W32" s="224"/>
      <c r="X32" s="224"/>
      <c r="Z32" s="223"/>
      <c r="AA32" s="224"/>
      <c r="AB32" s="224"/>
      <c r="AC32" s="224"/>
      <c r="AD32" s="224"/>
      <c r="AE32" s="224"/>
      <c r="AG32" s="223"/>
      <c r="AH32" s="224"/>
      <c r="AI32" s="224"/>
      <c r="AJ32" s="224"/>
      <c r="AK32" s="224"/>
      <c r="AL32" s="224"/>
      <c r="AN32" s="223"/>
      <c r="AO32" s="224"/>
      <c r="AP32" s="224"/>
      <c r="AQ32" s="224"/>
      <c r="AR32" s="224"/>
      <c r="AS32" s="224"/>
      <c r="AT32" s="8"/>
    </row>
    <row r="33" spans="1:46" ht="60" customHeight="1" thickBot="1" x14ac:dyDescent="0.3">
      <c r="A33" s="274" t="s">
        <v>21</v>
      </c>
      <c r="B33" s="285" t="s">
        <v>97</v>
      </c>
      <c r="C33" s="46"/>
      <c r="E33" s="110" t="s">
        <v>32</v>
      </c>
      <c r="F33" s="75" t="s">
        <v>20</v>
      </c>
      <c r="G33" s="237" t="s">
        <v>86</v>
      </c>
      <c r="H33" s="238"/>
      <c r="I33" s="82" t="s">
        <v>23</v>
      </c>
      <c r="J33" s="74" t="s">
        <v>107</v>
      </c>
      <c r="L33" s="110" t="s">
        <v>32</v>
      </c>
      <c r="M33" s="75" t="s">
        <v>20</v>
      </c>
      <c r="N33" s="237" t="s">
        <v>86</v>
      </c>
      <c r="O33" s="238"/>
      <c r="P33" s="82" t="s">
        <v>23</v>
      </c>
      <c r="Q33" s="74" t="s">
        <v>107</v>
      </c>
      <c r="S33" s="110" t="s">
        <v>32</v>
      </c>
      <c r="T33" s="75" t="s">
        <v>20</v>
      </c>
      <c r="U33" s="237" t="s">
        <v>86</v>
      </c>
      <c r="V33" s="238"/>
      <c r="W33" s="82" t="s">
        <v>23</v>
      </c>
      <c r="X33" s="74" t="s">
        <v>107</v>
      </c>
      <c r="Z33" s="110" t="s">
        <v>32</v>
      </c>
      <c r="AA33" s="75" t="s">
        <v>20</v>
      </c>
      <c r="AB33" s="237" t="s">
        <v>86</v>
      </c>
      <c r="AC33" s="238"/>
      <c r="AD33" s="82" t="s">
        <v>23</v>
      </c>
      <c r="AE33" s="74" t="s">
        <v>107</v>
      </c>
      <c r="AG33" s="110" t="s">
        <v>32</v>
      </c>
      <c r="AH33" s="75" t="s">
        <v>20</v>
      </c>
      <c r="AI33" s="237" t="s">
        <v>86</v>
      </c>
      <c r="AJ33" s="238"/>
      <c r="AK33" s="82" t="s">
        <v>23</v>
      </c>
      <c r="AL33" s="74" t="s">
        <v>107</v>
      </c>
      <c r="AN33" s="72" t="s">
        <v>32</v>
      </c>
      <c r="AO33" s="75" t="s">
        <v>20</v>
      </c>
      <c r="AP33" s="237" t="s">
        <v>86</v>
      </c>
      <c r="AQ33" s="238"/>
      <c r="AR33" s="82" t="s">
        <v>23</v>
      </c>
      <c r="AS33" s="74" t="s">
        <v>107</v>
      </c>
      <c r="AT33" s="8"/>
    </row>
    <row r="34" spans="1:46" ht="17.25" customHeight="1" x14ac:dyDescent="0.25">
      <c r="A34" s="275"/>
      <c r="B34" s="286"/>
      <c r="C34" s="42" t="s">
        <v>24</v>
      </c>
      <c r="E34" s="73" t="s">
        <v>240</v>
      </c>
      <c r="F34" s="73" t="s">
        <v>143</v>
      </c>
      <c r="G34" s="288" t="s">
        <v>241</v>
      </c>
      <c r="H34" s="289"/>
      <c r="I34" s="78">
        <v>1</v>
      </c>
      <c r="J34" s="121">
        <v>41579</v>
      </c>
      <c r="L34" s="131" t="s">
        <v>160</v>
      </c>
      <c r="M34" s="73" t="s">
        <v>143</v>
      </c>
      <c r="N34" s="288" t="s">
        <v>159</v>
      </c>
      <c r="O34" s="289"/>
      <c r="P34" s="78">
        <v>1</v>
      </c>
      <c r="Q34" s="121">
        <v>41944</v>
      </c>
      <c r="S34" s="112" t="s">
        <v>240</v>
      </c>
      <c r="T34" s="113" t="s">
        <v>143</v>
      </c>
      <c r="U34" s="239" t="s">
        <v>242</v>
      </c>
      <c r="V34" s="240"/>
      <c r="W34" s="83">
        <v>1</v>
      </c>
      <c r="X34" s="100">
        <v>42309</v>
      </c>
      <c r="Z34" s="73" t="s">
        <v>243</v>
      </c>
      <c r="AA34" s="73" t="s">
        <v>143</v>
      </c>
      <c r="AB34" s="288" t="s">
        <v>146</v>
      </c>
      <c r="AC34" s="289"/>
      <c r="AD34" s="78">
        <v>1</v>
      </c>
      <c r="AE34" s="121">
        <v>42675</v>
      </c>
      <c r="AG34" s="111" t="s">
        <v>211</v>
      </c>
      <c r="AH34" s="73" t="s">
        <v>143</v>
      </c>
      <c r="AI34" s="288" t="s">
        <v>213</v>
      </c>
      <c r="AJ34" s="289"/>
      <c r="AK34" s="78">
        <v>2</v>
      </c>
      <c r="AL34" s="126" t="s">
        <v>215</v>
      </c>
      <c r="AN34" s="141" t="s">
        <v>240</v>
      </c>
      <c r="AO34" s="142" t="s">
        <v>143</v>
      </c>
      <c r="AP34" s="239" t="s">
        <v>242</v>
      </c>
      <c r="AQ34" s="240"/>
      <c r="AR34" s="83">
        <v>1</v>
      </c>
      <c r="AS34" s="100">
        <v>43405</v>
      </c>
      <c r="AT34" s="8"/>
    </row>
    <row r="35" spans="1:46" ht="17.25" customHeight="1" x14ac:dyDescent="0.25">
      <c r="A35" s="275"/>
      <c r="B35" s="286"/>
      <c r="C35" s="17" t="s">
        <v>24</v>
      </c>
      <c r="E35" s="73" t="s">
        <v>179</v>
      </c>
      <c r="F35" s="73" t="s">
        <v>143</v>
      </c>
      <c r="G35" s="288" t="s">
        <v>189</v>
      </c>
      <c r="H35" s="289"/>
      <c r="I35" s="78">
        <v>1</v>
      </c>
      <c r="J35" s="121">
        <v>41730</v>
      </c>
      <c r="L35" s="112"/>
      <c r="M35" s="113"/>
      <c r="N35" s="239"/>
      <c r="O35" s="240"/>
      <c r="P35" s="83"/>
      <c r="Q35" s="79"/>
      <c r="S35" s="112"/>
      <c r="T35" s="113"/>
      <c r="U35" s="239"/>
      <c r="V35" s="240"/>
      <c r="W35" s="83"/>
      <c r="X35" s="100"/>
      <c r="Z35" s="73" t="s">
        <v>179</v>
      </c>
      <c r="AA35" s="73" t="s">
        <v>143</v>
      </c>
      <c r="AB35" s="288" t="s">
        <v>154</v>
      </c>
      <c r="AC35" s="289"/>
      <c r="AD35" s="78">
        <v>1</v>
      </c>
      <c r="AE35" s="121">
        <v>42826</v>
      </c>
      <c r="AG35" s="112" t="s">
        <v>214</v>
      </c>
      <c r="AH35" s="113" t="s">
        <v>143</v>
      </c>
      <c r="AI35" s="239" t="s">
        <v>212</v>
      </c>
      <c r="AJ35" s="240"/>
      <c r="AK35" s="83">
        <v>1</v>
      </c>
      <c r="AL35" s="100">
        <v>43160</v>
      </c>
      <c r="AN35" s="141"/>
      <c r="AO35" s="142"/>
      <c r="AP35" s="239"/>
      <c r="AQ35" s="240"/>
      <c r="AR35" s="83"/>
      <c r="AS35" s="100"/>
      <c r="AT35" s="8"/>
    </row>
    <row r="36" spans="1:46" x14ac:dyDescent="0.25">
      <c r="A36" s="275"/>
      <c r="B36" s="286"/>
      <c r="C36" s="17" t="s">
        <v>25</v>
      </c>
      <c r="E36" s="73" t="s">
        <v>150</v>
      </c>
      <c r="F36" s="73" t="s">
        <v>143</v>
      </c>
      <c r="G36" s="288" t="s">
        <v>147</v>
      </c>
      <c r="H36" s="289"/>
      <c r="I36" s="78">
        <v>1</v>
      </c>
      <c r="J36" s="121">
        <v>41730</v>
      </c>
      <c r="L36" s="112" t="s">
        <v>161</v>
      </c>
      <c r="M36" s="73" t="s">
        <v>143</v>
      </c>
      <c r="N36" s="239" t="s">
        <v>197</v>
      </c>
      <c r="O36" s="240"/>
      <c r="P36" s="79">
        <v>1</v>
      </c>
      <c r="Q36" s="100">
        <v>42095</v>
      </c>
      <c r="S36" s="113" t="s">
        <v>183</v>
      </c>
      <c r="T36" s="113" t="s">
        <v>143</v>
      </c>
      <c r="U36" s="239" t="s">
        <v>187</v>
      </c>
      <c r="V36" s="240"/>
      <c r="W36" s="79">
        <v>1</v>
      </c>
      <c r="X36" s="132" t="s">
        <v>244</v>
      </c>
      <c r="Z36" s="73" t="s">
        <v>218</v>
      </c>
      <c r="AA36" s="73" t="s">
        <v>143</v>
      </c>
      <c r="AB36" s="288" t="s">
        <v>219</v>
      </c>
      <c r="AC36" s="289"/>
      <c r="AD36" s="78">
        <v>1</v>
      </c>
      <c r="AE36" s="121">
        <v>42826</v>
      </c>
      <c r="AG36" s="112" t="s">
        <v>175</v>
      </c>
      <c r="AH36" s="113" t="s">
        <v>143</v>
      </c>
      <c r="AI36" s="239" t="s">
        <v>209</v>
      </c>
      <c r="AJ36" s="240"/>
      <c r="AK36" s="79">
        <v>2</v>
      </c>
      <c r="AL36" s="127" t="s">
        <v>210</v>
      </c>
      <c r="AN36" s="142" t="s">
        <v>183</v>
      </c>
      <c r="AO36" s="142" t="s">
        <v>143</v>
      </c>
      <c r="AP36" s="239" t="s">
        <v>187</v>
      </c>
      <c r="AQ36" s="240"/>
      <c r="AR36" s="79">
        <v>1</v>
      </c>
      <c r="AS36" s="132" t="s">
        <v>245</v>
      </c>
      <c r="AT36" s="8"/>
    </row>
    <row r="37" spans="1:46" x14ac:dyDescent="0.25">
      <c r="A37" s="275"/>
      <c r="B37" s="286"/>
      <c r="C37" s="17" t="s">
        <v>22</v>
      </c>
      <c r="E37" s="112" t="s">
        <v>149</v>
      </c>
      <c r="F37" s="73" t="s">
        <v>143</v>
      </c>
      <c r="G37" s="222" t="s">
        <v>178</v>
      </c>
      <c r="H37" s="222"/>
      <c r="I37" s="79">
        <v>2</v>
      </c>
      <c r="J37" s="100">
        <v>41579</v>
      </c>
      <c r="L37" s="112" t="s">
        <v>149</v>
      </c>
      <c r="M37" s="73" t="s">
        <v>143</v>
      </c>
      <c r="N37" s="222" t="s">
        <v>148</v>
      </c>
      <c r="O37" s="222"/>
      <c r="P37" s="79">
        <v>1</v>
      </c>
      <c r="Q37" s="100">
        <v>41944</v>
      </c>
      <c r="S37" s="112" t="s">
        <v>185</v>
      </c>
      <c r="T37" s="113" t="s">
        <v>143</v>
      </c>
      <c r="U37" s="222" t="s">
        <v>186</v>
      </c>
      <c r="V37" s="222"/>
      <c r="W37" s="79">
        <v>1</v>
      </c>
      <c r="X37" s="100">
        <v>42309</v>
      </c>
      <c r="Z37" s="112" t="s">
        <v>168</v>
      </c>
      <c r="AA37" s="73" t="s">
        <v>143</v>
      </c>
      <c r="AB37" s="222" t="s">
        <v>217</v>
      </c>
      <c r="AC37" s="222"/>
      <c r="AD37" s="79">
        <v>1</v>
      </c>
      <c r="AE37" s="100">
        <v>42675</v>
      </c>
      <c r="AG37" s="112"/>
      <c r="AH37" s="113"/>
      <c r="AI37" s="222"/>
      <c r="AJ37" s="222"/>
      <c r="AK37" s="79"/>
      <c r="AL37" s="79"/>
      <c r="AN37" s="141" t="s">
        <v>185</v>
      </c>
      <c r="AO37" s="142" t="s">
        <v>143</v>
      </c>
      <c r="AP37" s="222" t="s">
        <v>186</v>
      </c>
      <c r="AQ37" s="222"/>
      <c r="AR37" s="79">
        <v>1</v>
      </c>
      <c r="AS37" s="100">
        <v>43405</v>
      </c>
      <c r="AT37" s="8"/>
    </row>
    <row r="38" spans="1:46" x14ac:dyDescent="0.25">
      <c r="A38" s="275"/>
      <c r="B38" s="286"/>
      <c r="C38" s="17" t="s">
        <v>166</v>
      </c>
      <c r="E38" s="49" t="s">
        <v>74</v>
      </c>
      <c r="F38" s="113" t="s">
        <v>74</v>
      </c>
      <c r="G38" s="79" t="s">
        <v>74</v>
      </c>
      <c r="H38" s="79" t="s">
        <v>74</v>
      </c>
      <c r="I38" s="113" t="s">
        <v>74</v>
      </c>
      <c r="J38" s="113" t="s">
        <v>74</v>
      </c>
      <c r="L38" s="112"/>
      <c r="M38" s="113"/>
      <c r="N38" s="239"/>
      <c r="O38" s="240"/>
      <c r="P38" s="79"/>
      <c r="Q38" s="84" t="s">
        <v>74</v>
      </c>
      <c r="S38" s="112" t="s">
        <v>169</v>
      </c>
      <c r="T38" s="113" t="s">
        <v>143</v>
      </c>
      <c r="U38" s="239" t="s">
        <v>167</v>
      </c>
      <c r="V38" s="240"/>
      <c r="W38" s="79">
        <v>1</v>
      </c>
      <c r="X38" s="133">
        <v>42461</v>
      </c>
      <c r="Z38" s="49" t="s">
        <v>74</v>
      </c>
      <c r="AA38" s="113" t="s">
        <v>74</v>
      </c>
      <c r="AB38" s="239" t="s">
        <v>74</v>
      </c>
      <c r="AC38" s="240"/>
      <c r="AD38" s="113" t="s">
        <v>74</v>
      </c>
      <c r="AE38" s="113" t="s">
        <v>74</v>
      </c>
      <c r="AG38" s="112"/>
      <c r="AH38" s="113"/>
      <c r="AI38" s="239"/>
      <c r="AJ38" s="240"/>
      <c r="AK38" s="79"/>
      <c r="AL38" s="84"/>
      <c r="AN38" s="141" t="s">
        <v>169</v>
      </c>
      <c r="AO38" s="142" t="s">
        <v>143</v>
      </c>
      <c r="AP38" s="222" t="s">
        <v>167</v>
      </c>
      <c r="AQ38" s="222"/>
      <c r="AR38" s="79">
        <v>1</v>
      </c>
      <c r="AS38" s="132" t="s">
        <v>236</v>
      </c>
      <c r="AT38" s="8"/>
    </row>
    <row r="39" spans="1:46" ht="15.75" thickBot="1" x14ac:dyDescent="0.3">
      <c r="A39" s="275"/>
      <c r="B39" s="286"/>
      <c r="C39" s="107" t="s">
        <v>128</v>
      </c>
      <c r="E39" s="73" t="s">
        <v>151</v>
      </c>
      <c r="F39" s="73" t="s">
        <v>143</v>
      </c>
      <c r="G39" s="290" t="s">
        <v>191</v>
      </c>
      <c r="H39" s="291"/>
      <c r="I39" s="79">
        <v>1</v>
      </c>
      <c r="J39" s="100">
        <v>41760</v>
      </c>
      <c r="L39" s="112" t="s">
        <v>198</v>
      </c>
      <c r="M39" s="73" t="s">
        <v>143</v>
      </c>
      <c r="N39" s="288" t="s">
        <v>196</v>
      </c>
      <c r="O39" s="289"/>
      <c r="P39" s="81">
        <v>1</v>
      </c>
      <c r="Q39" s="128">
        <v>42125</v>
      </c>
      <c r="S39" s="45" t="s">
        <v>184</v>
      </c>
      <c r="T39" s="113" t="s">
        <v>143</v>
      </c>
      <c r="U39" s="239" t="s">
        <v>235</v>
      </c>
      <c r="V39" s="240"/>
      <c r="W39" s="81">
        <v>1</v>
      </c>
      <c r="X39" s="128">
        <v>42522</v>
      </c>
      <c r="Z39" s="73" t="s">
        <v>216</v>
      </c>
      <c r="AA39" s="73" t="s">
        <v>143</v>
      </c>
      <c r="AB39" s="290" t="s">
        <v>177</v>
      </c>
      <c r="AC39" s="291"/>
      <c r="AD39" s="81">
        <v>1</v>
      </c>
      <c r="AE39" s="100">
        <v>42856</v>
      </c>
      <c r="AG39" s="114"/>
      <c r="AH39" s="45"/>
      <c r="AI39" s="290"/>
      <c r="AJ39" s="291"/>
      <c r="AK39" s="81"/>
      <c r="AL39" s="80"/>
      <c r="AN39" s="45" t="s">
        <v>184</v>
      </c>
      <c r="AO39" s="142" t="s">
        <v>143</v>
      </c>
      <c r="AP39" s="239" t="s">
        <v>235</v>
      </c>
      <c r="AQ39" s="240"/>
      <c r="AR39" s="81">
        <v>1</v>
      </c>
      <c r="AS39" s="128">
        <v>43586</v>
      </c>
      <c r="AT39" s="8"/>
    </row>
    <row r="40" spans="1:46" s="34" customFormat="1" ht="15.75" thickBot="1" x14ac:dyDescent="0.3">
      <c r="A40" s="276"/>
      <c r="B40" s="287"/>
      <c r="C40" s="46" t="s">
        <v>68</v>
      </c>
      <c r="D40" s="23"/>
      <c r="E40" s="250"/>
      <c r="F40" s="250"/>
      <c r="G40" s="250"/>
      <c r="H40" s="238"/>
      <c r="I40" s="88"/>
      <c r="J40" s="47"/>
      <c r="K40" s="35"/>
      <c r="L40" s="250"/>
      <c r="M40" s="250"/>
      <c r="N40" s="250"/>
      <c r="O40" s="238"/>
      <c r="P40" s="88"/>
      <c r="Q40" s="47"/>
      <c r="R40" s="35"/>
      <c r="S40" s="250"/>
      <c r="T40" s="250"/>
      <c r="U40" s="250"/>
      <c r="V40" s="238"/>
      <c r="W40" s="88"/>
      <c r="X40" s="47"/>
      <c r="Y40" s="35"/>
      <c r="Z40" s="250"/>
      <c r="AA40" s="250"/>
      <c r="AB40" s="250"/>
      <c r="AC40" s="238"/>
      <c r="AD40" s="88"/>
      <c r="AE40" s="47"/>
      <c r="AF40" s="35"/>
      <c r="AG40" s="250"/>
      <c r="AH40" s="250"/>
      <c r="AI40" s="250"/>
      <c r="AJ40" s="238"/>
      <c r="AK40" s="88"/>
      <c r="AL40" s="47"/>
      <c r="AM40" s="35"/>
      <c r="AN40" s="250"/>
      <c r="AO40" s="250"/>
      <c r="AP40" s="250"/>
      <c r="AQ40" s="238"/>
      <c r="AR40" s="88"/>
      <c r="AS40" s="47"/>
      <c r="AT40" s="23"/>
    </row>
    <row r="41" spans="1:46" ht="15.75" thickBot="1" x14ac:dyDescent="0.3">
      <c r="A41" s="12"/>
      <c r="B41" s="15"/>
      <c r="C41" s="15"/>
      <c r="E41" s="223"/>
      <c r="F41" s="224"/>
      <c r="G41" s="224"/>
      <c r="H41" s="224"/>
      <c r="I41" s="224"/>
      <c r="J41" s="224"/>
      <c r="L41" s="223"/>
      <c r="M41" s="224"/>
      <c r="N41" s="224"/>
      <c r="O41" s="224"/>
      <c r="P41" s="224"/>
      <c r="Q41" s="224"/>
      <c r="S41" s="223"/>
      <c r="T41" s="224"/>
      <c r="U41" s="224"/>
      <c r="V41" s="224"/>
      <c r="W41" s="224"/>
      <c r="X41" s="224"/>
      <c r="Z41" s="223"/>
      <c r="AA41" s="224"/>
      <c r="AB41" s="224"/>
      <c r="AC41" s="224"/>
      <c r="AD41" s="224"/>
      <c r="AE41" s="224"/>
      <c r="AG41" s="223"/>
      <c r="AH41" s="224"/>
      <c r="AI41" s="224"/>
      <c r="AJ41" s="224"/>
      <c r="AK41" s="224"/>
      <c r="AL41" s="224"/>
      <c r="AN41" s="223"/>
      <c r="AO41" s="224"/>
      <c r="AP41" s="224"/>
      <c r="AQ41" s="224"/>
      <c r="AR41" s="224"/>
      <c r="AS41" s="224"/>
      <c r="AT41" s="8"/>
    </row>
    <row r="42" spans="1:46" ht="15.75" thickBot="1" x14ac:dyDescent="0.3">
      <c r="A42" s="297" t="s">
        <v>26</v>
      </c>
      <c r="B42" s="298" t="s">
        <v>98</v>
      </c>
      <c r="C42" s="51"/>
      <c r="D42" s="61"/>
      <c r="E42" s="225" t="s">
        <v>9</v>
      </c>
      <c r="F42" s="226"/>
      <c r="G42" s="251" t="s">
        <v>10</v>
      </c>
      <c r="H42" s="225"/>
      <c r="I42" s="226"/>
      <c r="J42" s="71" t="s">
        <v>106</v>
      </c>
      <c r="K42" s="61" t="s">
        <v>9</v>
      </c>
      <c r="L42" s="225" t="s">
        <v>9</v>
      </c>
      <c r="M42" s="226"/>
      <c r="N42" s="251" t="s">
        <v>10</v>
      </c>
      <c r="O42" s="225"/>
      <c r="P42" s="226"/>
      <c r="Q42" s="71" t="s">
        <v>106</v>
      </c>
      <c r="R42" s="61"/>
      <c r="S42" s="225" t="s">
        <v>9</v>
      </c>
      <c r="T42" s="226"/>
      <c r="U42" s="251" t="s">
        <v>10</v>
      </c>
      <c r="V42" s="225"/>
      <c r="W42" s="226"/>
      <c r="X42" s="71" t="s">
        <v>106</v>
      </c>
      <c r="Y42" s="61"/>
      <c r="Z42" s="225" t="s">
        <v>9</v>
      </c>
      <c r="AA42" s="226"/>
      <c r="AB42" s="251" t="s">
        <v>10</v>
      </c>
      <c r="AC42" s="225"/>
      <c r="AD42" s="226"/>
      <c r="AE42" s="71" t="s">
        <v>106</v>
      </c>
      <c r="AF42" s="61"/>
      <c r="AG42" s="225" t="s">
        <v>9</v>
      </c>
      <c r="AH42" s="226"/>
      <c r="AI42" s="251" t="s">
        <v>10</v>
      </c>
      <c r="AJ42" s="225"/>
      <c r="AK42" s="226"/>
      <c r="AL42" s="71" t="s">
        <v>106</v>
      </c>
      <c r="AM42" s="61"/>
      <c r="AN42" s="225" t="s">
        <v>9</v>
      </c>
      <c r="AO42" s="226"/>
      <c r="AP42" s="251" t="s">
        <v>10</v>
      </c>
      <c r="AQ42" s="225"/>
      <c r="AR42" s="226"/>
      <c r="AS42" s="71" t="s">
        <v>106</v>
      </c>
      <c r="AT42" s="61"/>
    </row>
    <row r="43" spans="1:46" ht="15" customHeight="1" x14ac:dyDescent="0.25">
      <c r="A43" s="297"/>
      <c r="B43" s="299"/>
      <c r="C43" s="16" t="s">
        <v>27</v>
      </c>
      <c r="E43" s="227" t="s">
        <v>74</v>
      </c>
      <c r="F43" s="228"/>
      <c r="G43" s="255" t="s">
        <v>91</v>
      </c>
      <c r="H43" s="227"/>
      <c r="I43" s="228"/>
      <c r="J43" s="93">
        <v>41883</v>
      </c>
      <c r="L43" s="227" t="s">
        <v>74</v>
      </c>
      <c r="M43" s="228"/>
      <c r="N43" s="255" t="s">
        <v>91</v>
      </c>
      <c r="O43" s="227"/>
      <c r="P43" s="228"/>
      <c r="Q43" s="93">
        <v>42248</v>
      </c>
      <c r="S43" s="227" t="s">
        <v>74</v>
      </c>
      <c r="T43" s="228"/>
      <c r="U43" s="255" t="s">
        <v>91</v>
      </c>
      <c r="V43" s="227"/>
      <c r="W43" s="228"/>
      <c r="X43" s="93">
        <v>42614</v>
      </c>
      <c r="Z43" s="227" t="s">
        <v>74</v>
      </c>
      <c r="AA43" s="228"/>
      <c r="AB43" s="255" t="s">
        <v>91</v>
      </c>
      <c r="AC43" s="227"/>
      <c r="AD43" s="228"/>
      <c r="AE43" s="85"/>
      <c r="AG43" s="227" t="s">
        <v>74</v>
      </c>
      <c r="AH43" s="228"/>
      <c r="AI43" s="255" t="s">
        <v>91</v>
      </c>
      <c r="AJ43" s="227"/>
      <c r="AK43" s="228"/>
      <c r="AL43" s="93">
        <v>43313</v>
      </c>
      <c r="AN43" s="227" t="s">
        <v>74</v>
      </c>
      <c r="AO43" s="228"/>
      <c r="AP43" s="255" t="s">
        <v>91</v>
      </c>
      <c r="AQ43" s="227"/>
      <c r="AR43" s="228"/>
      <c r="AS43" s="93">
        <v>43709</v>
      </c>
      <c r="AT43" s="8"/>
    </row>
    <row r="44" spans="1:46" x14ac:dyDescent="0.25">
      <c r="A44" s="297"/>
      <c r="B44" s="299"/>
      <c r="C44" s="16" t="s">
        <v>28</v>
      </c>
      <c r="E44" s="229" t="s">
        <v>92</v>
      </c>
      <c r="F44" s="230"/>
      <c r="G44" s="253" t="s">
        <v>74</v>
      </c>
      <c r="H44" s="229"/>
      <c r="I44" s="230"/>
      <c r="J44" s="86"/>
      <c r="L44" s="229" t="s">
        <v>92</v>
      </c>
      <c r="M44" s="230"/>
      <c r="N44" s="253" t="s">
        <v>74</v>
      </c>
      <c r="O44" s="229"/>
      <c r="P44" s="230"/>
      <c r="Q44" s="86"/>
      <c r="S44" s="229" t="s">
        <v>92</v>
      </c>
      <c r="T44" s="230"/>
      <c r="U44" s="253" t="s">
        <v>74</v>
      </c>
      <c r="V44" s="229"/>
      <c r="W44" s="230"/>
      <c r="X44" s="86"/>
      <c r="Z44" s="229" t="s">
        <v>92</v>
      </c>
      <c r="AA44" s="230"/>
      <c r="AB44" s="253" t="s">
        <v>74</v>
      </c>
      <c r="AC44" s="229"/>
      <c r="AD44" s="230"/>
      <c r="AE44" s="86"/>
      <c r="AG44" s="229" t="s">
        <v>92</v>
      </c>
      <c r="AH44" s="230"/>
      <c r="AI44" s="253" t="s">
        <v>74</v>
      </c>
      <c r="AJ44" s="229"/>
      <c r="AK44" s="230"/>
      <c r="AL44" s="86"/>
      <c r="AN44" s="229" t="s">
        <v>92</v>
      </c>
      <c r="AO44" s="230"/>
      <c r="AP44" s="253" t="s">
        <v>74</v>
      </c>
      <c r="AQ44" s="229"/>
      <c r="AR44" s="230"/>
      <c r="AS44" s="86"/>
      <c r="AT44" s="8"/>
    </row>
    <row r="45" spans="1:46" ht="15.75" thickBot="1" x14ac:dyDescent="0.3">
      <c r="A45" s="297"/>
      <c r="B45" s="300"/>
      <c r="C45" s="52" t="s">
        <v>29</v>
      </c>
      <c r="E45" s="231" t="s">
        <v>93</v>
      </c>
      <c r="F45" s="232"/>
      <c r="G45" s="254" t="s">
        <v>74</v>
      </c>
      <c r="H45" s="231"/>
      <c r="I45" s="232"/>
      <c r="J45" s="77"/>
      <c r="L45" s="231" t="s">
        <v>93</v>
      </c>
      <c r="M45" s="232"/>
      <c r="N45" s="254" t="s">
        <v>74</v>
      </c>
      <c r="O45" s="231"/>
      <c r="P45" s="232"/>
      <c r="Q45" s="77"/>
      <c r="S45" s="231" t="s">
        <v>93</v>
      </c>
      <c r="T45" s="232"/>
      <c r="U45" s="254" t="s">
        <v>74</v>
      </c>
      <c r="V45" s="231"/>
      <c r="W45" s="232"/>
      <c r="X45" s="77"/>
      <c r="Z45" s="231" t="s">
        <v>93</v>
      </c>
      <c r="AA45" s="232"/>
      <c r="AB45" s="254" t="s">
        <v>74</v>
      </c>
      <c r="AC45" s="231"/>
      <c r="AD45" s="232"/>
      <c r="AE45" s="98">
        <v>42979</v>
      </c>
      <c r="AG45" s="231" t="s">
        <v>93</v>
      </c>
      <c r="AH45" s="232"/>
      <c r="AI45" s="254" t="s">
        <v>74</v>
      </c>
      <c r="AJ45" s="231"/>
      <c r="AK45" s="232"/>
      <c r="AL45" s="77"/>
      <c r="AN45" s="231" t="s">
        <v>93</v>
      </c>
      <c r="AO45" s="232"/>
      <c r="AP45" s="254" t="s">
        <v>74</v>
      </c>
      <c r="AQ45" s="231"/>
      <c r="AR45" s="232"/>
      <c r="AS45" s="77"/>
      <c r="AT45" s="8"/>
    </row>
    <row r="46" spans="1:46" ht="15.75" thickBot="1" x14ac:dyDescent="0.3">
      <c r="A46" s="12"/>
      <c r="B46" s="15"/>
      <c r="C46" s="15"/>
      <c r="E46" s="223"/>
      <c r="F46" s="224"/>
      <c r="G46" s="224"/>
      <c r="H46" s="224"/>
      <c r="I46" s="224"/>
      <c r="J46" s="224"/>
      <c r="L46" s="223"/>
      <c r="M46" s="224"/>
      <c r="N46" s="224"/>
      <c r="O46" s="224"/>
      <c r="P46" s="224"/>
      <c r="Q46" s="224"/>
      <c r="S46" s="223"/>
      <c r="T46" s="224"/>
      <c r="U46" s="224"/>
      <c r="V46" s="224"/>
      <c r="W46" s="224"/>
      <c r="X46" s="224"/>
      <c r="Z46" s="223"/>
      <c r="AA46" s="224"/>
      <c r="AB46" s="224"/>
      <c r="AC46" s="224"/>
      <c r="AD46" s="224"/>
      <c r="AE46" s="224"/>
      <c r="AG46" s="223"/>
      <c r="AH46" s="224"/>
      <c r="AI46" s="224"/>
      <c r="AJ46" s="224"/>
      <c r="AK46" s="224"/>
      <c r="AL46" s="224"/>
      <c r="AN46" s="223"/>
      <c r="AO46" s="224"/>
      <c r="AP46" s="224"/>
      <c r="AQ46" s="224"/>
      <c r="AR46" s="224"/>
      <c r="AS46" s="224"/>
      <c r="AT46" s="8"/>
    </row>
    <row r="47" spans="1:46" ht="15" customHeight="1" thickBot="1" x14ac:dyDescent="0.3">
      <c r="A47" s="292" t="s">
        <v>30</v>
      </c>
      <c r="B47" s="294" t="s">
        <v>99</v>
      </c>
      <c r="C47" s="60"/>
      <c r="E47" s="115" t="s">
        <v>9</v>
      </c>
      <c r="F47" s="233" t="s">
        <v>78</v>
      </c>
      <c r="G47" s="234"/>
      <c r="H47" s="252" t="s">
        <v>473</v>
      </c>
      <c r="I47" s="252"/>
      <c r="J47" s="252"/>
      <c r="L47" s="115" t="s">
        <v>9</v>
      </c>
      <c r="M47" s="233" t="s">
        <v>78</v>
      </c>
      <c r="N47" s="234"/>
      <c r="O47" s="252" t="s">
        <v>473</v>
      </c>
      <c r="P47" s="252"/>
      <c r="Q47" s="252"/>
      <c r="S47" s="115" t="s">
        <v>9</v>
      </c>
      <c r="T47" s="233" t="s">
        <v>78</v>
      </c>
      <c r="U47" s="234"/>
      <c r="V47" s="252" t="s">
        <v>473</v>
      </c>
      <c r="W47" s="252"/>
      <c r="X47" s="252"/>
      <c r="Z47" s="195" t="s">
        <v>9</v>
      </c>
      <c r="AA47" s="233" t="s">
        <v>78</v>
      </c>
      <c r="AB47" s="234"/>
      <c r="AC47" s="252" t="s">
        <v>473</v>
      </c>
      <c r="AD47" s="252"/>
      <c r="AE47" s="252"/>
      <c r="AG47" s="115" t="s">
        <v>9</v>
      </c>
      <c r="AH47" s="233" t="s">
        <v>78</v>
      </c>
      <c r="AI47" s="234"/>
      <c r="AJ47" s="252" t="s">
        <v>473</v>
      </c>
      <c r="AK47" s="252"/>
      <c r="AL47" s="252"/>
      <c r="AN47" s="76" t="s">
        <v>9</v>
      </c>
      <c r="AO47" s="233" t="s">
        <v>78</v>
      </c>
      <c r="AP47" s="234"/>
      <c r="AQ47" s="252" t="s">
        <v>473</v>
      </c>
      <c r="AR47" s="252"/>
      <c r="AS47" s="252"/>
      <c r="AT47" s="8"/>
    </row>
    <row r="48" spans="1:46" ht="15" customHeight="1" thickBot="1" x14ac:dyDescent="0.3">
      <c r="A48" s="293"/>
      <c r="B48" s="295"/>
      <c r="C48" s="59" t="s">
        <v>35</v>
      </c>
      <c r="E48" s="116" t="s">
        <v>73</v>
      </c>
      <c r="F48" s="283">
        <v>9.3000000000000007</v>
      </c>
      <c r="G48" s="284"/>
      <c r="H48" s="264">
        <v>140</v>
      </c>
      <c r="I48" s="264"/>
      <c r="J48" s="264"/>
      <c r="L48" s="196" t="s">
        <v>73</v>
      </c>
      <c r="M48" s="262">
        <v>8.6999999999999993</v>
      </c>
      <c r="N48" s="263"/>
      <c r="O48" s="264">
        <v>187</v>
      </c>
      <c r="P48" s="264"/>
      <c r="Q48" s="264"/>
      <c r="S48" s="196" t="s">
        <v>73</v>
      </c>
      <c r="T48" s="262">
        <v>10.25</v>
      </c>
      <c r="U48" s="263"/>
      <c r="V48" s="264">
        <v>164</v>
      </c>
      <c r="W48" s="264"/>
      <c r="X48" s="264"/>
      <c r="Z48" s="196" t="s">
        <v>73</v>
      </c>
      <c r="AA48" s="283">
        <v>9.3000000000000007</v>
      </c>
      <c r="AB48" s="284"/>
      <c r="AC48" s="264">
        <v>140</v>
      </c>
      <c r="AD48" s="264"/>
      <c r="AE48" s="264"/>
      <c r="AG48" s="196" t="s">
        <v>73</v>
      </c>
      <c r="AH48" s="262">
        <v>4.04</v>
      </c>
      <c r="AI48" s="263"/>
      <c r="AJ48" s="264">
        <v>355</v>
      </c>
      <c r="AK48" s="264"/>
      <c r="AL48" s="264"/>
      <c r="AN48" s="196" t="s">
        <v>73</v>
      </c>
      <c r="AO48" s="262">
        <v>10.25</v>
      </c>
      <c r="AP48" s="263"/>
      <c r="AQ48" s="264">
        <v>164</v>
      </c>
      <c r="AR48" s="264"/>
      <c r="AS48" s="264"/>
      <c r="AT48" s="8"/>
    </row>
    <row r="49" spans="1:46" ht="15.75" thickBot="1" x14ac:dyDescent="0.3">
      <c r="A49" s="293"/>
      <c r="B49" s="296"/>
      <c r="C49" s="58" t="s">
        <v>34</v>
      </c>
      <c r="E49" s="109" t="s">
        <v>112</v>
      </c>
      <c r="F49" s="268">
        <v>4.5</v>
      </c>
      <c r="G49" s="269"/>
      <c r="H49" s="264">
        <v>50</v>
      </c>
      <c r="I49" s="264"/>
      <c r="J49" s="264"/>
      <c r="L49" s="194" t="s">
        <v>112</v>
      </c>
      <c r="M49" s="268">
        <v>4.5999999999999996</v>
      </c>
      <c r="N49" s="269"/>
      <c r="O49" s="264">
        <v>30</v>
      </c>
      <c r="P49" s="264"/>
      <c r="Q49" s="264"/>
      <c r="S49" s="194" t="s">
        <v>112</v>
      </c>
      <c r="T49" s="265">
        <v>4.05</v>
      </c>
      <c r="U49" s="266"/>
      <c r="V49" s="267">
        <v>37</v>
      </c>
      <c r="W49" s="267"/>
      <c r="X49" s="267"/>
      <c r="Z49" s="194" t="s">
        <v>112</v>
      </c>
      <c r="AA49" s="268">
        <v>4.5</v>
      </c>
      <c r="AB49" s="269"/>
      <c r="AC49" s="264">
        <v>50</v>
      </c>
      <c r="AD49" s="264"/>
      <c r="AE49" s="264"/>
      <c r="AG49" s="194" t="s">
        <v>89</v>
      </c>
      <c r="AH49" s="273" t="s">
        <v>74</v>
      </c>
      <c r="AI49" s="249"/>
      <c r="AJ49" s="270" t="s">
        <v>74</v>
      </c>
      <c r="AK49" s="270"/>
      <c r="AL49" s="270"/>
      <c r="AN49" s="194" t="s">
        <v>112</v>
      </c>
      <c r="AO49" s="265">
        <v>4.05</v>
      </c>
      <c r="AP49" s="266"/>
      <c r="AQ49" s="267">
        <v>37</v>
      </c>
      <c r="AR49" s="267"/>
      <c r="AS49" s="267"/>
      <c r="AT49" s="8"/>
    </row>
    <row r="50" spans="1:46" ht="15.75" thickBot="1" x14ac:dyDescent="0.3">
      <c r="A50" s="12"/>
      <c r="B50" s="15"/>
      <c r="C50" s="15"/>
      <c r="E50" s="223"/>
      <c r="F50" s="224"/>
      <c r="G50" s="224"/>
      <c r="H50" s="224"/>
      <c r="I50" s="224"/>
      <c r="J50" s="224"/>
      <c r="L50" s="223"/>
      <c r="M50" s="224"/>
      <c r="N50" s="224"/>
      <c r="O50" s="224"/>
      <c r="P50" s="224"/>
      <c r="Q50" s="224"/>
      <c r="S50" s="223"/>
      <c r="T50" s="224"/>
      <c r="U50" s="224"/>
      <c r="V50" s="224"/>
      <c r="W50" s="224"/>
      <c r="X50" s="224"/>
      <c r="Z50" s="223"/>
      <c r="AA50" s="224"/>
      <c r="AB50" s="224"/>
      <c r="AC50" s="224"/>
      <c r="AD50" s="224"/>
      <c r="AE50" s="224"/>
      <c r="AG50" s="223"/>
      <c r="AH50" s="224"/>
      <c r="AI50" s="224"/>
      <c r="AJ50" s="224"/>
      <c r="AK50" s="224"/>
      <c r="AL50" s="224"/>
      <c r="AN50" s="223"/>
      <c r="AO50" s="224"/>
      <c r="AP50" s="224"/>
      <c r="AQ50" s="224"/>
      <c r="AR50" s="224"/>
      <c r="AS50" s="224"/>
      <c r="AT50" s="8"/>
    </row>
    <row r="51" spans="1:46" ht="15" customHeight="1" x14ac:dyDescent="0.25">
      <c r="A51" s="274" t="s">
        <v>31</v>
      </c>
      <c r="B51" s="277" t="s">
        <v>105</v>
      </c>
      <c r="C51" s="57" t="s">
        <v>36</v>
      </c>
      <c r="E51" s="260">
        <v>85</v>
      </c>
      <c r="F51" s="261"/>
      <c r="G51" s="261"/>
      <c r="H51" s="261"/>
      <c r="I51" s="261"/>
      <c r="J51" s="261"/>
      <c r="L51" s="260">
        <v>79</v>
      </c>
      <c r="M51" s="261"/>
      <c r="N51" s="261"/>
      <c r="O51" s="261"/>
      <c r="P51" s="261"/>
      <c r="Q51" s="261"/>
      <c r="S51" s="260">
        <v>75</v>
      </c>
      <c r="T51" s="261"/>
      <c r="U51" s="261"/>
      <c r="V51" s="261"/>
      <c r="W51" s="261"/>
      <c r="X51" s="261"/>
      <c r="Z51" s="260">
        <v>85</v>
      </c>
      <c r="AA51" s="261"/>
      <c r="AB51" s="261"/>
      <c r="AC51" s="261"/>
      <c r="AD51" s="261"/>
      <c r="AE51" s="261"/>
      <c r="AG51" s="260">
        <v>80</v>
      </c>
      <c r="AH51" s="261"/>
      <c r="AI51" s="261"/>
      <c r="AJ51" s="261"/>
      <c r="AK51" s="261"/>
      <c r="AL51" s="261"/>
      <c r="AN51" s="260">
        <v>75</v>
      </c>
      <c r="AO51" s="261"/>
      <c r="AP51" s="261"/>
      <c r="AQ51" s="261"/>
      <c r="AR51" s="261"/>
      <c r="AS51" s="261"/>
      <c r="AT51" s="8"/>
    </row>
    <row r="52" spans="1:46" x14ac:dyDescent="0.25">
      <c r="A52" s="275"/>
      <c r="B52" s="278"/>
      <c r="C52" s="19" t="s">
        <v>69</v>
      </c>
      <c r="E52" s="240">
        <v>300</v>
      </c>
      <c r="F52" s="222"/>
      <c r="G52" s="222"/>
      <c r="H52" s="222"/>
      <c r="I52" s="222"/>
      <c r="J52" s="222"/>
      <c r="L52" s="256">
        <v>283</v>
      </c>
      <c r="M52" s="257"/>
      <c r="N52" s="257"/>
      <c r="O52" s="257"/>
      <c r="P52" s="257"/>
      <c r="Q52" s="257"/>
      <c r="S52" s="256">
        <v>345</v>
      </c>
      <c r="T52" s="257"/>
      <c r="U52" s="257"/>
      <c r="V52" s="257"/>
      <c r="W52" s="257"/>
      <c r="X52" s="257"/>
      <c r="Z52" s="240">
        <v>300</v>
      </c>
      <c r="AA52" s="222"/>
      <c r="AB52" s="222"/>
      <c r="AC52" s="222"/>
      <c r="AD52" s="222"/>
      <c r="AE52" s="222"/>
      <c r="AG52" s="240">
        <v>308</v>
      </c>
      <c r="AH52" s="222"/>
      <c r="AI52" s="222"/>
      <c r="AJ52" s="222"/>
      <c r="AK52" s="222"/>
      <c r="AL52" s="222"/>
      <c r="AN52" s="256">
        <v>317</v>
      </c>
      <c r="AO52" s="257"/>
      <c r="AP52" s="257"/>
      <c r="AQ52" s="257"/>
      <c r="AR52" s="257"/>
      <c r="AS52" s="257"/>
      <c r="AT52" s="8"/>
    </row>
    <row r="53" spans="1:46" x14ac:dyDescent="0.25">
      <c r="A53" s="275"/>
      <c r="B53" s="278"/>
      <c r="C53" s="19" t="s">
        <v>42</v>
      </c>
      <c r="E53" s="280">
        <v>206</v>
      </c>
      <c r="F53" s="280"/>
      <c r="G53" s="280"/>
      <c r="H53" s="280"/>
      <c r="I53" s="280"/>
      <c r="J53" s="240"/>
      <c r="L53" s="240">
        <v>170</v>
      </c>
      <c r="M53" s="222"/>
      <c r="N53" s="222"/>
      <c r="O53" s="222"/>
      <c r="P53" s="222"/>
      <c r="Q53" s="222"/>
      <c r="S53" s="240">
        <v>284</v>
      </c>
      <c r="T53" s="222"/>
      <c r="U53" s="222"/>
      <c r="V53" s="222"/>
      <c r="W53" s="222"/>
      <c r="X53" s="222"/>
      <c r="Z53" s="280">
        <v>206</v>
      </c>
      <c r="AA53" s="280"/>
      <c r="AB53" s="280"/>
      <c r="AC53" s="280"/>
      <c r="AD53" s="280"/>
      <c r="AE53" s="240"/>
      <c r="AG53" s="240">
        <v>220</v>
      </c>
      <c r="AH53" s="222"/>
      <c r="AI53" s="222"/>
      <c r="AJ53" s="222"/>
      <c r="AK53" s="222"/>
      <c r="AL53" s="222"/>
      <c r="AN53" s="240">
        <v>284</v>
      </c>
      <c r="AO53" s="222"/>
      <c r="AP53" s="222"/>
      <c r="AQ53" s="222"/>
      <c r="AR53" s="222"/>
      <c r="AS53" s="222"/>
      <c r="AT53" s="8"/>
    </row>
    <row r="54" spans="1:46" x14ac:dyDescent="0.25">
      <c r="A54" s="275"/>
      <c r="B54" s="278"/>
      <c r="C54" s="19" t="s">
        <v>43</v>
      </c>
      <c r="E54" s="240">
        <v>414</v>
      </c>
      <c r="F54" s="222"/>
      <c r="G54" s="222"/>
      <c r="H54" s="222"/>
      <c r="I54" s="222"/>
      <c r="J54" s="222"/>
      <c r="L54" s="240">
        <v>414</v>
      </c>
      <c r="M54" s="222"/>
      <c r="N54" s="222"/>
      <c r="O54" s="222"/>
      <c r="P54" s="222"/>
      <c r="Q54" s="222"/>
      <c r="S54" s="240">
        <v>452</v>
      </c>
      <c r="T54" s="222"/>
      <c r="U54" s="222"/>
      <c r="V54" s="222"/>
      <c r="W54" s="222"/>
      <c r="X54" s="222"/>
      <c r="Z54" s="240">
        <v>414</v>
      </c>
      <c r="AA54" s="222"/>
      <c r="AB54" s="222"/>
      <c r="AC54" s="222"/>
      <c r="AD54" s="222"/>
      <c r="AE54" s="222"/>
      <c r="AG54" s="240">
        <v>464</v>
      </c>
      <c r="AH54" s="222"/>
      <c r="AI54" s="222"/>
      <c r="AJ54" s="222"/>
      <c r="AK54" s="222"/>
      <c r="AL54" s="222"/>
      <c r="AN54" s="240">
        <v>452</v>
      </c>
      <c r="AO54" s="222"/>
      <c r="AP54" s="222"/>
      <c r="AQ54" s="222"/>
      <c r="AR54" s="222"/>
      <c r="AS54" s="222"/>
      <c r="AT54" s="8"/>
    </row>
    <row r="55" spans="1:46" x14ac:dyDescent="0.25">
      <c r="A55" s="275"/>
      <c r="B55" s="278"/>
      <c r="C55" s="17" t="s">
        <v>44</v>
      </c>
      <c r="E55" s="258">
        <v>0</v>
      </c>
      <c r="F55" s="259"/>
      <c r="G55" s="259"/>
      <c r="H55" s="259"/>
      <c r="I55" s="259"/>
      <c r="J55" s="259"/>
      <c r="L55" s="258">
        <v>0</v>
      </c>
      <c r="M55" s="259"/>
      <c r="N55" s="259"/>
      <c r="O55" s="259"/>
      <c r="P55" s="259"/>
      <c r="Q55" s="259"/>
      <c r="S55" s="258">
        <v>0</v>
      </c>
      <c r="T55" s="259"/>
      <c r="U55" s="259"/>
      <c r="V55" s="259"/>
      <c r="W55" s="259"/>
      <c r="X55" s="259"/>
      <c r="Z55" s="258">
        <v>0</v>
      </c>
      <c r="AA55" s="259"/>
      <c r="AB55" s="259"/>
      <c r="AC55" s="259"/>
      <c r="AD55" s="259"/>
      <c r="AE55" s="259"/>
      <c r="AG55" s="258">
        <v>0</v>
      </c>
      <c r="AH55" s="259"/>
      <c r="AI55" s="259"/>
      <c r="AJ55" s="259"/>
      <c r="AK55" s="259"/>
      <c r="AL55" s="259"/>
      <c r="AN55" s="258">
        <v>0</v>
      </c>
      <c r="AO55" s="259"/>
      <c r="AP55" s="259"/>
      <c r="AQ55" s="259"/>
      <c r="AR55" s="259"/>
      <c r="AS55" s="259"/>
      <c r="AT55" s="8"/>
    </row>
    <row r="56" spans="1:46" x14ac:dyDescent="0.25">
      <c r="A56" s="275"/>
      <c r="B56" s="278"/>
      <c r="C56" s="17" t="s">
        <v>45</v>
      </c>
      <c r="E56" s="258" t="s">
        <v>74</v>
      </c>
      <c r="F56" s="259"/>
      <c r="G56" s="259"/>
      <c r="H56" s="259"/>
      <c r="I56" s="259"/>
      <c r="J56" s="259"/>
      <c r="L56" s="258" t="s">
        <v>74</v>
      </c>
      <c r="M56" s="259"/>
      <c r="N56" s="259"/>
      <c r="O56" s="259"/>
      <c r="P56" s="259"/>
      <c r="Q56" s="259"/>
      <c r="S56" s="258" t="s">
        <v>74</v>
      </c>
      <c r="T56" s="259"/>
      <c r="U56" s="259"/>
      <c r="V56" s="259"/>
      <c r="W56" s="259"/>
      <c r="X56" s="259"/>
      <c r="Z56" s="258" t="s">
        <v>74</v>
      </c>
      <c r="AA56" s="259"/>
      <c r="AB56" s="259"/>
      <c r="AC56" s="259"/>
      <c r="AD56" s="259"/>
      <c r="AE56" s="259"/>
      <c r="AG56" s="258" t="s">
        <v>74</v>
      </c>
      <c r="AH56" s="259"/>
      <c r="AI56" s="259"/>
      <c r="AJ56" s="259"/>
      <c r="AK56" s="259"/>
      <c r="AL56" s="259"/>
      <c r="AN56" s="258" t="s">
        <v>74</v>
      </c>
      <c r="AO56" s="259"/>
      <c r="AP56" s="259"/>
      <c r="AQ56" s="259"/>
      <c r="AR56" s="259"/>
      <c r="AS56" s="259"/>
      <c r="AT56" s="8"/>
    </row>
    <row r="57" spans="1:46" x14ac:dyDescent="0.25">
      <c r="A57" s="275"/>
      <c r="B57" s="278"/>
      <c r="C57" s="19" t="s">
        <v>46</v>
      </c>
      <c r="E57" s="258" t="s">
        <v>74</v>
      </c>
      <c r="F57" s="259"/>
      <c r="G57" s="259"/>
      <c r="H57" s="259"/>
      <c r="I57" s="259"/>
      <c r="J57" s="259"/>
      <c r="L57" s="258" t="s">
        <v>74</v>
      </c>
      <c r="M57" s="259"/>
      <c r="N57" s="259"/>
      <c r="O57" s="259"/>
      <c r="P57" s="259"/>
      <c r="Q57" s="259"/>
      <c r="S57" s="258" t="s">
        <v>74</v>
      </c>
      <c r="T57" s="259"/>
      <c r="U57" s="259"/>
      <c r="V57" s="259"/>
      <c r="W57" s="259"/>
      <c r="X57" s="259"/>
      <c r="Z57" s="258" t="s">
        <v>74</v>
      </c>
      <c r="AA57" s="259"/>
      <c r="AB57" s="259"/>
      <c r="AC57" s="259"/>
      <c r="AD57" s="259"/>
      <c r="AE57" s="259"/>
      <c r="AG57" s="258" t="s">
        <v>74</v>
      </c>
      <c r="AH57" s="259"/>
      <c r="AI57" s="259"/>
      <c r="AJ57" s="259"/>
      <c r="AK57" s="259"/>
      <c r="AL57" s="259"/>
      <c r="AN57" s="258" t="s">
        <v>74</v>
      </c>
      <c r="AO57" s="259"/>
      <c r="AP57" s="259"/>
      <c r="AQ57" s="259"/>
      <c r="AR57" s="259"/>
      <c r="AS57" s="259"/>
      <c r="AT57" s="8"/>
    </row>
    <row r="58" spans="1:46" x14ac:dyDescent="0.25">
      <c r="A58" s="275"/>
      <c r="B58" s="278"/>
      <c r="C58" s="17" t="s">
        <v>47</v>
      </c>
      <c r="E58" s="256">
        <v>1005</v>
      </c>
      <c r="F58" s="257"/>
      <c r="G58" s="257"/>
      <c r="H58" s="257"/>
      <c r="I58" s="257"/>
      <c r="J58" s="257"/>
      <c r="L58" s="256">
        <v>946</v>
      </c>
      <c r="M58" s="257"/>
      <c r="N58" s="257"/>
      <c r="O58" s="257"/>
      <c r="P58" s="257"/>
      <c r="Q58" s="257"/>
      <c r="S58" s="256">
        <v>1156</v>
      </c>
      <c r="T58" s="257"/>
      <c r="U58" s="257"/>
      <c r="V58" s="257"/>
      <c r="W58" s="257"/>
      <c r="X58" s="257"/>
      <c r="Z58" s="256">
        <v>1005</v>
      </c>
      <c r="AA58" s="257"/>
      <c r="AB58" s="257"/>
      <c r="AC58" s="257"/>
      <c r="AD58" s="257"/>
      <c r="AE58" s="257"/>
      <c r="AG58" s="256">
        <v>1072</v>
      </c>
      <c r="AH58" s="257"/>
      <c r="AI58" s="257"/>
      <c r="AJ58" s="257"/>
      <c r="AK58" s="257"/>
      <c r="AL58" s="257"/>
      <c r="AN58" s="256">
        <f>SUM(AN51:AS57)</f>
        <v>1128</v>
      </c>
      <c r="AO58" s="257"/>
      <c r="AP58" s="257"/>
      <c r="AQ58" s="257"/>
      <c r="AR58" s="257"/>
      <c r="AS58" s="257"/>
      <c r="AT58" s="8"/>
    </row>
    <row r="59" spans="1:46" ht="15" customHeight="1" x14ac:dyDescent="0.25">
      <c r="A59" s="275"/>
      <c r="B59" s="278"/>
      <c r="C59" s="281" t="s">
        <v>70</v>
      </c>
      <c r="D59" s="41"/>
      <c r="E59" s="258" t="s">
        <v>74</v>
      </c>
      <c r="F59" s="259"/>
      <c r="G59" s="259"/>
      <c r="H59" s="259"/>
      <c r="I59" s="259"/>
      <c r="J59" s="259"/>
      <c r="K59" s="36"/>
      <c r="L59" s="258" t="s">
        <v>74</v>
      </c>
      <c r="M59" s="259"/>
      <c r="N59" s="259"/>
      <c r="O59" s="259"/>
      <c r="P59" s="259"/>
      <c r="Q59" s="259"/>
      <c r="R59" s="36"/>
      <c r="S59" s="258" t="s">
        <v>74</v>
      </c>
      <c r="T59" s="259"/>
      <c r="U59" s="259"/>
      <c r="V59" s="259"/>
      <c r="W59" s="259"/>
      <c r="X59" s="259"/>
      <c r="Y59" s="36"/>
      <c r="Z59" s="258" t="s">
        <v>74</v>
      </c>
      <c r="AA59" s="259"/>
      <c r="AB59" s="259"/>
      <c r="AC59" s="259"/>
      <c r="AD59" s="259"/>
      <c r="AE59" s="259"/>
      <c r="AF59" s="36"/>
      <c r="AG59" s="258" t="s">
        <v>74</v>
      </c>
      <c r="AH59" s="259"/>
      <c r="AI59" s="259"/>
      <c r="AJ59" s="259"/>
      <c r="AK59" s="259"/>
      <c r="AL59" s="259"/>
      <c r="AM59" s="36"/>
      <c r="AN59" s="258" t="s">
        <v>74</v>
      </c>
      <c r="AO59" s="259"/>
      <c r="AP59" s="259"/>
      <c r="AQ59" s="259"/>
      <c r="AR59" s="259"/>
      <c r="AS59" s="259"/>
      <c r="AT59" s="41"/>
    </row>
    <row r="60" spans="1:46" ht="15.75" thickBot="1" x14ac:dyDescent="0.3">
      <c r="A60" s="276"/>
      <c r="B60" s="279"/>
      <c r="C60" s="282"/>
      <c r="D60" s="41"/>
      <c r="E60" s="271"/>
      <c r="F60" s="272"/>
      <c r="G60" s="272"/>
      <c r="H60" s="272"/>
      <c r="I60" s="272"/>
      <c r="J60" s="272"/>
      <c r="K60" s="36"/>
      <c r="L60" s="271"/>
      <c r="M60" s="272"/>
      <c r="N60" s="272"/>
      <c r="O60" s="272"/>
      <c r="P60" s="272"/>
      <c r="Q60" s="272"/>
      <c r="R60" s="36"/>
      <c r="S60" s="271"/>
      <c r="T60" s="272"/>
      <c r="U60" s="272"/>
      <c r="V60" s="272"/>
      <c r="W60" s="272"/>
      <c r="X60" s="272"/>
      <c r="Y60" s="36"/>
      <c r="Z60" s="271"/>
      <c r="AA60" s="272"/>
      <c r="AB60" s="272"/>
      <c r="AC60" s="272"/>
      <c r="AD60" s="272"/>
      <c r="AE60" s="272"/>
      <c r="AF60" s="36"/>
      <c r="AG60" s="271"/>
      <c r="AH60" s="272"/>
      <c r="AI60" s="272"/>
      <c r="AJ60" s="272"/>
      <c r="AK60" s="272"/>
      <c r="AL60" s="272"/>
      <c r="AM60" s="36"/>
      <c r="AN60" s="271"/>
      <c r="AO60" s="272"/>
      <c r="AP60" s="272"/>
      <c r="AQ60" s="272"/>
      <c r="AR60" s="272"/>
      <c r="AS60" s="272"/>
      <c r="AT60" s="41"/>
    </row>
    <row r="63" spans="1:46" x14ac:dyDescent="0.25">
      <c r="AE63" s="91"/>
    </row>
    <row r="64" spans="1:46" x14ac:dyDescent="0.25">
      <c r="P64" s="91"/>
      <c r="AE64" s="91"/>
    </row>
    <row r="65" spans="16:34" x14ac:dyDescent="0.25">
      <c r="P65" s="91"/>
      <c r="AE65" s="91"/>
    </row>
    <row r="66" spans="16:34" x14ac:dyDescent="0.25">
      <c r="P66" s="91"/>
    </row>
    <row r="67" spans="16:34" x14ac:dyDescent="0.25">
      <c r="P67" s="91"/>
    </row>
    <row r="68" spans="16:34" x14ac:dyDescent="0.25">
      <c r="P68" s="91"/>
      <c r="AH68" s="91"/>
    </row>
    <row r="69" spans="16:34" x14ac:dyDescent="0.25">
      <c r="AH69" s="91"/>
    </row>
    <row r="70" spans="16:34" x14ac:dyDescent="0.25">
      <c r="AH70" s="91"/>
    </row>
    <row r="71" spans="16:34" x14ac:dyDescent="0.25">
      <c r="AH71" s="91"/>
    </row>
    <row r="72" spans="16:34" x14ac:dyDescent="0.25">
      <c r="AH72" s="91"/>
    </row>
    <row r="73" spans="16:34" x14ac:dyDescent="0.25">
      <c r="AH73" s="91"/>
    </row>
  </sheetData>
  <mergeCells count="310">
    <mergeCell ref="AI44:AK44"/>
    <mergeCell ref="AI45:AK45"/>
    <mergeCell ref="AG32:AL32"/>
    <mergeCell ref="AI33:AJ33"/>
    <mergeCell ref="AI34:AJ34"/>
    <mergeCell ref="AI35:AJ35"/>
    <mergeCell ref="AI36:AJ36"/>
    <mergeCell ref="AI37:AJ37"/>
    <mergeCell ref="AI38:AJ38"/>
    <mergeCell ref="AI39:AJ39"/>
    <mergeCell ref="AG41:AL41"/>
    <mergeCell ref="AG42:AH42"/>
    <mergeCell ref="AG43:AH43"/>
    <mergeCell ref="AG45:AH45"/>
    <mergeCell ref="AI42:AK42"/>
    <mergeCell ref="U37:V37"/>
    <mergeCell ref="U38:V38"/>
    <mergeCell ref="U39:V39"/>
    <mergeCell ref="AB39:AC39"/>
    <mergeCell ref="AG40:AJ40"/>
    <mergeCell ref="AB38:AC38"/>
    <mergeCell ref="AG13:AK13"/>
    <mergeCell ref="AG14:AK14"/>
    <mergeCell ref="AG15:AK15"/>
    <mergeCell ref="AG19:AK19"/>
    <mergeCell ref="AG18:AL18"/>
    <mergeCell ref="AG17:AL17"/>
    <mergeCell ref="Z16:AE16"/>
    <mergeCell ref="Z32:AE32"/>
    <mergeCell ref="AB33:AC33"/>
    <mergeCell ref="AB34:AC34"/>
    <mergeCell ref="AB35:AC35"/>
    <mergeCell ref="S40:V40"/>
    <mergeCell ref="AB36:AC36"/>
    <mergeCell ref="AB37:AC37"/>
    <mergeCell ref="E7:J7"/>
    <mergeCell ref="E8:J8"/>
    <mergeCell ref="E9:J9"/>
    <mergeCell ref="E10:J10"/>
    <mergeCell ref="E17:J17"/>
    <mergeCell ref="E18:J18"/>
    <mergeCell ref="E20:J20"/>
    <mergeCell ref="E32:J32"/>
    <mergeCell ref="G34:H34"/>
    <mergeCell ref="E13:I13"/>
    <mergeCell ref="E14:I14"/>
    <mergeCell ref="E15:I15"/>
    <mergeCell ref="E19:I19"/>
    <mergeCell ref="AG10:AL10"/>
    <mergeCell ref="AN10:AS10"/>
    <mergeCell ref="E16:J16"/>
    <mergeCell ref="AG12:AL12"/>
    <mergeCell ref="S7:X7"/>
    <mergeCell ref="Z7:AE7"/>
    <mergeCell ref="AG7:AL7"/>
    <mergeCell ref="AN7:AS7"/>
    <mergeCell ref="AG8:AL8"/>
    <mergeCell ref="AN8:AS8"/>
    <mergeCell ref="S9:X9"/>
    <mergeCell ref="Z9:AE9"/>
    <mergeCell ref="AG9:AL9"/>
    <mergeCell ref="AN9:AS9"/>
    <mergeCell ref="S16:X16"/>
    <mergeCell ref="AG16:AL16"/>
    <mergeCell ref="L7:Q7"/>
    <mergeCell ref="S8:X8"/>
    <mergeCell ref="Z8:AE8"/>
    <mergeCell ref="L16:Q16"/>
    <mergeCell ref="AG11:AL11"/>
    <mergeCell ref="AN11:AS11"/>
    <mergeCell ref="L13:P13"/>
    <mergeCell ref="L14:P14"/>
    <mergeCell ref="A13:A15"/>
    <mergeCell ref="B13:B15"/>
    <mergeCell ref="S10:X10"/>
    <mergeCell ref="Z10:AE10"/>
    <mergeCell ref="E12:J12"/>
    <mergeCell ref="S12:X12"/>
    <mergeCell ref="L8:Q8"/>
    <mergeCell ref="L9:Q9"/>
    <mergeCell ref="L10:Q10"/>
    <mergeCell ref="L12:Q12"/>
    <mergeCell ref="A8:A11"/>
    <mergeCell ref="B8:B11"/>
    <mergeCell ref="E11:J11"/>
    <mergeCell ref="L11:Q11"/>
    <mergeCell ref="S11:X11"/>
    <mergeCell ref="Z11:AE11"/>
    <mergeCell ref="L15:P15"/>
    <mergeCell ref="S13:W13"/>
    <mergeCell ref="S14:W14"/>
    <mergeCell ref="S15:W15"/>
    <mergeCell ref="Z13:AD13"/>
    <mergeCell ref="Z12:AE12"/>
    <mergeCell ref="Z14:AD14"/>
    <mergeCell ref="Z15:AD15"/>
    <mergeCell ref="L17:Q17"/>
    <mergeCell ref="L18:Q18"/>
    <mergeCell ref="L20:Q20"/>
    <mergeCell ref="L19:P19"/>
    <mergeCell ref="S19:W19"/>
    <mergeCell ref="S20:X20"/>
    <mergeCell ref="AG20:AL20"/>
    <mergeCell ref="AN19:AR19"/>
    <mergeCell ref="Z19:AD19"/>
    <mergeCell ref="Z20:AE20"/>
    <mergeCell ref="AN17:AS17"/>
    <mergeCell ref="AN18:AS18"/>
    <mergeCell ref="Z41:AE41"/>
    <mergeCell ref="Z44:AA44"/>
    <mergeCell ref="Z40:AC40"/>
    <mergeCell ref="A21:A31"/>
    <mergeCell ref="B21:B31"/>
    <mergeCell ref="A17:A19"/>
    <mergeCell ref="B17:B19"/>
    <mergeCell ref="S17:X17"/>
    <mergeCell ref="Z17:AE17"/>
    <mergeCell ref="S18:X18"/>
    <mergeCell ref="Z18:AE18"/>
    <mergeCell ref="S32:X32"/>
    <mergeCell ref="U33:V33"/>
    <mergeCell ref="U34:V34"/>
    <mergeCell ref="U35:V35"/>
    <mergeCell ref="U36:V36"/>
    <mergeCell ref="L32:Q32"/>
    <mergeCell ref="N33:O33"/>
    <mergeCell ref="N34:O34"/>
    <mergeCell ref="N35:O35"/>
    <mergeCell ref="N36:O36"/>
    <mergeCell ref="N37:O37"/>
    <mergeCell ref="N38:O38"/>
    <mergeCell ref="N39:O39"/>
    <mergeCell ref="G42:I42"/>
    <mergeCell ref="G43:I43"/>
    <mergeCell ref="G44:I44"/>
    <mergeCell ref="G45:I45"/>
    <mergeCell ref="Z45:AA45"/>
    <mergeCell ref="U45:W45"/>
    <mergeCell ref="AG44:AH44"/>
    <mergeCell ref="N45:P45"/>
    <mergeCell ref="F49:G49"/>
    <mergeCell ref="H49:J49"/>
    <mergeCell ref="O48:Q48"/>
    <mergeCell ref="E46:J46"/>
    <mergeCell ref="Z46:AE46"/>
    <mergeCell ref="Z42:AA42"/>
    <mergeCell ref="N42:P42"/>
    <mergeCell ref="N43:P43"/>
    <mergeCell ref="N44:P44"/>
    <mergeCell ref="O47:Q47"/>
    <mergeCell ref="A33:A40"/>
    <mergeCell ref="B33:B40"/>
    <mergeCell ref="L43:M43"/>
    <mergeCell ref="L44:M44"/>
    <mergeCell ref="G35:H35"/>
    <mergeCell ref="G39:H39"/>
    <mergeCell ref="E41:J41"/>
    <mergeCell ref="G33:H33"/>
    <mergeCell ref="A47:A49"/>
    <mergeCell ref="B47:B49"/>
    <mergeCell ref="F47:G47"/>
    <mergeCell ref="H47:J47"/>
    <mergeCell ref="F48:G48"/>
    <mergeCell ref="H48:J48"/>
    <mergeCell ref="M48:N48"/>
    <mergeCell ref="E43:F43"/>
    <mergeCell ref="E44:F44"/>
    <mergeCell ref="E45:F45"/>
    <mergeCell ref="G36:H36"/>
    <mergeCell ref="G37:H37"/>
    <mergeCell ref="A42:A45"/>
    <mergeCell ref="B42:B45"/>
    <mergeCell ref="E42:F42"/>
    <mergeCell ref="E40:H40"/>
    <mergeCell ref="L52:Q52"/>
    <mergeCell ref="L53:Q53"/>
    <mergeCell ref="L54:Q54"/>
    <mergeCell ref="L55:Q55"/>
    <mergeCell ref="L56:Q56"/>
    <mergeCell ref="L57:Q57"/>
    <mergeCell ref="L58:Q58"/>
    <mergeCell ref="AA48:AB48"/>
    <mergeCell ref="M49:N49"/>
    <mergeCell ref="O49:Q49"/>
    <mergeCell ref="L50:Q50"/>
    <mergeCell ref="T48:U48"/>
    <mergeCell ref="V48:X48"/>
    <mergeCell ref="T49:U49"/>
    <mergeCell ref="V49:X49"/>
    <mergeCell ref="S50:X50"/>
    <mergeCell ref="E50:J50"/>
    <mergeCell ref="A51:A60"/>
    <mergeCell ref="B51:B60"/>
    <mergeCell ref="S51:X51"/>
    <mergeCell ref="Z51:AE51"/>
    <mergeCell ref="S53:X53"/>
    <mergeCell ref="Z53:AE53"/>
    <mergeCell ref="S55:X55"/>
    <mergeCell ref="Z55:AE55"/>
    <mergeCell ref="E51:J51"/>
    <mergeCell ref="E52:J52"/>
    <mergeCell ref="E53:J53"/>
    <mergeCell ref="E54:J54"/>
    <mergeCell ref="E55:J55"/>
    <mergeCell ref="E56:J56"/>
    <mergeCell ref="E57:J57"/>
    <mergeCell ref="E58:J58"/>
    <mergeCell ref="L51:Q51"/>
    <mergeCell ref="E59:J60"/>
    <mergeCell ref="L59:Q60"/>
    <mergeCell ref="Z56:AE56"/>
    <mergeCell ref="S52:X52"/>
    <mergeCell ref="Z52:AE52"/>
    <mergeCell ref="C59:C60"/>
    <mergeCell ref="S59:X60"/>
    <mergeCell ref="AG50:AL50"/>
    <mergeCell ref="AJ48:AL48"/>
    <mergeCell ref="AH49:AI49"/>
    <mergeCell ref="AC47:AE47"/>
    <mergeCell ref="AN59:AS60"/>
    <mergeCell ref="AN58:AS58"/>
    <mergeCell ref="S54:X54"/>
    <mergeCell ref="Z54:AE54"/>
    <mergeCell ref="AG54:AL54"/>
    <mergeCell ref="AN54:AS54"/>
    <mergeCell ref="S57:X57"/>
    <mergeCell ref="Z57:AE57"/>
    <mergeCell ref="AG57:AL57"/>
    <mergeCell ref="AN57:AS57"/>
    <mergeCell ref="S56:X56"/>
    <mergeCell ref="AN56:AS56"/>
    <mergeCell ref="AG59:AL60"/>
    <mergeCell ref="S58:X58"/>
    <mergeCell ref="Z58:AE58"/>
    <mergeCell ref="AG58:AL58"/>
    <mergeCell ref="AG56:AL56"/>
    <mergeCell ref="Z59:AE60"/>
    <mergeCell ref="AQ47:AS47"/>
    <mergeCell ref="AN44:AO44"/>
    <mergeCell ref="AP43:AR43"/>
    <mergeCell ref="AN52:AS52"/>
    <mergeCell ref="AG55:AL55"/>
    <mergeCell ref="AN55:AS55"/>
    <mergeCell ref="AG53:AL53"/>
    <mergeCell ref="AN53:AS53"/>
    <mergeCell ref="AA47:AB47"/>
    <mergeCell ref="AG51:AL51"/>
    <mergeCell ref="AN51:AS51"/>
    <mergeCell ref="AH48:AI48"/>
    <mergeCell ref="AN50:AS50"/>
    <mergeCell ref="AO48:AP48"/>
    <mergeCell ref="AQ48:AS48"/>
    <mergeCell ref="AO49:AP49"/>
    <mergeCell ref="AQ49:AS49"/>
    <mergeCell ref="AG52:AL52"/>
    <mergeCell ref="AC48:AE48"/>
    <mergeCell ref="AA49:AB49"/>
    <mergeCell ref="AC49:AE49"/>
    <mergeCell ref="Z50:AE50"/>
    <mergeCell ref="AJ49:AL49"/>
    <mergeCell ref="Z43:AA43"/>
    <mergeCell ref="AI43:AK43"/>
    <mergeCell ref="AN41:AS41"/>
    <mergeCell ref="AP39:AQ39"/>
    <mergeCell ref="L40:O40"/>
    <mergeCell ref="V47:X47"/>
    <mergeCell ref="AP44:AR44"/>
    <mergeCell ref="AP45:AR45"/>
    <mergeCell ref="S45:T45"/>
    <mergeCell ref="S46:X46"/>
    <mergeCell ref="T47:U47"/>
    <mergeCell ref="U42:W42"/>
    <mergeCell ref="U43:W43"/>
    <mergeCell ref="U44:W44"/>
    <mergeCell ref="AB42:AD42"/>
    <mergeCell ref="AB43:AD43"/>
    <mergeCell ref="AB44:AD44"/>
    <mergeCell ref="AB45:AD45"/>
    <mergeCell ref="AG46:AL46"/>
    <mergeCell ref="AH47:AI47"/>
    <mergeCell ref="AJ47:AL47"/>
    <mergeCell ref="AN45:AO45"/>
    <mergeCell ref="AN46:AS46"/>
    <mergeCell ref="AO47:AP47"/>
    <mergeCell ref="L41:Q41"/>
    <mergeCell ref="L42:M42"/>
    <mergeCell ref="AP38:AQ38"/>
    <mergeCell ref="S41:X41"/>
    <mergeCell ref="S42:T42"/>
    <mergeCell ref="S43:T43"/>
    <mergeCell ref="S44:T44"/>
    <mergeCell ref="L45:M45"/>
    <mergeCell ref="L46:Q46"/>
    <mergeCell ref="M47:N47"/>
    <mergeCell ref="AN12:AS12"/>
    <mergeCell ref="AN16:AS16"/>
    <mergeCell ref="AN20:AS20"/>
    <mergeCell ref="AN32:AS32"/>
    <mergeCell ref="AP33:AQ33"/>
    <mergeCell ref="AN42:AO42"/>
    <mergeCell ref="AN43:AO43"/>
    <mergeCell ref="AP34:AQ34"/>
    <mergeCell ref="AP35:AQ35"/>
    <mergeCell ref="AP36:AQ36"/>
    <mergeCell ref="AP37:AQ37"/>
    <mergeCell ref="AN13:AR13"/>
    <mergeCell ref="AN14:AR14"/>
    <mergeCell ref="AN15:AR15"/>
    <mergeCell ref="AN40:AQ40"/>
    <mergeCell ref="AP42:AR4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7"/>
  <sheetViews>
    <sheetView zoomScale="60" zoomScaleNormal="60" workbookViewId="0">
      <pane xSplit="3" topLeftCell="X1" activePane="topRight" state="frozen"/>
      <selection pane="topRight" activeCell="H58" sqref="H58"/>
    </sheetView>
  </sheetViews>
  <sheetFormatPr baseColWidth="10" defaultColWidth="11.42578125" defaultRowHeight="15" x14ac:dyDescent="0.25"/>
  <cols>
    <col min="1" max="1" width="11.42578125" style="152"/>
    <col min="2" max="2" width="44.140625" style="152" customWidth="1"/>
    <col min="3" max="3" width="42" style="152" customWidth="1"/>
    <col min="4" max="4" width="11.42578125" style="152"/>
    <col min="5" max="5" width="35" style="152" bestFit="1" customWidth="1"/>
    <col min="6" max="7" width="11.42578125" style="152"/>
    <col min="8" max="8" width="25.85546875" style="152" bestFit="1" customWidth="1"/>
    <col min="9" max="9" width="28.140625" style="152" bestFit="1" customWidth="1"/>
    <col min="10" max="10" width="1.7109375" style="23" customWidth="1"/>
    <col min="11" max="11" width="8.5703125" style="152" bestFit="1" customWidth="1"/>
    <col min="12" max="12" width="35" style="152" bestFit="1" customWidth="1"/>
    <col min="13" max="14" width="9.28515625" style="152" customWidth="1"/>
    <col min="15" max="15" width="25.85546875" style="152" bestFit="1" customWidth="1"/>
    <col min="16" max="16" width="28.140625" style="152" bestFit="1" customWidth="1"/>
    <col min="17" max="17" width="1.7109375" style="23" customWidth="1"/>
    <col min="18" max="19" width="11.42578125" style="152"/>
    <col min="20" max="20" width="34.28515625" style="152" bestFit="1" customWidth="1"/>
    <col min="21" max="21" width="11.42578125" style="152"/>
    <col min="22" max="22" width="25.85546875" style="152" bestFit="1" customWidth="1"/>
    <col min="23" max="23" width="28.140625" style="152" bestFit="1" customWidth="1"/>
    <col min="24" max="24" width="1.7109375" style="8" customWidth="1"/>
    <col min="25" max="25" width="11.42578125" style="152"/>
    <col min="26" max="26" width="34.28515625" style="152" bestFit="1" customWidth="1"/>
    <col min="27" max="27" width="34.28515625" style="152" customWidth="1"/>
    <col min="28" max="28" width="11.42578125" style="152"/>
    <col min="29" max="29" width="25.85546875" style="152" bestFit="1" customWidth="1"/>
    <col min="30" max="30" width="28.140625" style="152" bestFit="1" customWidth="1"/>
    <col min="31" max="31" width="1.7109375" style="8" customWidth="1"/>
    <col min="32" max="32" width="11.42578125" style="152"/>
    <col min="33" max="33" width="35" style="152" bestFit="1" customWidth="1"/>
    <col min="34" max="34" width="34.28515625" style="152" bestFit="1" customWidth="1"/>
    <col min="35" max="35" width="11.42578125" style="152"/>
    <col min="36" max="36" width="25.85546875" style="152" bestFit="1" customWidth="1"/>
    <col min="37" max="37" width="28.140625" style="152" bestFit="1" customWidth="1"/>
    <col min="38" max="38" width="1.7109375" style="8" customWidth="1"/>
    <col min="39" max="16384" width="11.42578125" style="152"/>
  </cols>
  <sheetData>
    <row r="1" spans="1:46" ht="15.75" thickBot="1" x14ac:dyDescent="0.3"/>
    <row r="2" spans="1:46" ht="15.75" thickBot="1" x14ac:dyDescent="0.3">
      <c r="A2" s="21"/>
      <c r="B2" s="22" t="s">
        <v>40</v>
      </c>
      <c r="C2" s="22" t="s">
        <v>41</v>
      </c>
      <c r="D2" s="348" t="s">
        <v>48</v>
      </c>
      <c r="E2" s="338"/>
      <c r="F2" s="338"/>
      <c r="G2" s="338"/>
      <c r="H2" s="338"/>
      <c r="I2" s="338"/>
      <c r="J2" s="62"/>
      <c r="K2" s="337" t="s">
        <v>49</v>
      </c>
      <c r="L2" s="338"/>
      <c r="M2" s="338"/>
      <c r="N2" s="338"/>
      <c r="O2" s="338"/>
      <c r="P2" s="338"/>
      <c r="Q2" s="62"/>
      <c r="R2" s="337" t="s">
        <v>50</v>
      </c>
      <c r="S2" s="338"/>
      <c r="T2" s="338"/>
      <c r="U2" s="338"/>
      <c r="V2" s="338"/>
      <c r="W2" s="338"/>
      <c r="X2" s="63"/>
      <c r="Y2" s="337" t="s">
        <v>51</v>
      </c>
      <c r="Z2" s="338"/>
      <c r="AA2" s="338"/>
      <c r="AB2" s="338"/>
      <c r="AC2" s="338"/>
      <c r="AD2" s="338"/>
      <c r="AE2" s="63"/>
      <c r="AF2" s="337" t="s">
        <v>52</v>
      </c>
      <c r="AG2" s="338"/>
      <c r="AH2" s="338"/>
      <c r="AI2" s="338"/>
      <c r="AJ2" s="338"/>
      <c r="AK2" s="338"/>
      <c r="AL2" s="63"/>
    </row>
    <row r="3" spans="1:46" ht="15" customHeight="1" x14ac:dyDescent="0.25">
      <c r="A3" s="328" t="s">
        <v>39</v>
      </c>
      <c r="B3" s="331" t="s">
        <v>38</v>
      </c>
      <c r="C3" s="39" t="s">
        <v>2</v>
      </c>
      <c r="D3" s="323" t="s">
        <v>114</v>
      </c>
      <c r="E3" s="324"/>
      <c r="F3" s="324"/>
      <c r="G3" s="324"/>
      <c r="H3" s="324"/>
      <c r="I3" s="324"/>
      <c r="J3" s="24"/>
      <c r="K3" s="323" t="s">
        <v>115</v>
      </c>
      <c r="L3" s="324"/>
      <c r="M3" s="324"/>
      <c r="N3" s="324"/>
      <c r="O3" s="324"/>
      <c r="P3" s="324"/>
      <c r="Q3" s="24"/>
      <c r="R3" s="343" t="s">
        <v>116</v>
      </c>
      <c r="S3" s="344"/>
      <c r="T3" s="344"/>
      <c r="U3" s="344"/>
      <c r="V3" s="344"/>
      <c r="W3" s="345"/>
      <c r="Y3" s="323" t="s">
        <v>118</v>
      </c>
      <c r="Z3" s="324"/>
      <c r="AA3" s="324"/>
      <c r="AB3" s="324"/>
      <c r="AC3" s="324"/>
      <c r="AD3" s="324"/>
      <c r="AF3" s="343" t="s">
        <v>116</v>
      </c>
      <c r="AG3" s="344"/>
      <c r="AH3" s="344"/>
      <c r="AI3" s="344"/>
      <c r="AJ3" s="344"/>
      <c r="AK3" s="345"/>
    </row>
    <row r="4" spans="1:46" x14ac:dyDescent="0.25">
      <c r="A4" s="329"/>
      <c r="B4" s="332"/>
      <c r="C4" s="40" t="s">
        <v>3</v>
      </c>
      <c r="D4" s="339" t="s">
        <v>73</v>
      </c>
      <c r="E4" s="340"/>
      <c r="F4" s="340"/>
      <c r="G4" s="340"/>
      <c r="H4" s="340"/>
      <c r="I4" s="340"/>
      <c r="J4" s="24"/>
      <c r="K4" s="325" t="s">
        <v>73</v>
      </c>
      <c r="L4" s="326"/>
      <c r="M4" s="326"/>
      <c r="N4" s="326"/>
      <c r="O4" s="326"/>
      <c r="P4" s="327"/>
      <c r="Q4" s="24"/>
      <c r="R4" s="325" t="s">
        <v>73</v>
      </c>
      <c r="S4" s="326"/>
      <c r="T4" s="326"/>
      <c r="U4" s="326"/>
      <c r="V4" s="326"/>
      <c r="W4" s="327"/>
      <c r="Y4" s="325" t="s">
        <v>73</v>
      </c>
      <c r="Z4" s="326"/>
      <c r="AA4" s="326"/>
      <c r="AB4" s="326"/>
      <c r="AC4" s="326"/>
      <c r="AD4" s="327"/>
      <c r="AF4" s="325" t="s">
        <v>73</v>
      </c>
      <c r="AG4" s="326"/>
      <c r="AH4" s="326"/>
      <c r="AI4" s="326"/>
      <c r="AJ4" s="326"/>
      <c r="AK4" s="327"/>
    </row>
    <row r="5" spans="1:46" x14ac:dyDescent="0.25">
      <c r="A5" s="329"/>
      <c r="B5" s="332"/>
      <c r="C5" s="64" t="s">
        <v>100</v>
      </c>
      <c r="D5" s="322" t="s">
        <v>111</v>
      </c>
      <c r="E5" s="322"/>
      <c r="F5" s="322"/>
      <c r="G5" s="322"/>
      <c r="H5" s="322"/>
      <c r="I5" s="322"/>
      <c r="J5" s="66"/>
      <c r="K5" s="319" t="s">
        <v>111</v>
      </c>
      <c r="L5" s="320"/>
      <c r="M5" s="320"/>
      <c r="N5" s="320"/>
      <c r="O5" s="320"/>
      <c r="P5" s="321"/>
      <c r="Q5" s="66"/>
      <c r="R5" s="319" t="s">
        <v>111</v>
      </c>
      <c r="S5" s="320"/>
      <c r="T5" s="320"/>
      <c r="U5" s="320"/>
      <c r="V5" s="320"/>
      <c r="W5" s="321"/>
      <c r="X5" s="67"/>
      <c r="Y5" s="319" t="s">
        <v>111</v>
      </c>
      <c r="Z5" s="320"/>
      <c r="AA5" s="320"/>
      <c r="AB5" s="320"/>
      <c r="AC5" s="320"/>
      <c r="AD5" s="321"/>
      <c r="AE5" s="67"/>
      <c r="AF5" s="319" t="s">
        <v>111</v>
      </c>
      <c r="AG5" s="320"/>
      <c r="AH5" s="320"/>
      <c r="AI5" s="320"/>
      <c r="AJ5" s="320"/>
      <c r="AK5" s="321"/>
      <c r="AL5" s="67"/>
    </row>
    <row r="6" spans="1:46" ht="15.75" thickBot="1" x14ac:dyDescent="0.3">
      <c r="A6" s="330"/>
      <c r="B6" s="333"/>
      <c r="C6" s="56" t="s">
        <v>66</v>
      </c>
      <c r="D6" s="334" t="s">
        <v>74</v>
      </c>
      <c r="E6" s="335"/>
      <c r="F6" s="335"/>
      <c r="G6" s="335"/>
      <c r="H6" s="335"/>
      <c r="I6" s="336"/>
      <c r="J6" s="69"/>
      <c r="K6" s="334" t="s">
        <v>74</v>
      </c>
      <c r="L6" s="335"/>
      <c r="M6" s="335"/>
      <c r="N6" s="335"/>
      <c r="O6" s="335"/>
      <c r="P6" s="336"/>
      <c r="Q6" s="69"/>
      <c r="R6" s="334" t="s">
        <v>74</v>
      </c>
      <c r="S6" s="335"/>
      <c r="T6" s="335"/>
      <c r="U6" s="335"/>
      <c r="V6" s="335"/>
      <c r="W6" s="336"/>
      <c r="X6" s="70"/>
      <c r="Y6" s="334" t="s">
        <v>74</v>
      </c>
      <c r="Z6" s="335"/>
      <c r="AA6" s="335"/>
      <c r="AB6" s="335"/>
      <c r="AC6" s="335"/>
      <c r="AD6" s="336"/>
      <c r="AE6" s="32"/>
      <c r="AF6" s="334" t="s">
        <v>74</v>
      </c>
      <c r="AG6" s="335"/>
      <c r="AH6" s="335"/>
      <c r="AI6" s="335"/>
      <c r="AJ6" s="335"/>
      <c r="AK6" s="336"/>
    </row>
    <row r="7" spans="1:46" ht="15.75" thickBot="1" x14ac:dyDescent="0.3">
      <c r="A7" s="11"/>
      <c r="B7" s="13"/>
      <c r="C7" s="55"/>
      <c r="D7" s="223"/>
      <c r="E7" s="224"/>
      <c r="F7" s="224"/>
      <c r="G7" s="224"/>
      <c r="H7" s="224"/>
      <c r="I7" s="224"/>
      <c r="K7" s="223"/>
      <c r="L7" s="224"/>
      <c r="M7" s="224"/>
      <c r="N7" s="224"/>
      <c r="O7" s="224"/>
      <c r="P7" s="224"/>
      <c r="R7" s="235"/>
      <c r="S7" s="236"/>
      <c r="T7" s="236"/>
      <c r="U7" s="236"/>
      <c r="V7" s="236"/>
      <c r="W7" s="236"/>
      <c r="Y7" s="223"/>
      <c r="Z7" s="224"/>
      <c r="AA7" s="224"/>
      <c r="AB7" s="224"/>
      <c r="AC7" s="224"/>
      <c r="AD7" s="224"/>
      <c r="AF7" s="235"/>
      <c r="AG7" s="236"/>
      <c r="AH7" s="236"/>
      <c r="AI7" s="236"/>
      <c r="AJ7" s="236"/>
      <c r="AK7" s="236"/>
    </row>
    <row r="8" spans="1:46" ht="15" customHeight="1" x14ac:dyDescent="0.25">
      <c r="A8" s="317" t="s">
        <v>37</v>
      </c>
      <c r="B8" s="318" t="s">
        <v>94</v>
      </c>
      <c r="C8" s="53" t="s">
        <v>5</v>
      </c>
      <c r="D8" s="241" t="s">
        <v>110</v>
      </c>
      <c r="E8" s="242"/>
      <c r="F8" s="242"/>
      <c r="G8" s="242"/>
      <c r="H8" s="243"/>
      <c r="I8" s="123" t="s">
        <v>141</v>
      </c>
      <c r="K8" s="241" t="s">
        <v>110</v>
      </c>
      <c r="L8" s="242"/>
      <c r="M8" s="242"/>
      <c r="N8" s="242"/>
      <c r="O8" s="243"/>
      <c r="P8" s="92" t="s">
        <v>192</v>
      </c>
      <c r="R8" s="241" t="s">
        <v>110</v>
      </c>
      <c r="S8" s="242"/>
      <c r="T8" s="242"/>
      <c r="U8" s="242"/>
      <c r="V8" s="243"/>
      <c r="W8" s="92" t="s">
        <v>171</v>
      </c>
      <c r="Y8" s="241" t="s">
        <v>110</v>
      </c>
      <c r="Z8" s="242"/>
      <c r="AA8" s="242"/>
      <c r="AB8" s="242"/>
      <c r="AC8" s="243"/>
      <c r="AD8" s="92" t="s">
        <v>119</v>
      </c>
      <c r="AF8" s="241" t="s">
        <v>110</v>
      </c>
      <c r="AG8" s="242"/>
      <c r="AH8" s="242"/>
      <c r="AI8" s="242"/>
      <c r="AJ8" s="243"/>
      <c r="AK8" s="92" t="s">
        <v>171</v>
      </c>
    </row>
    <row r="9" spans="1:46" x14ac:dyDescent="0.25">
      <c r="A9" s="317"/>
      <c r="B9" s="318"/>
      <c r="C9" s="14" t="s">
        <v>6</v>
      </c>
      <c r="D9" s="244" t="s">
        <v>87</v>
      </c>
      <c r="E9" s="245"/>
      <c r="F9" s="245"/>
      <c r="G9" s="245"/>
      <c r="H9" s="246"/>
      <c r="I9" s="124" t="s">
        <v>141</v>
      </c>
      <c r="K9" s="244" t="s">
        <v>87</v>
      </c>
      <c r="L9" s="245"/>
      <c r="M9" s="245"/>
      <c r="N9" s="245"/>
      <c r="O9" s="246"/>
      <c r="P9" s="94" t="s">
        <v>192</v>
      </c>
      <c r="R9" s="244" t="s">
        <v>87</v>
      </c>
      <c r="S9" s="245"/>
      <c r="T9" s="245"/>
      <c r="U9" s="245"/>
      <c r="V9" s="246"/>
      <c r="W9" s="94" t="s">
        <v>171</v>
      </c>
      <c r="Y9" s="244" t="s">
        <v>87</v>
      </c>
      <c r="Z9" s="245"/>
      <c r="AA9" s="245"/>
      <c r="AB9" s="245"/>
      <c r="AC9" s="246"/>
      <c r="AD9" s="94" t="s">
        <v>119</v>
      </c>
      <c r="AF9" s="244" t="s">
        <v>87</v>
      </c>
      <c r="AG9" s="245"/>
      <c r="AH9" s="245"/>
      <c r="AI9" s="245"/>
      <c r="AJ9" s="246"/>
      <c r="AK9" s="94" t="s">
        <v>171</v>
      </c>
      <c r="AQ9" s="143"/>
      <c r="AR9" s="143"/>
      <c r="AS9" s="143"/>
      <c r="AT9" s="143"/>
    </row>
    <row r="10" spans="1:46" ht="15.75" thickBot="1" x14ac:dyDescent="0.3">
      <c r="A10" s="317"/>
      <c r="B10" s="318"/>
      <c r="C10" s="54" t="s">
        <v>7</v>
      </c>
      <c r="D10" s="247" t="s">
        <v>88</v>
      </c>
      <c r="E10" s="248"/>
      <c r="F10" s="248"/>
      <c r="G10" s="248"/>
      <c r="H10" s="249"/>
      <c r="I10" s="125" t="s">
        <v>141</v>
      </c>
      <c r="K10" s="247" t="s">
        <v>88</v>
      </c>
      <c r="L10" s="248"/>
      <c r="M10" s="248"/>
      <c r="N10" s="248"/>
      <c r="O10" s="249"/>
      <c r="P10" s="95" t="s">
        <v>192</v>
      </c>
      <c r="R10" s="247" t="s">
        <v>88</v>
      </c>
      <c r="S10" s="248"/>
      <c r="T10" s="248"/>
      <c r="U10" s="248"/>
      <c r="V10" s="249"/>
      <c r="W10" s="95" t="s">
        <v>171</v>
      </c>
      <c r="Y10" s="247" t="s">
        <v>88</v>
      </c>
      <c r="Z10" s="248"/>
      <c r="AA10" s="248"/>
      <c r="AB10" s="248"/>
      <c r="AC10" s="249"/>
      <c r="AD10" s="95" t="s">
        <v>119</v>
      </c>
      <c r="AF10" s="247" t="s">
        <v>88</v>
      </c>
      <c r="AG10" s="248"/>
      <c r="AH10" s="248"/>
      <c r="AI10" s="248"/>
      <c r="AJ10" s="249"/>
      <c r="AK10" s="95" t="s">
        <v>171</v>
      </c>
      <c r="AQ10" s="143"/>
      <c r="AR10" s="143"/>
      <c r="AS10" s="143"/>
      <c r="AT10" s="143"/>
    </row>
    <row r="11" spans="1:46" ht="15.75" thickBot="1" x14ac:dyDescent="0.3">
      <c r="A11" s="12"/>
      <c r="B11" s="15"/>
      <c r="C11" s="15"/>
      <c r="D11" s="223"/>
      <c r="E11" s="224"/>
      <c r="F11" s="224"/>
      <c r="G11" s="224"/>
      <c r="H11" s="224"/>
      <c r="I11" s="224"/>
      <c r="K11" s="223"/>
      <c r="L11" s="224"/>
      <c r="M11" s="224"/>
      <c r="N11" s="224"/>
      <c r="O11" s="224"/>
      <c r="P11" s="224"/>
      <c r="R11" s="341"/>
      <c r="S11" s="342"/>
      <c r="T11" s="342"/>
      <c r="U11" s="342"/>
      <c r="V11" s="342"/>
      <c r="W11" s="342"/>
      <c r="Y11" s="223"/>
      <c r="Z11" s="224"/>
      <c r="AA11" s="224"/>
      <c r="AB11" s="224"/>
      <c r="AC11" s="224"/>
      <c r="AD11" s="224"/>
      <c r="AF11" s="341"/>
      <c r="AG11" s="342"/>
      <c r="AH11" s="342"/>
      <c r="AI11" s="342"/>
      <c r="AJ11" s="342"/>
      <c r="AK11" s="342"/>
      <c r="AQ11" s="143"/>
      <c r="AR11" s="143"/>
      <c r="AS11" s="143"/>
      <c r="AT11" s="143"/>
    </row>
    <row r="12" spans="1:46" ht="15" customHeight="1" x14ac:dyDescent="0.25">
      <c r="A12" s="304" t="s">
        <v>8</v>
      </c>
      <c r="B12" s="307" t="s">
        <v>95</v>
      </c>
      <c r="C12" s="51" t="s">
        <v>67</v>
      </c>
      <c r="D12" s="312" t="s">
        <v>113</v>
      </c>
      <c r="E12" s="313"/>
      <c r="F12" s="313"/>
      <c r="G12" s="313"/>
      <c r="H12" s="313"/>
      <c r="I12" s="313"/>
      <c r="K12" s="312" t="s">
        <v>155</v>
      </c>
      <c r="L12" s="313"/>
      <c r="M12" s="313"/>
      <c r="N12" s="313"/>
      <c r="O12" s="313"/>
      <c r="P12" s="313"/>
      <c r="R12" s="310" t="s">
        <v>142</v>
      </c>
      <c r="S12" s="311"/>
      <c r="T12" s="311"/>
      <c r="U12" s="311"/>
      <c r="V12" s="311"/>
      <c r="W12" s="311"/>
      <c r="Y12" s="312" t="s">
        <v>120</v>
      </c>
      <c r="Z12" s="313"/>
      <c r="AA12" s="313"/>
      <c r="AB12" s="313"/>
      <c r="AC12" s="313"/>
      <c r="AD12" s="313"/>
      <c r="AF12" s="310" t="s">
        <v>142</v>
      </c>
      <c r="AG12" s="311"/>
      <c r="AH12" s="311"/>
      <c r="AI12" s="311"/>
      <c r="AJ12" s="311"/>
      <c r="AK12" s="311"/>
      <c r="AQ12" s="143"/>
      <c r="AR12" s="143"/>
      <c r="AS12" s="143"/>
      <c r="AT12" s="143"/>
    </row>
    <row r="13" spans="1:46" x14ac:dyDescent="0.25">
      <c r="A13" s="305"/>
      <c r="B13" s="308"/>
      <c r="C13" s="16" t="s">
        <v>75</v>
      </c>
      <c r="D13" s="346" t="s">
        <v>170</v>
      </c>
      <c r="E13" s="347"/>
      <c r="F13" s="347"/>
      <c r="G13" s="347"/>
      <c r="H13" s="347"/>
      <c r="I13" s="347"/>
      <c r="K13" s="314" t="s">
        <v>195</v>
      </c>
      <c r="L13" s="315"/>
      <c r="M13" s="315"/>
      <c r="N13" s="315"/>
      <c r="O13" s="315"/>
      <c r="P13" s="315"/>
      <c r="R13" s="314" t="s">
        <v>181</v>
      </c>
      <c r="S13" s="315"/>
      <c r="T13" s="315"/>
      <c r="U13" s="315"/>
      <c r="V13" s="315"/>
      <c r="W13" s="315"/>
      <c r="Y13" s="346" t="s">
        <v>162</v>
      </c>
      <c r="Z13" s="347"/>
      <c r="AA13" s="347"/>
      <c r="AB13" s="347"/>
      <c r="AC13" s="347"/>
      <c r="AD13" s="347"/>
      <c r="AF13" s="314" t="s">
        <v>181</v>
      </c>
      <c r="AG13" s="315"/>
      <c r="AH13" s="315"/>
      <c r="AI13" s="315"/>
      <c r="AJ13" s="315"/>
      <c r="AK13" s="315"/>
      <c r="AQ13" s="143"/>
      <c r="AR13" s="143"/>
      <c r="AS13" s="143"/>
      <c r="AT13" s="143"/>
    </row>
    <row r="14" spans="1:46" ht="15.75" thickBot="1" x14ac:dyDescent="0.3">
      <c r="A14" s="306"/>
      <c r="B14" s="309"/>
      <c r="C14" s="52" t="s">
        <v>10</v>
      </c>
      <c r="D14" s="316" t="s">
        <v>88</v>
      </c>
      <c r="E14" s="231"/>
      <c r="F14" s="231"/>
      <c r="G14" s="231"/>
      <c r="H14" s="232"/>
      <c r="I14" s="52" t="s">
        <v>141</v>
      </c>
      <c r="K14" s="316" t="s">
        <v>88</v>
      </c>
      <c r="L14" s="231"/>
      <c r="M14" s="231"/>
      <c r="N14" s="231"/>
      <c r="O14" s="232"/>
      <c r="P14" s="77" t="s">
        <v>193</v>
      </c>
      <c r="R14" s="316" t="s">
        <v>88</v>
      </c>
      <c r="S14" s="231"/>
      <c r="T14" s="231"/>
      <c r="U14" s="231"/>
      <c r="V14" s="232"/>
      <c r="W14" s="77" t="s">
        <v>199</v>
      </c>
      <c r="Y14" s="316" t="s">
        <v>88</v>
      </c>
      <c r="Z14" s="231"/>
      <c r="AA14" s="231"/>
      <c r="AB14" s="231"/>
      <c r="AC14" s="232"/>
      <c r="AD14" s="77" t="s">
        <v>119</v>
      </c>
      <c r="AF14" s="316" t="s">
        <v>88</v>
      </c>
      <c r="AG14" s="231"/>
      <c r="AH14" s="231"/>
      <c r="AI14" s="231"/>
      <c r="AJ14" s="232"/>
      <c r="AK14" s="77" t="s">
        <v>199</v>
      </c>
      <c r="AQ14" s="144"/>
      <c r="AR14" s="143"/>
      <c r="AS14" s="144"/>
      <c r="AT14" s="143"/>
    </row>
    <row r="15" spans="1:46" ht="15.75" thickBot="1" x14ac:dyDescent="0.3">
      <c r="A15" s="12"/>
      <c r="B15" s="15"/>
      <c r="C15" s="15"/>
      <c r="D15" s="235"/>
      <c r="E15" s="236"/>
      <c r="F15" s="236"/>
      <c r="G15" s="236"/>
      <c r="H15" s="236"/>
      <c r="I15" s="236"/>
      <c r="K15" s="235"/>
      <c r="L15" s="236"/>
      <c r="M15" s="236"/>
      <c r="N15" s="236"/>
      <c r="O15" s="236"/>
      <c r="P15" s="236"/>
      <c r="R15" s="235"/>
      <c r="S15" s="236"/>
      <c r="T15" s="236"/>
      <c r="U15" s="236"/>
      <c r="V15" s="236"/>
      <c r="W15" s="236"/>
      <c r="Y15" s="235"/>
      <c r="Z15" s="236"/>
      <c r="AA15" s="236"/>
      <c r="AB15" s="236"/>
      <c r="AC15" s="236"/>
      <c r="AD15" s="236"/>
      <c r="AF15" s="235"/>
      <c r="AG15" s="236"/>
      <c r="AH15" s="236"/>
      <c r="AI15" s="236"/>
      <c r="AJ15" s="236"/>
      <c r="AK15" s="236"/>
      <c r="AQ15" s="143"/>
      <c r="AR15" s="143"/>
      <c r="AS15" s="143"/>
      <c r="AT15" s="143"/>
    </row>
    <row r="16" spans="1:46" ht="15.75" customHeight="1" thickBot="1" x14ac:dyDescent="0.3">
      <c r="A16" s="301" t="s">
        <v>11</v>
      </c>
      <c r="B16" s="285" t="s">
        <v>96</v>
      </c>
      <c r="C16" s="46" t="s">
        <v>83</v>
      </c>
      <c r="D16" s="87" t="s">
        <v>32</v>
      </c>
      <c r="E16" s="88" t="s">
        <v>71</v>
      </c>
      <c r="F16" s="88" t="s">
        <v>20</v>
      </c>
      <c r="G16" s="88" t="s">
        <v>106</v>
      </c>
      <c r="H16" s="89" t="s">
        <v>90</v>
      </c>
      <c r="I16" s="89" t="s">
        <v>23</v>
      </c>
      <c r="K16" s="87" t="s">
        <v>32</v>
      </c>
      <c r="L16" s="88" t="s">
        <v>71</v>
      </c>
      <c r="M16" s="88" t="s">
        <v>20</v>
      </c>
      <c r="N16" s="88" t="s">
        <v>106</v>
      </c>
      <c r="O16" s="89" t="s">
        <v>90</v>
      </c>
      <c r="P16" s="89" t="s">
        <v>23</v>
      </c>
      <c r="R16" s="87" t="s">
        <v>32</v>
      </c>
      <c r="S16" s="88" t="s">
        <v>71</v>
      </c>
      <c r="T16" s="88" t="s">
        <v>20</v>
      </c>
      <c r="U16" s="88" t="s">
        <v>106</v>
      </c>
      <c r="V16" s="89" t="s">
        <v>90</v>
      </c>
      <c r="W16" s="89" t="s">
        <v>23</v>
      </c>
      <c r="Y16" s="87" t="s">
        <v>32</v>
      </c>
      <c r="Z16" s="88" t="s">
        <v>71</v>
      </c>
      <c r="AA16" s="88" t="s">
        <v>20</v>
      </c>
      <c r="AB16" s="88" t="s">
        <v>106</v>
      </c>
      <c r="AC16" s="89" t="s">
        <v>90</v>
      </c>
      <c r="AD16" s="89" t="s">
        <v>23</v>
      </c>
      <c r="AF16" s="87" t="s">
        <v>32</v>
      </c>
      <c r="AG16" s="88" t="s">
        <v>71</v>
      </c>
      <c r="AH16" s="88" t="s">
        <v>20</v>
      </c>
      <c r="AI16" s="88" t="s">
        <v>106</v>
      </c>
      <c r="AJ16" s="89" t="s">
        <v>90</v>
      </c>
      <c r="AK16" s="89" t="s">
        <v>23</v>
      </c>
      <c r="AQ16" s="143"/>
      <c r="AR16" s="143"/>
      <c r="AS16" s="143"/>
      <c r="AT16" s="143"/>
    </row>
    <row r="17" spans="1:46" ht="15" customHeight="1" x14ac:dyDescent="0.25">
      <c r="A17" s="302"/>
      <c r="B17" s="286"/>
      <c r="C17" s="42" t="s">
        <v>12</v>
      </c>
      <c r="D17" s="48" t="s">
        <v>144</v>
      </c>
      <c r="E17" s="197" t="s">
        <v>491</v>
      </c>
      <c r="F17" s="79" t="s">
        <v>104</v>
      </c>
      <c r="G17" s="121">
        <v>41730</v>
      </c>
      <c r="H17" s="198" t="s">
        <v>492</v>
      </c>
      <c r="I17" s="73">
        <v>2</v>
      </c>
      <c r="K17" s="48" t="s">
        <v>144</v>
      </c>
      <c r="L17" s="197" t="s">
        <v>491</v>
      </c>
      <c r="M17" s="79" t="s">
        <v>104</v>
      </c>
      <c r="N17" s="78" t="s">
        <v>176</v>
      </c>
      <c r="O17" s="198" t="s">
        <v>493</v>
      </c>
      <c r="P17" s="73">
        <v>2</v>
      </c>
      <c r="R17" s="48" t="s">
        <v>182</v>
      </c>
      <c r="S17" s="43" t="s">
        <v>172</v>
      </c>
      <c r="T17" s="78" t="s">
        <v>104</v>
      </c>
      <c r="U17" s="78" t="s">
        <v>200</v>
      </c>
      <c r="V17" s="198" t="s">
        <v>494</v>
      </c>
      <c r="W17" s="120">
        <v>2</v>
      </c>
      <c r="Y17" s="48" t="s">
        <v>74</v>
      </c>
      <c r="Z17" s="43" t="s">
        <v>74</v>
      </c>
      <c r="AA17" s="78" t="s">
        <v>74</v>
      </c>
      <c r="AB17" s="78" t="s">
        <v>74</v>
      </c>
      <c r="AC17" s="73" t="s">
        <v>74</v>
      </c>
      <c r="AD17" s="73" t="s">
        <v>74</v>
      </c>
      <c r="AF17" s="48" t="s">
        <v>182</v>
      </c>
      <c r="AG17" s="43" t="s">
        <v>172</v>
      </c>
      <c r="AH17" s="78" t="s">
        <v>104</v>
      </c>
      <c r="AI17" s="78" t="s">
        <v>200</v>
      </c>
      <c r="AJ17" s="198" t="s">
        <v>495</v>
      </c>
      <c r="AK17" s="120">
        <v>2</v>
      </c>
      <c r="AQ17" s="143"/>
      <c r="AR17" s="143"/>
      <c r="AS17" s="143"/>
      <c r="AT17" s="143"/>
    </row>
    <row r="18" spans="1:46" x14ac:dyDescent="0.25">
      <c r="A18" s="302"/>
      <c r="B18" s="286"/>
      <c r="C18" s="17" t="s">
        <v>12</v>
      </c>
      <c r="D18" s="48" t="s">
        <v>74</v>
      </c>
      <c r="E18" s="43" t="s">
        <v>74</v>
      </c>
      <c r="F18" s="79" t="s">
        <v>74</v>
      </c>
      <c r="G18" s="79" t="s">
        <v>74</v>
      </c>
      <c r="H18" s="192" t="s">
        <v>74</v>
      </c>
      <c r="I18" s="192" t="s">
        <v>74</v>
      </c>
      <c r="K18" s="48"/>
      <c r="L18" s="43"/>
      <c r="M18" s="79"/>
      <c r="N18" s="79"/>
      <c r="O18" s="192"/>
      <c r="P18" s="192"/>
      <c r="R18" s="48" t="s">
        <v>74</v>
      </c>
      <c r="S18" s="43" t="s">
        <v>74</v>
      </c>
      <c r="T18" s="78" t="s">
        <v>74</v>
      </c>
      <c r="U18" s="78" t="s">
        <v>74</v>
      </c>
      <c r="V18" s="73" t="s">
        <v>74</v>
      </c>
      <c r="W18" s="120" t="s">
        <v>74</v>
      </c>
      <c r="Y18" s="48" t="s">
        <v>74</v>
      </c>
      <c r="Z18" s="43" t="s">
        <v>74</v>
      </c>
      <c r="AA18" s="78" t="s">
        <v>74</v>
      </c>
      <c r="AB18" s="78" t="s">
        <v>74</v>
      </c>
      <c r="AC18" s="73" t="s">
        <v>74</v>
      </c>
      <c r="AD18" s="73" t="s">
        <v>74</v>
      </c>
      <c r="AF18" s="48" t="s">
        <v>74</v>
      </c>
      <c r="AG18" s="43" t="s">
        <v>74</v>
      </c>
      <c r="AH18" s="78" t="s">
        <v>74</v>
      </c>
      <c r="AI18" s="78" t="s">
        <v>74</v>
      </c>
      <c r="AJ18" s="73" t="s">
        <v>74</v>
      </c>
      <c r="AK18" s="120" t="s">
        <v>74</v>
      </c>
      <c r="AQ18" s="143"/>
      <c r="AR18" s="143"/>
      <c r="AS18" s="143"/>
      <c r="AT18" s="143"/>
    </row>
    <row r="19" spans="1:46" x14ac:dyDescent="0.25">
      <c r="A19" s="302"/>
      <c r="B19" s="286"/>
      <c r="C19" s="17" t="s">
        <v>14</v>
      </c>
      <c r="D19" s="49" t="s">
        <v>74</v>
      </c>
      <c r="E19" s="192" t="s">
        <v>74</v>
      </c>
      <c r="F19" s="79" t="s">
        <v>74</v>
      </c>
      <c r="G19" s="79" t="s">
        <v>74</v>
      </c>
      <c r="H19" s="192" t="s">
        <v>74</v>
      </c>
      <c r="I19" s="192" t="s">
        <v>74</v>
      </c>
      <c r="K19" s="49" t="s">
        <v>174</v>
      </c>
      <c r="L19" s="192" t="s">
        <v>132</v>
      </c>
      <c r="M19" s="79" t="s">
        <v>104</v>
      </c>
      <c r="N19" s="100">
        <v>42064</v>
      </c>
      <c r="O19" s="192" t="s">
        <v>194</v>
      </c>
      <c r="P19" s="192">
        <v>1</v>
      </c>
      <c r="R19" s="49" t="s">
        <v>174</v>
      </c>
      <c r="S19" s="192" t="s">
        <v>132</v>
      </c>
      <c r="T19" s="78" t="s">
        <v>104</v>
      </c>
      <c r="U19" s="100">
        <v>42430</v>
      </c>
      <c r="V19" s="192" t="s">
        <v>133</v>
      </c>
      <c r="W19" s="192">
        <v>1</v>
      </c>
      <c r="Y19" s="48" t="s">
        <v>74</v>
      </c>
      <c r="Z19" s="43" t="s">
        <v>74</v>
      </c>
      <c r="AA19" s="78" t="s">
        <v>74</v>
      </c>
      <c r="AB19" s="78" t="s">
        <v>74</v>
      </c>
      <c r="AC19" s="73" t="s">
        <v>74</v>
      </c>
      <c r="AD19" s="73" t="s">
        <v>74</v>
      </c>
      <c r="AF19" s="49" t="s">
        <v>174</v>
      </c>
      <c r="AG19" s="192" t="s">
        <v>132</v>
      </c>
      <c r="AH19" s="78" t="s">
        <v>104</v>
      </c>
      <c r="AI19" s="100">
        <v>42430</v>
      </c>
      <c r="AJ19" s="192" t="s">
        <v>133</v>
      </c>
      <c r="AK19" s="192">
        <v>1</v>
      </c>
      <c r="AQ19" s="143"/>
      <c r="AR19" s="143"/>
      <c r="AS19" s="143"/>
      <c r="AT19" s="143"/>
    </row>
    <row r="20" spans="1:46" x14ac:dyDescent="0.25">
      <c r="A20" s="302"/>
      <c r="B20" s="286"/>
      <c r="C20" s="17" t="s">
        <v>15</v>
      </c>
      <c r="D20" s="108" t="s">
        <v>129</v>
      </c>
      <c r="E20" s="192" t="s">
        <v>130</v>
      </c>
      <c r="F20" s="79" t="s">
        <v>104</v>
      </c>
      <c r="G20" s="100">
        <v>41699</v>
      </c>
      <c r="H20" s="192" t="s">
        <v>131</v>
      </c>
      <c r="I20" s="192">
        <v>1</v>
      </c>
      <c r="K20" s="108" t="s">
        <v>129</v>
      </c>
      <c r="L20" s="192" t="s">
        <v>130</v>
      </c>
      <c r="M20" s="79" t="s">
        <v>104</v>
      </c>
      <c r="N20" s="100">
        <v>42064</v>
      </c>
      <c r="O20" s="192" t="s">
        <v>131</v>
      </c>
      <c r="P20" s="192">
        <v>1</v>
      </c>
      <c r="R20" s="108" t="s">
        <v>129</v>
      </c>
      <c r="S20" s="192" t="s">
        <v>130</v>
      </c>
      <c r="T20" s="79" t="s">
        <v>104</v>
      </c>
      <c r="U20" s="100">
        <v>42430</v>
      </c>
      <c r="V20" s="192" t="s">
        <v>131</v>
      </c>
      <c r="W20" s="192">
        <v>1</v>
      </c>
      <c r="Y20" s="49" t="s">
        <v>224</v>
      </c>
      <c r="Z20" s="192" t="s">
        <v>225</v>
      </c>
      <c r="AA20" s="79" t="s">
        <v>104</v>
      </c>
      <c r="AB20" s="100">
        <v>42795</v>
      </c>
      <c r="AC20" s="192" t="s">
        <v>131</v>
      </c>
      <c r="AD20" s="192">
        <v>1</v>
      </c>
      <c r="AF20" s="108" t="s">
        <v>129</v>
      </c>
      <c r="AG20" s="192" t="s">
        <v>130</v>
      </c>
      <c r="AH20" s="79" t="s">
        <v>104</v>
      </c>
      <c r="AI20" s="100">
        <v>42430</v>
      </c>
      <c r="AJ20" s="192" t="s">
        <v>131</v>
      </c>
      <c r="AK20" s="192">
        <v>1</v>
      </c>
    </row>
    <row r="21" spans="1:46" x14ac:dyDescent="0.25">
      <c r="A21" s="302"/>
      <c r="B21" s="286"/>
      <c r="C21" s="17" t="s">
        <v>16</v>
      </c>
      <c r="D21" s="49" t="s">
        <v>74</v>
      </c>
      <c r="E21" s="192" t="s">
        <v>74</v>
      </c>
      <c r="F21" s="79" t="s">
        <v>74</v>
      </c>
      <c r="G21" s="79" t="s">
        <v>74</v>
      </c>
      <c r="H21" s="192" t="s">
        <v>74</v>
      </c>
      <c r="I21" s="192" t="s">
        <v>74</v>
      </c>
      <c r="K21" s="49"/>
      <c r="L21" s="192"/>
      <c r="M21" s="79"/>
      <c r="N21" s="79"/>
      <c r="O21" s="192"/>
      <c r="P21" s="192"/>
      <c r="R21" s="49" t="s">
        <v>74</v>
      </c>
      <c r="S21" s="192" t="s">
        <v>74</v>
      </c>
      <c r="T21" s="79" t="s">
        <v>74</v>
      </c>
      <c r="U21" s="79" t="s">
        <v>74</v>
      </c>
      <c r="V21" s="192" t="s">
        <v>74</v>
      </c>
      <c r="W21" s="192" t="s">
        <v>74</v>
      </c>
      <c r="Y21" s="48" t="s">
        <v>74</v>
      </c>
      <c r="Z21" s="43" t="s">
        <v>74</v>
      </c>
      <c r="AA21" s="78" t="s">
        <v>74</v>
      </c>
      <c r="AB21" s="78" t="s">
        <v>74</v>
      </c>
      <c r="AC21" s="73" t="s">
        <v>74</v>
      </c>
      <c r="AD21" s="73" t="s">
        <v>74</v>
      </c>
      <c r="AF21" s="49" t="s">
        <v>74</v>
      </c>
      <c r="AG21" s="192" t="s">
        <v>74</v>
      </c>
      <c r="AH21" s="79" t="s">
        <v>74</v>
      </c>
      <c r="AI21" s="79" t="s">
        <v>74</v>
      </c>
      <c r="AJ21" s="192" t="s">
        <v>74</v>
      </c>
      <c r="AK21" s="192" t="s">
        <v>74</v>
      </c>
    </row>
    <row r="22" spans="1:46" x14ac:dyDescent="0.25">
      <c r="A22" s="302"/>
      <c r="B22" s="286"/>
      <c r="C22" s="17" t="s">
        <v>17</v>
      </c>
      <c r="D22" s="49" t="s">
        <v>74</v>
      </c>
      <c r="E22" s="192" t="s">
        <v>74</v>
      </c>
      <c r="F22" s="79" t="s">
        <v>74</v>
      </c>
      <c r="G22" s="79" t="s">
        <v>74</v>
      </c>
      <c r="H22" s="192" t="s">
        <v>74</v>
      </c>
      <c r="I22" s="192" t="s">
        <v>74</v>
      </c>
      <c r="K22" s="49"/>
      <c r="L22" s="192"/>
      <c r="M22" s="79"/>
      <c r="N22" s="79"/>
      <c r="O22" s="192"/>
      <c r="P22" s="192"/>
      <c r="R22" s="49" t="s">
        <v>74</v>
      </c>
      <c r="S22" s="192" t="s">
        <v>74</v>
      </c>
      <c r="T22" s="79" t="s">
        <v>74</v>
      </c>
      <c r="U22" s="79" t="s">
        <v>74</v>
      </c>
      <c r="V22" s="192" t="s">
        <v>74</v>
      </c>
      <c r="W22" s="192" t="s">
        <v>74</v>
      </c>
      <c r="Y22" s="48" t="s">
        <v>74</v>
      </c>
      <c r="Z22" s="43" t="s">
        <v>74</v>
      </c>
      <c r="AA22" s="78" t="s">
        <v>74</v>
      </c>
      <c r="AB22" s="78" t="s">
        <v>74</v>
      </c>
      <c r="AC22" s="73" t="s">
        <v>74</v>
      </c>
      <c r="AD22" s="73" t="s">
        <v>74</v>
      </c>
      <c r="AF22" s="49" t="s">
        <v>74</v>
      </c>
      <c r="AG22" s="192" t="s">
        <v>74</v>
      </c>
      <c r="AH22" s="79" t="s">
        <v>74</v>
      </c>
      <c r="AI22" s="79" t="s">
        <v>74</v>
      </c>
      <c r="AJ22" s="192" t="s">
        <v>74</v>
      </c>
      <c r="AK22" s="192" t="s">
        <v>74</v>
      </c>
    </row>
    <row r="23" spans="1:46" ht="15.75" thickBot="1" x14ac:dyDescent="0.3">
      <c r="A23" s="302"/>
      <c r="B23" s="286"/>
      <c r="C23" s="33" t="s">
        <v>33</v>
      </c>
      <c r="D23" s="50" t="s">
        <v>190</v>
      </c>
      <c r="E23" s="45" t="s">
        <v>153</v>
      </c>
      <c r="F23" s="81" t="s">
        <v>143</v>
      </c>
      <c r="G23" s="134">
        <v>41760</v>
      </c>
      <c r="H23" s="45" t="s">
        <v>246</v>
      </c>
      <c r="I23" s="129">
        <v>1</v>
      </c>
      <c r="K23" s="50" t="s">
        <v>156</v>
      </c>
      <c r="L23" s="45" t="s">
        <v>158</v>
      </c>
      <c r="M23" s="81" t="s">
        <v>143</v>
      </c>
      <c r="N23" s="130">
        <v>42095</v>
      </c>
      <c r="O23" s="45" t="s">
        <v>157</v>
      </c>
      <c r="P23" s="45">
        <v>1</v>
      </c>
      <c r="R23" s="50" t="s">
        <v>156</v>
      </c>
      <c r="S23" s="45" t="s">
        <v>158</v>
      </c>
      <c r="T23" s="81" t="s">
        <v>143</v>
      </c>
      <c r="U23" s="130">
        <v>42461</v>
      </c>
      <c r="V23" s="45" t="s">
        <v>157</v>
      </c>
      <c r="W23" s="45">
        <v>1</v>
      </c>
      <c r="Y23" s="50" t="s">
        <v>74</v>
      </c>
      <c r="Z23" s="140" t="s">
        <v>74</v>
      </c>
      <c r="AA23" s="81" t="s">
        <v>74</v>
      </c>
      <c r="AB23" s="81" t="s">
        <v>74</v>
      </c>
      <c r="AC23" s="45" t="s">
        <v>74</v>
      </c>
      <c r="AD23" s="45" t="s">
        <v>74</v>
      </c>
      <c r="AF23" s="50" t="s">
        <v>156</v>
      </c>
      <c r="AG23" s="45" t="s">
        <v>158</v>
      </c>
      <c r="AH23" s="81" t="s">
        <v>143</v>
      </c>
      <c r="AI23" s="130">
        <v>42461</v>
      </c>
      <c r="AJ23" s="45" t="s">
        <v>157</v>
      </c>
      <c r="AK23" s="45">
        <v>1</v>
      </c>
    </row>
    <row r="24" spans="1:46" ht="18" thickBot="1" x14ac:dyDescent="0.3">
      <c r="A24" s="302"/>
      <c r="B24" s="286"/>
      <c r="C24" s="46" t="s">
        <v>81</v>
      </c>
      <c r="D24" s="87" t="s">
        <v>32</v>
      </c>
      <c r="E24" s="89" t="s">
        <v>82</v>
      </c>
      <c r="F24" s="88" t="s">
        <v>20</v>
      </c>
      <c r="G24" s="88" t="s">
        <v>106</v>
      </c>
      <c r="H24" s="89" t="s">
        <v>84</v>
      </c>
      <c r="I24" s="89" t="s">
        <v>23</v>
      </c>
      <c r="K24" s="87" t="s">
        <v>32</v>
      </c>
      <c r="L24" s="89" t="s">
        <v>82</v>
      </c>
      <c r="M24" s="88" t="s">
        <v>20</v>
      </c>
      <c r="N24" s="88" t="s">
        <v>106</v>
      </c>
      <c r="O24" s="89" t="s">
        <v>84</v>
      </c>
      <c r="P24" s="89" t="s">
        <v>23</v>
      </c>
      <c r="R24" s="87" t="s">
        <v>32</v>
      </c>
      <c r="S24" s="89" t="s">
        <v>82</v>
      </c>
      <c r="T24" s="88" t="s">
        <v>20</v>
      </c>
      <c r="U24" s="88" t="s">
        <v>106</v>
      </c>
      <c r="V24" s="89" t="s">
        <v>84</v>
      </c>
      <c r="W24" s="89" t="s">
        <v>23</v>
      </c>
      <c r="Y24" s="87" t="s">
        <v>32</v>
      </c>
      <c r="Z24" s="89" t="s">
        <v>82</v>
      </c>
      <c r="AA24" s="88" t="s">
        <v>20</v>
      </c>
      <c r="AB24" s="88" t="s">
        <v>106</v>
      </c>
      <c r="AC24" s="89" t="s">
        <v>84</v>
      </c>
      <c r="AD24" s="89" t="s">
        <v>23</v>
      </c>
      <c r="AF24" s="87" t="s">
        <v>32</v>
      </c>
      <c r="AG24" s="89" t="s">
        <v>82</v>
      </c>
      <c r="AH24" s="88" t="s">
        <v>20</v>
      </c>
      <c r="AI24" s="88" t="s">
        <v>106</v>
      </c>
      <c r="AJ24" s="89" t="s">
        <v>84</v>
      </c>
      <c r="AK24" s="89" t="s">
        <v>23</v>
      </c>
    </row>
    <row r="25" spans="1:46" x14ac:dyDescent="0.25">
      <c r="A25" s="302"/>
      <c r="B25" s="286"/>
      <c r="C25" s="42" t="s">
        <v>19</v>
      </c>
      <c r="D25" s="48" t="s">
        <v>74</v>
      </c>
      <c r="E25" s="43" t="s">
        <v>74</v>
      </c>
      <c r="F25" s="78" t="s">
        <v>74</v>
      </c>
      <c r="G25" s="78" t="s">
        <v>74</v>
      </c>
      <c r="H25" s="73" t="s">
        <v>74</v>
      </c>
      <c r="I25" s="73" t="s">
        <v>74</v>
      </c>
      <c r="K25" s="48" t="s">
        <v>74</v>
      </c>
      <c r="L25" s="43" t="s">
        <v>74</v>
      </c>
      <c r="M25" s="78" t="s">
        <v>74</v>
      </c>
      <c r="N25" s="78" t="s">
        <v>74</v>
      </c>
      <c r="O25" s="73" t="s">
        <v>74</v>
      </c>
      <c r="P25" s="73" t="s">
        <v>74</v>
      </c>
      <c r="R25" s="48" t="s">
        <v>74</v>
      </c>
      <c r="S25" s="43" t="s">
        <v>74</v>
      </c>
      <c r="T25" s="78" t="s">
        <v>74</v>
      </c>
      <c r="U25" s="78" t="s">
        <v>74</v>
      </c>
      <c r="V25" s="73" t="s">
        <v>74</v>
      </c>
      <c r="W25" s="73" t="s">
        <v>74</v>
      </c>
      <c r="Y25" s="48" t="s">
        <v>74</v>
      </c>
      <c r="Z25" s="43" t="s">
        <v>74</v>
      </c>
      <c r="AA25" s="78" t="s">
        <v>74</v>
      </c>
      <c r="AB25" s="78" t="s">
        <v>74</v>
      </c>
      <c r="AC25" s="73" t="s">
        <v>74</v>
      </c>
      <c r="AD25" s="73" t="s">
        <v>74</v>
      </c>
      <c r="AF25" s="48" t="s">
        <v>74</v>
      </c>
      <c r="AG25" s="43" t="s">
        <v>74</v>
      </c>
      <c r="AH25" s="78" t="s">
        <v>74</v>
      </c>
      <c r="AI25" s="78" t="s">
        <v>74</v>
      </c>
      <c r="AJ25" s="73" t="s">
        <v>74</v>
      </c>
      <c r="AK25" s="73" t="s">
        <v>74</v>
      </c>
    </row>
    <row r="26" spans="1:46" ht="15.75" thickBot="1" x14ac:dyDescent="0.3">
      <c r="A26" s="303"/>
      <c r="B26" s="287"/>
      <c r="C26" s="44" t="s">
        <v>18</v>
      </c>
      <c r="D26" s="50" t="s">
        <v>74</v>
      </c>
      <c r="E26" s="45" t="s">
        <v>74</v>
      </c>
      <c r="F26" s="79" t="s">
        <v>74</v>
      </c>
      <c r="G26" s="79" t="s">
        <v>496</v>
      </c>
      <c r="H26" s="45" t="s">
        <v>497</v>
      </c>
      <c r="I26" s="45" t="s">
        <v>74</v>
      </c>
      <c r="K26" s="50" t="s">
        <v>74</v>
      </c>
      <c r="L26" s="45" t="s">
        <v>74</v>
      </c>
      <c r="M26" s="79" t="s">
        <v>74</v>
      </c>
      <c r="N26" s="79" t="s">
        <v>496</v>
      </c>
      <c r="O26" s="45" t="s">
        <v>498</v>
      </c>
      <c r="P26" s="45" t="s">
        <v>74</v>
      </c>
      <c r="R26" s="50" t="s">
        <v>74</v>
      </c>
      <c r="S26" s="45" t="s">
        <v>74</v>
      </c>
      <c r="T26" s="79" t="s">
        <v>499</v>
      </c>
      <c r="U26" s="79" t="s">
        <v>74</v>
      </c>
      <c r="V26" s="45" t="s">
        <v>74</v>
      </c>
      <c r="W26" s="45" t="s">
        <v>74</v>
      </c>
      <c r="Y26" s="50" t="s">
        <v>74</v>
      </c>
      <c r="Z26" s="45" t="s">
        <v>74</v>
      </c>
      <c r="AA26" s="79" t="s">
        <v>74</v>
      </c>
      <c r="AB26" s="79" t="s">
        <v>74</v>
      </c>
      <c r="AC26" s="45" t="s">
        <v>74</v>
      </c>
      <c r="AD26" s="45" t="s">
        <v>74</v>
      </c>
      <c r="AF26" s="50" t="s">
        <v>74</v>
      </c>
      <c r="AG26" s="45" t="s">
        <v>74</v>
      </c>
      <c r="AH26" s="79" t="s">
        <v>499</v>
      </c>
      <c r="AI26" s="79" t="s">
        <v>74</v>
      </c>
      <c r="AJ26" s="45" t="s">
        <v>74</v>
      </c>
      <c r="AK26" s="45" t="s">
        <v>74</v>
      </c>
    </row>
    <row r="27" spans="1:46" ht="15.75" thickBot="1" x14ac:dyDescent="0.3">
      <c r="A27" s="18"/>
      <c r="B27" s="15"/>
      <c r="C27" s="15"/>
      <c r="D27" s="223"/>
      <c r="E27" s="224"/>
      <c r="F27" s="224"/>
      <c r="G27" s="224"/>
      <c r="H27" s="224"/>
      <c r="I27" s="224"/>
      <c r="K27" s="223"/>
      <c r="L27" s="224"/>
      <c r="M27" s="224"/>
      <c r="N27" s="224"/>
      <c r="O27" s="224"/>
      <c r="P27" s="224"/>
      <c r="R27" s="223"/>
      <c r="S27" s="224"/>
      <c r="T27" s="224"/>
      <c r="U27" s="224"/>
      <c r="V27" s="224"/>
      <c r="W27" s="224"/>
      <c r="Y27" s="223"/>
      <c r="Z27" s="224"/>
      <c r="AA27" s="224"/>
      <c r="AB27" s="224"/>
      <c r="AC27" s="224"/>
      <c r="AD27" s="224"/>
      <c r="AF27" s="223"/>
      <c r="AG27" s="224"/>
      <c r="AH27" s="224"/>
      <c r="AI27" s="224"/>
      <c r="AJ27" s="224"/>
      <c r="AK27" s="224"/>
    </row>
    <row r="28" spans="1:46" ht="60" customHeight="1" thickBot="1" x14ac:dyDescent="0.3">
      <c r="A28" s="274" t="s">
        <v>21</v>
      </c>
      <c r="B28" s="285" t="s">
        <v>97</v>
      </c>
      <c r="C28" s="46"/>
      <c r="D28" s="190" t="s">
        <v>32</v>
      </c>
      <c r="E28" s="75" t="s">
        <v>20</v>
      </c>
      <c r="F28" s="237" t="s">
        <v>86</v>
      </c>
      <c r="G28" s="238"/>
      <c r="H28" s="82" t="s">
        <v>23</v>
      </c>
      <c r="I28" s="74" t="s">
        <v>107</v>
      </c>
      <c r="K28" s="190" t="s">
        <v>32</v>
      </c>
      <c r="L28" s="75" t="s">
        <v>20</v>
      </c>
      <c r="M28" s="237" t="s">
        <v>86</v>
      </c>
      <c r="N28" s="238"/>
      <c r="O28" s="82" t="s">
        <v>23</v>
      </c>
      <c r="P28" s="74" t="s">
        <v>107</v>
      </c>
      <c r="R28" s="190" t="s">
        <v>32</v>
      </c>
      <c r="S28" s="75" t="s">
        <v>20</v>
      </c>
      <c r="T28" s="237" t="s">
        <v>86</v>
      </c>
      <c r="U28" s="238"/>
      <c r="V28" s="82" t="s">
        <v>23</v>
      </c>
      <c r="W28" s="74" t="s">
        <v>107</v>
      </c>
      <c r="Y28" s="190" t="s">
        <v>32</v>
      </c>
      <c r="Z28" s="75" t="s">
        <v>20</v>
      </c>
      <c r="AA28" s="237" t="s">
        <v>86</v>
      </c>
      <c r="AB28" s="238"/>
      <c r="AC28" s="82" t="s">
        <v>23</v>
      </c>
      <c r="AD28" s="74" t="s">
        <v>107</v>
      </c>
      <c r="AF28" s="190" t="s">
        <v>32</v>
      </c>
      <c r="AG28" s="75" t="s">
        <v>20</v>
      </c>
      <c r="AH28" s="237" t="s">
        <v>86</v>
      </c>
      <c r="AI28" s="238"/>
      <c r="AJ28" s="82" t="s">
        <v>23</v>
      </c>
      <c r="AK28" s="74" t="s">
        <v>107</v>
      </c>
    </row>
    <row r="29" spans="1:46" ht="17.25" customHeight="1" x14ac:dyDescent="0.25">
      <c r="A29" s="275"/>
      <c r="B29" s="286"/>
      <c r="C29" s="42" t="s">
        <v>24</v>
      </c>
      <c r="D29" s="73" t="s">
        <v>240</v>
      </c>
      <c r="E29" s="73" t="s">
        <v>143</v>
      </c>
      <c r="F29" s="288" t="s">
        <v>241</v>
      </c>
      <c r="G29" s="289"/>
      <c r="H29" s="78">
        <v>1</v>
      </c>
      <c r="I29" s="121">
        <v>41579</v>
      </c>
      <c r="K29" s="131" t="s">
        <v>160</v>
      </c>
      <c r="L29" s="73" t="s">
        <v>143</v>
      </c>
      <c r="M29" s="288" t="s">
        <v>159</v>
      </c>
      <c r="N29" s="289"/>
      <c r="O29" s="78">
        <v>1</v>
      </c>
      <c r="P29" s="121">
        <v>41944</v>
      </c>
      <c r="R29" s="191" t="s">
        <v>240</v>
      </c>
      <c r="S29" s="192" t="s">
        <v>143</v>
      </c>
      <c r="T29" s="239" t="s">
        <v>242</v>
      </c>
      <c r="U29" s="240"/>
      <c r="V29" s="83">
        <v>1</v>
      </c>
      <c r="W29" s="100">
        <v>42309</v>
      </c>
      <c r="Y29" s="103" t="s">
        <v>164</v>
      </c>
      <c r="Z29" s="192" t="s">
        <v>85</v>
      </c>
      <c r="AA29" s="239" t="s">
        <v>125</v>
      </c>
      <c r="AB29" s="240"/>
      <c r="AC29" s="83">
        <v>1</v>
      </c>
      <c r="AD29" s="101" t="s">
        <v>121</v>
      </c>
      <c r="AF29" s="191" t="s">
        <v>240</v>
      </c>
      <c r="AG29" s="192" t="s">
        <v>143</v>
      </c>
      <c r="AH29" s="239" t="s">
        <v>242</v>
      </c>
      <c r="AI29" s="240"/>
      <c r="AJ29" s="83">
        <v>1</v>
      </c>
      <c r="AK29" s="100">
        <v>42309</v>
      </c>
    </row>
    <row r="30" spans="1:46" ht="17.25" customHeight="1" x14ac:dyDescent="0.25">
      <c r="A30" s="275"/>
      <c r="B30" s="286"/>
      <c r="C30" s="17" t="s">
        <v>24</v>
      </c>
      <c r="D30" s="73" t="s">
        <v>179</v>
      </c>
      <c r="E30" s="73" t="s">
        <v>143</v>
      </c>
      <c r="F30" s="288" t="s">
        <v>189</v>
      </c>
      <c r="G30" s="289"/>
      <c r="H30" s="78">
        <v>1</v>
      </c>
      <c r="I30" s="121">
        <v>41730</v>
      </c>
      <c r="J30" s="122"/>
      <c r="K30" s="191"/>
      <c r="L30" s="192"/>
      <c r="M30" s="239"/>
      <c r="N30" s="240"/>
      <c r="O30" s="83"/>
      <c r="P30" s="79"/>
      <c r="R30" s="191"/>
      <c r="S30" s="192"/>
      <c r="T30" s="239"/>
      <c r="U30" s="240"/>
      <c r="V30" s="83"/>
      <c r="W30" s="100"/>
      <c r="Y30" s="103" t="s">
        <v>74</v>
      </c>
      <c r="Z30" s="192" t="s">
        <v>74</v>
      </c>
      <c r="AA30" s="239" t="s">
        <v>74</v>
      </c>
      <c r="AB30" s="240"/>
      <c r="AC30" s="83" t="s">
        <v>74</v>
      </c>
      <c r="AD30" s="101" t="s">
        <v>74</v>
      </c>
      <c r="AF30" s="191"/>
      <c r="AG30" s="192"/>
      <c r="AH30" s="239"/>
      <c r="AI30" s="240"/>
      <c r="AJ30" s="83"/>
      <c r="AK30" s="100"/>
    </row>
    <row r="31" spans="1:46" x14ac:dyDescent="0.25">
      <c r="A31" s="275"/>
      <c r="B31" s="286"/>
      <c r="C31" s="17" t="s">
        <v>25</v>
      </c>
      <c r="D31" s="73" t="s">
        <v>150</v>
      </c>
      <c r="E31" s="73" t="s">
        <v>143</v>
      </c>
      <c r="F31" s="288" t="s">
        <v>147</v>
      </c>
      <c r="G31" s="289"/>
      <c r="H31" s="78">
        <v>1</v>
      </c>
      <c r="I31" s="121">
        <v>41730</v>
      </c>
      <c r="K31" s="191" t="s">
        <v>161</v>
      </c>
      <c r="L31" s="73" t="s">
        <v>143</v>
      </c>
      <c r="M31" s="239" t="s">
        <v>197</v>
      </c>
      <c r="N31" s="240"/>
      <c r="O31" s="79">
        <v>1</v>
      </c>
      <c r="P31" s="100">
        <v>42095</v>
      </c>
      <c r="R31" s="192" t="s">
        <v>183</v>
      </c>
      <c r="S31" s="192" t="s">
        <v>143</v>
      </c>
      <c r="T31" s="239" t="s">
        <v>187</v>
      </c>
      <c r="U31" s="240"/>
      <c r="V31" s="79">
        <v>1</v>
      </c>
      <c r="W31" s="132">
        <v>42491</v>
      </c>
      <c r="Y31" s="103" t="s">
        <v>163</v>
      </c>
      <c r="Z31" s="192" t="s">
        <v>85</v>
      </c>
      <c r="AA31" s="239" t="s">
        <v>124</v>
      </c>
      <c r="AB31" s="240"/>
      <c r="AC31" s="79">
        <v>2</v>
      </c>
      <c r="AD31" s="102" t="s">
        <v>123</v>
      </c>
      <c r="AF31" s="192" t="s">
        <v>183</v>
      </c>
      <c r="AG31" s="192" t="s">
        <v>143</v>
      </c>
      <c r="AH31" s="239" t="s">
        <v>187</v>
      </c>
      <c r="AI31" s="240"/>
      <c r="AJ31" s="79">
        <v>1</v>
      </c>
      <c r="AK31" s="132">
        <v>42491</v>
      </c>
    </row>
    <row r="32" spans="1:46" x14ac:dyDescent="0.25">
      <c r="A32" s="275"/>
      <c r="B32" s="286"/>
      <c r="C32" s="17" t="s">
        <v>22</v>
      </c>
      <c r="D32" s="191" t="s">
        <v>149</v>
      </c>
      <c r="E32" s="73" t="s">
        <v>143</v>
      </c>
      <c r="F32" s="222" t="s">
        <v>178</v>
      </c>
      <c r="G32" s="222"/>
      <c r="H32" s="79">
        <v>2</v>
      </c>
      <c r="I32" s="100">
        <v>41579</v>
      </c>
      <c r="K32" s="191" t="s">
        <v>149</v>
      </c>
      <c r="L32" s="73" t="s">
        <v>143</v>
      </c>
      <c r="M32" s="222" t="s">
        <v>148</v>
      </c>
      <c r="N32" s="222"/>
      <c r="O32" s="79">
        <v>1</v>
      </c>
      <c r="P32" s="100">
        <v>41944</v>
      </c>
      <c r="R32" s="191" t="s">
        <v>185</v>
      </c>
      <c r="S32" s="192" t="s">
        <v>143</v>
      </c>
      <c r="T32" s="222" t="s">
        <v>186</v>
      </c>
      <c r="U32" s="222"/>
      <c r="V32" s="79">
        <v>1</v>
      </c>
      <c r="W32" s="100">
        <v>42309</v>
      </c>
      <c r="Y32" s="151" t="s">
        <v>237</v>
      </c>
      <c r="Z32" s="192" t="s">
        <v>127</v>
      </c>
      <c r="AA32" s="349" t="s">
        <v>126</v>
      </c>
      <c r="AB32" s="222"/>
      <c r="AC32" s="79">
        <v>1</v>
      </c>
      <c r="AD32" s="101" t="s">
        <v>122</v>
      </c>
      <c r="AF32" s="191" t="s">
        <v>185</v>
      </c>
      <c r="AG32" s="192" t="s">
        <v>143</v>
      </c>
      <c r="AH32" s="222" t="s">
        <v>186</v>
      </c>
      <c r="AI32" s="222"/>
      <c r="AJ32" s="79">
        <v>1</v>
      </c>
      <c r="AK32" s="100">
        <v>42309</v>
      </c>
    </row>
    <row r="33" spans="1:38" x14ac:dyDescent="0.25">
      <c r="A33" s="275"/>
      <c r="B33" s="286"/>
      <c r="C33" s="17" t="s">
        <v>166</v>
      </c>
      <c r="D33" s="49" t="s">
        <v>74</v>
      </c>
      <c r="E33" s="192" t="s">
        <v>74</v>
      </c>
      <c r="F33" s="79" t="s">
        <v>74</v>
      </c>
      <c r="G33" s="79" t="s">
        <v>74</v>
      </c>
      <c r="H33" s="192" t="s">
        <v>74</v>
      </c>
      <c r="I33" s="192" t="s">
        <v>74</v>
      </c>
      <c r="K33" s="191"/>
      <c r="L33" s="192"/>
      <c r="M33" s="239"/>
      <c r="N33" s="240"/>
      <c r="O33" s="79"/>
      <c r="P33" s="84" t="s">
        <v>74</v>
      </c>
      <c r="R33" s="191" t="s">
        <v>169</v>
      </c>
      <c r="S33" s="192" t="s">
        <v>143</v>
      </c>
      <c r="T33" s="222" t="s">
        <v>167</v>
      </c>
      <c r="U33" s="222"/>
      <c r="V33" s="79">
        <v>1</v>
      </c>
      <c r="W33" s="133">
        <v>42461</v>
      </c>
      <c r="Y33" s="191" t="s">
        <v>74</v>
      </c>
      <c r="Z33" s="192" t="s">
        <v>74</v>
      </c>
      <c r="AA33" s="239" t="s">
        <v>74</v>
      </c>
      <c r="AB33" s="240"/>
      <c r="AC33" s="79" t="s">
        <v>74</v>
      </c>
      <c r="AD33" s="103" t="s">
        <v>74</v>
      </c>
      <c r="AF33" s="191" t="s">
        <v>169</v>
      </c>
      <c r="AG33" s="192" t="s">
        <v>143</v>
      </c>
      <c r="AH33" s="222" t="s">
        <v>167</v>
      </c>
      <c r="AI33" s="222"/>
      <c r="AJ33" s="79">
        <v>1</v>
      </c>
      <c r="AK33" s="133">
        <v>42461</v>
      </c>
    </row>
    <row r="34" spans="1:38" ht="15.75" thickBot="1" x14ac:dyDescent="0.3">
      <c r="A34" s="275"/>
      <c r="B34" s="286"/>
      <c r="C34" s="107" t="s">
        <v>128</v>
      </c>
      <c r="D34" s="73" t="s">
        <v>151</v>
      </c>
      <c r="E34" s="73" t="s">
        <v>143</v>
      </c>
      <c r="F34" s="290" t="s">
        <v>191</v>
      </c>
      <c r="G34" s="291"/>
      <c r="H34" s="79">
        <v>1</v>
      </c>
      <c r="I34" s="100">
        <v>41760</v>
      </c>
      <c r="K34" s="191" t="s">
        <v>198</v>
      </c>
      <c r="L34" s="73" t="s">
        <v>143</v>
      </c>
      <c r="M34" s="288" t="s">
        <v>196</v>
      </c>
      <c r="N34" s="289"/>
      <c r="O34" s="81">
        <v>1</v>
      </c>
      <c r="P34" s="128">
        <v>42125</v>
      </c>
      <c r="R34" s="45" t="s">
        <v>184</v>
      </c>
      <c r="S34" s="192" t="s">
        <v>143</v>
      </c>
      <c r="T34" s="239" t="s">
        <v>235</v>
      </c>
      <c r="U34" s="240"/>
      <c r="V34" s="81">
        <v>1</v>
      </c>
      <c r="W34" s="128">
        <v>42522</v>
      </c>
      <c r="Y34" s="193" t="s">
        <v>74</v>
      </c>
      <c r="Z34" s="45" t="s">
        <v>74</v>
      </c>
      <c r="AA34" s="290" t="s">
        <v>74</v>
      </c>
      <c r="AB34" s="291"/>
      <c r="AC34" s="81" t="s">
        <v>74</v>
      </c>
      <c r="AD34" s="104" t="s">
        <v>74</v>
      </c>
      <c r="AF34" s="45" t="s">
        <v>184</v>
      </c>
      <c r="AG34" s="192" t="s">
        <v>143</v>
      </c>
      <c r="AH34" s="239" t="s">
        <v>235</v>
      </c>
      <c r="AI34" s="240"/>
      <c r="AJ34" s="81">
        <v>1</v>
      </c>
      <c r="AK34" s="128">
        <v>42522</v>
      </c>
    </row>
    <row r="35" spans="1:38" s="34" customFormat="1" ht="15.75" thickBot="1" x14ac:dyDescent="0.3">
      <c r="A35" s="276"/>
      <c r="B35" s="287"/>
      <c r="C35" s="46" t="s">
        <v>68</v>
      </c>
      <c r="D35" s="250"/>
      <c r="E35" s="250"/>
      <c r="F35" s="250"/>
      <c r="G35" s="238"/>
      <c r="H35" s="88"/>
      <c r="I35" s="47"/>
      <c r="J35" s="35"/>
      <c r="K35" s="250"/>
      <c r="L35" s="250"/>
      <c r="M35" s="250"/>
      <c r="N35" s="238"/>
      <c r="O35" s="88"/>
      <c r="P35" s="47"/>
      <c r="Q35" s="35"/>
      <c r="R35" s="250"/>
      <c r="S35" s="250"/>
      <c r="T35" s="250"/>
      <c r="U35" s="238"/>
      <c r="V35" s="88"/>
      <c r="W35" s="47"/>
      <c r="X35" s="35"/>
      <c r="Y35" s="250" t="s">
        <v>74</v>
      </c>
      <c r="Z35" s="250"/>
      <c r="AA35" s="250"/>
      <c r="AB35" s="238"/>
      <c r="AC35" s="88" t="s">
        <v>74</v>
      </c>
      <c r="AD35" s="105" t="s">
        <v>74</v>
      </c>
      <c r="AE35" s="35" t="s">
        <v>74</v>
      </c>
      <c r="AF35" s="250"/>
      <c r="AG35" s="250"/>
      <c r="AH35" s="250"/>
      <c r="AI35" s="238"/>
      <c r="AJ35" s="88"/>
      <c r="AK35" s="47"/>
      <c r="AL35" s="35"/>
    </row>
    <row r="36" spans="1:38" ht="15.75" thickBot="1" x14ac:dyDescent="0.3">
      <c r="A36" s="12"/>
      <c r="B36" s="15"/>
      <c r="C36" s="15"/>
      <c r="D36" s="223"/>
      <c r="E36" s="224"/>
      <c r="F36" s="224"/>
      <c r="G36" s="224"/>
      <c r="H36" s="224"/>
      <c r="I36" s="224"/>
      <c r="K36" s="223"/>
      <c r="L36" s="224"/>
      <c r="M36" s="224"/>
      <c r="N36" s="224"/>
      <c r="O36" s="224"/>
      <c r="P36" s="224"/>
      <c r="R36" s="223"/>
      <c r="S36" s="224"/>
      <c r="T36" s="224"/>
      <c r="U36" s="224"/>
      <c r="V36" s="224"/>
      <c r="W36" s="224"/>
      <c r="Y36" s="223"/>
      <c r="Z36" s="224"/>
      <c r="AA36" s="224"/>
      <c r="AB36" s="224"/>
      <c r="AC36" s="224"/>
      <c r="AD36" s="224"/>
      <c r="AF36" s="223"/>
      <c r="AG36" s="224"/>
      <c r="AH36" s="224"/>
      <c r="AI36" s="224"/>
      <c r="AJ36" s="224"/>
      <c r="AK36" s="224"/>
    </row>
    <row r="37" spans="1:38" ht="15.75" customHeight="1" thickBot="1" x14ac:dyDescent="0.3">
      <c r="A37" s="297" t="s">
        <v>26</v>
      </c>
      <c r="B37" s="298" t="s">
        <v>98</v>
      </c>
      <c r="C37" s="51"/>
      <c r="D37" s="225" t="s">
        <v>9</v>
      </c>
      <c r="E37" s="226"/>
      <c r="F37" s="251" t="s">
        <v>10</v>
      </c>
      <c r="G37" s="225"/>
      <c r="H37" s="226"/>
      <c r="I37" s="71" t="s">
        <v>106</v>
      </c>
      <c r="J37" s="61" t="s">
        <v>9</v>
      </c>
      <c r="K37" s="225" t="s">
        <v>9</v>
      </c>
      <c r="L37" s="226"/>
      <c r="M37" s="251" t="s">
        <v>10</v>
      </c>
      <c r="N37" s="225"/>
      <c r="O37" s="226"/>
      <c r="P37" s="71" t="s">
        <v>106</v>
      </c>
      <c r="Q37" s="61"/>
      <c r="R37" s="225" t="s">
        <v>9</v>
      </c>
      <c r="S37" s="226"/>
      <c r="T37" s="251" t="s">
        <v>10</v>
      </c>
      <c r="U37" s="225"/>
      <c r="V37" s="226"/>
      <c r="W37" s="71" t="s">
        <v>106</v>
      </c>
      <c r="X37" s="61"/>
      <c r="Y37" s="225" t="s">
        <v>9</v>
      </c>
      <c r="Z37" s="226"/>
      <c r="AA37" s="251" t="s">
        <v>10</v>
      </c>
      <c r="AB37" s="225"/>
      <c r="AC37" s="226"/>
      <c r="AD37" s="71" t="s">
        <v>106</v>
      </c>
      <c r="AE37" s="61"/>
      <c r="AF37" s="225" t="s">
        <v>9</v>
      </c>
      <c r="AG37" s="226"/>
      <c r="AH37" s="251" t="s">
        <v>10</v>
      </c>
      <c r="AI37" s="225"/>
      <c r="AJ37" s="226"/>
      <c r="AK37" s="71" t="s">
        <v>106</v>
      </c>
      <c r="AL37" s="61"/>
    </row>
    <row r="38" spans="1:38" ht="15" customHeight="1" x14ac:dyDescent="0.25">
      <c r="A38" s="297"/>
      <c r="B38" s="299"/>
      <c r="C38" s="16" t="s">
        <v>27</v>
      </c>
      <c r="D38" s="227" t="s">
        <v>74</v>
      </c>
      <c r="E38" s="228"/>
      <c r="F38" s="255" t="s">
        <v>91</v>
      </c>
      <c r="G38" s="227"/>
      <c r="H38" s="228"/>
      <c r="I38" s="93">
        <v>41883</v>
      </c>
      <c r="K38" s="227" t="s">
        <v>74</v>
      </c>
      <c r="L38" s="228"/>
      <c r="M38" s="255" t="s">
        <v>91</v>
      </c>
      <c r="N38" s="227"/>
      <c r="O38" s="228"/>
      <c r="P38" s="93">
        <v>42248</v>
      </c>
      <c r="R38" s="227" t="s">
        <v>74</v>
      </c>
      <c r="S38" s="228"/>
      <c r="T38" s="255" t="s">
        <v>91</v>
      </c>
      <c r="U38" s="227"/>
      <c r="V38" s="228"/>
      <c r="W38" s="93">
        <v>42614</v>
      </c>
      <c r="Y38" s="350" t="s">
        <v>74</v>
      </c>
      <c r="Z38" s="351"/>
      <c r="AA38" s="255" t="s">
        <v>91</v>
      </c>
      <c r="AB38" s="227"/>
      <c r="AC38" s="228"/>
      <c r="AD38" s="93">
        <v>42979</v>
      </c>
      <c r="AF38" s="227" t="s">
        <v>74</v>
      </c>
      <c r="AG38" s="228"/>
      <c r="AH38" s="255" t="s">
        <v>91</v>
      </c>
      <c r="AI38" s="227"/>
      <c r="AJ38" s="228"/>
      <c r="AK38" s="93">
        <v>42614</v>
      </c>
    </row>
    <row r="39" spans="1:38" x14ac:dyDescent="0.25">
      <c r="A39" s="297"/>
      <c r="B39" s="299"/>
      <c r="C39" s="16" t="s">
        <v>28</v>
      </c>
      <c r="D39" s="229" t="s">
        <v>92</v>
      </c>
      <c r="E39" s="230"/>
      <c r="F39" s="253" t="s">
        <v>74</v>
      </c>
      <c r="G39" s="229"/>
      <c r="H39" s="230"/>
      <c r="I39" s="86"/>
      <c r="K39" s="229" t="s">
        <v>92</v>
      </c>
      <c r="L39" s="230"/>
      <c r="M39" s="253" t="s">
        <v>74</v>
      </c>
      <c r="N39" s="229"/>
      <c r="O39" s="230"/>
      <c r="P39" s="86"/>
      <c r="R39" s="229" t="s">
        <v>92</v>
      </c>
      <c r="S39" s="230"/>
      <c r="T39" s="253" t="s">
        <v>74</v>
      </c>
      <c r="U39" s="229"/>
      <c r="V39" s="230"/>
      <c r="W39" s="86"/>
      <c r="Y39" s="229" t="s">
        <v>92</v>
      </c>
      <c r="Z39" s="230"/>
      <c r="AA39" s="253" t="s">
        <v>74</v>
      </c>
      <c r="AB39" s="229"/>
      <c r="AC39" s="230"/>
      <c r="AD39" s="99" t="s">
        <v>74</v>
      </c>
      <c r="AF39" s="229" t="s">
        <v>92</v>
      </c>
      <c r="AG39" s="230"/>
      <c r="AH39" s="253" t="s">
        <v>74</v>
      </c>
      <c r="AI39" s="229"/>
      <c r="AJ39" s="230"/>
      <c r="AK39" s="86"/>
    </row>
    <row r="40" spans="1:38" ht="15.75" thickBot="1" x14ac:dyDescent="0.3">
      <c r="A40" s="297"/>
      <c r="B40" s="300"/>
      <c r="C40" s="52" t="s">
        <v>29</v>
      </c>
      <c r="D40" s="231" t="s">
        <v>93</v>
      </c>
      <c r="E40" s="232"/>
      <c r="F40" s="254" t="s">
        <v>74</v>
      </c>
      <c r="G40" s="231"/>
      <c r="H40" s="232"/>
      <c r="I40" s="77"/>
      <c r="K40" s="231" t="s">
        <v>93</v>
      </c>
      <c r="L40" s="232"/>
      <c r="M40" s="254" t="s">
        <v>74</v>
      </c>
      <c r="N40" s="231"/>
      <c r="O40" s="232"/>
      <c r="P40" s="77"/>
      <c r="R40" s="231" t="s">
        <v>93</v>
      </c>
      <c r="S40" s="232"/>
      <c r="T40" s="254" t="s">
        <v>74</v>
      </c>
      <c r="U40" s="231"/>
      <c r="V40" s="232"/>
      <c r="W40" s="77"/>
      <c r="Y40" s="231" t="s">
        <v>93</v>
      </c>
      <c r="Z40" s="232"/>
      <c r="AA40" s="254" t="s">
        <v>74</v>
      </c>
      <c r="AB40" s="231"/>
      <c r="AC40" s="232"/>
      <c r="AD40" s="98"/>
      <c r="AF40" s="231" t="s">
        <v>93</v>
      </c>
      <c r="AG40" s="232"/>
      <c r="AH40" s="254" t="s">
        <v>74</v>
      </c>
      <c r="AI40" s="231"/>
      <c r="AJ40" s="232"/>
      <c r="AK40" s="77"/>
    </row>
    <row r="41" spans="1:38" ht="15.75" thickBot="1" x14ac:dyDescent="0.3">
      <c r="A41" s="12"/>
      <c r="B41" s="15"/>
      <c r="C41" s="15"/>
      <c r="D41" s="223"/>
      <c r="E41" s="224"/>
      <c r="F41" s="224"/>
      <c r="G41" s="224"/>
      <c r="H41" s="224"/>
      <c r="I41" s="224"/>
      <c r="K41" s="223"/>
      <c r="L41" s="224"/>
      <c r="M41" s="224"/>
      <c r="N41" s="224"/>
      <c r="O41" s="224"/>
      <c r="P41" s="224"/>
      <c r="R41" s="223"/>
      <c r="S41" s="224"/>
      <c r="T41" s="224"/>
      <c r="U41" s="224"/>
      <c r="V41" s="224"/>
      <c r="W41" s="224"/>
      <c r="Y41" s="223"/>
      <c r="Z41" s="224"/>
      <c r="AA41" s="224"/>
      <c r="AB41" s="224"/>
      <c r="AC41" s="224"/>
      <c r="AD41" s="224"/>
      <c r="AF41" s="223"/>
      <c r="AG41" s="224"/>
      <c r="AH41" s="224"/>
      <c r="AI41" s="224"/>
      <c r="AJ41" s="224"/>
      <c r="AK41" s="224"/>
    </row>
    <row r="42" spans="1:38" ht="15" customHeight="1" thickBot="1" x14ac:dyDescent="0.3">
      <c r="A42" s="292" t="s">
        <v>30</v>
      </c>
      <c r="B42" s="294" t="s">
        <v>99</v>
      </c>
      <c r="C42" s="60"/>
      <c r="D42" s="195" t="s">
        <v>9</v>
      </c>
      <c r="E42" s="233" t="s">
        <v>78</v>
      </c>
      <c r="F42" s="234"/>
      <c r="G42" s="252" t="s">
        <v>473</v>
      </c>
      <c r="H42" s="252"/>
      <c r="I42" s="252"/>
      <c r="K42" s="195" t="s">
        <v>9</v>
      </c>
      <c r="L42" s="233" t="s">
        <v>78</v>
      </c>
      <c r="M42" s="234"/>
      <c r="N42" s="252" t="s">
        <v>473</v>
      </c>
      <c r="O42" s="252"/>
      <c r="P42" s="252"/>
      <c r="R42" s="195" t="s">
        <v>9</v>
      </c>
      <c r="S42" s="233" t="s">
        <v>78</v>
      </c>
      <c r="T42" s="234"/>
      <c r="U42" s="252" t="s">
        <v>473</v>
      </c>
      <c r="V42" s="252"/>
      <c r="W42" s="252"/>
      <c r="Y42" s="195" t="s">
        <v>9</v>
      </c>
      <c r="Z42" s="233" t="s">
        <v>78</v>
      </c>
      <c r="AA42" s="234"/>
      <c r="AB42" s="252" t="s">
        <v>473</v>
      </c>
      <c r="AC42" s="252"/>
      <c r="AD42" s="252"/>
      <c r="AF42" s="195" t="s">
        <v>9</v>
      </c>
      <c r="AG42" s="233" t="s">
        <v>78</v>
      </c>
      <c r="AH42" s="234"/>
      <c r="AI42" s="252" t="s">
        <v>473</v>
      </c>
      <c r="AJ42" s="252"/>
      <c r="AK42" s="252"/>
    </row>
    <row r="43" spans="1:38" ht="15" customHeight="1" thickBot="1" x14ac:dyDescent="0.3">
      <c r="A43" s="293"/>
      <c r="B43" s="295"/>
      <c r="C43" s="59" t="s">
        <v>35</v>
      </c>
      <c r="D43" s="196" t="s">
        <v>73</v>
      </c>
      <c r="E43" s="283">
        <v>9.3000000000000007</v>
      </c>
      <c r="F43" s="284"/>
      <c r="G43" s="264">
        <v>140</v>
      </c>
      <c r="H43" s="264"/>
      <c r="I43" s="264"/>
      <c r="K43" s="196" t="s">
        <v>73</v>
      </c>
      <c r="L43" s="262">
        <v>8.6999999999999993</v>
      </c>
      <c r="M43" s="263"/>
      <c r="N43" s="264">
        <v>187</v>
      </c>
      <c r="O43" s="264"/>
      <c r="P43" s="264"/>
      <c r="R43" s="196" t="s">
        <v>73</v>
      </c>
      <c r="S43" s="262">
        <v>10.25</v>
      </c>
      <c r="T43" s="263"/>
      <c r="U43" s="264">
        <v>164</v>
      </c>
      <c r="V43" s="264"/>
      <c r="W43" s="264"/>
      <c r="Y43" s="196" t="s">
        <v>73</v>
      </c>
      <c r="Z43" s="262">
        <v>5.4</v>
      </c>
      <c r="AA43" s="263"/>
      <c r="AB43" s="264">
        <v>190</v>
      </c>
      <c r="AC43" s="264"/>
      <c r="AD43" s="264"/>
      <c r="AF43" s="196" t="s">
        <v>73</v>
      </c>
      <c r="AG43" s="262">
        <v>10.25</v>
      </c>
      <c r="AH43" s="263"/>
      <c r="AI43" s="264">
        <v>164</v>
      </c>
      <c r="AJ43" s="264"/>
      <c r="AK43" s="264"/>
    </row>
    <row r="44" spans="1:38" ht="15.75" thickBot="1" x14ac:dyDescent="0.3">
      <c r="A44" s="293"/>
      <c r="B44" s="296"/>
      <c r="C44" s="58" t="s">
        <v>34</v>
      </c>
      <c r="D44" s="194" t="s">
        <v>112</v>
      </c>
      <c r="E44" s="268">
        <v>4.5</v>
      </c>
      <c r="F44" s="269"/>
      <c r="G44" s="264">
        <v>50</v>
      </c>
      <c r="H44" s="264"/>
      <c r="I44" s="264"/>
      <c r="K44" s="194" t="s">
        <v>112</v>
      </c>
      <c r="L44" s="268">
        <v>4.5999999999999996</v>
      </c>
      <c r="M44" s="269"/>
      <c r="N44" s="264">
        <v>30</v>
      </c>
      <c r="O44" s="264"/>
      <c r="P44" s="264"/>
      <c r="R44" s="194" t="s">
        <v>112</v>
      </c>
      <c r="S44" s="265">
        <v>4.05</v>
      </c>
      <c r="T44" s="266"/>
      <c r="U44" s="267">
        <v>37</v>
      </c>
      <c r="V44" s="267"/>
      <c r="W44" s="267"/>
      <c r="Y44" s="194" t="s">
        <v>89</v>
      </c>
      <c r="Z44" s="273" t="s">
        <v>74</v>
      </c>
      <c r="AA44" s="249"/>
      <c r="AB44" s="270" t="s">
        <v>74</v>
      </c>
      <c r="AC44" s="270"/>
      <c r="AD44" s="270"/>
      <c r="AF44" s="194" t="s">
        <v>112</v>
      </c>
      <c r="AG44" s="262">
        <v>4.05</v>
      </c>
      <c r="AH44" s="263"/>
      <c r="AI44" s="267">
        <v>37</v>
      </c>
      <c r="AJ44" s="267"/>
      <c r="AK44" s="267"/>
    </row>
    <row r="45" spans="1:38" ht="15.75" thickBot="1" x14ac:dyDescent="0.3">
      <c r="A45" s="12"/>
      <c r="B45" s="15"/>
      <c r="C45" s="15"/>
      <c r="D45" s="223"/>
      <c r="E45" s="224"/>
      <c r="F45" s="224"/>
      <c r="G45" s="224"/>
      <c r="H45" s="224"/>
      <c r="I45" s="224"/>
      <c r="K45" s="223"/>
      <c r="L45" s="224"/>
      <c r="M45" s="224"/>
      <c r="N45" s="224"/>
      <c r="O45" s="224"/>
      <c r="P45" s="224"/>
      <c r="R45" s="223"/>
      <c r="S45" s="224"/>
      <c r="T45" s="224"/>
      <c r="U45" s="224"/>
      <c r="V45" s="224"/>
      <c r="W45" s="224"/>
      <c r="Y45" s="223"/>
      <c r="Z45" s="224"/>
      <c r="AA45" s="224"/>
      <c r="AB45" s="224"/>
      <c r="AC45" s="224"/>
      <c r="AD45" s="224"/>
      <c r="AF45" s="223"/>
      <c r="AG45" s="224"/>
      <c r="AH45" s="224"/>
      <c r="AI45" s="224"/>
      <c r="AJ45" s="224"/>
      <c r="AK45" s="224"/>
    </row>
    <row r="46" spans="1:38" ht="15" customHeight="1" x14ac:dyDescent="0.25">
      <c r="A46" s="274" t="s">
        <v>31</v>
      </c>
      <c r="B46" s="277" t="s">
        <v>105</v>
      </c>
      <c r="C46" s="57" t="s">
        <v>36</v>
      </c>
      <c r="D46" s="260">
        <v>85</v>
      </c>
      <c r="E46" s="261"/>
      <c r="F46" s="261"/>
      <c r="G46" s="261"/>
      <c r="H46" s="261"/>
      <c r="I46" s="261"/>
      <c r="K46" s="260">
        <v>79</v>
      </c>
      <c r="L46" s="261"/>
      <c r="M46" s="261"/>
      <c r="N46" s="261"/>
      <c r="O46" s="261"/>
      <c r="P46" s="261"/>
      <c r="R46" s="260">
        <v>75</v>
      </c>
      <c r="S46" s="261"/>
      <c r="T46" s="261"/>
      <c r="U46" s="261"/>
      <c r="V46" s="261"/>
      <c r="W46" s="261"/>
      <c r="Y46" s="260">
        <v>138</v>
      </c>
      <c r="Z46" s="261"/>
      <c r="AA46" s="261"/>
      <c r="AB46" s="261"/>
      <c r="AC46" s="261"/>
      <c r="AD46" s="261"/>
      <c r="AF46" s="260">
        <v>75</v>
      </c>
      <c r="AG46" s="261"/>
      <c r="AH46" s="261"/>
      <c r="AI46" s="261"/>
      <c r="AJ46" s="261"/>
      <c r="AK46" s="261"/>
    </row>
    <row r="47" spans="1:38" x14ac:dyDescent="0.25">
      <c r="A47" s="275"/>
      <c r="B47" s="278"/>
      <c r="C47" s="19" t="s">
        <v>69</v>
      </c>
      <c r="D47" s="240">
        <v>300</v>
      </c>
      <c r="E47" s="222"/>
      <c r="F47" s="222"/>
      <c r="G47" s="222"/>
      <c r="H47" s="222"/>
      <c r="I47" s="222"/>
      <c r="K47" s="256">
        <v>283</v>
      </c>
      <c r="L47" s="257"/>
      <c r="M47" s="257"/>
      <c r="N47" s="257"/>
      <c r="O47" s="257"/>
      <c r="P47" s="257"/>
      <c r="R47" s="256">
        <v>345</v>
      </c>
      <c r="S47" s="257"/>
      <c r="T47" s="257"/>
      <c r="U47" s="257"/>
      <c r="V47" s="257"/>
      <c r="W47" s="257"/>
      <c r="Y47" s="240">
        <v>130</v>
      </c>
      <c r="Z47" s="222"/>
      <c r="AA47" s="222"/>
      <c r="AB47" s="222"/>
      <c r="AC47" s="222"/>
      <c r="AD47" s="222"/>
      <c r="AF47" s="256">
        <v>317</v>
      </c>
      <c r="AG47" s="257"/>
      <c r="AH47" s="257"/>
      <c r="AI47" s="257"/>
      <c r="AJ47" s="257"/>
      <c r="AK47" s="257"/>
    </row>
    <row r="48" spans="1:38" ht="30" x14ac:dyDescent="0.25">
      <c r="A48" s="275"/>
      <c r="B48" s="278"/>
      <c r="C48" s="19" t="s">
        <v>42</v>
      </c>
      <c r="D48" s="280">
        <v>206</v>
      </c>
      <c r="E48" s="280"/>
      <c r="F48" s="280"/>
      <c r="G48" s="280"/>
      <c r="H48" s="280"/>
      <c r="I48" s="240"/>
      <c r="K48" s="240">
        <v>170</v>
      </c>
      <c r="L48" s="222"/>
      <c r="M48" s="222"/>
      <c r="N48" s="222"/>
      <c r="O48" s="222"/>
      <c r="P48" s="222"/>
      <c r="R48" s="240">
        <v>284</v>
      </c>
      <c r="S48" s="222"/>
      <c r="T48" s="222"/>
      <c r="U48" s="222"/>
      <c r="V48" s="222"/>
      <c r="W48" s="222"/>
      <c r="Y48" s="240">
        <v>167</v>
      </c>
      <c r="Z48" s="222"/>
      <c r="AA48" s="222"/>
      <c r="AB48" s="222"/>
      <c r="AC48" s="222"/>
      <c r="AD48" s="222"/>
      <c r="AF48" s="240">
        <v>284</v>
      </c>
      <c r="AG48" s="222"/>
      <c r="AH48" s="222"/>
      <c r="AI48" s="222"/>
      <c r="AJ48" s="222"/>
      <c r="AK48" s="222"/>
    </row>
    <row r="49" spans="1:38" ht="30" x14ac:dyDescent="0.25">
      <c r="A49" s="275"/>
      <c r="B49" s="278"/>
      <c r="C49" s="19" t="s">
        <v>43</v>
      </c>
      <c r="D49" s="240">
        <v>414</v>
      </c>
      <c r="E49" s="222"/>
      <c r="F49" s="222"/>
      <c r="G49" s="222"/>
      <c r="H49" s="222"/>
      <c r="I49" s="222"/>
      <c r="K49" s="240">
        <v>414</v>
      </c>
      <c r="L49" s="222"/>
      <c r="M49" s="222"/>
      <c r="N49" s="222"/>
      <c r="O49" s="222"/>
      <c r="P49" s="222"/>
      <c r="R49" s="240">
        <v>452</v>
      </c>
      <c r="S49" s="222"/>
      <c r="T49" s="222"/>
      <c r="U49" s="222"/>
      <c r="V49" s="222"/>
      <c r="W49" s="222"/>
      <c r="Y49" s="240">
        <v>394</v>
      </c>
      <c r="Z49" s="222"/>
      <c r="AA49" s="222"/>
      <c r="AB49" s="222"/>
      <c r="AC49" s="222"/>
      <c r="AD49" s="222"/>
      <c r="AF49" s="240">
        <v>452</v>
      </c>
      <c r="AG49" s="222"/>
      <c r="AH49" s="222"/>
      <c r="AI49" s="222"/>
      <c r="AJ49" s="222"/>
      <c r="AK49" s="222"/>
    </row>
    <row r="50" spans="1:38" x14ac:dyDescent="0.25">
      <c r="A50" s="275"/>
      <c r="B50" s="278"/>
      <c r="C50" s="17" t="s">
        <v>44</v>
      </c>
      <c r="D50" s="258">
        <v>0</v>
      </c>
      <c r="E50" s="259"/>
      <c r="F50" s="259"/>
      <c r="G50" s="259"/>
      <c r="H50" s="259"/>
      <c r="I50" s="259"/>
      <c r="K50" s="258">
        <v>0</v>
      </c>
      <c r="L50" s="259"/>
      <c r="M50" s="259"/>
      <c r="N50" s="259"/>
      <c r="O50" s="259"/>
      <c r="P50" s="259"/>
      <c r="R50" s="258">
        <v>0</v>
      </c>
      <c r="S50" s="259"/>
      <c r="T50" s="259"/>
      <c r="U50" s="259"/>
      <c r="V50" s="259"/>
      <c r="W50" s="259"/>
      <c r="Y50" s="258">
        <v>0</v>
      </c>
      <c r="Z50" s="259"/>
      <c r="AA50" s="259"/>
      <c r="AB50" s="259"/>
      <c r="AC50" s="259"/>
      <c r="AD50" s="259"/>
      <c r="AF50" s="258">
        <v>0</v>
      </c>
      <c r="AG50" s="259"/>
      <c r="AH50" s="259"/>
      <c r="AI50" s="259"/>
      <c r="AJ50" s="259"/>
      <c r="AK50" s="259"/>
    </row>
    <row r="51" spans="1:38" x14ac:dyDescent="0.25">
      <c r="A51" s="275"/>
      <c r="B51" s="278"/>
      <c r="C51" s="17" t="s">
        <v>45</v>
      </c>
      <c r="D51" s="258" t="s">
        <v>74</v>
      </c>
      <c r="E51" s="259"/>
      <c r="F51" s="259"/>
      <c r="G51" s="259"/>
      <c r="H51" s="259"/>
      <c r="I51" s="259"/>
      <c r="K51" s="258" t="s">
        <v>74</v>
      </c>
      <c r="L51" s="259"/>
      <c r="M51" s="259"/>
      <c r="N51" s="259"/>
      <c r="O51" s="259"/>
      <c r="P51" s="259"/>
      <c r="R51" s="258" t="s">
        <v>74</v>
      </c>
      <c r="S51" s="259"/>
      <c r="T51" s="259"/>
      <c r="U51" s="259"/>
      <c r="V51" s="259"/>
      <c r="W51" s="259"/>
      <c r="Y51" s="258" t="s">
        <v>74</v>
      </c>
      <c r="Z51" s="259"/>
      <c r="AA51" s="259"/>
      <c r="AB51" s="259"/>
      <c r="AC51" s="259"/>
      <c r="AD51" s="259"/>
      <c r="AF51" s="258" t="s">
        <v>74</v>
      </c>
      <c r="AG51" s="259"/>
      <c r="AH51" s="259"/>
      <c r="AI51" s="259"/>
      <c r="AJ51" s="259"/>
      <c r="AK51" s="259"/>
    </row>
    <row r="52" spans="1:38" x14ac:dyDescent="0.25">
      <c r="A52" s="275"/>
      <c r="B52" s="278"/>
      <c r="C52" s="19" t="s">
        <v>46</v>
      </c>
      <c r="D52" s="258" t="s">
        <v>74</v>
      </c>
      <c r="E52" s="259"/>
      <c r="F52" s="259"/>
      <c r="G52" s="259"/>
      <c r="H52" s="259"/>
      <c r="I52" s="259"/>
      <c r="K52" s="258" t="s">
        <v>74</v>
      </c>
      <c r="L52" s="259"/>
      <c r="M52" s="259"/>
      <c r="N52" s="259"/>
      <c r="O52" s="259"/>
      <c r="P52" s="259"/>
      <c r="R52" s="258" t="s">
        <v>74</v>
      </c>
      <c r="S52" s="259"/>
      <c r="T52" s="259"/>
      <c r="U52" s="259"/>
      <c r="V52" s="259"/>
      <c r="W52" s="259"/>
      <c r="Y52" s="258" t="s">
        <v>74</v>
      </c>
      <c r="Z52" s="259"/>
      <c r="AA52" s="259"/>
      <c r="AB52" s="259"/>
      <c r="AC52" s="259"/>
      <c r="AD52" s="259"/>
      <c r="AF52" s="258" t="s">
        <v>74</v>
      </c>
      <c r="AG52" s="259"/>
      <c r="AH52" s="259"/>
      <c r="AI52" s="259"/>
      <c r="AJ52" s="259"/>
      <c r="AK52" s="259"/>
    </row>
    <row r="53" spans="1:38" x14ac:dyDescent="0.25">
      <c r="A53" s="275"/>
      <c r="B53" s="278"/>
      <c r="C53" s="17" t="s">
        <v>47</v>
      </c>
      <c r="D53" s="256">
        <v>1005</v>
      </c>
      <c r="E53" s="257"/>
      <c r="F53" s="257"/>
      <c r="G53" s="257"/>
      <c r="H53" s="257"/>
      <c r="I53" s="257"/>
      <c r="K53" s="256">
        <v>946</v>
      </c>
      <c r="L53" s="257"/>
      <c r="M53" s="257"/>
      <c r="N53" s="257"/>
      <c r="O53" s="257"/>
      <c r="P53" s="257"/>
      <c r="R53" s="256">
        <v>1156</v>
      </c>
      <c r="S53" s="257"/>
      <c r="T53" s="257"/>
      <c r="U53" s="257"/>
      <c r="V53" s="257"/>
      <c r="W53" s="257"/>
      <c r="Y53" s="256">
        <v>829</v>
      </c>
      <c r="Z53" s="257"/>
      <c r="AA53" s="257"/>
      <c r="AB53" s="257"/>
      <c r="AC53" s="257"/>
      <c r="AD53" s="257"/>
      <c r="AF53" s="256">
        <v>1128</v>
      </c>
      <c r="AG53" s="257"/>
      <c r="AH53" s="257"/>
      <c r="AI53" s="257"/>
      <c r="AJ53" s="257"/>
      <c r="AK53" s="257"/>
    </row>
    <row r="54" spans="1:38" ht="15" customHeight="1" x14ac:dyDescent="0.25">
      <c r="A54" s="275"/>
      <c r="B54" s="278"/>
      <c r="C54" s="281" t="s">
        <v>70</v>
      </c>
      <c r="D54" s="258" t="s">
        <v>74</v>
      </c>
      <c r="E54" s="259"/>
      <c r="F54" s="259"/>
      <c r="G54" s="259"/>
      <c r="H54" s="259"/>
      <c r="I54" s="259"/>
      <c r="J54" s="36"/>
      <c r="K54" s="258" t="s">
        <v>74</v>
      </c>
      <c r="L54" s="259"/>
      <c r="M54" s="259"/>
      <c r="N54" s="259"/>
      <c r="O54" s="259"/>
      <c r="P54" s="259"/>
      <c r="Q54" s="36"/>
      <c r="R54" s="258" t="s">
        <v>74</v>
      </c>
      <c r="S54" s="259"/>
      <c r="T54" s="259"/>
      <c r="U54" s="259"/>
      <c r="V54" s="259"/>
      <c r="W54" s="259"/>
      <c r="X54" s="36"/>
      <c r="Y54" s="258">
        <v>250</v>
      </c>
      <c r="Z54" s="259"/>
      <c r="AA54" s="259"/>
      <c r="AB54" s="259"/>
      <c r="AC54" s="259"/>
      <c r="AD54" s="259"/>
      <c r="AE54" s="36"/>
      <c r="AF54" s="258" t="s">
        <v>74</v>
      </c>
      <c r="AG54" s="259"/>
      <c r="AH54" s="259"/>
      <c r="AI54" s="259"/>
      <c r="AJ54" s="259"/>
      <c r="AK54" s="259"/>
      <c r="AL54" s="36"/>
    </row>
    <row r="55" spans="1:38" ht="15.75" thickBot="1" x14ac:dyDescent="0.3">
      <c r="A55" s="276"/>
      <c r="B55" s="279"/>
      <c r="C55" s="282"/>
      <c r="D55" s="271"/>
      <c r="E55" s="272"/>
      <c r="F55" s="272"/>
      <c r="G55" s="272"/>
      <c r="H55" s="272"/>
      <c r="I55" s="272"/>
      <c r="J55" s="36"/>
      <c r="K55" s="271"/>
      <c r="L55" s="272"/>
      <c r="M55" s="272"/>
      <c r="N55" s="272"/>
      <c r="O55" s="272"/>
      <c r="P55" s="272"/>
      <c r="Q55" s="36"/>
      <c r="R55" s="271"/>
      <c r="S55" s="272"/>
      <c r="T55" s="272"/>
      <c r="U55" s="272"/>
      <c r="V55" s="272"/>
      <c r="W55" s="272"/>
      <c r="X55" s="36"/>
      <c r="Y55" s="271"/>
      <c r="Z55" s="272"/>
      <c r="AA55" s="272"/>
      <c r="AB55" s="272"/>
      <c r="AC55" s="272"/>
      <c r="AD55" s="272"/>
      <c r="AE55" s="36"/>
      <c r="AF55" s="271"/>
      <c r="AG55" s="272"/>
      <c r="AH55" s="272"/>
      <c r="AI55" s="272"/>
      <c r="AJ55" s="272"/>
      <c r="AK55" s="272"/>
      <c r="AL55" s="36"/>
    </row>
    <row r="59" spans="1:38" x14ac:dyDescent="0.25">
      <c r="D59" s="144"/>
      <c r="E59" s="199"/>
      <c r="F59" s="199"/>
      <c r="G59" s="199"/>
      <c r="H59" s="199"/>
      <c r="I59" s="199"/>
      <c r="K59" s="144"/>
      <c r="L59" s="199"/>
      <c r="M59" s="199"/>
      <c r="N59" s="199"/>
      <c r="O59" s="199"/>
      <c r="P59" s="199"/>
      <c r="R59" s="144"/>
      <c r="S59" s="199"/>
      <c r="T59" s="199"/>
      <c r="U59" s="199"/>
      <c r="V59" s="199"/>
      <c r="W59" s="199"/>
      <c r="Y59" s="144"/>
      <c r="Z59" s="199"/>
      <c r="AA59" s="199"/>
      <c r="AB59" s="199"/>
      <c r="AC59" s="199"/>
      <c r="AD59" s="199"/>
    </row>
    <row r="60" spans="1:38" x14ac:dyDescent="0.25">
      <c r="D60" s="144"/>
      <c r="E60" s="199"/>
      <c r="F60" s="199"/>
      <c r="G60" s="199"/>
      <c r="H60" s="199"/>
      <c r="I60" s="199"/>
      <c r="K60" s="144"/>
      <c r="L60" s="199"/>
      <c r="M60" s="199"/>
      <c r="N60" s="199"/>
      <c r="O60" s="199"/>
      <c r="P60" s="199"/>
      <c r="R60" s="144"/>
      <c r="S60" s="199"/>
      <c r="T60" s="199"/>
      <c r="U60" s="199"/>
      <c r="V60" s="199"/>
      <c r="W60" s="199"/>
      <c r="Y60" s="144"/>
      <c r="Z60" s="199"/>
      <c r="AA60" s="199"/>
      <c r="AB60" s="199"/>
      <c r="AC60" s="199"/>
      <c r="AD60" s="199"/>
    </row>
    <row r="61" spans="1:38" x14ac:dyDescent="0.25">
      <c r="D61" s="144"/>
      <c r="E61" s="200"/>
      <c r="F61" s="199"/>
      <c r="G61" s="199"/>
      <c r="H61" s="199"/>
      <c r="I61" s="199"/>
      <c r="K61" s="144"/>
      <c r="L61" s="200"/>
      <c r="M61" s="199"/>
      <c r="N61" s="199"/>
      <c r="O61" s="199"/>
      <c r="P61" s="199"/>
      <c r="R61" s="144"/>
      <c r="S61" s="201"/>
      <c r="T61" s="202"/>
      <c r="U61" s="199"/>
      <c r="V61" s="199"/>
      <c r="W61" s="199"/>
      <c r="Y61" s="144"/>
      <c r="Z61" s="200"/>
      <c r="AA61" s="199"/>
      <c r="AB61" s="199"/>
      <c r="AC61" s="199"/>
      <c r="AD61" s="199"/>
    </row>
    <row r="62" spans="1:38" x14ac:dyDescent="0.25">
      <c r="D62" s="199"/>
      <c r="E62" s="199"/>
      <c r="F62" s="199"/>
      <c r="G62" s="199"/>
      <c r="H62" s="199"/>
      <c r="I62" s="199"/>
      <c r="K62" s="199"/>
      <c r="L62" s="199"/>
      <c r="M62" s="199"/>
      <c r="N62" s="199"/>
      <c r="O62" s="199"/>
      <c r="P62" s="199"/>
      <c r="R62" s="199"/>
      <c r="S62" s="199"/>
      <c r="T62" s="199"/>
      <c r="U62" s="199"/>
      <c r="V62" s="199"/>
      <c r="W62" s="199"/>
      <c r="Y62" s="199"/>
      <c r="Z62" s="199"/>
      <c r="AA62" s="199"/>
      <c r="AB62" s="199"/>
      <c r="AC62" s="199"/>
      <c r="AD62" s="199"/>
    </row>
    <row r="63" spans="1:38" x14ac:dyDescent="0.25">
      <c r="D63" s="199"/>
      <c r="E63" s="199"/>
      <c r="F63" s="199"/>
      <c r="G63" s="199"/>
      <c r="H63" s="199"/>
      <c r="I63" s="199"/>
      <c r="K63" s="199"/>
      <c r="L63" s="199"/>
      <c r="M63" s="199"/>
      <c r="N63" s="199"/>
      <c r="O63" s="199"/>
      <c r="P63" s="199"/>
      <c r="R63" s="199"/>
      <c r="S63" s="199"/>
      <c r="T63" s="199"/>
      <c r="U63" s="199"/>
      <c r="V63" s="199"/>
      <c r="W63" s="199"/>
      <c r="Y63" s="199"/>
      <c r="Z63" s="199"/>
      <c r="AA63" s="199"/>
      <c r="AB63" s="199"/>
      <c r="AC63" s="199"/>
      <c r="AD63" s="199"/>
    </row>
    <row r="64" spans="1:38" x14ac:dyDescent="0.25">
      <c r="D64" s="199"/>
      <c r="E64" s="199"/>
      <c r="F64" s="199"/>
      <c r="G64" s="199"/>
      <c r="H64" s="199"/>
      <c r="I64" s="199"/>
      <c r="K64" s="199"/>
      <c r="L64" s="199"/>
      <c r="M64" s="199"/>
      <c r="N64" s="199"/>
      <c r="O64" s="199"/>
      <c r="P64" s="199"/>
      <c r="R64" s="199"/>
      <c r="S64" s="199"/>
      <c r="T64" s="199"/>
      <c r="U64" s="199"/>
      <c r="V64" s="199"/>
      <c r="W64" s="199"/>
      <c r="Y64" s="199"/>
      <c r="Z64" s="199"/>
      <c r="AA64" s="199"/>
      <c r="AB64" s="199"/>
      <c r="AC64" s="199"/>
      <c r="AD64" s="199"/>
      <c r="AE64" s="97"/>
    </row>
    <row r="65" spans="4:32" x14ac:dyDescent="0.25">
      <c r="D65" s="199"/>
      <c r="E65" s="199"/>
      <c r="F65" s="199"/>
      <c r="G65" s="199"/>
      <c r="H65" s="199"/>
      <c r="I65" s="199"/>
      <c r="K65" s="199"/>
      <c r="L65" s="199"/>
      <c r="M65" s="199"/>
      <c r="N65" s="199"/>
      <c r="O65" s="199"/>
      <c r="P65" s="199"/>
      <c r="R65" s="199"/>
      <c r="S65" s="199"/>
      <c r="T65" s="199"/>
      <c r="U65" s="199"/>
      <c r="V65" s="199"/>
      <c r="W65" s="199"/>
      <c r="Y65" s="199"/>
      <c r="Z65" s="199"/>
      <c r="AA65" s="199"/>
      <c r="AB65" s="199"/>
      <c r="AC65" s="199"/>
      <c r="AD65" s="199"/>
    </row>
    <row r="66" spans="4:32" x14ac:dyDescent="0.25">
      <c r="D66" s="199"/>
      <c r="E66" s="199"/>
      <c r="F66" s="199"/>
      <c r="G66" s="199"/>
      <c r="H66" s="199"/>
      <c r="I66" s="199"/>
      <c r="K66" s="199"/>
      <c r="L66" s="199"/>
      <c r="M66" s="199"/>
      <c r="N66" s="199"/>
      <c r="O66" s="199"/>
      <c r="P66" s="199"/>
      <c r="R66" s="199"/>
      <c r="S66" s="199"/>
      <c r="T66" s="199"/>
      <c r="U66" s="199"/>
      <c r="V66" s="199"/>
      <c r="W66" s="199"/>
      <c r="Y66" s="199"/>
      <c r="Z66" s="199"/>
      <c r="AA66" s="199"/>
      <c r="AB66" s="199"/>
      <c r="AC66" s="199"/>
      <c r="AD66" s="199"/>
      <c r="AE66" s="97"/>
    </row>
    <row r="67" spans="4:32" x14ac:dyDescent="0.25">
      <c r="D67" s="200"/>
      <c r="E67" s="200"/>
      <c r="F67" s="200"/>
      <c r="G67" s="200"/>
      <c r="H67" s="200"/>
      <c r="I67" s="200"/>
      <c r="K67" s="200"/>
      <c r="L67" s="200"/>
      <c r="M67" s="200"/>
      <c r="N67" s="200"/>
      <c r="O67" s="200"/>
      <c r="P67" s="200"/>
      <c r="R67" s="200"/>
      <c r="S67" s="200"/>
      <c r="T67" s="200"/>
      <c r="U67" s="200"/>
      <c r="V67" s="200"/>
      <c r="W67" s="200"/>
      <c r="Y67" s="200"/>
      <c r="Z67" s="200"/>
      <c r="AA67" s="200"/>
      <c r="AB67" s="200"/>
      <c r="AC67" s="200"/>
      <c r="AD67" s="200"/>
    </row>
    <row r="68" spans="4:32" x14ac:dyDescent="0.25">
      <c r="D68" s="200"/>
      <c r="E68" s="200"/>
      <c r="F68" s="200"/>
      <c r="G68" s="200"/>
      <c r="H68" s="200"/>
      <c r="I68" s="200"/>
      <c r="K68" s="200"/>
      <c r="L68" s="200"/>
      <c r="M68" s="200"/>
      <c r="N68" s="200"/>
      <c r="O68" s="200"/>
      <c r="P68" s="200"/>
      <c r="R68" s="200"/>
      <c r="S68" s="200"/>
      <c r="T68" s="200"/>
      <c r="U68" s="200"/>
      <c r="V68" s="200"/>
      <c r="W68" s="200"/>
      <c r="Y68" s="200"/>
      <c r="Z68" s="200"/>
      <c r="AA68" s="200"/>
      <c r="AB68" s="200"/>
      <c r="AC68" s="200"/>
      <c r="AD68" s="200"/>
      <c r="AE68" s="97"/>
    </row>
    <row r="69" spans="4:32" x14ac:dyDescent="0.25">
      <c r="D69" s="200"/>
      <c r="E69" s="200"/>
      <c r="F69" s="200"/>
      <c r="G69" s="200"/>
      <c r="H69" s="200"/>
      <c r="I69" s="200"/>
      <c r="K69" s="200"/>
      <c r="L69" s="200"/>
      <c r="M69" s="200"/>
      <c r="N69" s="200"/>
      <c r="O69" s="200"/>
      <c r="P69" s="200"/>
      <c r="R69" s="200"/>
      <c r="S69" s="200"/>
      <c r="T69" s="200"/>
      <c r="U69" s="200"/>
      <c r="V69" s="200"/>
      <c r="W69" s="200"/>
      <c r="Y69" s="200"/>
      <c r="Z69" s="200"/>
      <c r="AA69" s="200"/>
      <c r="AB69" s="200"/>
      <c r="AC69" s="200"/>
      <c r="AD69" s="200"/>
      <c r="AE69" s="97"/>
      <c r="AF69" s="96"/>
    </row>
    <row r="70" spans="4:32" x14ac:dyDescent="0.25">
      <c r="D70" s="199"/>
      <c r="E70" s="199"/>
      <c r="F70" s="199"/>
      <c r="G70" s="199"/>
      <c r="H70" s="199"/>
      <c r="I70" s="199"/>
      <c r="K70" s="199"/>
      <c r="L70" s="199"/>
      <c r="M70" s="199"/>
      <c r="N70" s="199"/>
      <c r="O70" s="199"/>
      <c r="P70" s="199"/>
      <c r="R70" s="199"/>
      <c r="S70" s="199"/>
      <c r="T70" s="199"/>
      <c r="U70" s="199"/>
      <c r="V70" s="199"/>
      <c r="W70" s="199"/>
      <c r="Y70" s="199"/>
      <c r="Z70" s="199"/>
      <c r="AA70" s="199"/>
      <c r="AB70" s="199"/>
      <c r="AC70" s="199"/>
      <c r="AD70" s="199"/>
      <c r="AE70" s="97"/>
      <c r="AF70" s="96"/>
    </row>
    <row r="71" spans="4:32" x14ac:dyDescent="0.25">
      <c r="D71" s="200"/>
      <c r="E71" s="200"/>
      <c r="F71" s="200"/>
      <c r="G71" s="200"/>
      <c r="H71" s="200"/>
      <c r="I71" s="200"/>
      <c r="K71" s="200"/>
      <c r="L71" s="200"/>
      <c r="M71" s="200"/>
      <c r="N71" s="200"/>
      <c r="O71" s="200"/>
      <c r="P71" s="200"/>
      <c r="R71" s="200"/>
      <c r="S71" s="200"/>
      <c r="T71" s="200"/>
      <c r="U71" s="200"/>
      <c r="V71" s="200"/>
      <c r="W71" s="200"/>
      <c r="Y71" s="200"/>
      <c r="Z71" s="200"/>
      <c r="AA71" s="200"/>
      <c r="AB71" s="200"/>
      <c r="AC71" s="200"/>
      <c r="AD71" s="200"/>
    </row>
    <row r="72" spans="4:32" x14ac:dyDescent="0.25">
      <c r="D72" s="200"/>
      <c r="E72" s="200"/>
      <c r="F72" s="200"/>
      <c r="G72" s="200"/>
      <c r="H72" s="200"/>
      <c r="I72" s="200"/>
      <c r="K72" s="200"/>
      <c r="L72" s="200"/>
      <c r="M72" s="200"/>
      <c r="N72" s="200"/>
      <c r="O72" s="200"/>
      <c r="P72" s="200"/>
      <c r="R72" s="200"/>
      <c r="S72" s="200"/>
      <c r="T72" s="200"/>
      <c r="U72" s="200"/>
      <c r="V72" s="200"/>
      <c r="W72" s="200"/>
      <c r="Y72" s="200"/>
      <c r="Z72" s="200"/>
      <c r="AA72" s="200"/>
      <c r="AB72" s="200"/>
      <c r="AC72" s="200"/>
      <c r="AD72" s="200"/>
      <c r="AE72" s="97"/>
      <c r="AF72" s="96"/>
    </row>
    <row r="73" spans="4:32" x14ac:dyDescent="0.25">
      <c r="Y73" s="106"/>
      <c r="Z73" s="106"/>
      <c r="AA73" s="106"/>
      <c r="AB73" s="96"/>
      <c r="AC73" s="96"/>
      <c r="AD73" s="96"/>
      <c r="AE73" s="97"/>
      <c r="AF73" s="96"/>
    </row>
    <row r="74" spans="4:32" x14ac:dyDescent="0.25">
      <c r="Y74" s="106"/>
      <c r="Z74" s="106"/>
      <c r="AA74" s="106"/>
    </row>
    <row r="75" spans="4:32" x14ac:dyDescent="0.25">
      <c r="Y75" s="106"/>
      <c r="Z75" s="106"/>
      <c r="AA75" s="106"/>
    </row>
    <row r="76" spans="4:32" x14ac:dyDescent="0.25">
      <c r="Y76" s="106"/>
      <c r="Z76" s="106"/>
      <c r="AA76" s="106"/>
    </row>
    <row r="77" spans="4:32" x14ac:dyDescent="0.25">
      <c r="Y77" s="106"/>
      <c r="Z77" s="106"/>
      <c r="AA77" s="106"/>
    </row>
  </sheetData>
  <mergeCells count="261">
    <mergeCell ref="AF50:AK50"/>
    <mergeCell ref="D51:I51"/>
    <mergeCell ref="K51:P51"/>
    <mergeCell ref="R51:W51"/>
    <mergeCell ref="Y51:AD51"/>
    <mergeCell ref="AF51:AK51"/>
    <mergeCell ref="C54:C55"/>
    <mergeCell ref="D54:I55"/>
    <mergeCell ref="K54:P55"/>
    <mergeCell ref="R54:W55"/>
    <mergeCell ref="Y54:AD55"/>
    <mergeCell ref="AF54:AK55"/>
    <mergeCell ref="D52:I52"/>
    <mergeCell ref="K52:P52"/>
    <mergeCell ref="R52:W52"/>
    <mergeCell ref="Y52:AD52"/>
    <mergeCell ref="AF52:AK52"/>
    <mergeCell ref="D53:I53"/>
    <mergeCell ref="K53:P53"/>
    <mergeCell ref="R53:W53"/>
    <mergeCell ref="Y53:AD53"/>
    <mergeCell ref="AF53:AK53"/>
    <mergeCell ref="AF48:AK48"/>
    <mergeCell ref="D49:I49"/>
    <mergeCell ref="K49:P49"/>
    <mergeCell ref="R49:W49"/>
    <mergeCell ref="Y49:AD49"/>
    <mergeCell ref="AF49:AK49"/>
    <mergeCell ref="AF46:AK46"/>
    <mergeCell ref="D47:I47"/>
    <mergeCell ref="K47:P47"/>
    <mergeCell ref="R47:W47"/>
    <mergeCell ref="Y47:AD47"/>
    <mergeCell ref="AF47:AK47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AB42:AD42"/>
    <mergeCell ref="AG42:AH42"/>
    <mergeCell ref="AI42:AK42"/>
    <mergeCell ref="Z44:AA44"/>
    <mergeCell ref="AB44:AD44"/>
    <mergeCell ref="AG44:AH44"/>
    <mergeCell ref="AI44:AK44"/>
    <mergeCell ref="D45:I45"/>
    <mergeCell ref="K45:P45"/>
    <mergeCell ref="R45:W45"/>
    <mergeCell ref="Y45:AD45"/>
    <mergeCell ref="AF45:AK45"/>
    <mergeCell ref="E44:F44"/>
    <mergeCell ref="G44:I44"/>
    <mergeCell ref="L44:M44"/>
    <mergeCell ref="N44:P44"/>
    <mergeCell ref="S44:T44"/>
    <mergeCell ref="U44:W44"/>
    <mergeCell ref="D41:I41"/>
    <mergeCell ref="K41:P41"/>
    <mergeCell ref="R41:W41"/>
    <mergeCell ref="Y41:AD41"/>
    <mergeCell ref="AF41:AK41"/>
    <mergeCell ref="A42:A44"/>
    <mergeCell ref="B42:B44"/>
    <mergeCell ref="E42:F42"/>
    <mergeCell ref="G42:I42"/>
    <mergeCell ref="L42:M42"/>
    <mergeCell ref="N42:P42"/>
    <mergeCell ref="E43:F43"/>
    <mergeCell ref="G43:I43"/>
    <mergeCell ref="L43:M43"/>
    <mergeCell ref="N43:P43"/>
    <mergeCell ref="S43:T43"/>
    <mergeCell ref="U43:W43"/>
    <mergeCell ref="Z43:AA43"/>
    <mergeCell ref="AB43:AD43"/>
    <mergeCell ref="AG43:AH43"/>
    <mergeCell ref="AI43:AK43"/>
    <mergeCell ref="S42:T42"/>
    <mergeCell ref="U42:W42"/>
    <mergeCell ref="Z42:AA42"/>
    <mergeCell ref="Y39:Z39"/>
    <mergeCell ref="AA39:AC39"/>
    <mergeCell ref="AF39:AG39"/>
    <mergeCell ref="AH39:AJ39"/>
    <mergeCell ref="D40:E40"/>
    <mergeCell ref="F40:H40"/>
    <mergeCell ref="K40:L40"/>
    <mergeCell ref="M40:O40"/>
    <mergeCell ref="R40:S40"/>
    <mergeCell ref="T40:V40"/>
    <mergeCell ref="D39:E39"/>
    <mergeCell ref="F39:H39"/>
    <mergeCell ref="K39:L39"/>
    <mergeCell ref="M39:O39"/>
    <mergeCell ref="R39:S39"/>
    <mergeCell ref="T39:V39"/>
    <mergeCell ref="Y40:Z40"/>
    <mergeCell ref="AA40:AC40"/>
    <mergeCell ref="AF40:AG40"/>
    <mergeCell ref="AH40:AJ40"/>
    <mergeCell ref="R38:S38"/>
    <mergeCell ref="T38:V38"/>
    <mergeCell ref="Y38:Z38"/>
    <mergeCell ref="AA38:AC38"/>
    <mergeCell ref="AF38:AG38"/>
    <mergeCell ref="AH38:AJ38"/>
    <mergeCell ref="R37:S37"/>
    <mergeCell ref="T37:V37"/>
    <mergeCell ref="Y37:Z37"/>
    <mergeCell ref="AA37:AC37"/>
    <mergeCell ref="AF37:AG37"/>
    <mergeCell ref="AH37:AJ37"/>
    <mergeCell ref="A37:A40"/>
    <mergeCell ref="B37:B40"/>
    <mergeCell ref="D37:E37"/>
    <mergeCell ref="F37:H37"/>
    <mergeCell ref="K37:L37"/>
    <mergeCell ref="M37:O37"/>
    <mergeCell ref="D38:E38"/>
    <mergeCell ref="F38:H38"/>
    <mergeCell ref="K38:L38"/>
    <mergeCell ref="M38:O38"/>
    <mergeCell ref="D35:G35"/>
    <mergeCell ref="K35:N35"/>
    <mergeCell ref="R35:U35"/>
    <mergeCell ref="Y35:AB35"/>
    <mergeCell ref="AF35:AI35"/>
    <mergeCell ref="D36:I36"/>
    <mergeCell ref="K36:P36"/>
    <mergeCell ref="R36:W36"/>
    <mergeCell ref="Y36:AD36"/>
    <mergeCell ref="AF36:AK36"/>
    <mergeCell ref="T32:U32"/>
    <mergeCell ref="AA32:AB32"/>
    <mergeCell ref="AH32:AI32"/>
    <mergeCell ref="M33:N33"/>
    <mergeCell ref="T33:U33"/>
    <mergeCell ref="AA33:AB33"/>
    <mergeCell ref="AH33:AI33"/>
    <mergeCell ref="F34:G34"/>
    <mergeCell ref="M34:N34"/>
    <mergeCell ref="T34:U34"/>
    <mergeCell ref="AA34:AB34"/>
    <mergeCell ref="AH34:AI34"/>
    <mergeCell ref="A28:A35"/>
    <mergeCell ref="B28:B35"/>
    <mergeCell ref="F28:G28"/>
    <mergeCell ref="M28:N28"/>
    <mergeCell ref="T28:U28"/>
    <mergeCell ref="AA28:AB28"/>
    <mergeCell ref="AH28:AI28"/>
    <mergeCell ref="F29:G29"/>
    <mergeCell ref="M29:N29"/>
    <mergeCell ref="T29:U29"/>
    <mergeCell ref="AA29:AB29"/>
    <mergeCell ref="AH29:AI29"/>
    <mergeCell ref="F30:G30"/>
    <mergeCell ref="M30:N30"/>
    <mergeCell ref="T30:U30"/>
    <mergeCell ref="AA30:AB30"/>
    <mergeCell ref="AH30:AI30"/>
    <mergeCell ref="F31:G31"/>
    <mergeCell ref="M31:N31"/>
    <mergeCell ref="T31:U31"/>
    <mergeCell ref="AA31:AB31"/>
    <mergeCell ref="AH31:AI31"/>
    <mergeCell ref="F32:G32"/>
    <mergeCell ref="M32:N32"/>
    <mergeCell ref="A16:A26"/>
    <mergeCell ref="B16:B26"/>
    <mergeCell ref="D27:I27"/>
    <mergeCell ref="K27:P27"/>
    <mergeCell ref="R27:W27"/>
    <mergeCell ref="Y27:AD27"/>
    <mergeCell ref="AF14:AJ14"/>
    <mergeCell ref="D15:I15"/>
    <mergeCell ref="K15:P15"/>
    <mergeCell ref="R15:W15"/>
    <mergeCell ref="Y15:AD15"/>
    <mergeCell ref="AF15:AK15"/>
    <mergeCell ref="AF27:AK27"/>
    <mergeCell ref="A12:A14"/>
    <mergeCell ref="B12:B14"/>
    <mergeCell ref="D12:I12"/>
    <mergeCell ref="K12:P12"/>
    <mergeCell ref="R12:W12"/>
    <mergeCell ref="Y12:AD12"/>
    <mergeCell ref="D14:H14"/>
    <mergeCell ref="K14:O14"/>
    <mergeCell ref="R14:V14"/>
    <mergeCell ref="Y14:AC14"/>
    <mergeCell ref="AF10:AJ10"/>
    <mergeCell ref="D11:I11"/>
    <mergeCell ref="K11:P11"/>
    <mergeCell ref="R11:W11"/>
    <mergeCell ref="Y11:AD11"/>
    <mergeCell ref="AF11:AK11"/>
    <mergeCell ref="AF12:AK12"/>
    <mergeCell ref="D13:I13"/>
    <mergeCell ref="K13:P13"/>
    <mergeCell ref="R13:W13"/>
    <mergeCell ref="Y13:AD13"/>
    <mergeCell ref="AF13:AK13"/>
    <mergeCell ref="AF8:AJ8"/>
    <mergeCell ref="D9:H9"/>
    <mergeCell ref="K9:O9"/>
    <mergeCell ref="R9:V9"/>
    <mergeCell ref="Y9:AC9"/>
    <mergeCell ref="AF9:AJ9"/>
    <mergeCell ref="D7:I7"/>
    <mergeCell ref="K7:P7"/>
    <mergeCell ref="R7:W7"/>
    <mergeCell ref="Y7:AD7"/>
    <mergeCell ref="AF7:AK7"/>
    <mergeCell ref="A8:A10"/>
    <mergeCell ref="B8:B10"/>
    <mergeCell ref="D8:H8"/>
    <mergeCell ref="K8:O8"/>
    <mergeCell ref="R8:V8"/>
    <mergeCell ref="D5:I5"/>
    <mergeCell ref="K5:P5"/>
    <mergeCell ref="R5:W5"/>
    <mergeCell ref="Y5:AD5"/>
    <mergeCell ref="Y8:AC8"/>
    <mergeCell ref="D10:H10"/>
    <mergeCell ref="K10:O10"/>
    <mergeCell ref="R10:V10"/>
    <mergeCell ref="Y10:AC10"/>
    <mergeCell ref="D2:I2"/>
    <mergeCell ref="K2:P2"/>
    <mergeCell ref="R2:W2"/>
    <mergeCell ref="Y2:AD2"/>
    <mergeCell ref="AF2:AK2"/>
    <mergeCell ref="A3:A6"/>
    <mergeCell ref="B3:B6"/>
    <mergeCell ref="D3:I3"/>
    <mergeCell ref="K3:P3"/>
    <mergeCell ref="R3:W3"/>
    <mergeCell ref="AF5:AK5"/>
    <mergeCell ref="D6:I6"/>
    <mergeCell ref="K6:P6"/>
    <mergeCell ref="R6:W6"/>
    <mergeCell ref="Y6:AD6"/>
    <mergeCell ref="AF6:AK6"/>
    <mergeCell ref="Y3:AD3"/>
    <mergeCell ref="AF3:AK3"/>
    <mergeCell ref="D4:I4"/>
    <mergeCell ref="K4:P4"/>
    <mergeCell ref="R4:W4"/>
    <mergeCell ref="Y4:AD4"/>
    <mergeCell ref="AF4:AK4"/>
  </mergeCells>
  <pageMargins left="0.7" right="0.7" top="0.78740157499999996" bottom="0.78740157499999996" header="0.3" footer="0.3"/>
  <pageSetup paperSize="9" orientation="portrait" horizontalDpi="4294967294" verticalDpi="4294967294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7"/>
  <sheetViews>
    <sheetView zoomScale="70" zoomScaleNormal="70" workbookViewId="0">
      <pane xSplit="5" ySplit="20" topLeftCell="F21" activePane="bottomRight" state="frozen"/>
      <selection pane="topRight" activeCell="F1" sqref="F1"/>
      <selection pane="bottomLeft" activeCell="A21" sqref="A21"/>
      <selection pane="bottomRight" activeCell="I40" sqref="I40"/>
    </sheetView>
  </sheetViews>
  <sheetFormatPr baseColWidth="10" defaultColWidth="11.42578125" defaultRowHeight="15" x14ac:dyDescent="0.25"/>
  <cols>
    <col min="1" max="1" width="11.42578125" style="152"/>
    <col min="2" max="2" width="44.140625" style="152" customWidth="1"/>
    <col min="3" max="3" width="42" style="152" customWidth="1"/>
    <col min="4" max="4" width="11.42578125" style="152"/>
    <col min="5" max="5" width="35" style="152" bestFit="1" customWidth="1"/>
    <col min="6" max="7" width="11.42578125" style="152"/>
    <col min="8" max="8" width="25.85546875" style="152" bestFit="1" customWidth="1"/>
    <col min="9" max="9" width="28.140625" style="152" bestFit="1" customWidth="1"/>
    <col min="10" max="10" width="1.7109375" style="23" customWidth="1"/>
    <col min="11" max="11" width="8.5703125" style="152" bestFit="1" customWidth="1"/>
    <col min="12" max="12" width="35" style="152" bestFit="1" customWidth="1"/>
    <col min="13" max="14" width="9.28515625" style="152" customWidth="1"/>
    <col min="15" max="15" width="25.85546875" style="152" bestFit="1" customWidth="1"/>
    <col min="16" max="16" width="28.140625" style="152" bestFit="1" customWidth="1"/>
    <col min="17" max="17" width="1.7109375" style="23" customWidth="1"/>
    <col min="18" max="19" width="11.42578125" style="152"/>
    <col min="20" max="20" width="34.28515625" style="152" bestFit="1" customWidth="1"/>
    <col min="21" max="21" width="11.42578125" style="152"/>
    <col min="22" max="22" width="25.85546875" style="152" bestFit="1" customWidth="1"/>
    <col min="23" max="23" width="28.140625" style="152" bestFit="1" customWidth="1"/>
    <col min="24" max="24" width="1.7109375" style="8" customWidth="1"/>
    <col min="25" max="25" width="11.42578125" style="152"/>
    <col min="26" max="26" width="34.28515625" style="152" bestFit="1" customWidth="1"/>
    <col min="27" max="27" width="34.28515625" style="152" customWidth="1"/>
    <col min="28" max="28" width="11.42578125" style="152"/>
    <col min="29" max="29" width="25.85546875" style="152" bestFit="1" customWidth="1"/>
    <col min="30" max="30" width="28.140625" style="152" bestFit="1" customWidth="1"/>
    <col min="31" max="31" width="1.7109375" style="8" customWidth="1"/>
    <col min="32" max="32" width="11.42578125" style="152"/>
    <col min="33" max="33" width="35" style="152" bestFit="1" customWidth="1"/>
    <col min="34" max="34" width="34.28515625" style="152" bestFit="1" customWidth="1"/>
    <col min="35" max="35" width="11.42578125" style="152"/>
    <col min="36" max="36" width="25.85546875" style="152" bestFit="1" customWidth="1"/>
    <col min="37" max="37" width="28.140625" style="152" bestFit="1" customWidth="1"/>
    <col min="38" max="38" width="1.7109375" style="8" customWidth="1"/>
    <col min="39" max="16384" width="11.42578125" style="152"/>
  </cols>
  <sheetData>
    <row r="1" spans="1:46" ht="15.75" thickBot="1" x14ac:dyDescent="0.3">
      <c r="F1" s="152" t="s">
        <v>501</v>
      </c>
      <c r="M1" s="152" t="s">
        <v>502</v>
      </c>
      <c r="AH1" s="152" t="s">
        <v>503</v>
      </c>
    </row>
    <row r="2" spans="1:46" ht="15.75" thickBot="1" x14ac:dyDescent="0.3">
      <c r="A2" s="21"/>
      <c r="B2" s="22" t="s">
        <v>40</v>
      </c>
      <c r="C2" s="22" t="s">
        <v>41</v>
      </c>
      <c r="D2" s="348" t="s">
        <v>48</v>
      </c>
      <c r="E2" s="338"/>
      <c r="F2" s="338"/>
      <c r="G2" s="338"/>
      <c r="H2" s="338"/>
      <c r="I2" s="338"/>
      <c r="J2" s="62"/>
      <c r="K2" s="337" t="s">
        <v>49</v>
      </c>
      <c r="L2" s="338"/>
      <c r="M2" s="338"/>
      <c r="N2" s="338"/>
      <c r="O2" s="338"/>
      <c r="P2" s="338"/>
      <c r="Q2" s="62"/>
      <c r="R2" s="337" t="s">
        <v>50</v>
      </c>
      <c r="S2" s="338"/>
      <c r="T2" s="338"/>
      <c r="U2" s="338"/>
      <c r="V2" s="338"/>
      <c r="W2" s="338"/>
      <c r="X2" s="63"/>
      <c r="Y2" s="348" t="s">
        <v>51</v>
      </c>
      <c r="Z2" s="338"/>
      <c r="AA2" s="338"/>
      <c r="AB2" s="338"/>
      <c r="AC2" s="338"/>
      <c r="AD2" s="338"/>
      <c r="AE2" s="63"/>
      <c r="AF2" s="348" t="s">
        <v>52</v>
      </c>
      <c r="AG2" s="338"/>
      <c r="AH2" s="338"/>
      <c r="AI2" s="338"/>
      <c r="AJ2" s="338"/>
      <c r="AK2" s="338"/>
      <c r="AL2" s="63"/>
    </row>
    <row r="3" spans="1:46" ht="15" customHeight="1" x14ac:dyDescent="0.25">
      <c r="A3" s="328" t="s">
        <v>39</v>
      </c>
      <c r="B3" s="331" t="s">
        <v>38</v>
      </c>
      <c r="C3" s="39" t="s">
        <v>2</v>
      </c>
      <c r="D3" s="323" t="s">
        <v>504</v>
      </c>
      <c r="E3" s="324"/>
      <c r="F3" s="324"/>
      <c r="G3" s="324"/>
      <c r="H3" s="324"/>
      <c r="I3" s="324"/>
      <c r="J3" s="24"/>
      <c r="K3" s="323" t="s">
        <v>118</v>
      </c>
      <c r="L3" s="324"/>
      <c r="M3" s="324"/>
      <c r="N3" s="324"/>
      <c r="O3" s="324"/>
      <c r="P3" s="324"/>
      <c r="Q3" s="24"/>
      <c r="R3" s="343" t="s">
        <v>505</v>
      </c>
      <c r="S3" s="344"/>
      <c r="T3" s="344"/>
      <c r="U3" s="344"/>
      <c r="V3" s="344"/>
      <c r="W3" s="345"/>
      <c r="Y3" s="323" t="s">
        <v>506</v>
      </c>
      <c r="Z3" s="324"/>
      <c r="AA3" s="324"/>
      <c r="AB3" s="324"/>
      <c r="AC3" s="324"/>
      <c r="AD3" s="324"/>
      <c r="AF3" s="323" t="s">
        <v>504</v>
      </c>
      <c r="AG3" s="324"/>
      <c r="AH3" s="324"/>
      <c r="AI3" s="324"/>
      <c r="AJ3" s="324"/>
      <c r="AK3" s="324"/>
    </row>
    <row r="4" spans="1:46" x14ac:dyDescent="0.25">
      <c r="A4" s="329"/>
      <c r="B4" s="332"/>
      <c r="C4" s="40" t="s">
        <v>3</v>
      </c>
      <c r="D4" s="339" t="s">
        <v>73</v>
      </c>
      <c r="E4" s="340"/>
      <c r="F4" s="340"/>
      <c r="G4" s="340"/>
      <c r="H4" s="340"/>
      <c r="I4" s="340"/>
      <c r="J4" s="24"/>
      <c r="K4" s="325" t="s">
        <v>73</v>
      </c>
      <c r="L4" s="326"/>
      <c r="M4" s="326"/>
      <c r="N4" s="326"/>
      <c r="O4" s="326"/>
      <c r="P4" s="327"/>
      <c r="Q4" s="24"/>
      <c r="R4" s="325" t="s">
        <v>73</v>
      </c>
      <c r="S4" s="326"/>
      <c r="T4" s="326"/>
      <c r="U4" s="326"/>
      <c r="V4" s="326"/>
      <c r="W4" s="327"/>
      <c r="Y4" s="339" t="s">
        <v>73</v>
      </c>
      <c r="Z4" s="340"/>
      <c r="AA4" s="340"/>
      <c r="AB4" s="340"/>
      <c r="AC4" s="340"/>
      <c r="AD4" s="340"/>
      <c r="AF4" s="339" t="s">
        <v>73</v>
      </c>
      <c r="AG4" s="340"/>
      <c r="AH4" s="340"/>
      <c r="AI4" s="340"/>
      <c r="AJ4" s="340"/>
      <c r="AK4" s="340"/>
    </row>
    <row r="5" spans="1:46" x14ac:dyDescent="0.25">
      <c r="A5" s="329"/>
      <c r="B5" s="332"/>
      <c r="C5" s="64" t="s">
        <v>100</v>
      </c>
      <c r="D5" s="322" t="s">
        <v>111</v>
      </c>
      <c r="E5" s="322"/>
      <c r="F5" s="322"/>
      <c r="G5" s="322"/>
      <c r="H5" s="322"/>
      <c r="I5" s="322"/>
      <c r="J5" s="66"/>
      <c r="K5" s="319" t="s">
        <v>111</v>
      </c>
      <c r="L5" s="320"/>
      <c r="M5" s="320"/>
      <c r="N5" s="320"/>
      <c r="O5" s="320"/>
      <c r="P5" s="321"/>
      <c r="Q5" s="66"/>
      <c r="R5" s="319" t="s">
        <v>111</v>
      </c>
      <c r="S5" s="320"/>
      <c r="T5" s="320"/>
      <c r="U5" s="320"/>
      <c r="V5" s="320"/>
      <c r="W5" s="321"/>
      <c r="X5" s="67"/>
      <c r="Y5" s="322" t="s">
        <v>111</v>
      </c>
      <c r="Z5" s="322"/>
      <c r="AA5" s="322"/>
      <c r="AB5" s="322"/>
      <c r="AC5" s="322"/>
      <c r="AD5" s="322"/>
      <c r="AE5" s="67"/>
      <c r="AF5" s="322" t="s">
        <v>111</v>
      </c>
      <c r="AG5" s="322"/>
      <c r="AH5" s="322"/>
      <c r="AI5" s="322"/>
      <c r="AJ5" s="322"/>
      <c r="AK5" s="322"/>
      <c r="AL5" s="67"/>
    </row>
    <row r="6" spans="1:46" ht="15.75" thickBot="1" x14ac:dyDescent="0.3">
      <c r="A6" s="330"/>
      <c r="B6" s="333"/>
      <c r="C6" s="56" t="s">
        <v>66</v>
      </c>
      <c r="D6" s="334" t="s">
        <v>74</v>
      </c>
      <c r="E6" s="335"/>
      <c r="F6" s="335"/>
      <c r="G6" s="335"/>
      <c r="H6" s="335"/>
      <c r="I6" s="336"/>
      <c r="J6" s="69"/>
      <c r="K6" s="334" t="s">
        <v>74</v>
      </c>
      <c r="L6" s="335"/>
      <c r="M6" s="335"/>
      <c r="N6" s="335"/>
      <c r="O6" s="335"/>
      <c r="P6" s="336"/>
      <c r="Q6" s="69"/>
      <c r="R6" s="334" t="s">
        <v>74</v>
      </c>
      <c r="S6" s="335"/>
      <c r="T6" s="335"/>
      <c r="U6" s="335"/>
      <c r="V6" s="335"/>
      <c r="W6" s="336"/>
      <c r="X6" s="70"/>
      <c r="Y6" s="334" t="s">
        <v>74</v>
      </c>
      <c r="Z6" s="335"/>
      <c r="AA6" s="335"/>
      <c r="AB6" s="335"/>
      <c r="AC6" s="335"/>
      <c r="AD6" s="336"/>
      <c r="AE6" s="32"/>
      <c r="AF6" s="334" t="s">
        <v>74</v>
      </c>
      <c r="AG6" s="335"/>
      <c r="AH6" s="335"/>
      <c r="AI6" s="335"/>
      <c r="AJ6" s="335"/>
      <c r="AK6" s="336"/>
    </row>
    <row r="7" spans="1:46" ht="15.75" thickBot="1" x14ac:dyDescent="0.3">
      <c r="A7" s="11"/>
      <c r="B7" s="13"/>
      <c r="C7" s="55"/>
      <c r="D7" s="223"/>
      <c r="E7" s="224"/>
      <c r="F7" s="224"/>
      <c r="G7" s="224"/>
      <c r="H7" s="224"/>
      <c r="I7" s="224"/>
      <c r="K7" s="223"/>
      <c r="L7" s="224"/>
      <c r="M7" s="224"/>
      <c r="N7" s="224"/>
      <c r="O7" s="224"/>
      <c r="P7" s="224"/>
      <c r="R7" s="235"/>
      <c r="S7" s="236"/>
      <c r="T7" s="236"/>
      <c r="U7" s="236"/>
      <c r="V7" s="236"/>
      <c r="W7" s="236"/>
      <c r="Y7" s="223"/>
      <c r="Z7" s="224"/>
      <c r="AA7" s="224"/>
      <c r="AB7" s="224"/>
      <c r="AC7" s="224"/>
      <c r="AD7" s="224"/>
      <c r="AF7" s="223"/>
      <c r="AG7" s="224"/>
      <c r="AH7" s="224"/>
      <c r="AI7" s="224"/>
      <c r="AJ7" s="224"/>
      <c r="AK7" s="224"/>
    </row>
    <row r="8" spans="1:46" ht="15" customHeight="1" thickBot="1" x14ac:dyDescent="0.3">
      <c r="A8" s="317" t="s">
        <v>37</v>
      </c>
      <c r="B8" s="318" t="s">
        <v>94</v>
      </c>
      <c r="C8" s="53" t="s">
        <v>5</v>
      </c>
      <c r="D8" s="241" t="s">
        <v>110</v>
      </c>
      <c r="E8" s="242"/>
      <c r="F8" s="242"/>
      <c r="G8" s="242"/>
      <c r="H8" s="243"/>
      <c r="I8" s="123" t="s">
        <v>507</v>
      </c>
      <c r="K8" s="241" t="s">
        <v>110</v>
      </c>
      <c r="L8" s="242"/>
      <c r="M8" s="242"/>
      <c r="N8" s="242"/>
      <c r="O8" s="243"/>
      <c r="P8" s="92" t="s">
        <v>119</v>
      </c>
      <c r="R8" s="241" t="s">
        <v>110</v>
      </c>
      <c r="S8" s="242"/>
      <c r="T8" s="242"/>
      <c r="U8" s="242"/>
      <c r="V8" s="243"/>
      <c r="W8" s="92" t="s">
        <v>508</v>
      </c>
      <c r="Y8" s="241" t="s">
        <v>110</v>
      </c>
      <c r="Z8" s="242"/>
      <c r="AA8" s="242"/>
      <c r="AB8" s="242"/>
      <c r="AC8" s="243"/>
      <c r="AD8" s="123" t="s">
        <v>507</v>
      </c>
      <c r="AF8" s="241" t="s">
        <v>110</v>
      </c>
      <c r="AG8" s="242"/>
      <c r="AH8" s="242"/>
      <c r="AI8" s="242"/>
      <c r="AJ8" s="243"/>
      <c r="AK8" s="123" t="s">
        <v>507</v>
      </c>
    </row>
    <row r="9" spans="1:46" ht="15.75" thickBot="1" x14ac:dyDescent="0.3">
      <c r="A9" s="317"/>
      <c r="B9" s="318"/>
      <c r="C9" s="14" t="s">
        <v>6</v>
      </c>
      <c r="D9" s="244" t="s">
        <v>87</v>
      </c>
      <c r="E9" s="245"/>
      <c r="F9" s="245"/>
      <c r="G9" s="245"/>
      <c r="H9" s="246"/>
      <c r="I9" s="123" t="s">
        <v>507</v>
      </c>
      <c r="K9" s="244" t="s">
        <v>87</v>
      </c>
      <c r="L9" s="245"/>
      <c r="M9" s="245"/>
      <c r="N9" s="245"/>
      <c r="O9" s="246"/>
      <c r="P9" s="94" t="s">
        <v>119</v>
      </c>
      <c r="R9" s="244" t="s">
        <v>87</v>
      </c>
      <c r="S9" s="245"/>
      <c r="T9" s="245"/>
      <c r="U9" s="245"/>
      <c r="V9" s="246"/>
      <c r="W9" s="92" t="s">
        <v>508</v>
      </c>
      <c r="Y9" s="244" t="s">
        <v>87</v>
      </c>
      <c r="Z9" s="245"/>
      <c r="AA9" s="245"/>
      <c r="AB9" s="245"/>
      <c r="AC9" s="246"/>
      <c r="AD9" s="123" t="s">
        <v>507</v>
      </c>
      <c r="AF9" s="244" t="s">
        <v>87</v>
      </c>
      <c r="AG9" s="245"/>
      <c r="AH9" s="245"/>
      <c r="AI9" s="245"/>
      <c r="AJ9" s="246"/>
      <c r="AK9" s="123" t="s">
        <v>507</v>
      </c>
      <c r="AQ9" s="143"/>
      <c r="AR9" s="143"/>
      <c r="AS9" s="143"/>
      <c r="AT9" s="143"/>
    </row>
    <row r="10" spans="1:46" ht="15.75" thickBot="1" x14ac:dyDescent="0.3">
      <c r="A10" s="317"/>
      <c r="B10" s="318"/>
      <c r="C10" s="54" t="s">
        <v>7</v>
      </c>
      <c r="D10" s="247" t="s">
        <v>88</v>
      </c>
      <c r="E10" s="248"/>
      <c r="F10" s="248"/>
      <c r="G10" s="248"/>
      <c r="H10" s="249"/>
      <c r="I10" s="123" t="s">
        <v>507</v>
      </c>
      <c r="K10" s="247" t="s">
        <v>88</v>
      </c>
      <c r="L10" s="248"/>
      <c r="M10" s="248"/>
      <c r="N10" s="248"/>
      <c r="O10" s="249"/>
      <c r="P10" s="95" t="s">
        <v>119</v>
      </c>
      <c r="R10" s="247" t="s">
        <v>88</v>
      </c>
      <c r="S10" s="248"/>
      <c r="T10" s="248"/>
      <c r="U10" s="248"/>
      <c r="V10" s="249"/>
      <c r="W10" s="92" t="s">
        <v>508</v>
      </c>
      <c r="Y10" s="247" t="s">
        <v>88</v>
      </c>
      <c r="Z10" s="248"/>
      <c r="AA10" s="248"/>
      <c r="AB10" s="248"/>
      <c r="AC10" s="249"/>
      <c r="AD10" s="123" t="s">
        <v>507</v>
      </c>
      <c r="AF10" s="247" t="s">
        <v>88</v>
      </c>
      <c r="AG10" s="248"/>
      <c r="AH10" s="248"/>
      <c r="AI10" s="248"/>
      <c r="AJ10" s="249"/>
      <c r="AK10" s="123" t="s">
        <v>507</v>
      </c>
      <c r="AQ10" s="143"/>
      <c r="AR10" s="143"/>
      <c r="AS10" s="143"/>
      <c r="AT10" s="143"/>
    </row>
    <row r="11" spans="1:46" ht="15.75" thickBot="1" x14ac:dyDescent="0.3">
      <c r="A11" s="12"/>
      <c r="B11" s="15"/>
      <c r="C11" s="15"/>
      <c r="D11" s="223"/>
      <c r="E11" s="224"/>
      <c r="F11" s="224"/>
      <c r="G11" s="224"/>
      <c r="H11" s="224"/>
      <c r="I11" s="224"/>
      <c r="K11" s="223"/>
      <c r="L11" s="224"/>
      <c r="M11" s="224"/>
      <c r="N11" s="224"/>
      <c r="O11" s="224"/>
      <c r="P11" s="224"/>
      <c r="R11" s="341"/>
      <c r="S11" s="342"/>
      <c r="T11" s="342"/>
      <c r="U11" s="342"/>
      <c r="V11" s="342"/>
      <c r="W11" s="342"/>
      <c r="Y11" s="223"/>
      <c r="Z11" s="224"/>
      <c r="AA11" s="224"/>
      <c r="AB11" s="224"/>
      <c r="AC11" s="224"/>
      <c r="AD11" s="224"/>
      <c r="AF11" s="223"/>
      <c r="AG11" s="224"/>
      <c r="AH11" s="224"/>
      <c r="AI11" s="224"/>
      <c r="AJ11" s="224"/>
      <c r="AK11" s="224"/>
      <c r="AQ11" s="143"/>
      <c r="AR11" s="143"/>
      <c r="AS11" s="143"/>
      <c r="AT11" s="143"/>
    </row>
    <row r="12" spans="1:46" ht="15" customHeight="1" x14ac:dyDescent="0.25">
      <c r="A12" s="304" t="s">
        <v>8</v>
      </c>
      <c r="B12" s="307" t="s">
        <v>95</v>
      </c>
      <c r="C12" s="51" t="s">
        <v>67</v>
      </c>
      <c r="D12" s="312" t="s">
        <v>509</v>
      </c>
      <c r="E12" s="313"/>
      <c r="F12" s="313"/>
      <c r="G12" s="313"/>
      <c r="H12" s="313"/>
      <c r="I12" s="313"/>
      <c r="K12" s="312" t="s">
        <v>120</v>
      </c>
      <c r="L12" s="313"/>
      <c r="M12" s="313"/>
      <c r="N12" s="313"/>
      <c r="O12" s="313"/>
      <c r="P12" s="313"/>
      <c r="R12" s="310" t="s">
        <v>155</v>
      </c>
      <c r="S12" s="311"/>
      <c r="T12" s="311"/>
      <c r="U12" s="311"/>
      <c r="V12" s="311"/>
      <c r="W12" s="311"/>
      <c r="Y12" s="312" t="s">
        <v>509</v>
      </c>
      <c r="Z12" s="313"/>
      <c r="AA12" s="313"/>
      <c r="AB12" s="313"/>
      <c r="AC12" s="313"/>
      <c r="AD12" s="313"/>
      <c r="AF12" s="312" t="s">
        <v>509</v>
      </c>
      <c r="AG12" s="313"/>
      <c r="AH12" s="313"/>
      <c r="AI12" s="313"/>
      <c r="AJ12" s="313"/>
      <c r="AK12" s="313"/>
      <c r="AQ12" s="143"/>
      <c r="AR12" s="143"/>
      <c r="AS12" s="143"/>
      <c r="AT12" s="143"/>
    </row>
    <row r="13" spans="1:46" x14ac:dyDescent="0.25">
      <c r="A13" s="305"/>
      <c r="B13" s="308"/>
      <c r="C13" s="16" t="s">
        <v>75</v>
      </c>
      <c r="D13" s="346" t="s">
        <v>170</v>
      </c>
      <c r="E13" s="347"/>
      <c r="F13" s="347"/>
      <c r="G13" s="347"/>
      <c r="H13" s="347"/>
      <c r="I13" s="347"/>
      <c r="K13" s="346" t="s">
        <v>162</v>
      </c>
      <c r="L13" s="347"/>
      <c r="M13" s="347"/>
      <c r="N13" s="347"/>
      <c r="O13" s="347"/>
      <c r="P13" s="347"/>
      <c r="R13" s="314" t="s">
        <v>510</v>
      </c>
      <c r="S13" s="315"/>
      <c r="T13" s="315"/>
      <c r="U13" s="315"/>
      <c r="V13" s="315"/>
      <c r="W13" s="315"/>
      <c r="Y13" s="346" t="s">
        <v>170</v>
      </c>
      <c r="Z13" s="347"/>
      <c r="AA13" s="347"/>
      <c r="AB13" s="347"/>
      <c r="AC13" s="347"/>
      <c r="AD13" s="347"/>
      <c r="AF13" s="346" t="s">
        <v>170</v>
      </c>
      <c r="AG13" s="347"/>
      <c r="AH13" s="347"/>
      <c r="AI13" s="347"/>
      <c r="AJ13" s="347"/>
      <c r="AK13" s="347"/>
      <c r="AQ13" s="143"/>
      <c r="AR13" s="143"/>
      <c r="AS13" s="143"/>
      <c r="AT13" s="143"/>
    </row>
    <row r="14" spans="1:46" ht="15.75" thickBot="1" x14ac:dyDescent="0.3">
      <c r="A14" s="306"/>
      <c r="B14" s="309"/>
      <c r="C14" s="52" t="s">
        <v>10</v>
      </c>
      <c r="D14" s="316" t="s">
        <v>88</v>
      </c>
      <c r="E14" s="231"/>
      <c r="F14" s="231"/>
      <c r="G14" s="231"/>
      <c r="H14" s="232"/>
      <c r="I14" s="52" t="s">
        <v>507</v>
      </c>
      <c r="K14" s="316" t="s">
        <v>88</v>
      </c>
      <c r="L14" s="231"/>
      <c r="M14" s="231"/>
      <c r="N14" s="231"/>
      <c r="O14" s="232"/>
      <c r="P14" s="77" t="s">
        <v>119</v>
      </c>
      <c r="R14" s="316" t="s">
        <v>88</v>
      </c>
      <c r="S14" s="231"/>
      <c r="T14" s="231"/>
      <c r="U14" s="231"/>
      <c r="V14" s="232"/>
      <c r="W14" s="77" t="s">
        <v>508</v>
      </c>
      <c r="Y14" s="316" t="s">
        <v>88</v>
      </c>
      <c r="Z14" s="231"/>
      <c r="AA14" s="231"/>
      <c r="AB14" s="231"/>
      <c r="AC14" s="232"/>
      <c r="AD14" s="52" t="s">
        <v>507</v>
      </c>
      <c r="AF14" s="316" t="s">
        <v>88</v>
      </c>
      <c r="AG14" s="231"/>
      <c r="AH14" s="231"/>
      <c r="AI14" s="231"/>
      <c r="AJ14" s="232"/>
      <c r="AK14" s="52" t="s">
        <v>507</v>
      </c>
      <c r="AQ14" s="144"/>
      <c r="AR14" s="143"/>
      <c r="AS14" s="144"/>
      <c r="AT14" s="143"/>
    </row>
    <row r="15" spans="1:46" ht="15.75" thickBot="1" x14ac:dyDescent="0.3">
      <c r="A15" s="12"/>
      <c r="B15" s="15"/>
      <c r="C15" s="15"/>
      <c r="D15" s="235"/>
      <c r="E15" s="236"/>
      <c r="F15" s="236"/>
      <c r="G15" s="236"/>
      <c r="H15" s="236"/>
      <c r="I15" s="236"/>
      <c r="K15" s="235"/>
      <c r="L15" s="236"/>
      <c r="M15" s="236"/>
      <c r="N15" s="236"/>
      <c r="O15" s="236"/>
      <c r="P15" s="236"/>
      <c r="R15" s="235"/>
      <c r="S15" s="236"/>
      <c r="T15" s="236"/>
      <c r="U15" s="236"/>
      <c r="V15" s="236"/>
      <c r="W15" s="236"/>
      <c r="Y15" s="235"/>
      <c r="Z15" s="236"/>
      <c r="AA15" s="236"/>
      <c r="AB15" s="236"/>
      <c r="AC15" s="236"/>
      <c r="AD15" s="236"/>
      <c r="AF15" s="235"/>
      <c r="AG15" s="236"/>
      <c r="AH15" s="236"/>
      <c r="AI15" s="236"/>
      <c r="AJ15" s="236"/>
      <c r="AK15" s="236"/>
      <c r="AQ15" s="143"/>
      <c r="AR15" s="143"/>
      <c r="AS15" s="143"/>
      <c r="AT15" s="143"/>
    </row>
    <row r="16" spans="1:46" ht="15.75" customHeight="1" thickBot="1" x14ac:dyDescent="0.3">
      <c r="A16" s="301" t="s">
        <v>11</v>
      </c>
      <c r="B16" s="285" t="s">
        <v>96</v>
      </c>
      <c r="C16" s="46" t="s">
        <v>83</v>
      </c>
      <c r="D16" s="87" t="s">
        <v>32</v>
      </c>
      <c r="E16" s="88" t="s">
        <v>71</v>
      </c>
      <c r="F16" s="88" t="s">
        <v>20</v>
      </c>
      <c r="G16" s="88" t="s">
        <v>106</v>
      </c>
      <c r="H16" s="89" t="s">
        <v>90</v>
      </c>
      <c r="I16" s="89" t="s">
        <v>23</v>
      </c>
      <c r="K16" s="87" t="s">
        <v>32</v>
      </c>
      <c r="L16" s="88" t="s">
        <v>71</v>
      </c>
      <c r="M16" s="88" t="s">
        <v>20</v>
      </c>
      <c r="N16" s="88" t="s">
        <v>106</v>
      </c>
      <c r="O16" s="89" t="s">
        <v>90</v>
      </c>
      <c r="P16" s="89" t="s">
        <v>23</v>
      </c>
      <c r="R16" s="87" t="s">
        <v>32</v>
      </c>
      <c r="S16" s="88" t="s">
        <v>71</v>
      </c>
      <c r="T16" s="88" t="s">
        <v>20</v>
      </c>
      <c r="U16" s="88" t="s">
        <v>106</v>
      </c>
      <c r="V16" s="89" t="s">
        <v>90</v>
      </c>
      <c r="W16" s="89" t="s">
        <v>23</v>
      </c>
      <c r="Y16" s="87" t="s">
        <v>32</v>
      </c>
      <c r="Z16" s="88" t="s">
        <v>71</v>
      </c>
      <c r="AA16" s="88" t="s">
        <v>20</v>
      </c>
      <c r="AB16" s="88" t="s">
        <v>106</v>
      </c>
      <c r="AC16" s="89" t="s">
        <v>90</v>
      </c>
      <c r="AD16" s="89" t="s">
        <v>23</v>
      </c>
      <c r="AF16" s="87" t="s">
        <v>32</v>
      </c>
      <c r="AG16" s="88" t="s">
        <v>71</v>
      </c>
      <c r="AH16" s="88" t="s">
        <v>20</v>
      </c>
      <c r="AI16" s="88" t="s">
        <v>106</v>
      </c>
      <c r="AJ16" s="89" t="s">
        <v>90</v>
      </c>
      <c r="AK16" s="89" t="s">
        <v>23</v>
      </c>
      <c r="AQ16" s="143"/>
      <c r="AR16" s="143"/>
      <c r="AS16" s="143"/>
      <c r="AT16" s="143"/>
    </row>
    <row r="17" spans="1:46" ht="15" customHeight="1" x14ac:dyDescent="0.25">
      <c r="A17" s="302"/>
      <c r="B17" s="286"/>
      <c r="C17" s="42" t="s">
        <v>12</v>
      </c>
      <c r="D17" s="48" t="s">
        <v>144</v>
      </c>
      <c r="E17" s="43" t="s">
        <v>145</v>
      </c>
      <c r="F17" s="79" t="s">
        <v>104</v>
      </c>
      <c r="G17" s="121">
        <v>41730</v>
      </c>
      <c r="H17" s="73" t="s">
        <v>511</v>
      </c>
      <c r="I17" s="73">
        <v>2</v>
      </c>
      <c r="K17" s="48" t="s">
        <v>74</v>
      </c>
      <c r="L17" s="43" t="s">
        <v>74</v>
      </c>
      <c r="M17" s="78" t="s">
        <v>74</v>
      </c>
      <c r="N17" s="78" t="s">
        <v>74</v>
      </c>
      <c r="O17" s="73" t="s">
        <v>74</v>
      </c>
      <c r="P17" s="73" t="s">
        <v>74</v>
      </c>
      <c r="R17" s="48" t="s">
        <v>182</v>
      </c>
      <c r="S17" s="43" t="s">
        <v>172</v>
      </c>
      <c r="T17" s="78" t="s">
        <v>104</v>
      </c>
      <c r="U17" s="78" t="s">
        <v>200</v>
      </c>
      <c r="V17" s="73" t="s">
        <v>512</v>
      </c>
      <c r="W17" s="120">
        <v>2</v>
      </c>
      <c r="Y17" s="48" t="s">
        <v>144</v>
      </c>
      <c r="Z17" s="43" t="s">
        <v>145</v>
      </c>
      <c r="AA17" s="79" t="s">
        <v>104</v>
      </c>
      <c r="AB17" s="121">
        <v>41730</v>
      </c>
      <c r="AC17" s="73" t="s">
        <v>513</v>
      </c>
      <c r="AD17" s="73">
        <v>2</v>
      </c>
      <c r="AF17" s="48" t="s">
        <v>144</v>
      </c>
      <c r="AG17" s="43" t="s">
        <v>145</v>
      </c>
      <c r="AH17" s="79" t="s">
        <v>104</v>
      </c>
      <c r="AI17" s="121">
        <v>41730</v>
      </c>
      <c r="AJ17" s="73" t="s">
        <v>514</v>
      </c>
      <c r="AK17" s="73">
        <v>2</v>
      </c>
      <c r="AQ17" s="143"/>
      <c r="AR17" s="143"/>
      <c r="AS17" s="143"/>
      <c r="AT17" s="143"/>
    </row>
    <row r="18" spans="1:46" x14ac:dyDescent="0.25">
      <c r="A18" s="302"/>
      <c r="B18" s="286"/>
      <c r="C18" s="17" t="s">
        <v>12</v>
      </c>
      <c r="D18" s="48" t="s">
        <v>74</v>
      </c>
      <c r="E18" s="43" t="s">
        <v>74</v>
      </c>
      <c r="F18" s="79" t="s">
        <v>74</v>
      </c>
      <c r="G18" s="79" t="s">
        <v>74</v>
      </c>
      <c r="H18" s="192" t="s">
        <v>74</v>
      </c>
      <c r="I18" s="192" t="s">
        <v>74</v>
      </c>
      <c r="K18" s="48" t="s">
        <v>74</v>
      </c>
      <c r="L18" s="43" t="s">
        <v>74</v>
      </c>
      <c r="M18" s="78" t="s">
        <v>74</v>
      </c>
      <c r="N18" s="78" t="s">
        <v>74</v>
      </c>
      <c r="O18" s="73" t="s">
        <v>74</v>
      </c>
      <c r="P18" s="73" t="s">
        <v>74</v>
      </c>
      <c r="R18" s="48" t="s">
        <v>74</v>
      </c>
      <c r="S18" s="43" t="s">
        <v>74</v>
      </c>
      <c r="T18" s="78" t="s">
        <v>74</v>
      </c>
      <c r="U18" s="78" t="s">
        <v>74</v>
      </c>
      <c r="V18" s="73" t="s">
        <v>74</v>
      </c>
      <c r="W18" s="120" t="s">
        <v>74</v>
      </c>
      <c r="Y18" s="48" t="s">
        <v>74</v>
      </c>
      <c r="Z18" s="43" t="s">
        <v>74</v>
      </c>
      <c r="AA18" s="79" t="s">
        <v>74</v>
      </c>
      <c r="AB18" s="79" t="s">
        <v>74</v>
      </c>
      <c r="AC18" s="192" t="s">
        <v>74</v>
      </c>
      <c r="AD18" s="192" t="s">
        <v>74</v>
      </c>
      <c r="AF18" s="48" t="s">
        <v>74</v>
      </c>
      <c r="AG18" s="43" t="s">
        <v>74</v>
      </c>
      <c r="AH18" s="79" t="s">
        <v>74</v>
      </c>
      <c r="AI18" s="79" t="s">
        <v>74</v>
      </c>
      <c r="AJ18" s="192" t="s">
        <v>74</v>
      </c>
      <c r="AK18" s="192" t="s">
        <v>74</v>
      </c>
      <c r="AQ18" s="143"/>
      <c r="AR18" s="143"/>
      <c r="AS18" s="143"/>
      <c r="AT18" s="143"/>
    </row>
    <row r="19" spans="1:46" x14ac:dyDescent="0.25">
      <c r="A19" s="302"/>
      <c r="B19" s="286"/>
      <c r="C19" s="17" t="s">
        <v>14</v>
      </c>
      <c r="D19" s="49" t="s">
        <v>74</v>
      </c>
      <c r="E19" s="192" t="s">
        <v>74</v>
      </c>
      <c r="F19" s="79" t="s">
        <v>74</v>
      </c>
      <c r="G19" s="79" t="s">
        <v>74</v>
      </c>
      <c r="H19" s="192" t="s">
        <v>74</v>
      </c>
      <c r="I19" s="192" t="s">
        <v>74</v>
      </c>
      <c r="K19" s="48" t="s">
        <v>74</v>
      </c>
      <c r="L19" s="43" t="s">
        <v>74</v>
      </c>
      <c r="M19" s="78" t="s">
        <v>74</v>
      </c>
      <c r="N19" s="78" t="s">
        <v>74</v>
      </c>
      <c r="O19" s="73" t="s">
        <v>74</v>
      </c>
      <c r="P19" s="73" t="s">
        <v>74</v>
      </c>
      <c r="R19" s="49"/>
      <c r="S19" s="192"/>
      <c r="T19" s="78"/>
      <c r="U19" s="100"/>
      <c r="V19" s="192"/>
      <c r="W19" s="192">
        <v>1</v>
      </c>
      <c r="Y19" s="49" t="s">
        <v>74</v>
      </c>
      <c r="Z19" s="192" t="s">
        <v>74</v>
      </c>
      <c r="AA19" s="79" t="s">
        <v>74</v>
      </c>
      <c r="AB19" s="79" t="s">
        <v>74</v>
      </c>
      <c r="AC19" s="192" t="s">
        <v>74</v>
      </c>
      <c r="AD19" s="192" t="s">
        <v>74</v>
      </c>
      <c r="AF19" s="49" t="s">
        <v>74</v>
      </c>
      <c r="AG19" s="192" t="s">
        <v>74</v>
      </c>
      <c r="AH19" s="79" t="s">
        <v>74</v>
      </c>
      <c r="AI19" s="79" t="s">
        <v>74</v>
      </c>
      <c r="AJ19" s="192" t="s">
        <v>74</v>
      </c>
      <c r="AK19" s="192" t="s">
        <v>74</v>
      </c>
      <c r="AQ19" s="143"/>
      <c r="AR19" s="143"/>
      <c r="AS19" s="143"/>
      <c r="AT19" s="143"/>
    </row>
    <row r="20" spans="1:46" x14ac:dyDescent="0.25">
      <c r="A20" s="302"/>
      <c r="B20" s="286"/>
      <c r="C20" s="17" t="s">
        <v>15</v>
      </c>
      <c r="D20" s="108" t="s">
        <v>515</v>
      </c>
      <c r="E20" s="192" t="s">
        <v>516</v>
      </c>
      <c r="F20" s="79" t="s">
        <v>104</v>
      </c>
      <c r="G20" s="100">
        <v>41699</v>
      </c>
      <c r="H20" s="192" t="s">
        <v>517</v>
      </c>
      <c r="I20" s="192">
        <v>1</v>
      </c>
      <c r="K20" s="49" t="s">
        <v>224</v>
      </c>
      <c r="L20" s="192" t="s">
        <v>225</v>
      </c>
      <c r="M20" s="79" t="s">
        <v>104</v>
      </c>
      <c r="N20" s="100">
        <v>42795</v>
      </c>
      <c r="O20" s="192" t="s">
        <v>131</v>
      </c>
      <c r="P20" s="192">
        <v>1</v>
      </c>
      <c r="R20" s="108" t="s">
        <v>515</v>
      </c>
      <c r="S20" s="192" t="s">
        <v>516</v>
      </c>
      <c r="T20" s="79" t="s">
        <v>104</v>
      </c>
      <c r="U20" s="100">
        <v>41699</v>
      </c>
      <c r="V20" s="192" t="s">
        <v>518</v>
      </c>
      <c r="W20" s="192">
        <v>1</v>
      </c>
      <c r="Y20" s="108" t="s">
        <v>515</v>
      </c>
      <c r="Z20" s="192" t="s">
        <v>516</v>
      </c>
      <c r="AA20" s="79" t="s">
        <v>104</v>
      </c>
      <c r="AB20" s="100">
        <v>41699</v>
      </c>
      <c r="AC20" s="192" t="s">
        <v>519</v>
      </c>
      <c r="AD20" s="192">
        <v>1</v>
      </c>
      <c r="AF20" s="108" t="s">
        <v>515</v>
      </c>
      <c r="AG20" s="192" t="s">
        <v>516</v>
      </c>
      <c r="AH20" s="79" t="s">
        <v>104</v>
      </c>
      <c r="AI20" s="100">
        <v>41699</v>
      </c>
      <c r="AJ20" s="192" t="s">
        <v>517</v>
      </c>
      <c r="AK20" s="192">
        <v>1</v>
      </c>
    </row>
    <row r="21" spans="1:46" x14ac:dyDescent="0.25">
      <c r="A21" s="302"/>
      <c r="B21" s="286"/>
      <c r="C21" s="17" t="s">
        <v>16</v>
      </c>
      <c r="D21" s="49" t="s">
        <v>74</v>
      </c>
      <c r="E21" s="192" t="s">
        <v>74</v>
      </c>
      <c r="F21" s="79" t="s">
        <v>74</v>
      </c>
      <c r="G21" s="79" t="s">
        <v>74</v>
      </c>
      <c r="H21" s="192" t="s">
        <v>74</v>
      </c>
      <c r="I21" s="192" t="s">
        <v>74</v>
      </c>
      <c r="K21" s="48" t="s">
        <v>74</v>
      </c>
      <c r="L21" s="43" t="s">
        <v>74</v>
      </c>
      <c r="M21" s="78" t="s">
        <v>74</v>
      </c>
      <c r="N21" s="78" t="s">
        <v>74</v>
      </c>
      <c r="O21" s="73" t="s">
        <v>74</v>
      </c>
      <c r="P21" s="73" t="s">
        <v>74</v>
      </c>
      <c r="R21" s="49" t="s">
        <v>74</v>
      </c>
      <c r="S21" s="192" t="s">
        <v>74</v>
      </c>
      <c r="T21" s="79" t="s">
        <v>74</v>
      </c>
      <c r="U21" s="79" t="s">
        <v>74</v>
      </c>
      <c r="V21" s="192" t="s">
        <v>74</v>
      </c>
      <c r="W21" s="192" t="s">
        <v>74</v>
      </c>
      <c r="Y21" s="49" t="s">
        <v>74</v>
      </c>
      <c r="Z21" s="192" t="s">
        <v>74</v>
      </c>
      <c r="AA21" s="79" t="s">
        <v>74</v>
      </c>
      <c r="AB21" s="79" t="s">
        <v>74</v>
      </c>
      <c r="AC21" s="192" t="s">
        <v>74</v>
      </c>
      <c r="AD21" s="192" t="s">
        <v>74</v>
      </c>
      <c r="AF21" s="49" t="s">
        <v>74</v>
      </c>
      <c r="AG21" s="192" t="s">
        <v>74</v>
      </c>
      <c r="AH21" s="79" t="s">
        <v>74</v>
      </c>
      <c r="AI21" s="79" t="s">
        <v>74</v>
      </c>
      <c r="AJ21" s="192" t="s">
        <v>74</v>
      </c>
      <c r="AK21" s="192" t="s">
        <v>74</v>
      </c>
    </row>
    <row r="22" spans="1:46" x14ac:dyDescent="0.25">
      <c r="A22" s="302"/>
      <c r="B22" s="286"/>
      <c r="C22" s="17" t="s">
        <v>17</v>
      </c>
      <c r="D22" s="49" t="s">
        <v>74</v>
      </c>
      <c r="E22" s="192" t="s">
        <v>74</v>
      </c>
      <c r="F22" s="79" t="s">
        <v>74</v>
      </c>
      <c r="G22" s="79" t="s">
        <v>74</v>
      </c>
      <c r="H22" s="192" t="s">
        <v>74</v>
      </c>
      <c r="I22" s="192" t="s">
        <v>74</v>
      </c>
      <c r="K22" s="48" t="s">
        <v>74</v>
      </c>
      <c r="L22" s="43" t="s">
        <v>74</v>
      </c>
      <c r="M22" s="78" t="s">
        <v>74</v>
      </c>
      <c r="N22" s="78" t="s">
        <v>74</v>
      </c>
      <c r="O22" s="73" t="s">
        <v>74</v>
      </c>
      <c r="P22" s="73" t="s">
        <v>74</v>
      </c>
      <c r="R22" s="49" t="s">
        <v>74</v>
      </c>
      <c r="S22" s="192" t="s">
        <v>74</v>
      </c>
      <c r="T22" s="79" t="s">
        <v>74</v>
      </c>
      <c r="U22" s="79" t="s">
        <v>74</v>
      </c>
      <c r="V22" s="192" t="s">
        <v>74</v>
      </c>
      <c r="W22" s="192" t="s">
        <v>74</v>
      </c>
      <c r="Y22" s="49" t="s">
        <v>74</v>
      </c>
      <c r="Z22" s="192" t="s">
        <v>74</v>
      </c>
      <c r="AA22" s="79" t="s">
        <v>74</v>
      </c>
      <c r="AB22" s="79" t="s">
        <v>74</v>
      </c>
      <c r="AC22" s="192" t="s">
        <v>74</v>
      </c>
      <c r="AD22" s="192" t="s">
        <v>74</v>
      </c>
      <c r="AF22" s="49" t="s">
        <v>74</v>
      </c>
      <c r="AG22" s="192" t="s">
        <v>74</v>
      </c>
      <c r="AH22" s="79" t="s">
        <v>74</v>
      </c>
      <c r="AI22" s="79" t="s">
        <v>74</v>
      </c>
      <c r="AJ22" s="192" t="s">
        <v>74</v>
      </c>
      <c r="AK22" s="192" t="s">
        <v>74</v>
      </c>
    </row>
    <row r="23" spans="1:46" ht="15.75" thickBot="1" x14ac:dyDescent="0.3">
      <c r="A23" s="302"/>
      <c r="B23" s="286"/>
      <c r="C23" s="33" t="s">
        <v>33</v>
      </c>
      <c r="D23" s="50"/>
      <c r="E23" s="45"/>
      <c r="F23" s="81"/>
      <c r="G23" s="134"/>
      <c r="H23" s="45"/>
      <c r="I23" s="129"/>
      <c r="K23" s="50" t="s">
        <v>74</v>
      </c>
      <c r="L23" s="140" t="s">
        <v>74</v>
      </c>
      <c r="M23" s="81" t="s">
        <v>74</v>
      </c>
      <c r="N23" s="81" t="s">
        <v>74</v>
      </c>
      <c r="O23" s="45" t="s">
        <v>74</v>
      </c>
      <c r="P23" s="45" t="s">
        <v>74</v>
      </c>
      <c r="R23" s="50" t="s">
        <v>156</v>
      </c>
      <c r="S23" s="45" t="s">
        <v>158</v>
      </c>
      <c r="T23" s="81" t="s">
        <v>143</v>
      </c>
      <c r="U23" s="130">
        <v>42461</v>
      </c>
      <c r="V23" s="45" t="s">
        <v>157</v>
      </c>
      <c r="W23" s="45">
        <v>1</v>
      </c>
      <c r="Y23" s="50"/>
      <c r="Z23" s="45"/>
      <c r="AA23" s="81"/>
      <c r="AB23" s="134"/>
      <c r="AC23" s="45"/>
      <c r="AD23" s="129"/>
      <c r="AF23" s="50"/>
      <c r="AG23" s="45"/>
      <c r="AH23" s="81"/>
      <c r="AI23" s="134"/>
      <c r="AJ23" s="45"/>
      <c r="AK23" s="129"/>
    </row>
    <row r="24" spans="1:46" ht="18" thickBot="1" x14ac:dyDescent="0.3">
      <c r="A24" s="302"/>
      <c r="B24" s="286"/>
      <c r="C24" s="46" t="s">
        <v>81</v>
      </c>
      <c r="D24" s="87" t="s">
        <v>32</v>
      </c>
      <c r="E24" s="89" t="s">
        <v>82</v>
      </c>
      <c r="F24" s="88" t="s">
        <v>20</v>
      </c>
      <c r="G24" s="88" t="s">
        <v>106</v>
      </c>
      <c r="H24" s="89" t="s">
        <v>84</v>
      </c>
      <c r="I24" s="89" t="s">
        <v>23</v>
      </c>
      <c r="K24" s="87" t="s">
        <v>32</v>
      </c>
      <c r="L24" s="89" t="s">
        <v>82</v>
      </c>
      <c r="M24" s="88" t="s">
        <v>20</v>
      </c>
      <c r="N24" s="88" t="s">
        <v>106</v>
      </c>
      <c r="O24" s="89" t="s">
        <v>84</v>
      </c>
      <c r="P24" s="89" t="s">
        <v>23</v>
      </c>
      <c r="R24" s="87" t="s">
        <v>32</v>
      </c>
      <c r="S24" s="89" t="s">
        <v>82</v>
      </c>
      <c r="T24" s="88" t="s">
        <v>20</v>
      </c>
      <c r="U24" s="88" t="s">
        <v>106</v>
      </c>
      <c r="V24" s="89" t="s">
        <v>84</v>
      </c>
      <c r="W24" s="89" t="s">
        <v>23</v>
      </c>
      <c r="Y24" s="87" t="s">
        <v>32</v>
      </c>
      <c r="Z24" s="89" t="s">
        <v>82</v>
      </c>
      <c r="AA24" s="88" t="s">
        <v>20</v>
      </c>
      <c r="AB24" s="88" t="s">
        <v>106</v>
      </c>
      <c r="AC24" s="89" t="s">
        <v>84</v>
      </c>
      <c r="AD24" s="89" t="s">
        <v>23</v>
      </c>
      <c r="AF24" s="87" t="s">
        <v>32</v>
      </c>
      <c r="AG24" s="89" t="s">
        <v>82</v>
      </c>
      <c r="AH24" s="88" t="s">
        <v>20</v>
      </c>
      <c r="AI24" s="88" t="s">
        <v>106</v>
      </c>
      <c r="AJ24" s="89" t="s">
        <v>84</v>
      </c>
      <c r="AK24" s="89" t="s">
        <v>23</v>
      </c>
    </row>
    <row r="25" spans="1:46" x14ac:dyDescent="0.25">
      <c r="A25" s="302"/>
      <c r="B25" s="286"/>
      <c r="C25" s="42" t="s">
        <v>19</v>
      </c>
      <c r="D25" s="48" t="s">
        <v>74</v>
      </c>
      <c r="E25" s="43" t="s">
        <v>74</v>
      </c>
      <c r="F25" s="78" t="s">
        <v>74</v>
      </c>
      <c r="G25" s="78" t="s">
        <v>74</v>
      </c>
      <c r="H25" s="73" t="s">
        <v>74</v>
      </c>
      <c r="I25" s="73" t="s">
        <v>74</v>
      </c>
      <c r="K25" s="48" t="s">
        <v>74</v>
      </c>
      <c r="L25" s="43" t="s">
        <v>74</v>
      </c>
      <c r="M25" s="78" t="s">
        <v>74</v>
      </c>
      <c r="N25" s="78" t="s">
        <v>74</v>
      </c>
      <c r="O25" s="73" t="s">
        <v>74</v>
      </c>
      <c r="P25" s="73" t="s">
        <v>74</v>
      </c>
      <c r="R25" s="48" t="s">
        <v>74</v>
      </c>
      <c r="S25" s="43" t="s">
        <v>74</v>
      </c>
      <c r="T25" s="78" t="s">
        <v>74</v>
      </c>
      <c r="U25" s="78" t="s">
        <v>74</v>
      </c>
      <c r="V25" s="73" t="s">
        <v>74</v>
      </c>
      <c r="W25" s="73" t="s">
        <v>74</v>
      </c>
      <c r="Y25" s="48" t="s">
        <v>74</v>
      </c>
      <c r="Z25" s="43" t="s">
        <v>74</v>
      </c>
      <c r="AA25" s="78" t="s">
        <v>74</v>
      </c>
      <c r="AB25" s="78" t="s">
        <v>74</v>
      </c>
      <c r="AC25" s="73" t="s">
        <v>74</v>
      </c>
      <c r="AD25" s="73" t="s">
        <v>74</v>
      </c>
      <c r="AF25" s="48" t="s">
        <v>74</v>
      </c>
      <c r="AG25" s="43" t="s">
        <v>74</v>
      </c>
      <c r="AH25" s="78" t="s">
        <v>74</v>
      </c>
      <c r="AI25" s="78" t="s">
        <v>74</v>
      </c>
      <c r="AJ25" s="73" t="s">
        <v>74</v>
      </c>
      <c r="AK25" s="73" t="s">
        <v>74</v>
      </c>
    </row>
    <row r="26" spans="1:46" ht="15.75" thickBot="1" x14ac:dyDescent="0.3">
      <c r="A26" s="303"/>
      <c r="B26" s="287"/>
      <c r="C26" s="44" t="s">
        <v>18</v>
      </c>
      <c r="D26" s="50" t="s">
        <v>74</v>
      </c>
      <c r="E26" s="45" t="s">
        <v>74</v>
      </c>
      <c r="F26" s="79" t="s">
        <v>74</v>
      </c>
      <c r="G26" s="79" t="s">
        <v>74</v>
      </c>
      <c r="H26" s="45" t="s">
        <v>74</v>
      </c>
      <c r="I26" s="45" t="s">
        <v>74</v>
      </c>
      <c r="K26" s="50" t="s">
        <v>74</v>
      </c>
      <c r="L26" s="45" t="s">
        <v>74</v>
      </c>
      <c r="M26" s="79" t="s">
        <v>74</v>
      </c>
      <c r="N26" s="79" t="s">
        <v>74</v>
      </c>
      <c r="O26" s="45" t="s">
        <v>74</v>
      </c>
      <c r="P26" s="45" t="s">
        <v>74</v>
      </c>
      <c r="R26" s="50" t="s">
        <v>74</v>
      </c>
      <c r="S26" s="45" t="s">
        <v>74</v>
      </c>
      <c r="T26" s="79" t="s">
        <v>74</v>
      </c>
      <c r="U26" s="79" t="s">
        <v>74</v>
      </c>
      <c r="V26" s="45" t="s">
        <v>74</v>
      </c>
      <c r="W26" s="45" t="s">
        <v>74</v>
      </c>
      <c r="Y26" s="50" t="s">
        <v>74</v>
      </c>
      <c r="Z26" s="45" t="s">
        <v>74</v>
      </c>
      <c r="AA26" s="79" t="s">
        <v>74</v>
      </c>
      <c r="AB26" s="79" t="s">
        <v>74</v>
      </c>
      <c r="AC26" s="45" t="s">
        <v>74</v>
      </c>
      <c r="AD26" s="45" t="s">
        <v>74</v>
      </c>
      <c r="AF26" s="50" t="s">
        <v>74</v>
      </c>
      <c r="AG26" s="45" t="s">
        <v>74</v>
      </c>
      <c r="AH26" s="79" t="s">
        <v>74</v>
      </c>
      <c r="AI26" s="79" t="s">
        <v>74</v>
      </c>
      <c r="AJ26" s="45" t="s">
        <v>74</v>
      </c>
      <c r="AK26" s="45" t="s">
        <v>74</v>
      </c>
    </row>
    <row r="27" spans="1:46" ht="15.75" thickBot="1" x14ac:dyDescent="0.3">
      <c r="A27" s="18"/>
      <c r="B27" s="15"/>
      <c r="C27" s="15"/>
      <c r="D27" s="223"/>
      <c r="E27" s="224"/>
      <c r="F27" s="224"/>
      <c r="G27" s="224"/>
      <c r="H27" s="224"/>
      <c r="I27" s="224"/>
      <c r="K27" s="223"/>
      <c r="L27" s="224"/>
      <c r="M27" s="224"/>
      <c r="N27" s="224"/>
      <c r="O27" s="224"/>
      <c r="P27" s="224"/>
      <c r="R27" s="223"/>
      <c r="S27" s="224"/>
      <c r="T27" s="224"/>
      <c r="U27" s="224"/>
      <c r="V27" s="224"/>
      <c r="W27" s="224"/>
      <c r="Y27" s="223"/>
      <c r="Z27" s="224"/>
      <c r="AA27" s="224"/>
      <c r="AB27" s="224"/>
      <c r="AC27" s="224"/>
      <c r="AD27" s="224"/>
      <c r="AF27" s="223"/>
      <c r="AG27" s="224"/>
      <c r="AH27" s="224"/>
      <c r="AI27" s="224"/>
      <c r="AJ27" s="224"/>
      <c r="AK27" s="224"/>
    </row>
    <row r="28" spans="1:46" ht="60" customHeight="1" thickBot="1" x14ac:dyDescent="0.3">
      <c r="A28" s="274" t="s">
        <v>21</v>
      </c>
      <c r="B28" s="285" t="s">
        <v>97</v>
      </c>
      <c r="C28" s="46"/>
      <c r="D28" s="190" t="s">
        <v>32</v>
      </c>
      <c r="E28" s="75" t="s">
        <v>20</v>
      </c>
      <c r="F28" s="237" t="s">
        <v>86</v>
      </c>
      <c r="G28" s="238"/>
      <c r="H28" s="82" t="s">
        <v>23</v>
      </c>
      <c r="I28" s="74" t="s">
        <v>107</v>
      </c>
      <c r="K28" s="190" t="s">
        <v>32</v>
      </c>
      <c r="L28" s="75" t="s">
        <v>20</v>
      </c>
      <c r="M28" s="237" t="s">
        <v>86</v>
      </c>
      <c r="N28" s="238"/>
      <c r="O28" s="82" t="s">
        <v>23</v>
      </c>
      <c r="P28" s="74" t="s">
        <v>107</v>
      </c>
      <c r="R28" s="190" t="s">
        <v>32</v>
      </c>
      <c r="S28" s="75" t="s">
        <v>20</v>
      </c>
      <c r="T28" s="237" t="s">
        <v>86</v>
      </c>
      <c r="U28" s="238"/>
      <c r="V28" s="82" t="s">
        <v>23</v>
      </c>
      <c r="W28" s="74" t="s">
        <v>107</v>
      </c>
      <c r="Y28" s="190" t="s">
        <v>32</v>
      </c>
      <c r="Z28" s="75" t="s">
        <v>20</v>
      </c>
      <c r="AA28" s="237" t="s">
        <v>86</v>
      </c>
      <c r="AB28" s="238"/>
      <c r="AC28" s="82" t="s">
        <v>23</v>
      </c>
      <c r="AD28" s="74" t="s">
        <v>107</v>
      </c>
      <c r="AF28" s="190" t="s">
        <v>32</v>
      </c>
      <c r="AG28" s="75" t="s">
        <v>20</v>
      </c>
      <c r="AH28" s="237" t="s">
        <v>86</v>
      </c>
      <c r="AI28" s="238"/>
      <c r="AJ28" s="82" t="s">
        <v>23</v>
      </c>
      <c r="AK28" s="74" t="s">
        <v>107</v>
      </c>
    </row>
    <row r="29" spans="1:46" ht="17.25" customHeight="1" x14ac:dyDescent="0.25">
      <c r="A29" s="275"/>
      <c r="B29" s="286"/>
      <c r="C29" s="42" t="s">
        <v>24</v>
      </c>
      <c r="D29" s="73" t="s">
        <v>520</v>
      </c>
      <c r="E29" s="73" t="s">
        <v>143</v>
      </c>
      <c r="F29" s="288" t="s">
        <v>521</v>
      </c>
      <c r="G29" s="289"/>
      <c r="H29" s="78">
        <v>1</v>
      </c>
      <c r="I29" s="121" t="s">
        <v>522</v>
      </c>
      <c r="K29" s="103" t="s">
        <v>164</v>
      </c>
      <c r="L29" s="192" t="s">
        <v>85</v>
      </c>
      <c r="M29" s="239" t="s">
        <v>125</v>
      </c>
      <c r="N29" s="240"/>
      <c r="O29" s="83">
        <v>1</v>
      </c>
      <c r="P29" s="101" t="s">
        <v>121</v>
      </c>
      <c r="R29" s="73" t="s">
        <v>520</v>
      </c>
      <c r="S29" s="73" t="s">
        <v>143</v>
      </c>
      <c r="T29" s="288" t="s">
        <v>521</v>
      </c>
      <c r="U29" s="289"/>
      <c r="V29" s="78">
        <v>1</v>
      </c>
      <c r="W29" s="121" t="s">
        <v>522</v>
      </c>
      <c r="Y29" s="73" t="s">
        <v>520</v>
      </c>
      <c r="Z29" s="73" t="s">
        <v>143</v>
      </c>
      <c r="AA29" s="288" t="s">
        <v>521</v>
      </c>
      <c r="AB29" s="289"/>
      <c r="AC29" s="78">
        <v>1</v>
      </c>
      <c r="AD29" s="121" t="s">
        <v>522</v>
      </c>
      <c r="AF29" s="73" t="s">
        <v>520</v>
      </c>
      <c r="AG29" s="73" t="s">
        <v>143</v>
      </c>
      <c r="AH29" s="288" t="s">
        <v>521</v>
      </c>
      <c r="AI29" s="289"/>
      <c r="AJ29" s="78">
        <v>1</v>
      </c>
      <c r="AK29" s="121" t="s">
        <v>522</v>
      </c>
    </row>
    <row r="30" spans="1:46" ht="17.25" customHeight="1" x14ac:dyDescent="0.25">
      <c r="A30" s="275"/>
      <c r="B30" s="286"/>
      <c r="C30" s="17" t="s">
        <v>24</v>
      </c>
      <c r="D30" s="73" t="s">
        <v>523</v>
      </c>
      <c r="E30" s="73" t="s">
        <v>143</v>
      </c>
      <c r="F30" s="288" t="s">
        <v>524</v>
      </c>
      <c r="G30" s="289"/>
      <c r="H30" s="78">
        <v>1</v>
      </c>
      <c r="I30" s="121" t="s">
        <v>522</v>
      </c>
      <c r="J30" s="122"/>
      <c r="K30" s="103" t="s">
        <v>74</v>
      </c>
      <c r="L30" s="192" t="s">
        <v>74</v>
      </c>
      <c r="M30" s="239" t="s">
        <v>74</v>
      </c>
      <c r="N30" s="240"/>
      <c r="O30" s="83" t="s">
        <v>74</v>
      </c>
      <c r="P30" s="101" t="s">
        <v>74</v>
      </c>
      <c r="R30" s="73" t="s">
        <v>523</v>
      </c>
      <c r="S30" s="73" t="s">
        <v>143</v>
      </c>
      <c r="T30" s="288" t="s">
        <v>524</v>
      </c>
      <c r="U30" s="289"/>
      <c r="V30" s="78">
        <v>1</v>
      </c>
      <c r="W30" s="121" t="s">
        <v>522</v>
      </c>
      <c r="Y30" s="73" t="s">
        <v>523</v>
      </c>
      <c r="Z30" s="73" t="s">
        <v>143</v>
      </c>
      <c r="AA30" s="288" t="s">
        <v>524</v>
      </c>
      <c r="AB30" s="289"/>
      <c r="AC30" s="78">
        <v>1</v>
      </c>
      <c r="AD30" s="121" t="s">
        <v>522</v>
      </c>
      <c r="AF30" s="73" t="s">
        <v>523</v>
      </c>
      <c r="AG30" s="73" t="s">
        <v>143</v>
      </c>
      <c r="AH30" s="288" t="s">
        <v>524</v>
      </c>
      <c r="AI30" s="289"/>
      <c r="AJ30" s="78">
        <v>1</v>
      </c>
      <c r="AK30" s="121" t="s">
        <v>522</v>
      </c>
    </row>
    <row r="31" spans="1:46" x14ac:dyDescent="0.25">
      <c r="A31" s="275"/>
      <c r="B31" s="286"/>
      <c r="C31" s="17" t="s">
        <v>25</v>
      </c>
      <c r="D31" s="73" t="s">
        <v>150</v>
      </c>
      <c r="E31" s="73" t="s">
        <v>143</v>
      </c>
      <c r="F31" s="288" t="s">
        <v>147</v>
      </c>
      <c r="G31" s="289"/>
      <c r="H31" s="78">
        <v>1</v>
      </c>
      <c r="I31" s="121" t="s">
        <v>525</v>
      </c>
      <c r="K31" s="103" t="s">
        <v>163</v>
      </c>
      <c r="L31" s="192" t="s">
        <v>85</v>
      </c>
      <c r="M31" s="239" t="s">
        <v>124</v>
      </c>
      <c r="N31" s="240"/>
      <c r="O31" s="79">
        <v>2</v>
      </c>
      <c r="P31" s="102" t="s">
        <v>123</v>
      </c>
      <c r="R31" s="192" t="s">
        <v>526</v>
      </c>
      <c r="S31" s="192" t="s">
        <v>143</v>
      </c>
      <c r="T31" s="239" t="s">
        <v>527</v>
      </c>
      <c r="U31" s="240"/>
      <c r="V31" s="79">
        <v>1</v>
      </c>
      <c r="W31" s="132" t="s">
        <v>522</v>
      </c>
      <c r="Y31" s="73" t="s">
        <v>150</v>
      </c>
      <c r="Z31" s="73" t="s">
        <v>143</v>
      </c>
      <c r="AA31" s="288" t="s">
        <v>147</v>
      </c>
      <c r="AB31" s="289"/>
      <c r="AC31" s="78">
        <v>1</v>
      </c>
      <c r="AD31" s="121" t="s">
        <v>525</v>
      </c>
      <c r="AF31" s="73" t="s">
        <v>150</v>
      </c>
      <c r="AG31" s="73" t="s">
        <v>143</v>
      </c>
      <c r="AH31" s="288" t="s">
        <v>147</v>
      </c>
      <c r="AI31" s="289"/>
      <c r="AJ31" s="78">
        <v>1</v>
      </c>
      <c r="AK31" s="121" t="s">
        <v>525</v>
      </c>
    </row>
    <row r="32" spans="1:46" x14ac:dyDescent="0.25">
      <c r="A32" s="275"/>
      <c r="B32" s="286"/>
      <c r="C32" s="17" t="s">
        <v>22</v>
      </c>
      <c r="D32" s="191" t="s">
        <v>149</v>
      </c>
      <c r="E32" s="73" t="s">
        <v>143</v>
      </c>
      <c r="F32" s="222" t="s">
        <v>178</v>
      </c>
      <c r="G32" s="222"/>
      <c r="H32" s="79"/>
      <c r="I32" s="100" t="s">
        <v>528</v>
      </c>
      <c r="K32" s="151" t="s">
        <v>237</v>
      </c>
      <c r="L32" s="192" t="s">
        <v>127</v>
      </c>
      <c r="M32" s="349" t="s">
        <v>126</v>
      </c>
      <c r="N32" s="222"/>
      <c r="O32" s="79">
        <v>1</v>
      </c>
      <c r="P32" s="101" t="s">
        <v>122</v>
      </c>
      <c r="R32" s="192" t="s">
        <v>526</v>
      </c>
      <c r="S32" s="192" t="s">
        <v>143</v>
      </c>
      <c r="T32" s="222" t="s">
        <v>529</v>
      </c>
      <c r="U32" s="222"/>
      <c r="V32" s="79">
        <v>1</v>
      </c>
      <c r="W32" s="100" t="s">
        <v>530</v>
      </c>
      <c r="Y32" s="191" t="s">
        <v>149</v>
      </c>
      <c r="Z32" s="73" t="s">
        <v>143</v>
      </c>
      <c r="AA32" s="222" t="s">
        <v>178</v>
      </c>
      <c r="AB32" s="222"/>
      <c r="AC32" s="79"/>
      <c r="AD32" s="100" t="s">
        <v>528</v>
      </c>
      <c r="AF32" s="191" t="s">
        <v>149</v>
      </c>
      <c r="AG32" s="73" t="s">
        <v>143</v>
      </c>
      <c r="AH32" s="222" t="s">
        <v>178</v>
      </c>
      <c r="AI32" s="222"/>
      <c r="AJ32" s="79"/>
      <c r="AK32" s="100" t="s">
        <v>528</v>
      </c>
    </row>
    <row r="33" spans="1:38" x14ac:dyDescent="0.25">
      <c r="A33" s="275"/>
      <c r="B33" s="286"/>
      <c r="C33" s="17" t="s">
        <v>166</v>
      </c>
      <c r="D33" s="49" t="s">
        <v>74</v>
      </c>
      <c r="E33" s="192" t="s">
        <v>74</v>
      </c>
      <c r="F33" s="79" t="s">
        <v>74</v>
      </c>
      <c r="G33" s="79" t="s">
        <v>74</v>
      </c>
      <c r="H33" s="192" t="s">
        <v>74</v>
      </c>
      <c r="I33" s="192" t="s">
        <v>74</v>
      </c>
      <c r="K33" s="191" t="s">
        <v>74</v>
      </c>
      <c r="L33" s="192" t="s">
        <v>74</v>
      </c>
      <c r="M33" s="239" t="s">
        <v>74</v>
      </c>
      <c r="N33" s="240"/>
      <c r="O33" s="79" t="s">
        <v>74</v>
      </c>
      <c r="P33" s="103" t="s">
        <v>74</v>
      </c>
      <c r="R33" s="192" t="s">
        <v>526</v>
      </c>
      <c r="S33" s="192" t="s">
        <v>143</v>
      </c>
      <c r="T33" s="222" t="s">
        <v>529</v>
      </c>
      <c r="U33" s="222"/>
      <c r="V33" s="79">
        <v>1</v>
      </c>
      <c r="W33" s="133" t="s">
        <v>531</v>
      </c>
      <c r="Y33" s="49" t="s">
        <v>74</v>
      </c>
      <c r="Z33" s="192" t="s">
        <v>74</v>
      </c>
      <c r="AA33" s="79" t="s">
        <v>74</v>
      </c>
      <c r="AB33" s="79" t="s">
        <v>74</v>
      </c>
      <c r="AC33" s="192" t="s">
        <v>74</v>
      </c>
      <c r="AD33" s="192" t="s">
        <v>74</v>
      </c>
      <c r="AF33" s="49" t="s">
        <v>74</v>
      </c>
      <c r="AG33" s="192" t="s">
        <v>74</v>
      </c>
      <c r="AH33" s="79" t="s">
        <v>74</v>
      </c>
      <c r="AI33" s="79" t="s">
        <v>74</v>
      </c>
      <c r="AJ33" s="192" t="s">
        <v>74</v>
      </c>
      <c r="AK33" s="192" t="s">
        <v>74</v>
      </c>
    </row>
    <row r="34" spans="1:38" ht="15.75" thickBot="1" x14ac:dyDescent="0.3">
      <c r="A34" s="275"/>
      <c r="B34" s="286"/>
      <c r="C34" s="107" t="s">
        <v>128</v>
      </c>
      <c r="D34" s="73" t="s">
        <v>532</v>
      </c>
      <c r="E34" s="73" t="s">
        <v>143</v>
      </c>
      <c r="F34" s="290" t="s">
        <v>191</v>
      </c>
      <c r="G34" s="291"/>
      <c r="H34" s="79">
        <v>1</v>
      </c>
      <c r="I34" s="100" t="s">
        <v>531</v>
      </c>
      <c r="K34" s="193" t="s">
        <v>74</v>
      </c>
      <c r="L34" s="45" t="s">
        <v>74</v>
      </c>
      <c r="M34" s="290" t="s">
        <v>74</v>
      </c>
      <c r="N34" s="291"/>
      <c r="O34" s="81" t="s">
        <v>74</v>
      </c>
      <c r="P34" s="104" t="s">
        <v>74</v>
      </c>
      <c r="R34" s="45"/>
      <c r="S34" s="192"/>
      <c r="T34" s="239"/>
      <c r="U34" s="240"/>
      <c r="V34" s="81"/>
      <c r="W34" s="128"/>
      <c r="Y34" s="73" t="s">
        <v>532</v>
      </c>
      <c r="Z34" s="73" t="s">
        <v>143</v>
      </c>
      <c r="AA34" s="290" t="s">
        <v>191</v>
      </c>
      <c r="AB34" s="291"/>
      <c r="AC34" s="79">
        <v>1</v>
      </c>
      <c r="AD34" s="100" t="s">
        <v>531</v>
      </c>
      <c r="AF34" s="73" t="s">
        <v>532</v>
      </c>
      <c r="AG34" s="73" t="s">
        <v>143</v>
      </c>
      <c r="AH34" s="290" t="s">
        <v>191</v>
      </c>
      <c r="AI34" s="291"/>
      <c r="AJ34" s="79">
        <v>1</v>
      </c>
      <c r="AK34" s="100" t="s">
        <v>531</v>
      </c>
    </row>
    <row r="35" spans="1:38" s="34" customFormat="1" ht="15.75" thickBot="1" x14ac:dyDescent="0.3">
      <c r="A35" s="276"/>
      <c r="B35" s="287"/>
      <c r="C35" s="46" t="s">
        <v>68</v>
      </c>
      <c r="D35" s="250"/>
      <c r="E35" s="250"/>
      <c r="F35" s="250"/>
      <c r="G35" s="238"/>
      <c r="H35" s="88"/>
      <c r="I35" s="47"/>
      <c r="J35" s="35"/>
      <c r="K35" s="250" t="s">
        <v>74</v>
      </c>
      <c r="L35" s="250"/>
      <c r="M35" s="250"/>
      <c r="N35" s="238"/>
      <c r="O35" s="88" t="s">
        <v>74</v>
      </c>
      <c r="P35" s="105" t="s">
        <v>74</v>
      </c>
      <c r="Q35" s="35"/>
      <c r="R35" s="250"/>
      <c r="S35" s="250"/>
      <c r="T35" s="250"/>
      <c r="U35" s="238"/>
      <c r="V35" s="88"/>
      <c r="W35" s="47"/>
      <c r="X35" s="35"/>
      <c r="Y35" s="250"/>
      <c r="Z35" s="250"/>
      <c r="AA35" s="250"/>
      <c r="AB35" s="238"/>
      <c r="AC35" s="88"/>
      <c r="AD35" s="47"/>
      <c r="AE35" s="35" t="s">
        <v>74</v>
      </c>
      <c r="AF35" s="250"/>
      <c r="AG35" s="250"/>
      <c r="AH35" s="250"/>
      <c r="AI35" s="238"/>
      <c r="AJ35" s="88"/>
      <c r="AK35" s="47"/>
      <c r="AL35" s="35"/>
    </row>
    <row r="36" spans="1:38" ht="15.75" thickBot="1" x14ac:dyDescent="0.3">
      <c r="A36" s="12"/>
      <c r="B36" s="15"/>
      <c r="C36" s="15"/>
      <c r="D36" s="223"/>
      <c r="E36" s="224"/>
      <c r="F36" s="224"/>
      <c r="G36" s="224"/>
      <c r="H36" s="224"/>
      <c r="I36" s="224"/>
      <c r="K36" s="223"/>
      <c r="L36" s="224"/>
      <c r="M36" s="224"/>
      <c r="N36" s="224"/>
      <c r="O36" s="224"/>
      <c r="P36" s="224"/>
      <c r="R36" s="223"/>
      <c r="S36" s="224"/>
      <c r="T36" s="224"/>
      <c r="U36" s="224"/>
      <c r="V36" s="224"/>
      <c r="W36" s="224"/>
      <c r="Y36" s="223"/>
      <c r="Z36" s="224"/>
      <c r="AA36" s="224"/>
      <c r="AB36" s="224"/>
      <c r="AC36" s="224"/>
      <c r="AD36" s="224"/>
      <c r="AF36" s="223"/>
      <c r="AG36" s="224"/>
      <c r="AH36" s="224"/>
      <c r="AI36" s="224"/>
      <c r="AJ36" s="224"/>
      <c r="AK36" s="224"/>
    </row>
    <row r="37" spans="1:38" ht="15.75" customHeight="1" thickBot="1" x14ac:dyDescent="0.3">
      <c r="A37" s="297" t="s">
        <v>26</v>
      </c>
      <c r="B37" s="298" t="s">
        <v>98</v>
      </c>
      <c r="C37" s="51"/>
      <c r="D37" s="225" t="s">
        <v>9</v>
      </c>
      <c r="E37" s="226"/>
      <c r="F37" s="251" t="s">
        <v>10</v>
      </c>
      <c r="G37" s="225"/>
      <c r="H37" s="226"/>
      <c r="I37" s="71" t="s">
        <v>106</v>
      </c>
      <c r="J37" s="61" t="s">
        <v>9</v>
      </c>
      <c r="K37" s="225" t="s">
        <v>9</v>
      </c>
      <c r="L37" s="226"/>
      <c r="M37" s="251" t="s">
        <v>10</v>
      </c>
      <c r="N37" s="225"/>
      <c r="O37" s="226"/>
      <c r="P37" s="71" t="s">
        <v>106</v>
      </c>
      <c r="Q37" s="61"/>
      <c r="R37" s="225" t="s">
        <v>9</v>
      </c>
      <c r="S37" s="226"/>
      <c r="T37" s="251" t="s">
        <v>10</v>
      </c>
      <c r="U37" s="225"/>
      <c r="V37" s="226"/>
      <c r="W37" s="71" t="s">
        <v>106</v>
      </c>
      <c r="X37" s="61"/>
      <c r="Y37" s="225" t="s">
        <v>9</v>
      </c>
      <c r="Z37" s="226"/>
      <c r="AA37" s="251" t="s">
        <v>10</v>
      </c>
      <c r="AB37" s="225"/>
      <c r="AC37" s="226"/>
      <c r="AD37" s="71" t="s">
        <v>106</v>
      </c>
      <c r="AE37" s="61"/>
      <c r="AF37" s="225" t="s">
        <v>9</v>
      </c>
      <c r="AG37" s="226"/>
      <c r="AH37" s="251" t="s">
        <v>10</v>
      </c>
      <c r="AI37" s="225"/>
      <c r="AJ37" s="226"/>
      <c r="AK37" s="71" t="s">
        <v>106</v>
      </c>
      <c r="AL37" s="61"/>
    </row>
    <row r="38" spans="1:38" ht="15" customHeight="1" x14ac:dyDescent="0.25">
      <c r="A38" s="297"/>
      <c r="B38" s="299"/>
      <c r="C38" s="16" t="s">
        <v>27</v>
      </c>
      <c r="D38" s="227" t="s">
        <v>74</v>
      </c>
      <c r="E38" s="228"/>
      <c r="F38" s="255" t="s">
        <v>91</v>
      </c>
      <c r="G38" s="227"/>
      <c r="H38" s="228"/>
      <c r="I38" s="93" t="s">
        <v>533</v>
      </c>
      <c r="K38" s="350" t="s">
        <v>74</v>
      </c>
      <c r="L38" s="351"/>
      <c r="M38" s="255" t="s">
        <v>91</v>
      </c>
      <c r="N38" s="227"/>
      <c r="O38" s="228"/>
      <c r="P38" s="93">
        <v>42979</v>
      </c>
      <c r="R38" s="227" t="s">
        <v>74</v>
      </c>
      <c r="S38" s="228"/>
      <c r="T38" s="255" t="s">
        <v>91</v>
      </c>
      <c r="U38" s="227"/>
      <c r="V38" s="228"/>
      <c r="W38" s="93" t="s">
        <v>533</v>
      </c>
      <c r="Y38" s="227" t="s">
        <v>74</v>
      </c>
      <c r="Z38" s="228"/>
      <c r="AA38" s="255" t="s">
        <v>91</v>
      </c>
      <c r="AB38" s="227"/>
      <c r="AC38" s="228"/>
      <c r="AD38" s="93" t="s">
        <v>533</v>
      </c>
      <c r="AF38" s="227" t="s">
        <v>74</v>
      </c>
      <c r="AG38" s="228"/>
      <c r="AH38" s="255" t="s">
        <v>91</v>
      </c>
      <c r="AI38" s="227"/>
      <c r="AJ38" s="228"/>
      <c r="AK38" s="93" t="s">
        <v>533</v>
      </c>
    </row>
    <row r="39" spans="1:38" x14ac:dyDescent="0.25">
      <c r="A39" s="297"/>
      <c r="B39" s="299"/>
      <c r="C39" s="16" t="s">
        <v>28</v>
      </c>
      <c r="D39" s="229" t="s">
        <v>92</v>
      </c>
      <c r="E39" s="230"/>
      <c r="F39" s="253" t="s">
        <v>74</v>
      </c>
      <c r="G39" s="229"/>
      <c r="H39" s="230"/>
      <c r="I39" s="86"/>
      <c r="K39" s="229" t="s">
        <v>92</v>
      </c>
      <c r="L39" s="230"/>
      <c r="M39" s="253" t="s">
        <v>74</v>
      </c>
      <c r="N39" s="229"/>
      <c r="O39" s="230"/>
      <c r="P39" s="99" t="s">
        <v>74</v>
      </c>
      <c r="R39" s="229" t="s">
        <v>92</v>
      </c>
      <c r="S39" s="230"/>
      <c r="T39" s="253" t="s">
        <v>74</v>
      </c>
      <c r="U39" s="229"/>
      <c r="V39" s="230"/>
      <c r="W39" s="86"/>
      <c r="Y39" s="229" t="s">
        <v>92</v>
      </c>
      <c r="Z39" s="230"/>
      <c r="AA39" s="253" t="s">
        <v>74</v>
      </c>
      <c r="AB39" s="229"/>
      <c r="AC39" s="230"/>
      <c r="AD39" s="86"/>
      <c r="AF39" s="229" t="s">
        <v>92</v>
      </c>
      <c r="AG39" s="230"/>
      <c r="AH39" s="253" t="s">
        <v>74</v>
      </c>
      <c r="AI39" s="229"/>
      <c r="AJ39" s="230"/>
      <c r="AK39" s="86"/>
    </row>
    <row r="40" spans="1:38" ht="15.75" thickBot="1" x14ac:dyDescent="0.3">
      <c r="A40" s="297"/>
      <c r="B40" s="300"/>
      <c r="C40" s="52" t="s">
        <v>29</v>
      </c>
      <c r="D40" s="231" t="s">
        <v>93</v>
      </c>
      <c r="E40" s="232"/>
      <c r="F40" s="254" t="s">
        <v>74</v>
      </c>
      <c r="G40" s="231"/>
      <c r="H40" s="232"/>
      <c r="I40" s="77"/>
      <c r="K40" s="231" t="s">
        <v>93</v>
      </c>
      <c r="L40" s="232"/>
      <c r="M40" s="254" t="s">
        <v>74</v>
      </c>
      <c r="N40" s="231"/>
      <c r="O40" s="232"/>
      <c r="P40" s="98"/>
      <c r="R40" s="231" t="s">
        <v>93</v>
      </c>
      <c r="S40" s="232"/>
      <c r="T40" s="254" t="s">
        <v>74</v>
      </c>
      <c r="U40" s="231"/>
      <c r="V40" s="232"/>
      <c r="W40" s="77"/>
      <c r="Y40" s="231" t="s">
        <v>93</v>
      </c>
      <c r="Z40" s="232"/>
      <c r="AA40" s="254" t="s">
        <v>74</v>
      </c>
      <c r="AB40" s="231"/>
      <c r="AC40" s="232"/>
      <c r="AD40" s="77"/>
      <c r="AF40" s="231" t="s">
        <v>93</v>
      </c>
      <c r="AG40" s="232"/>
      <c r="AH40" s="254" t="s">
        <v>74</v>
      </c>
      <c r="AI40" s="231"/>
      <c r="AJ40" s="232"/>
      <c r="AK40" s="77"/>
    </row>
    <row r="41" spans="1:38" ht="15.75" thickBot="1" x14ac:dyDescent="0.3">
      <c r="A41" s="12"/>
      <c r="B41" s="15"/>
      <c r="C41" s="15"/>
      <c r="D41" s="223"/>
      <c r="E41" s="224"/>
      <c r="F41" s="224"/>
      <c r="G41" s="224"/>
      <c r="H41" s="224"/>
      <c r="I41" s="224"/>
      <c r="K41" s="223"/>
      <c r="L41" s="224"/>
      <c r="M41" s="224"/>
      <c r="N41" s="224"/>
      <c r="O41" s="224"/>
      <c r="P41" s="224"/>
      <c r="R41" s="223"/>
      <c r="S41" s="224"/>
      <c r="T41" s="224"/>
      <c r="U41" s="224"/>
      <c r="V41" s="224"/>
      <c r="W41" s="224"/>
      <c r="Y41" s="223"/>
      <c r="Z41" s="224"/>
      <c r="AA41" s="224"/>
      <c r="AB41" s="224"/>
      <c r="AC41" s="224"/>
      <c r="AD41" s="224"/>
      <c r="AF41" s="223"/>
      <c r="AG41" s="224"/>
      <c r="AH41" s="224"/>
      <c r="AI41" s="224"/>
      <c r="AJ41" s="224"/>
      <c r="AK41" s="224"/>
    </row>
    <row r="42" spans="1:38" ht="15" customHeight="1" thickBot="1" x14ac:dyDescent="0.3">
      <c r="A42" s="292" t="s">
        <v>30</v>
      </c>
      <c r="B42" s="294" t="s">
        <v>99</v>
      </c>
      <c r="C42" s="60"/>
      <c r="D42" s="195" t="s">
        <v>9</v>
      </c>
      <c r="E42" s="233" t="s">
        <v>78</v>
      </c>
      <c r="F42" s="234"/>
      <c r="G42" s="252" t="s">
        <v>473</v>
      </c>
      <c r="H42" s="252"/>
      <c r="I42" s="252"/>
      <c r="K42" s="195" t="s">
        <v>9</v>
      </c>
      <c r="L42" s="233" t="s">
        <v>78</v>
      </c>
      <c r="M42" s="234"/>
      <c r="N42" s="252" t="s">
        <v>473</v>
      </c>
      <c r="O42" s="252"/>
      <c r="P42" s="252"/>
      <c r="R42" s="195" t="s">
        <v>9</v>
      </c>
      <c r="S42" s="233" t="s">
        <v>78</v>
      </c>
      <c r="T42" s="234"/>
      <c r="U42" s="252" t="s">
        <v>473</v>
      </c>
      <c r="V42" s="252"/>
      <c r="W42" s="252"/>
      <c r="Y42" s="195" t="s">
        <v>9</v>
      </c>
      <c r="Z42" s="233" t="s">
        <v>78</v>
      </c>
      <c r="AA42" s="234"/>
      <c r="AB42" s="252" t="s">
        <v>473</v>
      </c>
      <c r="AC42" s="252"/>
      <c r="AD42" s="252"/>
      <c r="AF42" s="195" t="s">
        <v>9</v>
      </c>
      <c r="AG42" s="233" t="s">
        <v>78</v>
      </c>
      <c r="AH42" s="234"/>
      <c r="AI42" s="252" t="s">
        <v>473</v>
      </c>
      <c r="AJ42" s="252"/>
      <c r="AK42" s="252"/>
    </row>
    <row r="43" spans="1:38" ht="15" customHeight="1" thickBot="1" x14ac:dyDescent="0.3">
      <c r="A43" s="293"/>
      <c r="B43" s="295"/>
      <c r="C43" s="59" t="s">
        <v>35</v>
      </c>
      <c r="D43" s="196" t="s">
        <v>73</v>
      </c>
      <c r="E43" s="352">
        <v>7.2</v>
      </c>
      <c r="F43" s="243"/>
      <c r="G43" s="270">
        <v>167</v>
      </c>
      <c r="H43" s="270"/>
      <c r="I43" s="270"/>
      <c r="K43" s="196" t="s">
        <v>73</v>
      </c>
      <c r="L43" s="241">
        <v>5.4</v>
      </c>
      <c r="M43" s="353"/>
      <c r="N43" s="241">
        <v>190</v>
      </c>
      <c r="O43" s="242"/>
      <c r="P43" s="353"/>
      <c r="R43" s="196" t="s">
        <v>73</v>
      </c>
      <c r="S43" s="283">
        <v>7</v>
      </c>
      <c r="T43" s="284"/>
      <c r="U43" s="354">
        <v>187</v>
      </c>
      <c r="V43" s="354"/>
      <c r="W43" s="354"/>
      <c r="Y43" s="196" t="s">
        <v>73</v>
      </c>
      <c r="Z43" s="352">
        <v>7.4</v>
      </c>
      <c r="AA43" s="243"/>
      <c r="AB43" s="354">
        <v>140</v>
      </c>
      <c r="AC43" s="354"/>
      <c r="AD43" s="354"/>
      <c r="AF43" s="196" t="s">
        <v>73</v>
      </c>
      <c r="AG43" s="352">
        <v>7.2</v>
      </c>
      <c r="AH43" s="243"/>
      <c r="AI43" s="354">
        <v>167</v>
      </c>
      <c r="AJ43" s="354"/>
      <c r="AK43" s="354"/>
    </row>
    <row r="44" spans="1:38" ht="15.75" thickBot="1" x14ac:dyDescent="0.3">
      <c r="A44" s="293"/>
      <c r="B44" s="296"/>
      <c r="C44" s="58" t="s">
        <v>34</v>
      </c>
      <c r="D44" s="194" t="s">
        <v>112</v>
      </c>
      <c r="E44" s="273">
        <v>3.7</v>
      </c>
      <c r="F44" s="249"/>
      <c r="G44" s="270">
        <v>43</v>
      </c>
      <c r="H44" s="270"/>
      <c r="I44" s="270"/>
      <c r="K44" s="194" t="s">
        <v>89</v>
      </c>
      <c r="L44" s="273" t="s">
        <v>74</v>
      </c>
      <c r="M44" s="249"/>
      <c r="N44" s="270" t="s">
        <v>74</v>
      </c>
      <c r="O44" s="270"/>
      <c r="P44" s="270"/>
      <c r="R44" s="194" t="s">
        <v>112</v>
      </c>
      <c r="S44" s="355">
        <v>4.05</v>
      </c>
      <c r="T44" s="356"/>
      <c r="U44" s="270">
        <v>30</v>
      </c>
      <c r="V44" s="270"/>
      <c r="W44" s="270"/>
      <c r="Y44" s="194" t="s">
        <v>112</v>
      </c>
      <c r="Z44" s="273">
        <v>3.75</v>
      </c>
      <c r="AA44" s="249"/>
      <c r="AB44" s="270">
        <v>43</v>
      </c>
      <c r="AC44" s="270"/>
      <c r="AD44" s="270"/>
      <c r="AF44" s="194" t="s">
        <v>112</v>
      </c>
      <c r="AG44" s="273">
        <v>3.7</v>
      </c>
      <c r="AH44" s="249"/>
      <c r="AI44" s="270">
        <v>43</v>
      </c>
      <c r="AJ44" s="270"/>
      <c r="AK44" s="270"/>
    </row>
    <row r="45" spans="1:38" ht="15.75" thickBot="1" x14ac:dyDescent="0.3">
      <c r="A45" s="12"/>
      <c r="B45" s="15"/>
      <c r="C45" s="15"/>
      <c r="D45" s="223"/>
      <c r="E45" s="224"/>
      <c r="F45" s="224"/>
      <c r="G45" s="224"/>
      <c r="H45" s="224"/>
      <c r="I45" s="224"/>
      <c r="K45" s="223"/>
      <c r="L45" s="224"/>
      <c r="M45" s="224"/>
      <c r="N45" s="224"/>
      <c r="O45" s="224"/>
      <c r="P45" s="224"/>
      <c r="R45" s="223"/>
      <c r="S45" s="224"/>
      <c r="T45" s="224"/>
      <c r="U45" s="224"/>
      <c r="V45" s="224"/>
      <c r="W45" s="224"/>
      <c r="Y45" s="223"/>
      <c r="Z45" s="224"/>
      <c r="AA45" s="224"/>
      <c r="AB45" s="224"/>
      <c r="AC45" s="224"/>
      <c r="AD45" s="224"/>
      <c r="AF45" s="223"/>
      <c r="AG45" s="224"/>
      <c r="AH45" s="224"/>
      <c r="AI45" s="224"/>
      <c r="AJ45" s="224"/>
      <c r="AK45" s="224"/>
    </row>
    <row r="46" spans="1:38" ht="15" customHeight="1" x14ac:dyDescent="0.25">
      <c r="A46" s="274" t="s">
        <v>31</v>
      </c>
      <c r="B46" s="277" t="s">
        <v>105</v>
      </c>
      <c r="C46" s="57" t="s">
        <v>36</v>
      </c>
      <c r="D46" s="260">
        <v>90</v>
      </c>
      <c r="E46" s="261"/>
      <c r="F46" s="261"/>
      <c r="G46" s="261"/>
      <c r="H46" s="261"/>
      <c r="I46" s="261"/>
      <c r="K46" s="260">
        <v>138</v>
      </c>
      <c r="L46" s="261"/>
      <c r="M46" s="261"/>
      <c r="N46" s="261"/>
      <c r="O46" s="261"/>
      <c r="P46" s="261"/>
      <c r="R46" s="260">
        <v>85</v>
      </c>
      <c r="S46" s="261"/>
      <c r="T46" s="261"/>
      <c r="U46" s="261"/>
      <c r="V46" s="261"/>
      <c r="W46" s="261"/>
      <c r="Y46" s="260">
        <v>88</v>
      </c>
      <c r="Z46" s="261"/>
      <c r="AA46" s="261"/>
      <c r="AB46" s="261"/>
      <c r="AC46" s="261"/>
      <c r="AD46" s="261"/>
      <c r="AF46" s="260">
        <v>90</v>
      </c>
      <c r="AG46" s="261"/>
      <c r="AH46" s="261"/>
      <c r="AI46" s="261"/>
      <c r="AJ46" s="261"/>
      <c r="AK46" s="261"/>
    </row>
    <row r="47" spans="1:38" x14ac:dyDescent="0.25">
      <c r="A47" s="275"/>
      <c r="B47" s="278"/>
      <c r="C47" s="19" t="s">
        <v>69</v>
      </c>
      <c r="D47" s="240">
        <v>248</v>
      </c>
      <c r="E47" s="222"/>
      <c r="F47" s="222"/>
      <c r="G47" s="222"/>
      <c r="H47" s="222"/>
      <c r="I47" s="222"/>
      <c r="K47" s="240">
        <v>130</v>
      </c>
      <c r="L47" s="222"/>
      <c r="M47" s="222"/>
      <c r="N47" s="222"/>
      <c r="O47" s="222"/>
      <c r="P47" s="222"/>
      <c r="R47" s="240">
        <v>257</v>
      </c>
      <c r="S47" s="222"/>
      <c r="T47" s="222"/>
      <c r="U47" s="222"/>
      <c r="V47" s="222"/>
      <c r="W47" s="222"/>
      <c r="Y47" s="240">
        <v>258</v>
      </c>
      <c r="Z47" s="222"/>
      <c r="AA47" s="222"/>
      <c r="AB47" s="222"/>
      <c r="AC47" s="222"/>
      <c r="AD47" s="222"/>
      <c r="AF47" s="240">
        <v>248</v>
      </c>
      <c r="AG47" s="222"/>
      <c r="AH47" s="222"/>
      <c r="AI47" s="222"/>
      <c r="AJ47" s="222"/>
      <c r="AK47" s="222"/>
    </row>
    <row r="48" spans="1:38" ht="30" x14ac:dyDescent="0.25">
      <c r="A48" s="275"/>
      <c r="B48" s="278"/>
      <c r="C48" s="19" t="s">
        <v>42</v>
      </c>
      <c r="D48" s="280">
        <v>176</v>
      </c>
      <c r="E48" s="280"/>
      <c r="F48" s="280"/>
      <c r="G48" s="280"/>
      <c r="H48" s="280"/>
      <c r="I48" s="240"/>
      <c r="K48" s="240">
        <v>167</v>
      </c>
      <c r="L48" s="222"/>
      <c r="M48" s="222"/>
      <c r="N48" s="222"/>
      <c r="O48" s="222"/>
      <c r="P48" s="222"/>
      <c r="R48" s="240">
        <v>135</v>
      </c>
      <c r="S48" s="222"/>
      <c r="T48" s="222"/>
      <c r="U48" s="222"/>
      <c r="V48" s="222"/>
      <c r="W48" s="222"/>
      <c r="Y48" s="280">
        <v>176</v>
      </c>
      <c r="Z48" s="280"/>
      <c r="AA48" s="280"/>
      <c r="AB48" s="280"/>
      <c r="AC48" s="280"/>
      <c r="AD48" s="240"/>
      <c r="AF48" s="280">
        <v>176</v>
      </c>
      <c r="AG48" s="280"/>
      <c r="AH48" s="280"/>
      <c r="AI48" s="280"/>
      <c r="AJ48" s="280"/>
      <c r="AK48" s="240"/>
    </row>
    <row r="49" spans="1:38" ht="30" x14ac:dyDescent="0.25">
      <c r="A49" s="275"/>
      <c r="B49" s="278"/>
      <c r="C49" s="19" t="s">
        <v>43</v>
      </c>
      <c r="D49" s="240">
        <v>425</v>
      </c>
      <c r="E49" s="222"/>
      <c r="F49" s="222"/>
      <c r="G49" s="222"/>
      <c r="H49" s="222"/>
      <c r="I49" s="222"/>
      <c r="K49" s="240">
        <v>394</v>
      </c>
      <c r="L49" s="222"/>
      <c r="M49" s="222"/>
      <c r="N49" s="222"/>
      <c r="O49" s="222"/>
      <c r="P49" s="222"/>
      <c r="R49" s="240">
        <v>448</v>
      </c>
      <c r="S49" s="222"/>
      <c r="T49" s="222"/>
      <c r="U49" s="222"/>
      <c r="V49" s="222"/>
      <c r="W49" s="222"/>
      <c r="Y49" s="240">
        <v>425</v>
      </c>
      <c r="Z49" s="222"/>
      <c r="AA49" s="222"/>
      <c r="AB49" s="222"/>
      <c r="AC49" s="222"/>
      <c r="AD49" s="222"/>
      <c r="AF49" s="240">
        <v>425</v>
      </c>
      <c r="AG49" s="222"/>
      <c r="AH49" s="222"/>
      <c r="AI49" s="222"/>
      <c r="AJ49" s="222"/>
      <c r="AK49" s="222"/>
    </row>
    <row r="50" spans="1:38" x14ac:dyDescent="0.25">
      <c r="A50" s="275"/>
      <c r="B50" s="278"/>
      <c r="C50" s="17" t="s">
        <v>44</v>
      </c>
      <c r="D50" s="258">
        <v>0</v>
      </c>
      <c r="E50" s="259"/>
      <c r="F50" s="259"/>
      <c r="G50" s="259"/>
      <c r="H50" s="259"/>
      <c r="I50" s="259"/>
      <c r="K50" s="258">
        <v>0</v>
      </c>
      <c r="L50" s="259"/>
      <c r="M50" s="259"/>
      <c r="N50" s="259"/>
      <c r="O50" s="259"/>
      <c r="P50" s="259"/>
      <c r="R50" s="258">
        <v>0</v>
      </c>
      <c r="S50" s="259"/>
      <c r="T50" s="259"/>
      <c r="U50" s="259"/>
      <c r="V50" s="259"/>
      <c r="W50" s="259"/>
      <c r="Y50" s="258">
        <v>0</v>
      </c>
      <c r="Z50" s="259"/>
      <c r="AA50" s="259"/>
      <c r="AB50" s="259"/>
      <c r="AC50" s="259"/>
      <c r="AD50" s="259"/>
      <c r="AF50" s="258">
        <v>0</v>
      </c>
      <c r="AG50" s="259"/>
      <c r="AH50" s="259"/>
      <c r="AI50" s="259"/>
      <c r="AJ50" s="259"/>
      <c r="AK50" s="259"/>
    </row>
    <row r="51" spans="1:38" x14ac:dyDescent="0.25">
      <c r="A51" s="275"/>
      <c r="B51" s="278"/>
      <c r="C51" s="17" t="s">
        <v>45</v>
      </c>
      <c r="D51" s="258" t="s">
        <v>74</v>
      </c>
      <c r="E51" s="259"/>
      <c r="F51" s="259"/>
      <c r="G51" s="259"/>
      <c r="H51" s="259"/>
      <c r="I51" s="259"/>
      <c r="K51" s="258" t="s">
        <v>74</v>
      </c>
      <c r="L51" s="259"/>
      <c r="M51" s="259"/>
      <c r="N51" s="259"/>
      <c r="O51" s="259"/>
      <c r="P51" s="259"/>
      <c r="R51" s="258" t="s">
        <v>74</v>
      </c>
      <c r="S51" s="259"/>
      <c r="T51" s="259"/>
      <c r="U51" s="259"/>
      <c r="V51" s="259"/>
      <c r="W51" s="259"/>
      <c r="Y51" s="258" t="s">
        <v>74</v>
      </c>
      <c r="Z51" s="259"/>
      <c r="AA51" s="259"/>
      <c r="AB51" s="259"/>
      <c r="AC51" s="259"/>
      <c r="AD51" s="259"/>
      <c r="AF51" s="258" t="s">
        <v>74</v>
      </c>
      <c r="AG51" s="259"/>
      <c r="AH51" s="259"/>
      <c r="AI51" s="259"/>
      <c r="AJ51" s="259"/>
      <c r="AK51" s="259"/>
    </row>
    <row r="52" spans="1:38" x14ac:dyDescent="0.25">
      <c r="A52" s="275"/>
      <c r="B52" s="278"/>
      <c r="C52" s="19" t="s">
        <v>46</v>
      </c>
      <c r="D52" s="258" t="s">
        <v>74</v>
      </c>
      <c r="E52" s="259"/>
      <c r="F52" s="259"/>
      <c r="G52" s="259"/>
      <c r="H52" s="259"/>
      <c r="I52" s="259"/>
      <c r="K52" s="258" t="s">
        <v>74</v>
      </c>
      <c r="L52" s="259"/>
      <c r="M52" s="259"/>
      <c r="N52" s="259"/>
      <c r="O52" s="259"/>
      <c r="P52" s="259"/>
      <c r="R52" s="258" t="s">
        <v>74</v>
      </c>
      <c r="S52" s="259"/>
      <c r="T52" s="259"/>
      <c r="U52" s="259"/>
      <c r="V52" s="259"/>
      <c r="W52" s="259"/>
      <c r="Y52" s="258" t="s">
        <v>74</v>
      </c>
      <c r="Z52" s="259"/>
      <c r="AA52" s="259"/>
      <c r="AB52" s="259"/>
      <c r="AC52" s="259"/>
      <c r="AD52" s="259"/>
      <c r="AF52" s="258" t="s">
        <v>74</v>
      </c>
      <c r="AG52" s="259"/>
      <c r="AH52" s="259"/>
      <c r="AI52" s="259"/>
      <c r="AJ52" s="259"/>
      <c r="AK52" s="259"/>
    </row>
    <row r="53" spans="1:38" x14ac:dyDescent="0.25">
      <c r="A53" s="275"/>
      <c r="B53" s="278"/>
      <c r="C53" s="17" t="s">
        <v>47</v>
      </c>
      <c r="D53" s="363">
        <v>939</v>
      </c>
      <c r="E53" s="280"/>
      <c r="F53" s="280"/>
      <c r="G53" s="280"/>
      <c r="H53" s="280"/>
      <c r="I53" s="240"/>
      <c r="K53" s="258">
        <v>829</v>
      </c>
      <c r="L53" s="259"/>
      <c r="M53" s="259"/>
      <c r="N53" s="259"/>
      <c r="O53" s="259"/>
      <c r="P53" s="259"/>
      <c r="R53" s="240">
        <f>R46+R47+R48+R49</f>
        <v>925</v>
      </c>
      <c r="S53" s="222"/>
      <c r="T53" s="222"/>
      <c r="U53" s="222"/>
      <c r="V53" s="222"/>
      <c r="W53" s="222"/>
      <c r="Y53" s="240">
        <v>947</v>
      </c>
      <c r="Z53" s="222"/>
      <c r="AA53" s="222"/>
      <c r="AB53" s="222"/>
      <c r="AC53" s="222"/>
      <c r="AD53" s="222"/>
      <c r="AF53" s="240">
        <v>939</v>
      </c>
      <c r="AG53" s="222"/>
      <c r="AH53" s="222"/>
      <c r="AI53" s="222"/>
      <c r="AJ53" s="222"/>
      <c r="AK53" s="222"/>
    </row>
    <row r="54" spans="1:38" ht="15" customHeight="1" x14ac:dyDescent="0.25">
      <c r="A54" s="275"/>
      <c r="B54" s="278"/>
      <c r="C54" s="281" t="s">
        <v>70</v>
      </c>
      <c r="D54" s="258" t="s">
        <v>74</v>
      </c>
      <c r="E54" s="259"/>
      <c r="F54" s="259"/>
      <c r="G54" s="259"/>
      <c r="H54" s="259"/>
      <c r="I54" s="259"/>
      <c r="J54" s="36"/>
      <c r="K54" s="357">
        <v>250</v>
      </c>
      <c r="L54" s="358"/>
      <c r="M54" s="358"/>
      <c r="N54" s="358"/>
      <c r="O54" s="358"/>
      <c r="P54" s="359"/>
      <c r="Q54" s="36"/>
      <c r="R54" s="258" t="s">
        <v>74</v>
      </c>
      <c r="S54" s="259"/>
      <c r="T54" s="259"/>
      <c r="U54" s="259"/>
      <c r="V54" s="259"/>
      <c r="W54" s="259"/>
      <c r="X54" s="36"/>
      <c r="Y54" s="258" t="s">
        <v>74</v>
      </c>
      <c r="Z54" s="259"/>
      <c r="AA54" s="259"/>
      <c r="AB54" s="259"/>
      <c r="AC54" s="259"/>
      <c r="AD54" s="259"/>
      <c r="AE54" s="36"/>
      <c r="AF54" s="258" t="s">
        <v>74</v>
      </c>
      <c r="AG54" s="259"/>
      <c r="AH54" s="259"/>
      <c r="AI54" s="259"/>
      <c r="AJ54" s="259"/>
      <c r="AK54" s="259"/>
      <c r="AL54" s="36"/>
    </row>
    <row r="55" spans="1:38" ht="15.75" thickBot="1" x14ac:dyDescent="0.3">
      <c r="A55" s="276"/>
      <c r="B55" s="279"/>
      <c r="C55" s="282"/>
      <c r="D55" s="271"/>
      <c r="E55" s="272"/>
      <c r="F55" s="272"/>
      <c r="G55" s="272"/>
      <c r="H55" s="272"/>
      <c r="I55" s="272"/>
      <c r="J55" s="36"/>
      <c r="K55" s="360"/>
      <c r="L55" s="361"/>
      <c r="M55" s="361"/>
      <c r="N55" s="361"/>
      <c r="O55" s="361"/>
      <c r="P55" s="362"/>
      <c r="Q55" s="36"/>
      <c r="R55" s="271"/>
      <c r="S55" s="272"/>
      <c r="T55" s="272"/>
      <c r="U55" s="272"/>
      <c r="V55" s="272"/>
      <c r="W55" s="272"/>
      <c r="X55" s="36"/>
      <c r="Y55" s="271"/>
      <c r="Z55" s="272"/>
      <c r="AA55" s="272"/>
      <c r="AB55" s="272"/>
      <c r="AC55" s="272"/>
      <c r="AD55" s="272"/>
      <c r="AE55" s="36"/>
      <c r="AF55" s="271"/>
      <c r="AG55" s="272"/>
      <c r="AH55" s="272"/>
      <c r="AI55" s="272"/>
      <c r="AJ55" s="272"/>
      <c r="AK55" s="272"/>
      <c r="AL55" s="36"/>
    </row>
    <row r="60" spans="1:38" x14ac:dyDescent="0.25">
      <c r="AF60" s="147"/>
      <c r="AG60" s="147"/>
      <c r="AH60" s="147"/>
      <c r="AI60" s="147"/>
      <c r="AJ60" s="147"/>
      <c r="AK60" s="147"/>
    </row>
    <row r="61" spans="1:38" x14ac:dyDescent="0.25">
      <c r="AF61" s="147"/>
      <c r="AG61" s="147"/>
      <c r="AH61" s="147"/>
      <c r="AI61" s="147"/>
      <c r="AJ61" s="147"/>
      <c r="AK61" s="147"/>
    </row>
    <row r="62" spans="1:38" x14ac:dyDescent="0.25">
      <c r="AF62" s="147"/>
      <c r="AG62" s="147"/>
      <c r="AH62" s="147"/>
      <c r="AI62" s="147"/>
      <c r="AJ62" s="147"/>
      <c r="AK62" s="147"/>
    </row>
    <row r="63" spans="1:38" x14ac:dyDescent="0.25">
      <c r="AF63" s="147"/>
      <c r="AG63" s="147"/>
      <c r="AH63" s="147"/>
      <c r="AI63" s="205"/>
      <c r="AJ63" s="147"/>
      <c r="AK63" s="143"/>
    </row>
    <row r="64" spans="1:38" x14ac:dyDescent="0.25">
      <c r="AA64" s="96"/>
      <c r="AB64" s="96"/>
      <c r="AC64" s="96"/>
      <c r="AD64" s="96"/>
      <c r="AE64" s="97"/>
      <c r="AF64" s="147"/>
      <c r="AG64" s="147"/>
      <c r="AH64" s="147"/>
      <c r="AI64" s="205"/>
      <c r="AJ64" s="147"/>
      <c r="AK64" s="143"/>
    </row>
    <row r="65" spans="25:37" x14ac:dyDescent="0.25">
      <c r="AF65" s="147"/>
      <c r="AG65" s="147"/>
      <c r="AH65" s="147"/>
      <c r="AI65" s="205"/>
      <c r="AJ65" s="147"/>
      <c r="AK65" s="143"/>
    </row>
    <row r="66" spans="25:37" x14ac:dyDescent="0.25">
      <c r="Y66" s="106"/>
      <c r="Z66" s="106"/>
      <c r="AA66" s="106"/>
      <c r="AB66" s="96"/>
      <c r="AC66" s="96"/>
      <c r="AD66" s="96"/>
      <c r="AE66" s="97"/>
      <c r="AF66" s="147"/>
      <c r="AG66" s="147"/>
      <c r="AH66" s="147"/>
      <c r="AI66" s="206"/>
      <c r="AJ66" s="147"/>
      <c r="AK66" s="143"/>
    </row>
    <row r="67" spans="25:37" x14ac:dyDescent="0.25">
      <c r="Y67" s="106"/>
      <c r="Z67" s="106"/>
      <c r="AA67" s="106"/>
      <c r="AF67" s="147"/>
      <c r="AG67" s="147"/>
      <c r="AH67" s="147"/>
      <c r="AI67" s="147"/>
      <c r="AJ67" s="147"/>
      <c r="AK67" s="143"/>
    </row>
    <row r="68" spans="25:37" x14ac:dyDescent="0.25">
      <c r="Y68" s="106"/>
      <c r="Z68" s="106"/>
      <c r="AA68" s="106"/>
      <c r="AB68" s="96"/>
      <c r="AC68" s="96"/>
      <c r="AD68" s="96"/>
      <c r="AE68" s="97"/>
      <c r="AF68" s="147"/>
      <c r="AG68" s="147"/>
      <c r="AH68" s="147"/>
      <c r="AI68" s="147"/>
      <c r="AJ68" s="147"/>
      <c r="AK68" s="143"/>
    </row>
    <row r="69" spans="25:37" x14ac:dyDescent="0.25">
      <c r="Y69" s="106"/>
      <c r="Z69" s="106"/>
      <c r="AA69" s="106"/>
      <c r="AB69" s="96"/>
      <c r="AC69" s="96"/>
      <c r="AD69" s="96"/>
      <c r="AE69" s="97"/>
      <c r="AF69" s="147"/>
      <c r="AG69" s="147"/>
      <c r="AH69" s="206"/>
      <c r="AI69" s="206"/>
      <c r="AJ69" s="147"/>
      <c r="AK69" s="143"/>
    </row>
    <row r="70" spans="25:37" x14ac:dyDescent="0.25">
      <c r="Y70" s="106"/>
      <c r="Z70" s="106"/>
      <c r="AA70" s="106"/>
      <c r="AB70" s="96"/>
      <c r="AC70" s="96"/>
      <c r="AD70" s="96"/>
      <c r="AE70" s="97"/>
      <c r="AF70" s="147"/>
      <c r="AG70" s="147"/>
      <c r="AH70" s="147"/>
      <c r="AI70" s="147"/>
      <c r="AJ70" s="147"/>
      <c r="AK70" s="143"/>
    </row>
    <row r="71" spans="25:37" x14ac:dyDescent="0.25">
      <c r="Y71" s="106"/>
      <c r="Z71" s="106"/>
      <c r="AA71" s="106"/>
      <c r="AF71" s="147"/>
      <c r="AG71" s="147"/>
      <c r="AH71" s="147"/>
      <c r="AI71" s="147"/>
      <c r="AJ71" s="147"/>
      <c r="AK71" s="143"/>
    </row>
    <row r="72" spans="25:37" x14ac:dyDescent="0.25">
      <c r="Y72" s="106"/>
      <c r="Z72" s="106"/>
      <c r="AA72" s="106"/>
      <c r="AB72" s="96"/>
      <c r="AC72" s="96"/>
      <c r="AD72" s="96"/>
      <c r="AE72" s="97"/>
      <c r="AF72" s="147"/>
      <c r="AG72" s="147"/>
      <c r="AH72" s="147"/>
      <c r="AI72" s="147"/>
      <c r="AJ72" s="147"/>
      <c r="AK72" s="143"/>
    </row>
    <row r="73" spans="25:37" x14ac:dyDescent="0.25">
      <c r="Y73" s="106"/>
      <c r="Z73" s="106"/>
      <c r="AA73" s="106"/>
      <c r="AB73" s="96"/>
      <c r="AC73" s="96"/>
      <c r="AD73" s="96"/>
      <c r="AE73" s="97"/>
      <c r="AF73" s="207"/>
      <c r="AG73" s="147"/>
      <c r="AH73" s="147"/>
      <c r="AI73" s="147"/>
      <c r="AJ73" s="147"/>
      <c r="AK73" s="147"/>
    </row>
    <row r="74" spans="25:37" x14ac:dyDescent="0.25">
      <c r="Y74" s="106"/>
      <c r="Z74" s="106"/>
      <c r="AA74" s="106"/>
    </row>
    <row r="75" spans="25:37" x14ac:dyDescent="0.25">
      <c r="Y75" s="106"/>
      <c r="Z75" s="106"/>
      <c r="AA75" s="106"/>
    </row>
    <row r="76" spans="25:37" x14ac:dyDescent="0.25">
      <c r="Y76" s="106"/>
      <c r="Z76" s="106"/>
      <c r="AA76" s="106"/>
    </row>
    <row r="77" spans="25:37" x14ac:dyDescent="0.25">
      <c r="Y77" s="106"/>
      <c r="Z77" s="106"/>
      <c r="AA77" s="106"/>
    </row>
  </sheetData>
  <mergeCells count="259">
    <mergeCell ref="AF50:AK50"/>
    <mergeCell ref="D51:I51"/>
    <mergeCell ref="K51:P51"/>
    <mergeCell ref="R51:W51"/>
    <mergeCell ref="Y51:AD51"/>
    <mergeCell ref="AF51:AK51"/>
    <mergeCell ref="C54:C55"/>
    <mergeCell ref="D54:I55"/>
    <mergeCell ref="K54:P55"/>
    <mergeCell ref="R54:W55"/>
    <mergeCell ref="Y54:AD55"/>
    <mergeCell ref="AF54:AK55"/>
    <mergeCell ref="D52:I52"/>
    <mergeCell ref="K52:P52"/>
    <mergeCell ref="R52:W52"/>
    <mergeCell ref="Y52:AD52"/>
    <mergeCell ref="AF52:AK52"/>
    <mergeCell ref="D53:I53"/>
    <mergeCell ref="K53:P53"/>
    <mergeCell ref="R53:W53"/>
    <mergeCell ref="Y53:AD53"/>
    <mergeCell ref="AF53:AK53"/>
    <mergeCell ref="AF48:AK48"/>
    <mergeCell ref="D49:I49"/>
    <mergeCell ref="K49:P49"/>
    <mergeCell ref="R49:W49"/>
    <mergeCell ref="Y49:AD49"/>
    <mergeCell ref="AF49:AK49"/>
    <mergeCell ref="AF46:AK46"/>
    <mergeCell ref="D47:I47"/>
    <mergeCell ref="K47:P47"/>
    <mergeCell ref="R47:W47"/>
    <mergeCell ref="Y47:AD47"/>
    <mergeCell ref="AF47:AK47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Z44:AA44"/>
    <mergeCell ref="AB44:AD44"/>
    <mergeCell ref="AG44:AH44"/>
    <mergeCell ref="AI44:AK44"/>
    <mergeCell ref="D45:I45"/>
    <mergeCell ref="K45:P45"/>
    <mergeCell ref="R45:W45"/>
    <mergeCell ref="Y45:AD45"/>
    <mergeCell ref="AF45:AK45"/>
    <mergeCell ref="E44:F44"/>
    <mergeCell ref="G44:I44"/>
    <mergeCell ref="L44:M44"/>
    <mergeCell ref="N44:P44"/>
    <mergeCell ref="S44:T44"/>
    <mergeCell ref="U44:W44"/>
    <mergeCell ref="S43:T43"/>
    <mergeCell ref="U43:W43"/>
    <mergeCell ref="Z43:AA43"/>
    <mergeCell ref="AB43:AD43"/>
    <mergeCell ref="AG43:AH43"/>
    <mergeCell ref="AI43:AK43"/>
    <mergeCell ref="S42:T42"/>
    <mergeCell ref="U42:W42"/>
    <mergeCell ref="Z42:AA42"/>
    <mergeCell ref="AB42:AD42"/>
    <mergeCell ref="AG42:AH42"/>
    <mergeCell ref="AI42:AK42"/>
    <mergeCell ref="A42:A44"/>
    <mergeCell ref="B42:B44"/>
    <mergeCell ref="E42:F42"/>
    <mergeCell ref="G42:I42"/>
    <mergeCell ref="L42:M42"/>
    <mergeCell ref="N42:P42"/>
    <mergeCell ref="E43:F43"/>
    <mergeCell ref="G43:I43"/>
    <mergeCell ref="L43:M43"/>
    <mergeCell ref="N43:P43"/>
    <mergeCell ref="AH40:AJ40"/>
    <mergeCell ref="D41:I41"/>
    <mergeCell ref="K41:P41"/>
    <mergeCell ref="R41:W41"/>
    <mergeCell ref="Y41:AD41"/>
    <mergeCell ref="AF41:AK41"/>
    <mergeCell ref="AH39:AJ39"/>
    <mergeCell ref="D40:E40"/>
    <mergeCell ref="F40:H40"/>
    <mergeCell ref="K40:L40"/>
    <mergeCell ref="M40:O40"/>
    <mergeCell ref="R40:S40"/>
    <mergeCell ref="T40:V40"/>
    <mergeCell ref="Y40:Z40"/>
    <mergeCell ref="AA40:AC40"/>
    <mergeCell ref="AF40:AG40"/>
    <mergeCell ref="AA37:AC37"/>
    <mergeCell ref="AF37:AG37"/>
    <mergeCell ref="AH38:AJ38"/>
    <mergeCell ref="D39:E39"/>
    <mergeCell ref="F39:H39"/>
    <mergeCell ref="K39:L39"/>
    <mergeCell ref="M39:O39"/>
    <mergeCell ref="R39:S39"/>
    <mergeCell ref="T39:V39"/>
    <mergeCell ref="Y39:Z39"/>
    <mergeCell ref="AA39:AC39"/>
    <mergeCell ref="AF39:AG39"/>
    <mergeCell ref="D36:I36"/>
    <mergeCell ref="K36:P36"/>
    <mergeCell ref="R36:W36"/>
    <mergeCell ref="Y36:AD36"/>
    <mergeCell ref="AF36:AK36"/>
    <mergeCell ref="A37:A40"/>
    <mergeCell ref="B37:B40"/>
    <mergeCell ref="D37:E37"/>
    <mergeCell ref="F37:H37"/>
    <mergeCell ref="K37:L37"/>
    <mergeCell ref="AH37:AJ37"/>
    <mergeCell ref="D38:E38"/>
    <mergeCell ref="F38:H38"/>
    <mergeCell ref="K38:L38"/>
    <mergeCell ref="M38:O38"/>
    <mergeCell ref="R38:S38"/>
    <mergeCell ref="T38:V38"/>
    <mergeCell ref="Y38:Z38"/>
    <mergeCell ref="AA38:AC38"/>
    <mergeCell ref="AF38:AG38"/>
    <mergeCell ref="M37:O37"/>
    <mergeCell ref="R37:S37"/>
    <mergeCell ref="T37:V37"/>
    <mergeCell ref="Y37:Z37"/>
    <mergeCell ref="T32:U32"/>
    <mergeCell ref="AA32:AB32"/>
    <mergeCell ref="AH32:AI32"/>
    <mergeCell ref="AH34:AI34"/>
    <mergeCell ref="D35:G35"/>
    <mergeCell ref="K35:N35"/>
    <mergeCell ref="R35:U35"/>
    <mergeCell ref="Y35:AB35"/>
    <mergeCell ref="AF35:AI35"/>
    <mergeCell ref="M33:N33"/>
    <mergeCell ref="T33:U33"/>
    <mergeCell ref="F34:G34"/>
    <mergeCell ref="M34:N34"/>
    <mergeCell ref="T34:U34"/>
    <mergeCell ref="AA34:AB34"/>
    <mergeCell ref="A28:A35"/>
    <mergeCell ref="B28:B35"/>
    <mergeCell ref="F28:G28"/>
    <mergeCell ref="M28:N28"/>
    <mergeCell ref="T28:U28"/>
    <mergeCell ref="AA28:AB28"/>
    <mergeCell ref="AH28:AI28"/>
    <mergeCell ref="F29:G29"/>
    <mergeCell ref="M29:N29"/>
    <mergeCell ref="T29:U29"/>
    <mergeCell ref="AA29:AB29"/>
    <mergeCell ref="AH29:AI29"/>
    <mergeCell ref="F30:G30"/>
    <mergeCell ref="M30:N30"/>
    <mergeCell ref="T30:U30"/>
    <mergeCell ref="AA30:AB30"/>
    <mergeCell ref="AH30:AI30"/>
    <mergeCell ref="F31:G31"/>
    <mergeCell ref="M31:N31"/>
    <mergeCell ref="T31:U31"/>
    <mergeCell ref="AA31:AB31"/>
    <mergeCell ref="AH31:AI31"/>
    <mergeCell ref="F32:G32"/>
    <mergeCell ref="M32:N32"/>
    <mergeCell ref="A16:A26"/>
    <mergeCell ref="B16:B26"/>
    <mergeCell ref="D27:I27"/>
    <mergeCell ref="K27:P27"/>
    <mergeCell ref="R27:W27"/>
    <mergeCell ref="Y27:AD27"/>
    <mergeCell ref="AF14:AJ14"/>
    <mergeCell ref="D15:I15"/>
    <mergeCell ref="K15:P15"/>
    <mergeCell ref="R15:W15"/>
    <mergeCell ref="Y15:AD15"/>
    <mergeCell ref="AF15:AK15"/>
    <mergeCell ref="AF27:AK27"/>
    <mergeCell ref="A12:A14"/>
    <mergeCell ref="B12:B14"/>
    <mergeCell ref="D12:I12"/>
    <mergeCell ref="K12:P12"/>
    <mergeCell ref="R12:W12"/>
    <mergeCell ref="Y12:AD12"/>
    <mergeCell ref="D14:H14"/>
    <mergeCell ref="K14:O14"/>
    <mergeCell ref="R14:V14"/>
    <mergeCell ref="Y14:AC14"/>
    <mergeCell ref="AF10:AJ10"/>
    <mergeCell ref="D11:I11"/>
    <mergeCell ref="K11:P11"/>
    <mergeCell ref="R11:W11"/>
    <mergeCell ref="Y11:AD11"/>
    <mergeCell ref="AF11:AK11"/>
    <mergeCell ref="AF12:AK12"/>
    <mergeCell ref="D13:I13"/>
    <mergeCell ref="K13:P13"/>
    <mergeCell ref="R13:W13"/>
    <mergeCell ref="Y13:AD13"/>
    <mergeCell ref="AF13:AK13"/>
    <mergeCell ref="AF8:AJ8"/>
    <mergeCell ref="D9:H9"/>
    <mergeCell ref="K9:O9"/>
    <mergeCell ref="R9:V9"/>
    <mergeCell ref="Y9:AC9"/>
    <mergeCell ref="AF9:AJ9"/>
    <mergeCell ref="D7:I7"/>
    <mergeCell ref="K7:P7"/>
    <mergeCell ref="R7:W7"/>
    <mergeCell ref="Y7:AD7"/>
    <mergeCell ref="AF7:AK7"/>
    <mergeCell ref="A8:A10"/>
    <mergeCell ref="B8:B10"/>
    <mergeCell ref="D8:H8"/>
    <mergeCell ref="K8:O8"/>
    <mergeCell ref="R8:V8"/>
    <mergeCell ref="D5:I5"/>
    <mergeCell ref="K5:P5"/>
    <mergeCell ref="R5:W5"/>
    <mergeCell ref="Y5:AD5"/>
    <mergeCell ref="Y8:AC8"/>
    <mergeCell ref="D10:H10"/>
    <mergeCell ref="K10:O10"/>
    <mergeCell ref="R10:V10"/>
    <mergeCell ref="Y10:AC10"/>
    <mergeCell ref="D2:I2"/>
    <mergeCell ref="K2:P2"/>
    <mergeCell ref="R2:W2"/>
    <mergeCell ref="Y2:AD2"/>
    <mergeCell ref="AF2:AK2"/>
    <mergeCell ref="A3:A6"/>
    <mergeCell ref="B3:B6"/>
    <mergeCell ref="D3:I3"/>
    <mergeCell ref="K3:P3"/>
    <mergeCell ref="R3:W3"/>
    <mergeCell ref="AF5:AK5"/>
    <mergeCell ref="D6:I6"/>
    <mergeCell ref="K6:P6"/>
    <mergeCell ref="R6:W6"/>
    <mergeCell ref="Y6:AD6"/>
    <mergeCell ref="AF6:AK6"/>
    <mergeCell ref="Y3:AD3"/>
    <mergeCell ref="AF3:AK3"/>
    <mergeCell ref="D4:I4"/>
    <mergeCell ref="K4:P4"/>
    <mergeCell ref="R4:W4"/>
    <mergeCell ref="Y4:AD4"/>
    <mergeCell ref="AF4:AK4"/>
  </mergeCells>
  <pageMargins left="0.7" right="0.7" top="0.78740157499999996" bottom="0.78740157499999996" header="0.3" footer="0.3"/>
  <pageSetup paperSize="9" orientation="portrait" horizontalDpi="4294967294" verticalDpi="4294967294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AB54"/>
  <sheetViews>
    <sheetView zoomScale="66" zoomScaleNormal="66" workbookViewId="0">
      <selection activeCell="AB42" sqref="AB42"/>
    </sheetView>
  </sheetViews>
  <sheetFormatPr baseColWidth="10" defaultColWidth="11.42578125" defaultRowHeight="15" x14ac:dyDescent="0.25"/>
  <cols>
    <col min="1" max="1" width="16.42578125" style="152" bestFit="1" customWidth="1"/>
    <col min="2" max="2" width="11.42578125" style="152"/>
    <col min="3" max="3" width="13.85546875" style="152" customWidth="1"/>
    <col min="4" max="4" width="11.42578125" style="152"/>
    <col min="5" max="5" width="14.85546875" style="152" bestFit="1" customWidth="1"/>
    <col min="6" max="8" width="11.42578125" style="152"/>
    <col min="9" max="9" width="14.85546875" style="152" bestFit="1" customWidth="1"/>
    <col min="10" max="12" width="11.42578125" style="152"/>
    <col min="13" max="13" width="14.85546875" style="152" bestFit="1" customWidth="1"/>
    <col min="14" max="16" width="11.42578125" style="152"/>
    <col min="17" max="17" width="14.85546875" style="152" bestFit="1" customWidth="1"/>
    <col min="18" max="20" width="11.42578125" style="152"/>
    <col min="21" max="21" width="14.85546875" style="152" bestFit="1" customWidth="1"/>
    <col min="22" max="16384" width="11.42578125" style="152"/>
  </cols>
  <sheetData>
    <row r="5" spans="1:27" x14ac:dyDescent="0.25">
      <c r="A5" s="215" t="s">
        <v>134</v>
      </c>
      <c r="B5" s="215"/>
      <c r="C5" s="215"/>
      <c r="E5" s="215" t="s">
        <v>135</v>
      </c>
      <c r="F5" s="215"/>
      <c r="G5" s="215"/>
      <c r="I5" s="215" t="s">
        <v>136</v>
      </c>
      <c r="J5" s="215"/>
      <c r="K5" s="215"/>
      <c r="M5" s="215" t="s">
        <v>137</v>
      </c>
      <c r="N5" s="215"/>
      <c r="O5" s="215"/>
      <c r="Q5" s="215" t="s">
        <v>138</v>
      </c>
      <c r="R5" s="215"/>
      <c r="S5" s="215"/>
      <c r="U5" s="135" t="s">
        <v>540</v>
      </c>
      <c r="V5" s="135"/>
      <c r="W5" s="135"/>
      <c r="Y5" s="135" t="s">
        <v>541</v>
      </c>
      <c r="Z5" s="135"/>
      <c r="AA5" s="135"/>
    </row>
    <row r="6" spans="1:27" x14ac:dyDescent="0.25">
      <c r="A6" s="152" t="s">
        <v>80</v>
      </c>
      <c r="B6" s="152" t="s">
        <v>72</v>
      </c>
      <c r="C6" s="152" t="s">
        <v>79</v>
      </c>
      <c r="E6" s="152" t="s">
        <v>80</v>
      </c>
      <c r="F6" s="152" t="s">
        <v>72</v>
      </c>
      <c r="G6" s="152" t="s">
        <v>79</v>
      </c>
      <c r="I6" s="152" t="s">
        <v>80</v>
      </c>
      <c r="J6" s="152" t="s">
        <v>72</v>
      </c>
      <c r="K6" s="152" t="s">
        <v>79</v>
      </c>
      <c r="M6" s="152" t="s">
        <v>80</v>
      </c>
      <c r="N6" s="152" t="s">
        <v>72</v>
      </c>
      <c r="O6" s="152" t="s">
        <v>79</v>
      </c>
      <c r="Q6" s="152" t="s">
        <v>80</v>
      </c>
      <c r="R6" s="152" t="s">
        <v>72</v>
      </c>
      <c r="S6" s="152" t="s">
        <v>79</v>
      </c>
      <c r="U6" s="152" t="s">
        <v>80</v>
      </c>
      <c r="V6" s="152" t="s">
        <v>72</v>
      </c>
      <c r="W6" s="152" t="s">
        <v>79</v>
      </c>
      <c r="Y6" s="152" t="s">
        <v>80</v>
      </c>
      <c r="Z6" s="152" t="s">
        <v>72</v>
      </c>
      <c r="AA6" s="152" t="s">
        <v>79</v>
      </c>
    </row>
    <row r="7" spans="1:27" x14ac:dyDescent="0.25">
      <c r="A7" s="152">
        <v>1</v>
      </c>
      <c r="B7" s="117">
        <v>1985</v>
      </c>
      <c r="C7" s="152">
        <v>6.5</v>
      </c>
      <c r="E7" s="152">
        <v>1</v>
      </c>
      <c r="F7" s="117">
        <v>1985</v>
      </c>
      <c r="G7" s="152">
        <v>5.2</v>
      </c>
      <c r="I7" s="152">
        <v>1</v>
      </c>
      <c r="J7" s="117">
        <v>1985</v>
      </c>
      <c r="K7" s="152">
        <v>6.2</v>
      </c>
      <c r="M7" s="152">
        <v>1</v>
      </c>
      <c r="N7" s="117">
        <v>1985</v>
      </c>
      <c r="O7" s="152">
        <v>0</v>
      </c>
      <c r="Q7" s="152">
        <v>1</v>
      </c>
      <c r="R7" s="117">
        <v>1985</v>
      </c>
      <c r="S7" s="152">
        <v>0</v>
      </c>
      <c r="U7" s="152">
        <v>1</v>
      </c>
      <c r="V7" s="117">
        <v>1985</v>
      </c>
      <c r="W7" s="209">
        <v>4.4000000000000004</v>
      </c>
      <c r="Y7" s="152">
        <v>1</v>
      </c>
      <c r="Z7" s="117">
        <v>1985</v>
      </c>
      <c r="AA7" s="209">
        <v>4.8</v>
      </c>
    </row>
    <row r="8" spans="1:27" x14ac:dyDescent="0.25">
      <c r="A8" s="152">
        <v>2</v>
      </c>
      <c r="B8" s="117">
        <v>1986</v>
      </c>
      <c r="C8" s="152">
        <v>5.6</v>
      </c>
      <c r="E8" s="152">
        <v>2</v>
      </c>
      <c r="F8" s="117">
        <v>1986</v>
      </c>
      <c r="G8" s="152">
        <v>5.2</v>
      </c>
      <c r="I8" s="152">
        <v>2</v>
      </c>
      <c r="J8" s="117">
        <v>1986</v>
      </c>
      <c r="K8" s="152">
        <v>6.4</v>
      </c>
      <c r="M8" s="152">
        <v>2</v>
      </c>
      <c r="N8" s="117">
        <v>1986</v>
      </c>
      <c r="O8" s="152">
        <v>0</v>
      </c>
      <c r="Q8" s="152">
        <v>2</v>
      </c>
      <c r="R8" s="117">
        <v>1986</v>
      </c>
      <c r="S8" s="152">
        <v>0</v>
      </c>
      <c r="U8" s="152">
        <v>2</v>
      </c>
      <c r="V8" s="117">
        <v>1986</v>
      </c>
      <c r="W8" s="209">
        <v>4.8</v>
      </c>
      <c r="Y8" s="152">
        <v>2</v>
      </c>
      <c r="Z8" s="117">
        <v>1986</v>
      </c>
      <c r="AA8" s="209">
        <v>5</v>
      </c>
    </row>
    <row r="9" spans="1:27" x14ac:dyDescent="0.25">
      <c r="A9" s="152">
        <v>3</v>
      </c>
      <c r="B9" s="117">
        <v>1987</v>
      </c>
      <c r="C9" s="152">
        <v>7.3</v>
      </c>
      <c r="E9" s="152">
        <v>3</v>
      </c>
      <c r="F9" s="117">
        <v>1987</v>
      </c>
      <c r="G9" s="152">
        <v>6.3</v>
      </c>
      <c r="I9" s="152">
        <v>3</v>
      </c>
      <c r="J9" s="117">
        <v>1987</v>
      </c>
      <c r="K9" s="152">
        <v>7</v>
      </c>
      <c r="M9" s="152">
        <v>3</v>
      </c>
      <c r="N9" s="117">
        <v>1987</v>
      </c>
      <c r="O9" s="152">
        <v>0</v>
      </c>
      <c r="Q9" s="152">
        <v>3</v>
      </c>
      <c r="R9" s="117">
        <v>1987</v>
      </c>
      <c r="S9" s="152">
        <v>0</v>
      </c>
      <c r="U9" s="152">
        <v>3</v>
      </c>
      <c r="V9" s="117">
        <v>1987</v>
      </c>
      <c r="W9" s="209">
        <v>5</v>
      </c>
      <c r="Y9" s="152">
        <v>3</v>
      </c>
      <c r="Z9" s="117">
        <v>1987</v>
      </c>
      <c r="AA9" s="209">
        <v>5.7</v>
      </c>
    </row>
    <row r="10" spans="1:27" x14ac:dyDescent="0.25">
      <c r="A10" s="152">
        <v>4</v>
      </c>
      <c r="B10" s="117">
        <v>1988</v>
      </c>
      <c r="C10" s="152">
        <v>8.1999999999999993</v>
      </c>
      <c r="E10" s="152">
        <v>4</v>
      </c>
      <c r="F10" s="117">
        <v>1988</v>
      </c>
      <c r="G10" s="152">
        <v>6.4</v>
      </c>
      <c r="I10" s="152">
        <v>4</v>
      </c>
      <c r="J10" s="117">
        <v>1988</v>
      </c>
      <c r="K10" s="152">
        <v>7.7</v>
      </c>
      <c r="M10" s="152">
        <v>4</v>
      </c>
      <c r="N10" s="117">
        <v>1988</v>
      </c>
      <c r="O10" s="152">
        <v>0</v>
      </c>
      <c r="Q10" s="152">
        <v>4</v>
      </c>
      <c r="R10" s="117">
        <v>1988</v>
      </c>
      <c r="S10" s="152">
        <v>0</v>
      </c>
      <c r="U10" s="152">
        <v>4</v>
      </c>
      <c r="V10" s="117">
        <v>1988</v>
      </c>
      <c r="W10" s="209">
        <v>5.6</v>
      </c>
      <c r="Y10" s="152">
        <v>4</v>
      </c>
      <c r="Z10" s="117">
        <v>1988</v>
      </c>
      <c r="AA10" s="209">
        <v>6</v>
      </c>
    </row>
    <row r="11" spans="1:27" x14ac:dyDescent="0.25">
      <c r="A11" s="152">
        <v>5</v>
      </c>
      <c r="B11" s="117">
        <v>1989</v>
      </c>
      <c r="C11" s="152">
        <v>8.1</v>
      </c>
      <c r="E11" s="152">
        <v>5</v>
      </c>
      <c r="F11" s="117">
        <v>1989</v>
      </c>
      <c r="G11" s="152">
        <v>6.6</v>
      </c>
      <c r="I11" s="152">
        <v>5</v>
      </c>
      <c r="J11" s="117">
        <v>1989</v>
      </c>
      <c r="K11" s="152">
        <v>7.4</v>
      </c>
      <c r="M11" s="152">
        <v>5</v>
      </c>
      <c r="N11" s="117">
        <v>1989</v>
      </c>
      <c r="O11" s="152">
        <v>0</v>
      </c>
      <c r="Q11" s="152">
        <v>5</v>
      </c>
      <c r="R11" s="117">
        <v>1989</v>
      </c>
      <c r="S11" s="152">
        <v>0</v>
      </c>
      <c r="U11" s="152">
        <v>5</v>
      </c>
      <c r="V11" s="117">
        <v>1989</v>
      </c>
      <c r="W11" s="209">
        <v>4.9000000000000004</v>
      </c>
      <c r="Y11" s="152">
        <v>5</v>
      </c>
      <c r="Z11" s="117">
        <v>1989</v>
      </c>
      <c r="AA11" s="209">
        <v>5.5</v>
      </c>
    </row>
    <row r="12" spans="1:27" x14ac:dyDescent="0.25">
      <c r="A12" s="152">
        <v>6</v>
      </c>
      <c r="B12" s="117">
        <v>1990</v>
      </c>
      <c r="C12" s="152">
        <v>9</v>
      </c>
      <c r="E12" s="152">
        <v>6</v>
      </c>
      <c r="F12" s="117">
        <v>1990</v>
      </c>
      <c r="G12" s="152">
        <v>7.7</v>
      </c>
      <c r="I12" s="152">
        <v>6</v>
      </c>
      <c r="J12" s="117">
        <v>1990</v>
      </c>
      <c r="K12" s="152">
        <v>7.6</v>
      </c>
      <c r="M12" s="152">
        <v>6</v>
      </c>
      <c r="N12" s="117">
        <v>1990</v>
      </c>
      <c r="O12" s="152">
        <v>3.6</v>
      </c>
      <c r="Q12" s="152">
        <v>6</v>
      </c>
      <c r="R12" s="117">
        <v>1990</v>
      </c>
      <c r="S12" s="152">
        <v>4.9000000000000004</v>
      </c>
      <c r="U12" s="152">
        <v>6</v>
      </c>
      <c r="V12" s="117">
        <v>1990</v>
      </c>
      <c r="W12" s="209">
        <v>5.6</v>
      </c>
      <c r="Y12" s="152">
        <v>6</v>
      </c>
      <c r="Z12" s="117">
        <v>1990</v>
      </c>
      <c r="AA12" s="209">
        <v>5.6</v>
      </c>
    </row>
    <row r="13" spans="1:27" x14ac:dyDescent="0.25">
      <c r="A13" s="152">
        <v>7</v>
      </c>
      <c r="B13" s="117">
        <v>1991</v>
      </c>
      <c r="C13" s="152">
        <v>8.1999999999999993</v>
      </c>
      <c r="E13" s="152">
        <v>7</v>
      </c>
      <c r="F13" s="117">
        <v>1991</v>
      </c>
      <c r="G13" s="152">
        <v>7.9</v>
      </c>
      <c r="I13" s="152">
        <v>7</v>
      </c>
      <c r="J13" s="117">
        <v>1991</v>
      </c>
      <c r="K13" s="152">
        <v>7.8</v>
      </c>
      <c r="M13" s="152">
        <v>7</v>
      </c>
      <c r="N13" s="117">
        <v>1991</v>
      </c>
      <c r="O13" s="152">
        <v>3.7</v>
      </c>
      <c r="Q13" s="152">
        <v>7</v>
      </c>
      <c r="R13" s="117">
        <v>1991</v>
      </c>
      <c r="S13" s="152">
        <v>4.7</v>
      </c>
      <c r="U13" s="152">
        <v>7</v>
      </c>
      <c r="V13" s="117">
        <v>1991</v>
      </c>
      <c r="W13" s="209">
        <v>5.9</v>
      </c>
      <c r="Y13" s="152">
        <v>7</v>
      </c>
      <c r="Z13" s="117">
        <v>1991</v>
      </c>
      <c r="AA13" s="209">
        <v>5.5</v>
      </c>
    </row>
    <row r="14" spans="1:27" x14ac:dyDescent="0.25">
      <c r="A14" s="152">
        <v>8</v>
      </c>
      <c r="B14" s="117">
        <v>1992</v>
      </c>
      <c r="C14" s="152">
        <v>8</v>
      </c>
      <c r="E14" s="152">
        <v>8</v>
      </c>
      <c r="F14" s="117">
        <v>1992</v>
      </c>
      <c r="G14" s="152">
        <v>7.6</v>
      </c>
      <c r="I14" s="152">
        <v>8</v>
      </c>
      <c r="J14" s="117">
        <v>1992</v>
      </c>
      <c r="K14" s="152">
        <v>7.4</v>
      </c>
      <c r="M14" s="152">
        <v>8</v>
      </c>
      <c r="N14" s="117">
        <v>1992</v>
      </c>
      <c r="O14" s="152">
        <v>3.1</v>
      </c>
      <c r="Q14" s="152">
        <v>8</v>
      </c>
      <c r="R14" s="117">
        <v>1992</v>
      </c>
      <c r="S14" s="152">
        <v>5</v>
      </c>
      <c r="U14" s="152">
        <v>8</v>
      </c>
      <c r="V14" s="117">
        <v>1992</v>
      </c>
      <c r="W14" s="209">
        <v>6</v>
      </c>
      <c r="Y14" s="152">
        <v>8</v>
      </c>
      <c r="Z14" s="117">
        <v>1992</v>
      </c>
      <c r="AA14" s="209">
        <v>6</v>
      </c>
    </row>
    <row r="15" spans="1:27" x14ac:dyDescent="0.25">
      <c r="A15" s="152">
        <v>9</v>
      </c>
      <c r="B15" s="117">
        <v>1993</v>
      </c>
      <c r="C15" s="152">
        <v>6.7</v>
      </c>
      <c r="E15" s="152">
        <v>9</v>
      </c>
      <c r="F15" s="117">
        <v>1993</v>
      </c>
      <c r="G15" s="152">
        <v>6.1</v>
      </c>
      <c r="I15" s="152">
        <v>9</v>
      </c>
      <c r="J15" s="117">
        <v>1993</v>
      </c>
      <c r="K15" s="152">
        <v>7</v>
      </c>
      <c r="M15" s="152">
        <v>9</v>
      </c>
      <c r="N15" s="117">
        <v>1993</v>
      </c>
      <c r="O15" s="152">
        <v>2.7</v>
      </c>
      <c r="Q15" s="152">
        <v>9</v>
      </c>
      <c r="R15" s="117">
        <v>1993</v>
      </c>
      <c r="S15" s="152">
        <v>4.3</v>
      </c>
      <c r="U15" s="152">
        <v>9</v>
      </c>
      <c r="V15" s="117">
        <v>1993</v>
      </c>
      <c r="W15" s="209">
        <v>5.5</v>
      </c>
      <c r="Y15" s="152">
        <v>9</v>
      </c>
      <c r="Z15" s="117">
        <v>1993</v>
      </c>
      <c r="AA15" s="209">
        <v>5.0999999999999996</v>
      </c>
    </row>
    <row r="16" spans="1:27" x14ac:dyDescent="0.25">
      <c r="A16" s="152">
        <v>10</v>
      </c>
      <c r="B16" s="117">
        <v>1994</v>
      </c>
      <c r="C16" s="152">
        <v>8.1</v>
      </c>
      <c r="E16" s="152">
        <v>10</v>
      </c>
      <c r="F16" s="117">
        <v>1994</v>
      </c>
      <c r="G16" s="152">
        <v>6.8</v>
      </c>
      <c r="I16" s="152">
        <v>10</v>
      </c>
      <c r="J16" s="117">
        <v>1994</v>
      </c>
      <c r="K16" s="152">
        <v>6.9</v>
      </c>
      <c r="M16" s="152">
        <v>10</v>
      </c>
      <c r="N16" s="117">
        <v>1994</v>
      </c>
      <c r="O16" s="152">
        <v>2.6</v>
      </c>
      <c r="Q16" s="152">
        <v>10</v>
      </c>
      <c r="R16" s="117">
        <v>1994</v>
      </c>
      <c r="S16" s="152">
        <v>4.5</v>
      </c>
      <c r="U16" s="152">
        <v>10</v>
      </c>
      <c r="V16" s="117">
        <v>1994</v>
      </c>
      <c r="W16" s="209">
        <v>4.7</v>
      </c>
      <c r="Y16" s="152">
        <v>10</v>
      </c>
      <c r="Z16" s="117">
        <v>1994</v>
      </c>
      <c r="AA16" s="209">
        <v>5</v>
      </c>
    </row>
    <row r="17" spans="1:27" x14ac:dyDescent="0.25">
      <c r="A17" s="152">
        <v>11</v>
      </c>
      <c r="B17" s="117">
        <v>1995</v>
      </c>
      <c r="C17" s="152">
        <v>8.6999999999999993</v>
      </c>
      <c r="E17" s="152">
        <v>11</v>
      </c>
      <c r="F17" s="117">
        <v>1995</v>
      </c>
      <c r="G17" s="152">
        <v>6.8</v>
      </c>
      <c r="I17" s="152">
        <v>11</v>
      </c>
      <c r="J17" s="117">
        <v>1995</v>
      </c>
      <c r="K17" s="152">
        <v>7.2</v>
      </c>
      <c r="M17" s="152">
        <v>11</v>
      </c>
      <c r="N17" s="117">
        <v>1995</v>
      </c>
      <c r="O17" s="152">
        <v>3.3</v>
      </c>
      <c r="Q17" s="152">
        <v>11</v>
      </c>
      <c r="R17" s="117">
        <v>1995</v>
      </c>
      <c r="S17" s="152">
        <v>4</v>
      </c>
      <c r="U17" s="152">
        <v>11</v>
      </c>
      <c r="V17" s="117">
        <v>1995</v>
      </c>
      <c r="W17" s="209">
        <v>5.7</v>
      </c>
      <c r="Y17" s="152">
        <v>11</v>
      </c>
      <c r="Z17" s="117">
        <v>1995</v>
      </c>
      <c r="AA17" s="209">
        <v>5.9</v>
      </c>
    </row>
    <row r="18" spans="1:27" x14ac:dyDescent="0.25">
      <c r="A18" s="152">
        <v>12</v>
      </c>
      <c r="B18" s="117">
        <v>1996</v>
      </c>
      <c r="C18" s="152">
        <v>9.4</v>
      </c>
      <c r="E18" s="152">
        <v>12</v>
      </c>
      <c r="F18" s="117">
        <v>1996</v>
      </c>
      <c r="G18" s="152">
        <v>8</v>
      </c>
      <c r="I18" s="152">
        <v>12</v>
      </c>
      <c r="J18" s="117">
        <v>1996</v>
      </c>
      <c r="K18" s="152">
        <v>7.6</v>
      </c>
      <c r="M18" s="152">
        <v>12</v>
      </c>
      <c r="N18" s="117">
        <v>1996</v>
      </c>
      <c r="O18" s="152">
        <v>2.9</v>
      </c>
      <c r="Q18" s="152">
        <v>12</v>
      </c>
      <c r="R18" s="117">
        <v>1996</v>
      </c>
      <c r="S18" s="152">
        <v>4.5</v>
      </c>
      <c r="U18" s="152">
        <v>12</v>
      </c>
      <c r="V18" s="117">
        <v>1996</v>
      </c>
      <c r="W18" s="209">
        <v>6.1</v>
      </c>
      <c r="Y18" s="152">
        <v>12</v>
      </c>
      <c r="Z18" s="117">
        <v>1996</v>
      </c>
      <c r="AA18" s="209">
        <v>6.4</v>
      </c>
    </row>
    <row r="19" spans="1:27" x14ac:dyDescent="0.25">
      <c r="A19" s="152">
        <v>13</v>
      </c>
      <c r="B19" s="117">
        <v>1997</v>
      </c>
      <c r="C19" s="152">
        <v>8</v>
      </c>
      <c r="E19" s="152">
        <v>13</v>
      </c>
      <c r="F19" s="117">
        <v>1997</v>
      </c>
      <c r="G19" s="152">
        <v>7</v>
      </c>
      <c r="I19" s="152">
        <v>13</v>
      </c>
      <c r="J19" s="117">
        <v>1997</v>
      </c>
      <c r="K19" s="152">
        <v>7.4</v>
      </c>
      <c r="M19" s="152">
        <v>13</v>
      </c>
      <c r="N19" s="117">
        <v>1997</v>
      </c>
      <c r="O19" s="152">
        <v>2.7</v>
      </c>
      <c r="Q19" s="152">
        <v>13</v>
      </c>
      <c r="R19" s="117">
        <v>1997</v>
      </c>
      <c r="S19" s="152">
        <v>4</v>
      </c>
      <c r="U19" s="152">
        <v>13</v>
      </c>
      <c r="V19" s="117">
        <v>1997</v>
      </c>
      <c r="W19" s="209">
        <v>5.2</v>
      </c>
      <c r="Y19" s="152">
        <v>13</v>
      </c>
      <c r="Z19" s="117">
        <v>1997</v>
      </c>
      <c r="AA19" s="209">
        <v>5.4</v>
      </c>
    </row>
    <row r="20" spans="1:27" x14ac:dyDescent="0.25">
      <c r="A20" s="152">
        <v>14</v>
      </c>
      <c r="B20" s="117">
        <v>1998</v>
      </c>
      <c r="C20" s="152">
        <v>8.1</v>
      </c>
      <c r="E20" s="152">
        <v>14</v>
      </c>
      <c r="F20" s="117">
        <v>1998</v>
      </c>
      <c r="G20" s="152">
        <v>6.4</v>
      </c>
      <c r="I20" s="152">
        <v>14</v>
      </c>
      <c r="J20" s="117">
        <v>1998</v>
      </c>
      <c r="K20" s="152">
        <v>6.6</v>
      </c>
      <c r="M20" s="152">
        <v>14</v>
      </c>
      <c r="N20" s="117">
        <v>1998</v>
      </c>
      <c r="O20" s="152">
        <v>2.9</v>
      </c>
      <c r="Q20" s="152">
        <v>14</v>
      </c>
      <c r="R20" s="117">
        <v>1998</v>
      </c>
      <c r="S20" s="152">
        <v>5</v>
      </c>
      <c r="U20" s="152">
        <v>14</v>
      </c>
      <c r="V20" s="117">
        <v>1998</v>
      </c>
      <c r="W20" s="209">
        <v>5.3</v>
      </c>
      <c r="Y20" s="152">
        <v>14</v>
      </c>
      <c r="Z20" s="117">
        <v>1998</v>
      </c>
      <c r="AA20" s="209">
        <v>5.4</v>
      </c>
    </row>
    <row r="21" spans="1:27" x14ac:dyDescent="0.25">
      <c r="A21" s="152">
        <v>15</v>
      </c>
      <c r="B21" s="117">
        <v>1999</v>
      </c>
      <c r="C21" s="152">
        <v>9.4</v>
      </c>
      <c r="E21" s="152">
        <v>15</v>
      </c>
      <c r="F21" s="117">
        <v>1999</v>
      </c>
      <c r="G21" s="152">
        <v>7.6</v>
      </c>
      <c r="I21" s="152">
        <v>15</v>
      </c>
      <c r="J21" s="117">
        <v>1999</v>
      </c>
      <c r="K21" s="152">
        <v>7.8</v>
      </c>
      <c r="M21" s="152">
        <v>15</v>
      </c>
      <c r="N21" s="117">
        <v>1999</v>
      </c>
      <c r="O21" s="152">
        <v>1.9</v>
      </c>
      <c r="Q21" s="152">
        <v>15</v>
      </c>
      <c r="R21" s="117">
        <v>1999</v>
      </c>
      <c r="S21" s="152">
        <v>4.5</v>
      </c>
      <c r="U21" s="152">
        <v>15</v>
      </c>
      <c r="V21" s="117">
        <v>1999</v>
      </c>
      <c r="W21" s="209">
        <v>6.1</v>
      </c>
      <c r="Y21" s="152">
        <v>15</v>
      </c>
      <c r="Z21" s="117">
        <v>1999</v>
      </c>
      <c r="AA21" s="209">
        <v>6.5</v>
      </c>
    </row>
    <row r="22" spans="1:27" x14ac:dyDescent="0.25">
      <c r="A22" s="152">
        <v>16</v>
      </c>
      <c r="B22" s="117">
        <v>2000</v>
      </c>
      <c r="C22" s="152">
        <v>9.9</v>
      </c>
      <c r="E22" s="152">
        <v>16</v>
      </c>
      <c r="F22" s="117">
        <v>2000</v>
      </c>
      <c r="G22" s="152">
        <v>8.4</v>
      </c>
      <c r="I22" s="152">
        <v>16</v>
      </c>
      <c r="J22" s="117">
        <v>2000</v>
      </c>
      <c r="K22" s="152">
        <v>8.3000000000000007</v>
      </c>
      <c r="M22" s="152">
        <v>16</v>
      </c>
      <c r="N22" s="117">
        <v>2000</v>
      </c>
      <c r="O22" s="152">
        <v>3.2</v>
      </c>
      <c r="Q22" s="152">
        <v>16</v>
      </c>
      <c r="R22" s="117">
        <v>2000</v>
      </c>
      <c r="S22" s="152">
        <v>5.0999999999999996</v>
      </c>
      <c r="U22" s="152">
        <v>16</v>
      </c>
      <c r="V22" s="117">
        <v>2000</v>
      </c>
      <c r="W22" s="209">
        <v>6.5</v>
      </c>
      <c r="Y22" s="152">
        <v>16</v>
      </c>
      <c r="Z22" s="117">
        <v>2000</v>
      </c>
      <c r="AA22" s="209">
        <v>7</v>
      </c>
    </row>
    <row r="23" spans="1:27" x14ac:dyDescent="0.25">
      <c r="A23" s="152">
        <v>17</v>
      </c>
      <c r="B23" s="117">
        <v>2001</v>
      </c>
      <c r="C23" s="152">
        <v>9.8000000000000007</v>
      </c>
      <c r="E23" s="152">
        <v>17</v>
      </c>
      <c r="F23" s="117">
        <v>2001</v>
      </c>
      <c r="G23" s="152">
        <v>8</v>
      </c>
      <c r="I23" s="152">
        <v>17</v>
      </c>
      <c r="J23" s="117">
        <v>2001</v>
      </c>
      <c r="K23" s="152">
        <v>8</v>
      </c>
      <c r="M23" s="152">
        <v>17</v>
      </c>
      <c r="N23" s="117">
        <v>2001</v>
      </c>
      <c r="O23" s="152">
        <v>3</v>
      </c>
      <c r="Q23" s="152">
        <v>17</v>
      </c>
      <c r="R23" s="117">
        <v>2001</v>
      </c>
      <c r="S23" s="152">
        <v>4.7</v>
      </c>
      <c r="U23" s="152">
        <v>17</v>
      </c>
      <c r="V23" s="117">
        <v>2001</v>
      </c>
      <c r="W23" s="209">
        <v>6.6</v>
      </c>
      <c r="Y23" s="152">
        <v>17</v>
      </c>
      <c r="Z23" s="117">
        <v>2001</v>
      </c>
      <c r="AA23" s="209">
        <v>6.9</v>
      </c>
    </row>
    <row r="24" spans="1:27" x14ac:dyDescent="0.25">
      <c r="A24" s="152">
        <v>18</v>
      </c>
      <c r="B24" s="117">
        <v>2002</v>
      </c>
      <c r="C24" s="152">
        <v>8.8000000000000007</v>
      </c>
      <c r="E24" s="152">
        <v>18</v>
      </c>
      <c r="F24" s="117">
        <v>2002</v>
      </c>
      <c r="G24" s="152">
        <v>6.6</v>
      </c>
      <c r="I24" s="152">
        <v>18</v>
      </c>
      <c r="J24" s="117">
        <v>2002</v>
      </c>
      <c r="K24" s="152">
        <v>7.8</v>
      </c>
      <c r="M24" s="152">
        <v>18</v>
      </c>
      <c r="N24" s="117">
        <v>2002</v>
      </c>
      <c r="O24" s="152">
        <v>3.1</v>
      </c>
      <c r="Q24" s="152">
        <v>18</v>
      </c>
      <c r="R24" s="117">
        <v>2002</v>
      </c>
      <c r="S24" s="152">
        <v>4.5</v>
      </c>
      <c r="U24" s="152">
        <v>18</v>
      </c>
      <c r="V24" s="117">
        <v>2002</v>
      </c>
      <c r="W24" s="209">
        <v>5.9</v>
      </c>
      <c r="Y24" s="152">
        <v>18</v>
      </c>
      <c r="Z24" s="117">
        <v>2002</v>
      </c>
      <c r="AA24" s="209">
        <v>5.3</v>
      </c>
    </row>
    <row r="25" spans="1:27" x14ac:dyDescent="0.25">
      <c r="A25" s="152">
        <v>19</v>
      </c>
      <c r="B25" s="117">
        <v>2003</v>
      </c>
      <c r="C25" s="152">
        <v>8.6999999999999993</v>
      </c>
      <c r="E25" s="152">
        <v>19</v>
      </c>
      <c r="F25" s="117">
        <v>2003</v>
      </c>
      <c r="G25" s="152">
        <v>7.7</v>
      </c>
      <c r="I25" s="152">
        <v>19</v>
      </c>
      <c r="J25" s="117">
        <v>2003</v>
      </c>
      <c r="K25" s="152">
        <v>8.1</v>
      </c>
      <c r="M25" s="152">
        <v>19</v>
      </c>
      <c r="N25" s="117">
        <v>2003</v>
      </c>
      <c r="O25" s="152">
        <v>3.1</v>
      </c>
      <c r="Q25" s="152">
        <v>19</v>
      </c>
      <c r="R25" s="117">
        <v>2003</v>
      </c>
      <c r="S25" s="152">
        <v>4.8</v>
      </c>
      <c r="U25" s="152">
        <v>19</v>
      </c>
      <c r="V25" s="117">
        <v>2003</v>
      </c>
      <c r="W25" s="209">
        <v>6.8</v>
      </c>
      <c r="Y25" s="152">
        <v>19</v>
      </c>
      <c r="Z25" s="117">
        <v>2003</v>
      </c>
      <c r="AA25" s="209">
        <v>6.4</v>
      </c>
    </row>
    <row r="26" spans="1:27" x14ac:dyDescent="0.25">
      <c r="A26" s="152">
        <v>20</v>
      </c>
      <c r="B26" s="117">
        <v>2004</v>
      </c>
      <c r="C26" s="152">
        <v>10.5</v>
      </c>
      <c r="E26" s="152">
        <v>20</v>
      </c>
      <c r="F26" s="117">
        <v>2004</v>
      </c>
      <c r="G26" s="152">
        <v>8.1999999999999993</v>
      </c>
      <c r="I26" s="152">
        <v>20</v>
      </c>
      <c r="J26" s="117">
        <v>2004</v>
      </c>
      <c r="K26" s="152">
        <v>8.3000000000000007</v>
      </c>
      <c r="M26" s="152">
        <v>20</v>
      </c>
      <c r="N26" s="117">
        <v>2004</v>
      </c>
      <c r="O26" s="152">
        <v>3</v>
      </c>
      <c r="Q26" s="152">
        <v>20</v>
      </c>
      <c r="R26" s="117">
        <v>2004</v>
      </c>
      <c r="S26" s="152">
        <v>5.4</v>
      </c>
      <c r="U26" s="152">
        <v>20</v>
      </c>
      <c r="V26" s="117">
        <v>2004</v>
      </c>
      <c r="W26" s="209">
        <v>6.8</v>
      </c>
      <c r="Y26" s="152">
        <v>20</v>
      </c>
      <c r="Z26" s="117">
        <v>2004</v>
      </c>
      <c r="AA26" s="209">
        <v>7.1</v>
      </c>
    </row>
    <row r="27" spans="1:27" x14ac:dyDescent="0.25">
      <c r="A27" s="152">
        <v>21</v>
      </c>
      <c r="B27" s="117">
        <v>2005</v>
      </c>
      <c r="C27" s="152">
        <v>8.8000000000000007</v>
      </c>
      <c r="E27" s="152">
        <v>21</v>
      </c>
      <c r="F27" s="117">
        <v>2005</v>
      </c>
      <c r="G27" s="152">
        <v>7.4</v>
      </c>
      <c r="I27" s="152">
        <v>21</v>
      </c>
      <c r="J27" s="117">
        <v>2005</v>
      </c>
      <c r="K27" s="152">
        <v>7.3</v>
      </c>
      <c r="M27" s="152">
        <v>21</v>
      </c>
      <c r="N27" s="117">
        <v>2005</v>
      </c>
      <c r="O27" s="152">
        <v>3.8</v>
      </c>
      <c r="Q27" s="152">
        <v>21</v>
      </c>
      <c r="R27" s="117">
        <v>2005</v>
      </c>
      <c r="S27" s="152">
        <v>5.0999999999999996</v>
      </c>
      <c r="U27" s="152">
        <v>21</v>
      </c>
      <c r="V27" s="117">
        <v>2005</v>
      </c>
      <c r="W27" s="209">
        <v>6.1</v>
      </c>
      <c r="Y27" s="152">
        <v>21</v>
      </c>
      <c r="Z27" s="117">
        <v>2005</v>
      </c>
      <c r="AA27" s="209">
        <v>6.1</v>
      </c>
    </row>
    <row r="28" spans="1:27" x14ac:dyDescent="0.25">
      <c r="A28" s="152">
        <v>22</v>
      </c>
      <c r="B28" s="117">
        <v>2006</v>
      </c>
      <c r="C28" s="152">
        <v>9.8000000000000007</v>
      </c>
      <c r="E28" s="152">
        <v>22</v>
      </c>
      <c r="F28" s="117">
        <v>2006</v>
      </c>
      <c r="G28" s="152">
        <v>7.9</v>
      </c>
      <c r="I28" s="152">
        <v>22</v>
      </c>
      <c r="J28" s="117">
        <v>2006</v>
      </c>
      <c r="K28" s="152">
        <v>8</v>
      </c>
      <c r="M28" s="152">
        <v>22</v>
      </c>
      <c r="N28" s="117">
        <v>2006</v>
      </c>
      <c r="O28" s="152">
        <v>3.5</v>
      </c>
      <c r="Q28" s="152">
        <v>22</v>
      </c>
      <c r="R28" s="117">
        <v>2006</v>
      </c>
      <c r="S28" s="152">
        <v>4.7</v>
      </c>
      <c r="U28" s="152">
        <v>22</v>
      </c>
      <c r="V28" s="117">
        <v>2006</v>
      </c>
      <c r="W28" s="209">
        <v>6.4</v>
      </c>
      <c r="Y28" s="152">
        <v>22</v>
      </c>
      <c r="Z28" s="117">
        <v>2006</v>
      </c>
      <c r="AA28" s="209">
        <v>6.7</v>
      </c>
    </row>
    <row r="29" spans="1:27" x14ac:dyDescent="0.25">
      <c r="A29" s="152">
        <v>23</v>
      </c>
      <c r="B29" s="117">
        <v>2007</v>
      </c>
      <c r="C29" s="152">
        <v>8.6999999999999993</v>
      </c>
      <c r="E29" s="152">
        <v>23</v>
      </c>
      <c r="F29" s="117">
        <v>2007</v>
      </c>
      <c r="G29" s="152">
        <v>7.6</v>
      </c>
      <c r="I29" s="152">
        <v>23</v>
      </c>
      <c r="J29" s="117">
        <v>2007</v>
      </c>
      <c r="K29" s="152">
        <v>8.1</v>
      </c>
      <c r="M29" s="152">
        <v>23</v>
      </c>
      <c r="N29" s="117">
        <v>2007</v>
      </c>
      <c r="O29" s="152">
        <v>3.9</v>
      </c>
      <c r="Q29" s="152">
        <v>23</v>
      </c>
      <c r="R29" s="117">
        <v>2007</v>
      </c>
      <c r="S29" s="152">
        <v>4.4000000000000004</v>
      </c>
      <c r="U29" s="152">
        <v>23</v>
      </c>
      <c r="V29" s="117">
        <v>2007</v>
      </c>
      <c r="W29" s="209">
        <v>6.4</v>
      </c>
      <c r="Y29" s="152">
        <v>23</v>
      </c>
      <c r="Z29" s="117">
        <v>2007</v>
      </c>
      <c r="AA29" s="209">
        <v>6.6</v>
      </c>
    </row>
    <row r="30" spans="1:27" x14ac:dyDescent="0.25">
      <c r="A30" s="152">
        <v>24</v>
      </c>
      <c r="B30" s="117">
        <v>2008</v>
      </c>
      <c r="C30" s="152">
        <v>9.8000000000000007</v>
      </c>
      <c r="E30" s="152">
        <v>24</v>
      </c>
      <c r="F30" s="117">
        <v>2008</v>
      </c>
      <c r="G30" s="152">
        <v>8.5</v>
      </c>
      <c r="I30" s="152">
        <v>24</v>
      </c>
      <c r="J30" s="117">
        <v>2008</v>
      </c>
      <c r="K30" s="152">
        <v>7.9</v>
      </c>
      <c r="M30" s="152">
        <v>24</v>
      </c>
      <c r="N30" s="117">
        <v>2008</v>
      </c>
      <c r="O30" s="152">
        <v>3.6</v>
      </c>
      <c r="Q30" s="152">
        <v>24</v>
      </c>
      <c r="R30" s="117">
        <v>2008</v>
      </c>
      <c r="S30" s="152">
        <v>4.5</v>
      </c>
      <c r="U30" s="152">
        <v>24</v>
      </c>
      <c r="V30" s="117">
        <v>2008</v>
      </c>
      <c r="W30" s="209">
        <v>6.3</v>
      </c>
      <c r="Y30" s="152">
        <v>24</v>
      </c>
      <c r="Z30" s="117">
        <v>2008</v>
      </c>
      <c r="AA30" s="209">
        <v>6.7</v>
      </c>
    </row>
    <row r="31" spans="1:27" x14ac:dyDescent="0.25">
      <c r="A31" s="152">
        <v>25</v>
      </c>
      <c r="B31" s="117">
        <v>2009</v>
      </c>
      <c r="C31" s="152">
        <v>8.6</v>
      </c>
      <c r="E31" s="152">
        <v>25</v>
      </c>
      <c r="F31" s="117">
        <v>2009</v>
      </c>
      <c r="G31" s="152">
        <v>8.5</v>
      </c>
      <c r="I31" s="152">
        <v>25</v>
      </c>
      <c r="J31" s="117">
        <v>2009</v>
      </c>
      <c r="K31" s="152">
        <v>7.9</v>
      </c>
      <c r="M31" s="152">
        <v>25</v>
      </c>
      <c r="N31" s="117">
        <v>2009</v>
      </c>
      <c r="O31" s="152">
        <v>3.7</v>
      </c>
      <c r="Q31" s="152">
        <v>25</v>
      </c>
      <c r="R31" s="117">
        <v>2009</v>
      </c>
      <c r="S31" s="152">
        <v>5.3</v>
      </c>
      <c r="U31" s="152">
        <v>25</v>
      </c>
      <c r="V31" s="117">
        <v>2009</v>
      </c>
      <c r="W31" s="209">
        <v>6.7</v>
      </c>
      <c r="Y31" s="152">
        <v>25</v>
      </c>
      <c r="Z31" s="117">
        <v>2009</v>
      </c>
      <c r="AA31" s="209">
        <v>6</v>
      </c>
    </row>
    <row r="32" spans="1:27" x14ac:dyDescent="0.25">
      <c r="A32" s="152">
        <v>26</v>
      </c>
      <c r="B32" s="117">
        <v>2010</v>
      </c>
      <c r="C32" s="152">
        <v>8.9</v>
      </c>
      <c r="E32" s="152">
        <v>26</v>
      </c>
      <c r="F32" s="117">
        <v>2010</v>
      </c>
      <c r="G32" s="152">
        <v>8.5</v>
      </c>
      <c r="I32" s="152">
        <v>26</v>
      </c>
      <c r="J32" s="117">
        <v>2010</v>
      </c>
      <c r="K32" s="152">
        <v>7.8</v>
      </c>
      <c r="M32" s="152">
        <v>26</v>
      </c>
      <c r="N32" s="117">
        <v>2010</v>
      </c>
      <c r="O32" s="152">
        <v>3.5</v>
      </c>
      <c r="Q32" s="152">
        <v>26</v>
      </c>
      <c r="R32" s="117">
        <v>2010</v>
      </c>
      <c r="S32" s="152">
        <v>5.5</v>
      </c>
      <c r="U32" s="152">
        <v>26</v>
      </c>
      <c r="V32" s="117">
        <v>2010</v>
      </c>
      <c r="W32" s="209">
        <v>7.2</v>
      </c>
      <c r="Y32" s="152">
        <v>26</v>
      </c>
      <c r="Z32" s="117">
        <v>2010</v>
      </c>
      <c r="AA32" s="209">
        <v>6.7</v>
      </c>
    </row>
    <row r="33" spans="1:28" x14ac:dyDescent="0.25">
      <c r="A33" s="152">
        <v>27</v>
      </c>
      <c r="B33" s="117">
        <v>2011</v>
      </c>
      <c r="C33" s="152">
        <v>10.199999999999999</v>
      </c>
      <c r="E33" s="152">
        <v>27</v>
      </c>
      <c r="F33" s="117">
        <v>2011</v>
      </c>
      <c r="G33" s="152">
        <v>9.1</v>
      </c>
      <c r="I33" s="152">
        <v>27</v>
      </c>
      <c r="J33" s="117">
        <v>2011</v>
      </c>
      <c r="K33" s="152">
        <v>7.8</v>
      </c>
      <c r="M33" s="152">
        <v>27</v>
      </c>
      <c r="N33" s="117">
        <v>2011</v>
      </c>
      <c r="O33" s="152">
        <v>4.5</v>
      </c>
      <c r="Q33" s="152">
        <v>27</v>
      </c>
      <c r="R33" s="117">
        <v>2011</v>
      </c>
      <c r="S33" s="152">
        <v>5.7</v>
      </c>
      <c r="U33" s="152">
        <v>27</v>
      </c>
      <c r="V33" s="117">
        <v>2011</v>
      </c>
      <c r="W33" s="209">
        <v>7.9</v>
      </c>
      <c r="Y33" s="152">
        <v>27</v>
      </c>
      <c r="Z33" s="117">
        <v>2011</v>
      </c>
      <c r="AA33" s="209">
        <v>7.5</v>
      </c>
    </row>
    <row r="34" spans="1:28" x14ac:dyDescent="0.25">
      <c r="A34" s="152">
        <v>28</v>
      </c>
      <c r="B34" s="117">
        <v>2012</v>
      </c>
      <c r="C34" s="152">
        <v>7.4</v>
      </c>
      <c r="E34" s="152">
        <v>28</v>
      </c>
      <c r="F34" s="117">
        <v>2012</v>
      </c>
      <c r="G34" s="152">
        <v>7.8</v>
      </c>
      <c r="I34" s="152">
        <v>28</v>
      </c>
      <c r="J34" s="117">
        <v>2012</v>
      </c>
      <c r="K34" s="152">
        <v>6.9</v>
      </c>
      <c r="M34" s="152">
        <v>28</v>
      </c>
      <c r="N34" s="117">
        <v>2012</v>
      </c>
      <c r="O34" s="152">
        <v>3.2</v>
      </c>
      <c r="Q34" s="152">
        <v>28</v>
      </c>
      <c r="R34" s="117">
        <v>2012</v>
      </c>
      <c r="S34" s="152">
        <v>4.8</v>
      </c>
      <c r="U34" s="152">
        <v>28</v>
      </c>
      <c r="V34" s="117">
        <v>2012</v>
      </c>
      <c r="W34" s="209">
        <v>6.4</v>
      </c>
      <c r="Y34" s="152">
        <v>28</v>
      </c>
      <c r="Z34" s="117">
        <v>2012</v>
      </c>
      <c r="AA34" s="209">
        <v>6.2</v>
      </c>
    </row>
    <row r="35" spans="1:28" x14ac:dyDescent="0.25">
      <c r="A35" s="152">
        <v>29</v>
      </c>
      <c r="B35" s="117">
        <v>2013</v>
      </c>
      <c r="C35" s="152">
        <v>9.3000000000000007</v>
      </c>
      <c r="E35" s="152">
        <v>29</v>
      </c>
      <c r="F35" s="117">
        <v>2013</v>
      </c>
      <c r="G35" s="152">
        <v>9.5</v>
      </c>
      <c r="I35" s="152">
        <v>29</v>
      </c>
      <c r="J35" s="117">
        <v>2013</v>
      </c>
      <c r="K35" s="152">
        <v>8.1</v>
      </c>
      <c r="M35" s="152">
        <v>29</v>
      </c>
      <c r="N35" s="117">
        <v>2013</v>
      </c>
      <c r="O35" s="152">
        <v>3.6</v>
      </c>
      <c r="Q35" s="152">
        <v>29</v>
      </c>
      <c r="R35" s="117">
        <v>2013</v>
      </c>
      <c r="S35" s="152">
        <v>5.2</v>
      </c>
      <c r="U35" s="152">
        <v>29</v>
      </c>
      <c r="V35" s="117">
        <v>2013</v>
      </c>
      <c r="W35" s="209">
        <v>7</v>
      </c>
      <c r="Y35" s="152">
        <v>29</v>
      </c>
      <c r="Z35" s="117">
        <v>2013</v>
      </c>
      <c r="AA35" s="209">
        <v>7.2</v>
      </c>
    </row>
    <row r="36" spans="1:28" x14ac:dyDescent="0.25">
      <c r="A36" s="152">
        <v>30</v>
      </c>
      <c r="B36" s="117">
        <v>2014</v>
      </c>
      <c r="C36" s="152">
        <v>10.199999999999999</v>
      </c>
      <c r="E36" s="152">
        <v>30</v>
      </c>
      <c r="F36" s="117">
        <v>2014</v>
      </c>
      <c r="G36" s="152">
        <v>9.3000000000000007</v>
      </c>
      <c r="I36" s="152">
        <v>30</v>
      </c>
      <c r="J36" s="117">
        <v>2014</v>
      </c>
      <c r="K36" s="152">
        <v>8.6999999999999993</v>
      </c>
      <c r="M36" s="152">
        <v>30</v>
      </c>
      <c r="N36" s="117">
        <v>2014</v>
      </c>
      <c r="O36" s="152">
        <v>3.6</v>
      </c>
      <c r="Q36" s="152">
        <v>30</v>
      </c>
      <c r="R36" s="117">
        <v>2014</v>
      </c>
      <c r="S36" s="152">
        <v>5.7</v>
      </c>
      <c r="U36" s="152">
        <v>30</v>
      </c>
      <c r="V36" s="117">
        <v>2014</v>
      </c>
      <c r="W36" s="209">
        <v>7.3</v>
      </c>
      <c r="Y36" s="152">
        <v>30</v>
      </c>
      <c r="Z36" s="117">
        <v>2014</v>
      </c>
      <c r="AA36" s="209">
        <v>7.5</v>
      </c>
    </row>
    <row r="37" spans="1:28" x14ac:dyDescent="0.25">
      <c r="A37" s="152">
        <v>31</v>
      </c>
      <c r="B37" s="152">
        <v>2015</v>
      </c>
      <c r="C37" s="152">
        <v>11</v>
      </c>
      <c r="E37" s="152">
        <v>31</v>
      </c>
      <c r="F37" s="152">
        <v>2015</v>
      </c>
      <c r="G37" s="152">
        <v>10.199999999999999</v>
      </c>
      <c r="I37" s="152">
        <v>31</v>
      </c>
      <c r="J37" s="152">
        <v>2015</v>
      </c>
      <c r="K37" s="152">
        <v>9.1999999999999993</v>
      </c>
      <c r="M37" s="152">
        <v>31</v>
      </c>
      <c r="N37" s="152">
        <v>2015</v>
      </c>
      <c r="O37" s="152">
        <v>4.5</v>
      </c>
      <c r="Q37" s="152">
        <v>31</v>
      </c>
      <c r="R37" s="152">
        <v>2015</v>
      </c>
      <c r="S37" s="152">
        <v>6.5</v>
      </c>
      <c r="U37" s="152">
        <v>31</v>
      </c>
      <c r="V37" s="152">
        <v>2015</v>
      </c>
      <c r="W37" s="210">
        <v>7.7</v>
      </c>
      <c r="Y37" s="152">
        <v>31</v>
      </c>
      <c r="Z37" s="152">
        <v>2015</v>
      </c>
      <c r="AA37" s="210">
        <v>7.7</v>
      </c>
    </row>
    <row r="38" spans="1:28" x14ac:dyDescent="0.25">
      <c r="A38" s="152">
        <v>32</v>
      </c>
      <c r="B38" s="152">
        <v>2016</v>
      </c>
      <c r="C38" s="152">
        <v>10</v>
      </c>
      <c r="E38" s="152">
        <v>32</v>
      </c>
      <c r="F38" s="152">
        <v>2016</v>
      </c>
      <c r="G38" s="152">
        <v>8.6</v>
      </c>
      <c r="I38" s="152">
        <v>32</v>
      </c>
      <c r="J38" s="152">
        <v>2016</v>
      </c>
      <c r="K38" s="152">
        <v>8.5</v>
      </c>
      <c r="M38" s="152">
        <v>32</v>
      </c>
      <c r="N38" s="152">
        <v>2016</v>
      </c>
      <c r="O38" s="152">
        <v>3.5</v>
      </c>
      <c r="Q38" s="152">
        <v>32</v>
      </c>
      <c r="R38" s="152">
        <v>2016</v>
      </c>
      <c r="S38" s="152">
        <v>5.7</v>
      </c>
      <c r="U38" s="152">
        <v>32</v>
      </c>
      <c r="V38" s="152">
        <v>2016</v>
      </c>
      <c r="W38" s="210">
        <v>7.3</v>
      </c>
      <c r="Y38" s="152">
        <v>32</v>
      </c>
      <c r="Z38" s="152">
        <v>2016</v>
      </c>
      <c r="AA38" s="210">
        <v>7.3</v>
      </c>
    </row>
    <row r="39" spans="1:28" x14ac:dyDescent="0.25">
      <c r="A39" s="152">
        <v>33</v>
      </c>
      <c r="B39" s="152">
        <v>2017</v>
      </c>
      <c r="C39" s="152">
        <v>10.199999999999999</v>
      </c>
      <c r="D39" s="182"/>
      <c r="E39" s="152">
        <v>33</v>
      </c>
      <c r="F39" s="152">
        <v>2017</v>
      </c>
      <c r="G39" s="152">
        <v>9.1</v>
      </c>
      <c r="H39" s="182"/>
      <c r="I39" s="152">
        <v>33</v>
      </c>
      <c r="J39" s="152">
        <v>2017</v>
      </c>
      <c r="K39" s="152">
        <v>8.9</v>
      </c>
      <c r="L39" s="182"/>
      <c r="M39" s="152">
        <v>33</v>
      </c>
      <c r="N39" s="152">
        <v>2017</v>
      </c>
      <c r="O39" s="152">
        <v>4.0999999999999996</v>
      </c>
      <c r="P39" s="182"/>
      <c r="Q39" s="152">
        <v>33</v>
      </c>
      <c r="R39" s="152">
        <v>2017</v>
      </c>
      <c r="S39" s="152">
        <v>6.6</v>
      </c>
      <c r="T39" s="182">
        <f>+AVERAGE(S36:S39,S41)</f>
        <v>5.9799999999999995</v>
      </c>
      <c r="U39" s="152">
        <v>33</v>
      </c>
      <c r="V39" s="152">
        <v>2017</v>
      </c>
      <c r="W39" s="211">
        <v>7.6</v>
      </c>
      <c r="X39" s="182">
        <f>+AVERAGE(W36:W39,W41)</f>
        <v>7.5200000000000005</v>
      </c>
      <c r="Y39" s="152">
        <v>33</v>
      </c>
      <c r="Z39" s="152">
        <v>2017</v>
      </c>
      <c r="AA39" s="211">
        <v>7.9</v>
      </c>
      <c r="AB39" s="182">
        <f>+AVERAGE(AA36:AA39,AA41)</f>
        <v>7.68</v>
      </c>
    </row>
    <row r="40" spans="1:28" x14ac:dyDescent="0.25">
      <c r="A40" s="152">
        <v>34</v>
      </c>
      <c r="B40" s="152">
        <v>2018</v>
      </c>
      <c r="C40" s="152">
        <v>8.9</v>
      </c>
      <c r="E40" s="152">
        <v>34</v>
      </c>
      <c r="F40" s="152">
        <v>2018</v>
      </c>
      <c r="G40" s="152">
        <v>8.8000000000000007</v>
      </c>
      <c r="I40" s="152">
        <v>34</v>
      </c>
      <c r="J40" s="152">
        <v>2018</v>
      </c>
      <c r="K40" s="152">
        <v>7.9</v>
      </c>
      <c r="M40" s="152">
        <v>34</v>
      </c>
      <c r="N40" s="152">
        <v>2018</v>
      </c>
      <c r="O40" s="152">
        <v>3.9</v>
      </c>
      <c r="Q40" s="152">
        <v>34</v>
      </c>
      <c r="R40" s="152">
        <v>2018</v>
      </c>
      <c r="S40" s="152">
        <v>2.7</v>
      </c>
      <c r="U40" s="152">
        <v>34</v>
      </c>
      <c r="V40" s="152">
        <v>2018</v>
      </c>
      <c r="W40" s="211">
        <v>5.6</v>
      </c>
      <c r="Y40" s="152">
        <v>34</v>
      </c>
      <c r="Z40" s="152">
        <v>2018</v>
      </c>
      <c r="AA40" s="211">
        <v>5.6</v>
      </c>
    </row>
    <row r="41" spans="1:28" x14ac:dyDescent="0.25">
      <c r="A41" s="152">
        <v>35</v>
      </c>
      <c r="B41" s="152">
        <v>2019</v>
      </c>
      <c r="C41" s="152">
        <v>10.1</v>
      </c>
      <c r="D41" s="152">
        <f>AVERAGE(C37:C41)</f>
        <v>10.040000000000001</v>
      </c>
      <c r="E41" s="152">
        <v>35</v>
      </c>
      <c r="F41" s="152">
        <v>2019</v>
      </c>
      <c r="G41" s="152">
        <v>9.4</v>
      </c>
      <c r="H41" s="152">
        <f>AVERAGE(G37:G41)</f>
        <v>9.2200000000000006</v>
      </c>
      <c r="I41" s="152">
        <v>35</v>
      </c>
      <c r="J41" s="152">
        <v>2019</v>
      </c>
      <c r="K41" s="152">
        <v>8.9</v>
      </c>
      <c r="L41" s="152">
        <f>AVERAGE(K37:K41)</f>
        <v>8.68</v>
      </c>
      <c r="M41" s="152">
        <v>35</v>
      </c>
      <c r="N41" s="152">
        <v>2019</v>
      </c>
      <c r="O41" s="152">
        <v>4.2</v>
      </c>
      <c r="P41" s="152">
        <f>AVERAGE(O37:O41)</f>
        <v>4.04</v>
      </c>
      <c r="Q41" s="152">
        <v>35</v>
      </c>
      <c r="R41" s="152">
        <v>2019</v>
      </c>
      <c r="S41" s="152">
        <v>5.4</v>
      </c>
      <c r="T41" s="152">
        <f>AVERAGE(S37:S41)</f>
        <v>5.38</v>
      </c>
      <c r="U41" s="152">
        <v>35</v>
      </c>
      <c r="V41" s="152">
        <v>2019</v>
      </c>
      <c r="W41" s="152">
        <v>7.7</v>
      </c>
      <c r="X41" s="152">
        <f>AVERAGE(W37:W41)</f>
        <v>7.1800000000000015</v>
      </c>
      <c r="Y41" s="152">
        <v>35</v>
      </c>
      <c r="Z41" s="152">
        <v>2019</v>
      </c>
      <c r="AA41" s="152">
        <v>8</v>
      </c>
      <c r="AB41" s="152">
        <f>AVERAGE(AA37:AA41)</f>
        <v>7.3</v>
      </c>
    </row>
    <row r="42" spans="1:28" x14ac:dyDescent="0.25">
      <c r="C42" s="155">
        <f>_xlfn.STDEV.P(C7:C41)/AVERAGE(C7:C41)</f>
        <v>0.13494661474881434</v>
      </c>
      <c r="G42" s="155">
        <f>_xlfn.STDEV.P(G7:G41)/AVERAGE(G7:G41)</f>
        <v>0.15270018758024359</v>
      </c>
      <c r="K42" s="155">
        <f>_xlfn.STDEV.P(K7:K41)/AVERAGE(K7:K41)</f>
        <v>8.8621691128699165E-2</v>
      </c>
      <c r="O42" s="155">
        <f>_xlfn.STDEV.P(O12:O41)/AVERAGE(O12:O41)</f>
        <v>0.16679847299280695</v>
      </c>
      <c r="S42" s="155">
        <f>_xlfn.STDEV.P(S12:S41)/AVERAGE(S12:S41)</f>
        <v>0.15096957485362925</v>
      </c>
      <c r="T42" s="155"/>
      <c r="U42" s="155"/>
      <c r="V42" s="155"/>
      <c r="W42" s="155">
        <f>_xlfn.STDEV.P(W12:W41)/AVERAGE(W12:W41)</f>
        <v>0.12482774103645156</v>
      </c>
      <c r="X42" s="155"/>
      <c r="Y42" s="155"/>
      <c r="Z42" s="155"/>
      <c r="AA42" s="155">
        <f>_xlfn.STDEV.P(AA12:AA41)/AVERAGE(AA12:AA41)</f>
        <v>0.13112309758649457</v>
      </c>
      <c r="AB42" s="155"/>
    </row>
    <row r="44" spans="1:28" x14ac:dyDescent="0.25">
      <c r="A44" s="135"/>
      <c r="B44" s="135" t="s">
        <v>542</v>
      </c>
      <c r="C44" s="135"/>
      <c r="E44" s="215"/>
      <c r="F44" s="215"/>
      <c r="G44" s="215"/>
      <c r="I44" s="215"/>
      <c r="J44" s="215"/>
      <c r="K44" s="215"/>
      <c r="M44" s="215"/>
      <c r="N44" s="215"/>
      <c r="O44" s="215"/>
      <c r="Q44" s="215"/>
      <c r="R44" s="215"/>
      <c r="S44" s="215"/>
      <c r="U44" s="215"/>
      <c r="V44" s="215"/>
      <c r="W44" s="215"/>
    </row>
    <row r="45" spans="1:28" x14ac:dyDescent="0.25">
      <c r="D45" s="152" t="s">
        <v>543</v>
      </c>
    </row>
    <row r="46" spans="1:28" x14ac:dyDescent="0.25">
      <c r="D46" s="152" t="s">
        <v>544</v>
      </c>
      <c r="E46" s="152" t="s">
        <v>545</v>
      </c>
      <c r="H46" s="152" t="s">
        <v>544</v>
      </c>
      <c r="K46" s="152" t="s">
        <v>544</v>
      </c>
      <c r="N46" s="152" t="s">
        <v>544</v>
      </c>
      <c r="W46" s="152" t="s">
        <v>544</v>
      </c>
      <c r="AA46" s="152" t="s">
        <v>544</v>
      </c>
    </row>
    <row r="47" spans="1:28" x14ac:dyDescent="0.25">
      <c r="B47" s="152" t="s">
        <v>546</v>
      </c>
      <c r="C47" s="152">
        <v>10.039999999999999</v>
      </c>
      <c r="D47" s="152">
        <v>230</v>
      </c>
      <c r="E47" s="152">
        <v>200</v>
      </c>
      <c r="F47" s="152" t="s">
        <v>547</v>
      </c>
      <c r="G47" s="152">
        <v>9.1999999999999993</v>
      </c>
      <c r="H47" s="152">
        <v>194</v>
      </c>
      <c r="I47" s="152" t="s">
        <v>548</v>
      </c>
      <c r="J47" s="152">
        <v>8.68</v>
      </c>
      <c r="K47" s="152">
        <v>150</v>
      </c>
      <c r="M47" s="152" t="s">
        <v>549</v>
      </c>
      <c r="N47" s="152">
        <v>225</v>
      </c>
      <c r="V47" s="152" t="s">
        <v>550</v>
      </c>
      <c r="W47" s="152">
        <v>140</v>
      </c>
      <c r="Z47" s="152" t="s">
        <v>551</v>
      </c>
      <c r="AA47" s="152">
        <v>151</v>
      </c>
    </row>
    <row r="48" spans="1:28" x14ac:dyDescent="0.25">
      <c r="C48" s="152">
        <v>10.25</v>
      </c>
      <c r="D48" s="152">
        <v>235</v>
      </c>
      <c r="E48" s="152">
        <v>205</v>
      </c>
      <c r="Z48" s="152" t="s">
        <v>552</v>
      </c>
      <c r="AA48" s="152">
        <v>140</v>
      </c>
    </row>
    <row r="50" spans="4:12" x14ac:dyDescent="0.25">
      <c r="D50" s="6" t="s">
        <v>314</v>
      </c>
    </row>
    <row r="51" spans="4:12" x14ac:dyDescent="0.25">
      <c r="F51" s="152" t="s">
        <v>263</v>
      </c>
      <c r="G51" s="152" t="s">
        <v>264</v>
      </c>
      <c r="H51" s="152" t="s">
        <v>265</v>
      </c>
      <c r="I51" s="152" t="s">
        <v>266</v>
      </c>
      <c r="J51" s="152" t="s">
        <v>267</v>
      </c>
      <c r="K51" s="152" t="s">
        <v>268</v>
      </c>
    </row>
    <row r="52" spans="4:12" x14ac:dyDescent="0.25">
      <c r="D52" s="152" t="s">
        <v>269</v>
      </c>
      <c r="F52" s="152" t="s">
        <v>270</v>
      </c>
      <c r="G52" s="152" t="s">
        <v>271</v>
      </c>
      <c r="H52" s="152" t="s">
        <v>272</v>
      </c>
      <c r="I52" s="152" t="s">
        <v>273</v>
      </c>
      <c r="J52" s="152" t="s">
        <v>274</v>
      </c>
      <c r="K52" s="152" t="s">
        <v>272</v>
      </c>
      <c r="L52" s="153">
        <f>AVERAGE(G42,K42,C42,G42,O42,C42)</f>
        <v>0.13845229479660365</v>
      </c>
    </row>
    <row r="53" spans="4:12" x14ac:dyDescent="0.25">
      <c r="D53" s="152" t="s">
        <v>292</v>
      </c>
      <c r="F53" s="152" t="s">
        <v>270</v>
      </c>
      <c r="G53" s="152" t="s">
        <v>271</v>
      </c>
      <c r="H53" s="152" t="s">
        <v>272</v>
      </c>
      <c r="I53" s="152" t="s">
        <v>275</v>
      </c>
      <c r="J53" s="152" t="s">
        <v>272</v>
      </c>
      <c r="L53" s="153">
        <f>AVERAGE(G42,K42,C42,S42,C42)</f>
        <v>0.13243693661204012</v>
      </c>
    </row>
    <row r="54" spans="4:12" x14ac:dyDescent="0.25">
      <c r="D54" s="152" t="s">
        <v>534</v>
      </c>
      <c r="F54" s="152" t="s">
        <v>537</v>
      </c>
      <c r="G54" s="152" t="s">
        <v>275</v>
      </c>
      <c r="H54" s="152" t="s">
        <v>535</v>
      </c>
      <c r="I54" s="152" t="s">
        <v>536</v>
      </c>
      <c r="J54" s="152" t="s">
        <v>537</v>
      </c>
      <c r="L54" s="153">
        <f>AVERAGE(AA42,S42,W42,AA42,AA42)</f>
        <v>0.13383332172991289</v>
      </c>
    </row>
  </sheetData>
  <mergeCells count="10">
    <mergeCell ref="U44:W44"/>
    <mergeCell ref="A5:C5"/>
    <mergeCell ref="E5:G5"/>
    <mergeCell ref="I5:K5"/>
    <mergeCell ref="M5:O5"/>
    <mergeCell ref="Q5:S5"/>
    <mergeCell ref="E44:G44"/>
    <mergeCell ref="I44:K44"/>
    <mergeCell ref="M44:O44"/>
    <mergeCell ref="Q44:S44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I22" sqref="I22"/>
    </sheetView>
  </sheetViews>
  <sheetFormatPr baseColWidth="10" defaultColWidth="11.42578125" defaultRowHeight="15" x14ac:dyDescent="0.25"/>
  <cols>
    <col min="1" max="1" width="35.85546875" style="152" bestFit="1" customWidth="1"/>
    <col min="2" max="16384" width="11.42578125" style="152"/>
  </cols>
  <sheetData>
    <row r="1" spans="1:20" x14ac:dyDescent="0.25">
      <c r="B1" s="152" t="s">
        <v>263</v>
      </c>
      <c r="C1" s="152" t="s">
        <v>264</v>
      </c>
      <c r="D1" s="152" t="s">
        <v>265</v>
      </c>
      <c r="E1" s="152" t="s">
        <v>266</v>
      </c>
      <c r="F1" s="152" t="s">
        <v>267</v>
      </c>
      <c r="G1" s="152" t="s">
        <v>268</v>
      </c>
    </row>
    <row r="2" spans="1:20" x14ac:dyDescent="0.25">
      <c r="A2" s="152" t="s">
        <v>269</v>
      </c>
      <c r="B2" s="152" t="s">
        <v>270</v>
      </c>
      <c r="C2" s="152" t="s">
        <v>271</v>
      </c>
      <c r="D2" s="152" t="s">
        <v>272</v>
      </c>
      <c r="E2" s="152" t="s">
        <v>273</v>
      </c>
      <c r="F2" s="152" t="s">
        <v>274</v>
      </c>
      <c r="G2" s="152" t="s">
        <v>272</v>
      </c>
    </row>
    <row r="3" spans="1:20" x14ac:dyDescent="0.25">
      <c r="A3" s="152" t="s">
        <v>292</v>
      </c>
      <c r="B3" s="152" t="s">
        <v>270</v>
      </c>
      <c r="C3" s="152" t="s">
        <v>271</v>
      </c>
      <c r="D3" s="152" t="s">
        <v>272</v>
      </c>
      <c r="E3" s="152" t="s">
        <v>275</v>
      </c>
      <c r="F3" s="152" t="s">
        <v>272</v>
      </c>
    </row>
    <row r="4" spans="1:20" x14ac:dyDescent="0.25">
      <c r="A4" s="152" t="s">
        <v>534</v>
      </c>
      <c r="B4" s="152" t="s">
        <v>537</v>
      </c>
      <c r="C4" s="152" t="s">
        <v>275</v>
      </c>
      <c r="D4" s="152" t="s">
        <v>535</v>
      </c>
      <c r="E4" s="152" t="s">
        <v>536</v>
      </c>
      <c r="F4" s="152" t="s">
        <v>537</v>
      </c>
    </row>
    <row r="7" spans="1:20" x14ac:dyDescent="0.25">
      <c r="B7" s="152" t="s">
        <v>270</v>
      </c>
      <c r="C7" s="152" t="s">
        <v>271</v>
      </c>
      <c r="D7" s="152" t="s">
        <v>272</v>
      </c>
      <c r="E7" s="152" t="s">
        <v>273</v>
      </c>
      <c r="F7" s="152" t="s">
        <v>274</v>
      </c>
      <c r="G7" s="152" t="s">
        <v>272</v>
      </c>
      <c r="I7" s="152" t="s">
        <v>270</v>
      </c>
      <c r="J7" s="152" t="s">
        <v>271</v>
      </c>
      <c r="K7" s="152" t="s">
        <v>272</v>
      </c>
      <c r="L7" s="152" t="s">
        <v>275</v>
      </c>
      <c r="M7" s="152" t="s">
        <v>272</v>
      </c>
      <c r="P7" s="152" t="s">
        <v>537</v>
      </c>
      <c r="Q7" s="152" t="s">
        <v>275</v>
      </c>
      <c r="R7" s="152" t="s">
        <v>535</v>
      </c>
      <c r="S7" s="152" t="s">
        <v>536</v>
      </c>
      <c r="T7" s="152" t="s">
        <v>537</v>
      </c>
    </row>
    <row r="8" spans="1:20" x14ac:dyDescent="0.25">
      <c r="A8" s="152" t="s">
        <v>457</v>
      </c>
      <c r="B8" s="34">
        <v>9.3000000000000007</v>
      </c>
      <c r="C8" s="34">
        <v>8.6999999999999993</v>
      </c>
      <c r="D8" s="34">
        <v>10.25</v>
      </c>
      <c r="E8" s="34">
        <v>9.3000000000000007</v>
      </c>
      <c r="F8" s="34">
        <v>4.04</v>
      </c>
      <c r="G8" s="34">
        <v>10.25</v>
      </c>
      <c r="H8" s="34"/>
      <c r="I8" s="34">
        <v>9.3000000000000007</v>
      </c>
      <c r="J8" s="34">
        <v>8.6999999999999993</v>
      </c>
      <c r="K8" s="34">
        <v>10.25</v>
      </c>
      <c r="L8" s="34">
        <v>5.4</v>
      </c>
      <c r="M8" s="34">
        <v>10.25</v>
      </c>
      <c r="P8" s="152">
        <v>7.2</v>
      </c>
      <c r="Q8" s="152">
        <v>5.4</v>
      </c>
      <c r="R8" s="152">
        <v>7</v>
      </c>
      <c r="S8" s="152">
        <v>7.4</v>
      </c>
      <c r="T8" s="152">
        <v>7.2</v>
      </c>
    </row>
    <row r="9" spans="1:20" x14ac:dyDescent="0.25">
      <c r="A9" s="152" t="s">
        <v>458</v>
      </c>
      <c r="B9" s="152">
        <v>140</v>
      </c>
      <c r="C9" s="152">
        <v>187</v>
      </c>
      <c r="D9" s="152">
        <v>164</v>
      </c>
      <c r="E9" s="152">
        <v>140</v>
      </c>
      <c r="F9" s="152">
        <v>355</v>
      </c>
      <c r="G9" s="152">
        <v>164</v>
      </c>
      <c r="I9" s="152">
        <v>140</v>
      </c>
      <c r="J9" s="152">
        <v>187</v>
      </c>
      <c r="K9" s="152">
        <v>164</v>
      </c>
      <c r="L9" s="161">
        <v>190</v>
      </c>
      <c r="M9" s="152">
        <v>164</v>
      </c>
      <c r="P9" s="152">
        <v>167</v>
      </c>
      <c r="Q9" s="152">
        <v>190</v>
      </c>
      <c r="R9" s="152">
        <v>187</v>
      </c>
      <c r="S9" s="152">
        <v>140</v>
      </c>
      <c r="T9" s="152">
        <v>167</v>
      </c>
    </row>
    <row r="10" spans="1:20" x14ac:dyDescent="0.25">
      <c r="A10" s="152" t="s">
        <v>459</v>
      </c>
      <c r="B10" s="152">
        <f>B8*B9</f>
        <v>1302</v>
      </c>
      <c r="C10" s="152">
        <f t="shared" ref="C10:M10" si="0">C8*C9</f>
        <v>1626.8999999999999</v>
      </c>
      <c r="D10" s="152">
        <f t="shared" si="0"/>
        <v>1681</v>
      </c>
      <c r="E10" s="152">
        <f t="shared" si="0"/>
        <v>1302</v>
      </c>
      <c r="F10" s="152">
        <f t="shared" si="0"/>
        <v>1434.2</v>
      </c>
      <c r="G10" s="152">
        <f t="shared" si="0"/>
        <v>1681</v>
      </c>
      <c r="I10" s="152">
        <f t="shared" si="0"/>
        <v>1302</v>
      </c>
      <c r="J10" s="152">
        <f t="shared" si="0"/>
        <v>1626.8999999999999</v>
      </c>
      <c r="K10" s="152">
        <f t="shared" si="0"/>
        <v>1681</v>
      </c>
      <c r="L10" s="152">
        <f t="shared" si="0"/>
        <v>1026</v>
      </c>
      <c r="M10" s="152">
        <f t="shared" si="0"/>
        <v>1681</v>
      </c>
      <c r="P10" s="152">
        <f>P8*P9</f>
        <v>1202.4000000000001</v>
      </c>
      <c r="Q10" s="152">
        <f>Q8*Q9</f>
        <v>1026</v>
      </c>
      <c r="R10" s="152">
        <f t="shared" ref="R10:T10" si="1">R8*R9</f>
        <v>1309</v>
      </c>
      <c r="S10" s="152">
        <f t="shared" si="1"/>
        <v>1036</v>
      </c>
      <c r="T10" s="152">
        <f t="shared" si="1"/>
        <v>1202.4000000000001</v>
      </c>
    </row>
    <row r="11" spans="1:20" x14ac:dyDescent="0.25">
      <c r="A11" s="143" t="s">
        <v>460</v>
      </c>
      <c r="B11" s="152">
        <v>4.5</v>
      </c>
      <c r="C11" s="152">
        <v>4.5999999999999996</v>
      </c>
      <c r="D11" s="152">
        <v>4.05</v>
      </c>
      <c r="E11" s="152">
        <v>4.5</v>
      </c>
      <c r="G11" s="152">
        <v>4.05</v>
      </c>
      <c r="I11" s="152">
        <v>4.5</v>
      </c>
      <c r="J11" s="152">
        <v>4.5999999999999996</v>
      </c>
      <c r="K11" s="152">
        <v>4.05</v>
      </c>
      <c r="M11" s="152">
        <v>4.05</v>
      </c>
      <c r="P11" s="152">
        <v>3.7</v>
      </c>
      <c r="R11" s="152">
        <v>4.05</v>
      </c>
      <c r="S11" s="152">
        <v>3.75</v>
      </c>
      <c r="T11" s="152">
        <v>3.7</v>
      </c>
    </row>
    <row r="12" spans="1:20" x14ac:dyDescent="0.25">
      <c r="A12" s="152" t="s">
        <v>458</v>
      </c>
      <c r="B12" s="161">
        <v>50</v>
      </c>
      <c r="C12" s="161">
        <v>30</v>
      </c>
      <c r="D12" s="182">
        <v>37</v>
      </c>
      <c r="E12" s="161">
        <v>50</v>
      </c>
      <c r="F12" s="161"/>
      <c r="G12" s="182">
        <v>37</v>
      </c>
      <c r="H12" s="161"/>
      <c r="I12" s="161">
        <v>50</v>
      </c>
      <c r="J12" s="161">
        <v>30</v>
      </c>
      <c r="K12" s="182">
        <v>37</v>
      </c>
      <c r="L12" s="161"/>
      <c r="M12" s="182">
        <v>37</v>
      </c>
      <c r="P12" s="152">
        <v>43</v>
      </c>
      <c r="R12" s="152">
        <v>30</v>
      </c>
      <c r="S12" s="152">
        <v>43</v>
      </c>
      <c r="T12" s="152">
        <v>43</v>
      </c>
    </row>
    <row r="13" spans="1:20" x14ac:dyDescent="0.25">
      <c r="A13" s="152" t="s">
        <v>461</v>
      </c>
      <c r="B13" s="152">
        <f>B11*B12</f>
        <v>225</v>
      </c>
      <c r="C13" s="152">
        <f t="shared" ref="C13:G13" si="2">C11*C12</f>
        <v>138</v>
      </c>
      <c r="D13" s="152">
        <f t="shared" si="2"/>
        <v>149.85</v>
      </c>
      <c r="E13" s="152">
        <f t="shared" si="2"/>
        <v>225</v>
      </c>
      <c r="G13" s="152">
        <f t="shared" si="2"/>
        <v>149.85</v>
      </c>
      <c r="I13" s="152">
        <f t="shared" ref="I13" si="3">I11*I12</f>
        <v>225</v>
      </c>
      <c r="J13" s="152">
        <f t="shared" ref="J13" si="4">J11*J12</f>
        <v>138</v>
      </c>
      <c r="K13" s="152">
        <f t="shared" ref="K13:M13" si="5">K11*K12</f>
        <v>149.85</v>
      </c>
      <c r="M13" s="152">
        <f t="shared" si="5"/>
        <v>149.85</v>
      </c>
      <c r="P13" s="152">
        <f t="shared" ref="P13:T13" si="6">P11*P12</f>
        <v>159.1</v>
      </c>
      <c r="R13" s="152">
        <f t="shared" si="6"/>
        <v>121.5</v>
      </c>
      <c r="S13" s="152">
        <f t="shared" si="6"/>
        <v>161.25</v>
      </c>
      <c r="T13" s="152">
        <f t="shared" si="6"/>
        <v>159.1</v>
      </c>
    </row>
    <row r="14" spans="1:20" x14ac:dyDescent="0.25">
      <c r="A14" s="152" t="s">
        <v>462</v>
      </c>
      <c r="B14" s="152">
        <v>1005</v>
      </c>
      <c r="C14" s="152">
        <v>946</v>
      </c>
      <c r="D14" s="152">
        <v>1156</v>
      </c>
      <c r="E14" s="152">
        <v>1005</v>
      </c>
      <c r="F14" s="152">
        <v>1072</v>
      </c>
      <c r="G14" s="152">
        <v>1128</v>
      </c>
      <c r="I14" s="152">
        <v>1005</v>
      </c>
      <c r="J14" s="152">
        <v>946</v>
      </c>
      <c r="K14" s="152">
        <v>1156</v>
      </c>
      <c r="L14" s="152">
        <v>829</v>
      </c>
      <c r="M14" s="152">
        <v>1128</v>
      </c>
      <c r="P14" s="152">
        <v>939</v>
      </c>
      <c r="Q14" s="152">
        <v>829</v>
      </c>
      <c r="R14" s="152">
        <v>925</v>
      </c>
      <c r="S14" s="152">
        <v>947</v>
      </c>
      <c r="T14" s="152">
        <v>939</v>
      </c>
    </row>
    <row r="15" spans="1:20" x14ac:dyDescent="0.25">
      <c r="A15" s="152" t="s">
        <v>463</v>
      </c>
      <c r="B15" s="152">
        <f>B10+B13-B14</f>
        <v>522</v>
      </c>
      <c r="C15" s="152">
        <f t="shared" ref="C15:F15" si="7">C10+C13-C14</f>
        <v>818.89999999999986</v>
      </c>
      <c r="D15" s="152">
        <f t="shared" si="7"/>
        <v>674.84999999999991</v>
      </c>
      <c r="E15" s="152">
        <f t="shared" si="7"/>
        <v>522</v>
      </c>
      <c r="F15" s="152">
        <f t="shared" si="7"/>
        <v>362.20000000000005</v>
      </c>
      <c r="G15" s="152">
        <f>G10+G13-G14</f>
        <v>702.84999999999991</v>
      </c>
      <c r="I15" s="152">
        <f>I10+I13-I14</f>
        <v>522</v>
      </c>
      <c r="J15" s="152">
        <f t="shared" ref="J15:L15" si="8">J10+J13-J14</f>
        <v>818.89999999999986</v>
      </c>
      <c r="K15" s="152">
        <f t="shared" si="8"/>
        <v>674.84999999999991</v>
      </c>
      <c r="L15" s="152">
        <f t="shared" si="8"/>
        <v>197</v>
      </c>
      <c r="M15" s="152">
        <f t="shared" ref="M15" si="9">M10+M13-M14</f>
        <v>702.84999999999991</v>
      </c>
      <c r="P15" s="152">
        <f>P10+P13-P14</f>
        <v>422.5</v>
      </c>
      <c r="Q15" s="152">
        <f>Q10+Q13-Q14</f>
        <v>197</v>
      </c>
      <c r="R15" s="152">
        <f>R10+R13-R14</f>
        <v>505.5</v>
      </c>
      <c r="S15" s="152">
        <f>S10+S13-S14</f>
        <v>250.25</v>
      </c>
      <c r="T15" s="152">
        <f>T10+T13-T14</f>
        <v>422.5</v>
      </c>
    </row>
    <row r="17" spans="1:17" x14ac:dyDescent="0.25">
      <c r="A17" s="152" t="s">
        <v>464</v>
      </c>
      <c r="L17" s="179">
        <f>L8*B31-L14</f>
        <v>818.54000000000019</v>
      </c>
      <c r="Q17" s="179">
        <f>Q8*B31-Q14</f>
        <v>818.54000000000019</v>
      </c>
    </row>
    <row r="19" spans="1:17" x14ac:dyDescent="0.25">
      <c r="A19" s="152" t="s">
        <v>465</v>
      </c>
      <c r="B19" s="179">
        <f>(B15+C15+D15+E15+F15+G15)/6</f>
        <v>600.46666666666658</v>
      </c>
      <c r="C19" s="179"/>
      <c r="D19" s="179"/>
      <c r="E19" s="179"/>
      <c r="F19" s="179"/>
      <c r="G19" s="179"/>
      <c r="H19" s="179"/>
      <c r="I19" s="179">
        <f>(I15+J15+K15+L15+M15)/5</f>
        <v>583.12</v>
      </c>
      <c r="J19" s="179"/>
      <c r="P19" s="179">
        <f>(P15+Q15+R15+S15+T15)/5</f>
        <v>359.55</v>
      </c>
    </row>
    <row r="21" spans="1:17" x14ac:dyDescent="0.25">
      <c r="A21" s="152" t="s">
        <v>466</v>
      </c>
      <c r="I21" s="179">
        <f>(I15+J15+K15+L17+M15)/5</f>
        <v>707.428</v>
      </c>
      <c r="P21" s="179">
        <f>(P15+S15+R15+Q17+T15)/5</f>
        <v>483.858</v>
      </c>
    </row>
    <row r="24" spans="1:17" x14ac:dyDescent="0.25">
      <c r="A24" s="152" t="s">
        <v>467</v>
      </c>
    </row>
    <row r="26" spans="1:17" x14ac:dyDescent="0.25">
      <c r="A26" s="152" t="s">
        <v>469</v>
      </c>
    </row>
    <row r="27" spans="1:17" x14ac:dyDescent="0.25">
      <c r="A27" s="152" t="s">
        <v>279</v>
      </c>
      <c r="B27" s="152">
        <v>408.8</v>
      </c>
    </row>
    <row r="28" spans="1:17" x14ac:dyDescent="0.25">
      <c r="A28" s="152" t="s">
        <v>281</v>
      </c>
      <c r="B28" s="117">
        <v>221</v>
      </c>
    </row>
    <row r="30" spans="1:17" x14ac:dyDescent="0.25">
      <c r="A30" s="152" t="s">
        <v>468</v>
      </c>
    </row>
    <row r="31" spans="1:17" x14ac:dyDescent="0.25">
      <c r="A31" s="152" t="s">
        <v>282</v>
      </c>
      <c r="B31" s="152">
        <v>305.10000000000002</v>
      </c>
    </row>
    <row r="34" spans="1:1" x14ac:dyDescent="0.25">
      <c r="A34" s="152" t="s">
        <v>470</v>
      </c>
    </row>
    <row r="35" spans="1:1" x14ac:dyDescent="0.25">
      <c r="A35" s="152" t="s">
        <v>471</v>
      </c>
    </row>
    <row r="36" spans="1:1" x14ac:dyDescent="0.25">
      <c r="A36" s="152" t="s">
        <v>472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Output</vt:lpstr>
      <vt:lpstr>Data source</vt:lpstr>
      <vt:lpstr>Details</vt:lpstr>
      <vt:lpstr>Site characteristics</vt:lpstr>
      <vt:lpstr>Without legumes</vt:lpstr>
      <vt:lpstr>With legumes option 1</vt:lpstr>
      <vt:lpstr>With legumes option 2</vt:lpstr>
      <vt:lpstr>Data for yield stability</vt:lpstr>
      <vt:lpstr>GM</vt:lpstr>
      <vt:lpstr>N fertilizer</vt:lpstr>
      <vt:lpstr>Protein &amp; Energy Output</vt:lpstr>
      <vt:lpstr>Crop Diversity</vt:lpstr>
      <vt:lpstr>NO3-N</vt:lpstr>
      <vt:lpstr>N2O calculations</vt:lpstr>
      <vt:lpstr>N2O default values</vt:lpstr>
      <vt:lpstr>Mapping crops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2020-12-16T14:39:02Z</dcterms:modified>
</cp:coreProperties>
</file>